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1.xml" ContentType="application/vnd.ms-excel.threadedcomments+xml"/>
  <Override PartName="/xl/namedSheetViews/namedSheetView1.xml" ContentType="application/vnd.ms-excel.namedsheetviews+xml"/>
  <Override PartName="/xl/comments3.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comments4.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omments5.xml" ContentType="application/vnd.openxmlformats-officedocument.spreadsheetml.comments+xml"/>
  <Override PartName="/xl/pivotTables/pivotTable6.xml" ContentType="application/vnd.openxmlformats-officedocument.spreadsheetml.pivotTable+xml"/>
  <Override PartName="/xl/comments6.xml" ContentType="application/vnd.openxmlformats-officedocument.spreadsheetml.comments+xml"/>
  <Override PartName="/xl/pivotTables/pivotTable7.xml" ContentType="application/vnd.openxmlformats-officedocument.spreadsheetml.pivotTable+xml"/>
  <Override PartName="/xl/pivotTables/pivotTable8.xml" ContentType="application/vnd.openxmlformats-officedocument.spreadsheetml.pivotTable+xml"/>
  <Override PartName="/xl/persons/person.xml" ContentType="application/vnd.ms-excel.person+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https://worldtreecopinc.sharepoint.com/sites/Operations26/Shared Documents/Main Database/"/>
    </mc:Choice>
  </mc:AlternateContent>
  <xr:revisionPtr revIDLastSave="13579" documentId="13_ncr:1_{D22936B9-5A4B-4419-863C-DDF862C0AB71}" xr6:coauthVersionLast="47" xr6:coauthVersionMax="47" xr10:uidLastSave="{A4CC86D4-26F8-401B-953B-9B95B66C5B38}"/>
  <bookViews>
    <workbookView xWindow="-120" yWindow="-120" windowWidth="20730" windowHeight="11040" firstSheet="2" activeTab="2" xr2:uid="{7458472A-259E-4C96-8390-2345BC04B69D}"/>
  </bookViews>
  <sheets>
    <sheet name="Series Summary" sheetId="13" r:id="rId1"/>
    <sheet name="Planting Summary" sheetId="19" r:id="rId2"/>
    <sheet name="Master Data Results" sheetId="11" r:id="rId3"/>
    <sheet name="Monthly update" sheetId="27" r:id="rId4"/>
    <sheet name="Change Log" sheetId="25" r:id="rId5"/>
    <sheet name="Audit USA" sheetId="14" state="hidden" r:id="rId6"/>
    <sheet name="Audit CAN" sheetId="15" state="hidden" r:id="rId7"/>
    <sheet name="Audit CAN2017" sheetId="16" state="hidden" r:id="rId8"/>
    <sheet name="Detail1" sheetId="34" r:id="rId9"/>
    <sheet name="Tree Report Format" sheetId="31" r:id="rId10"/>
    <sheet name="Contract Count PT" sheetId="18" r:id="rId11"/>
    <sheet name="Harvest Projection" sheetId="17" r:id="rId12"/>
    <sheet name="Planting Summary PT" sheetId="23" r:id="rId13"/>
    <sheet name="Series Summary PT" sheetId="24" r:id="rId14"/>
    <sheet name="Sheet1" sheetId="32" r:id="rId15"/>
  </sheets>
  <definedNames>
    <definedName name="_xlnm._FilterDatabase" localSheetId="4" hidden="1">'Change Log'!$A$2:$U$345</definedName>
    <definedName name="_xlnm._FilterDatabase" localSheetId="2" hidden="1">'Master Data Results'!$G$471:$G$471</definedName>
    <definedName name="_xlnm.Extract" localSheetId="2">'Master Data Results'!#REF!</definedName>
  </definedNames>
  <calcPr calcId="191028" concurrentManualCount="20"/>
  <pivotCaches>
    <pivotCache cacheId="0" r:id="rId16"/>
    <pivotCache cacheId="1" r:id="rId17"/>
    <pivotCache cacheId="2"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 i="17" l="1"/>
  <c r="G12" i="17" s="1"/>
  <c r="K24" i="27"/>
  <c r="D12" i="17" l="1"/>
  <c r="E12" i="17"/>
  <c r="H12" i="17"/>
  <c r="F12" i="17"/>
  <c r="A12" i="17"/>
  <c r="C12" i="17" s="1"/>
  <c r="I12" i="17" l="1"/>
  <c r="M12" i="17" l="1"/>
  <c r="L12" i="17"/>
  <c r="Y222" i="11"/>
  <c r="Z426" i="11"/>
  <c r="Z427" i="11"/>
  <c r="Z428" i="11"/>
  <c r="Z429" i="11"/>
  <c r="Z430" i="11"/>
  <c r="Z431" i="11"/>
  <c r="Z432" i="11"/>
  <c r="Z433" i="11"/>
  <c r="Z434" i="11"/>
  <c r="Z435" i="11"/>
  <c r="Z436" i="11"/>
  <c r="Z437" i="11"/>
  <c r="Z438" i="11"/>
  <c r="Z439" i="11"/>
  <c r="Z440" i="11"/>
  <c r="Z441" i="11"/>
  <c r="Z442" i="11"/>
  <c r="Z443" i="11"/>
  <c r="Z444" i="11"/>
  <c r="Z445" i="11"/>
  <c r="Z446" i="11"/>
  <c r="Z447" i="11"/>
  <c r="Z448" i="11"/>
  <c r="Z449" i="11"/>
  <c r="Z450" i="11"/>
  <c r="Z451" i="11"/>
  <c r="Z452" i="11"/>
  <c r="Z453" i="11"/>
  <c r="Z454" i="11"/>
  <c r="Z455" i="11"/>
  <c r="Z456" i="11"/>
  <c r="Z457" i="11"/>
  <c r="Z458" i="11"/>
  <c r="Z459" i="11"/>
  <c r="Z460" i="11"/>
  <c r="Z461" i="11"/>
  <c r="Z462" i="11"/>
  <c r="AE426" i="11"/>
  <c r="AE427" i="11"/>
  <c r="AE428" i="11"/>
  <c r="AE429" i="11"/>
  <c r="AE430" i="11"/>
  <c r="AE431" i="11"/>
  <c r="AE432" i="11"/>
  <c r="AE433" i="11"/>
  <c r="AE434" i="11"/>
  <c r="AE435" i="11"/>
  <c r="AE436" i="11"/>
  <c r="AE437" i="11"/>
  <c r="AE438" i="11"/>
  <c r="AE439" i="11"/>
  <c r="AE440" i="11"/>
  <c r="AE441" i="11"/>
  <c r="AE442" i="11"/>
  <c r="AE443" i="11"/>
  <c r="AE444" i="11"/>
  <c r="AE445" i="11"/>
  <c r="AE446" i="11"/>
  <c r="AE447" i="11"/>
  <c r="AE448" i="11"/>
  <c r="AE449" i="11"/>
  <c r="AE450" i="11"/>
  <c r="AE451" i="11"/>
  <c r="AE452" i="11"/>
  <c r="AE453" i="11"/>
  <c r="AE454" i="11"/>
  <c r="AE455" i="11"/>
  <c r="AE456" i="11"/>
  <c r="AE457" i="11"/>
  <c r="AE458" i="11"/>
  <c r="AE459" i="11"/>
  <c r="AE460" i="11"/>
  <c r="AE461" i="11"/>
  <c r="AE462" i="11"/>
  <c r="AO426" i="11"/>
  <c r="AO427" i="11"/>
  <c r="AO428" i="11"/>
  <c r="AO429" i="11"/>
  <c r="AO430" i="11"/>
  <c r="AO431" i="11"/>
  <c r="AO432" i="11"/>
  <c r="AO433" i="11"/>
  <c r="AO434" i="11"/>
  <c r="AO435" i="11"/>
  <c r="AO436" i="11"/>
  <c r="AO437" i="11"/>
  <c r="AO438" i="11"/>
  <c r="AO439" i="11"/>
  <c r="AO440" i="11"/>
  <c r="AO441" i="11"/>
  <c r="AO442" i="11"/>
  <c r="AO443" i="11"/>
  <c r="AO444" i="11"/>
  <c r="AO445" i="11"/>
  <c r="AO446" i="11"/>
  <c r="AO447" i="11"/>
  <c r="AO448" i="11"/>
  <c r="AO449" i="11"/>
  <c r="AO450" i="11"/>
  <c r="AO451" i="11"/>
  <c r="AO452" i="11"/>
  <c r="AO453" i="11"/>
  <c r="AO454" i="11"/>
  <c r="AO455" i="11"/>
  <c r="AO456" i="11"/>
  <c r="AO457" i="11"/>
  <c r="AO458" i="11"/>
  <c r="AO459" i="11"/>
  <c r="AO460" i="11"/>
  <c r="AO461" i="11"/>
  <c r="AO462" i="11"/>
  <c r="AP426" i="11"/>
  <c r="AP427" i="11"/>
  <c r="AP428" i="11"/>
  <c r="AP429" i="11"/>
  <c r="AP430" i="11"/>
  <c r="AP431" i="11"/>
  <c r="AP432" i="11"/>
  <c r="AP433" i="11"/>
  <c r="AP434" i="11"/>
  <c r="AP435" i="11"/>
  <c r="AP436" i="11"/>
  <c r="AP437" i="11"/>
  <c r="AP438" i="11"/>
  <c r="AP439" i="11"/>
  <c r="AP440" i="11"/>
  <c r="AP441" i="11"/>
  <c r="AP442" i="11"/>
  <c r="AP443" i="11"/>
  <c r="AP444" i="11"/>
  <c r="AP445" i="11"/>
  <c r="AP446" i="11"/>
  <c r="AP447" i="11"/>
  <c r="AP448" i="11"/>
  <c r="AP449" i="11"/>
  <c r="AP450" i="11"/>
  <c r="AP451" i="11"/>
  <c r="AP452" i="11"/>
  <c r="AP453" i="11"/>
  <c r="AP454" i="11"/>
  <c r="AP455" i="11"/>
  <c r="AP456" i="11"/>
  <c r="AP457" i="11"/>
  <c r="AP458" i="11"/>
  <c r="AP459" i="11"/>
  <c r="AP460" i="11"/>
  <c r="AP461" i="11"/>
  <c r="AP462" i="11"/>
  <c r="BK426" i="11"/>
  <c r="BK427" i="11"/>
  <c r="BK428" i="11"/>
  <c r="BK429" i="11"/>
  <c r="BK430" i="11"/>
  <c r="BK431" i="11"/>
  <c r="BK432" i="11"/>
  <c r="BK433" i="11"/>
  <c r="BK434" i="11"/>
  <c r="BK435" i="11"/>
  <c r="BK436" i="11"/>
  <c r="BK437" i="11"/>
  <c r="BK438" i="11"/>
  <c r="BK439" i="11"/>
  <c r="BK440" i="11"/>
  <c r="BK441" i="11"/>
  <c r="BK442" i="11"/>
  <c r="BK443" i="11"/>
  <c r="BK444" i="11"/>
  <c r="BK445" i="11"/>
  <c r="BK446" i="11"/>
  <c r="BK447" i="11"/>
  <c r="BK448" i="11"/>
  <c r="BK449" i="11"/>
  <c r="BK450" i="11"/>
  <c r="BK451" i="11"/>
  <c r="BK452" i="11"/>
  <c r="BK453" i="11"/>
  <c r="BK454" i="11"/>
  <c r="BK455" i="11"/>
  <c r="BK456" i="11"/>
  <c r="BK457" i="11"/>
  <c r="BK458" i="11"/>
  <c r="BK459" i="11"/>
  <c r="BK460" i="11"/>
  <c r="BK461" i="11"/>
  <c r="BK462" i="11"/>
  <c r="BM426" i="11"/>
  <c r="BM427" i="11"/>
  <c r="BM428" i="11"/>
  <c r="BM429" i="11"/>
  <c r="BM430" i="11"/>
  <c r="BM431" i="11"/>
  <c r="BM432" i="11"/>
  <c r="BM433" i="11"/>
  <c r="BM434" i="11"/>
  <c r="BM435" i="11"/>
  <c r="BM436" i="11"/>
  <c r="BM437" i="11"/>
  <c r="BM438" i="11"/>
  <c r="BM439" i="11"/>
  <c r="BM440" i="11"/>
  <c r="BM441" i="11"/>
  <c r="BM442" i="11"/>
  <c r="BM443" i="11"/>
  <c r="BM444" i="11"/>
  <c r="BM445" i="11"/>
  <c r="BM446" i="11"/>
  <c r="BM447" i="11"/>
  <c r="BM448" i="11"/>
  <c r="BM449" i="11"/>
  <c r="BM450" i="11"/>
  <c r="BM451" i="11"/>
  <c r="BM452" i="11"/>
  <c r="BM453" i="11"/>
  <c r="BM454" i="11"/>
  <c r="BM455" i="11"/>
  <c r="BM456" i="11"/>
  <c r="BM457" i="11"/>
  <c r="BM458" i="11"/>
  <c r="BM459" i="11"/>
  <c r="BM460" i="11"/>
  <c r="BM461" i="11"/>
  <c r="BM462" i="11"/>
  <c r="BN426" i="11"/>
  <c r="BO426" i="11" s="1"/>
  <c r="BN427" i="11"/>
  <c r="BO427" i="11" s="1"/>
  <c r="BN428" i="11"/>
  <c r="BO428" i="11" s="1"/>
  <c r="BN429" i="11"/>
  <c r="BO429" i="11" s="1"/>
  <c r="BN430" i="11"/>
  <c r="BO430" i="11" s="1"/>
  <c r="BN431" i="11"/>
  <c r="BO431" i="11" s="1"/>
  <c r="BN432" i="11"/>
  <c r="BO432" i="11" s="1"/>
  <c r="BN433" i="11"/>
  <c r="BO433" i="11" s="1"/>
  <c r="BN434" i="11"/>
  <c r="BO434" i="11" s="1"/>
  <c r="BN435" i="11"/>
  <c r="BO435" i="11" s="1"/>
  <c r="BN436" i="11"/>
  <c r="BO436" i="11" s="1"/>
  <c r="BN437" i="11"/>
  <c r="BO437" i="11" s="1"/>
  <c r="BN438" i="11"/>
  <c r="BO438" i="11" s="1"/>
  <c r="BN439" i="11"/>
  <c r="BO439" i="11" s="1"/>
  <c r="BN440" i="11"/>
  <c r="BO440" i="11" s="1"/>
  <c r="BN441" i="11"/>
  <c r="BO441" i="11" s="1"/>
  <c r="BN442" i="11"/>
  <c r="BO442" i="11" s="1"/>
  <c r="BN443" i="11"/>
  <c r="BO443" i="11" s="1"/>
  <c r="BN444" i="11"/>
  <c r="BO444" i="11" s="1"/>
  <c r="BN445" i="11"/>
  <c r="BO445" i="11" s="1"/>
  <c r="BN446" i="11"/>
  <c r="BO446" i="11" s="1"/>
  <c r="BN447" i="11"/>
  <c r="BO447" i="11" s="1"/>
  <c r="BN448" i="11"/>
  <c r="BO448" i="11" s="1"/>
  <c r="BN449" i="11"/>
  <c r="BO449" i="11" s="1"/>
  <c r="BN450" i="11"/>
  <c r="BO450" i="11" s="1"/>
  <c r="BN451" i="11"/>
  <c r="BO451" i="11" s="1"/>
  <c r="BN452" i="11"/>
  <c r="BO452" i="11" s="1"/>
  <c r="BN453" i="11"/>
  <c r="BO453" i="11" s="1"/>
  <c r="BN454" i="11"/>
  <c r="BO454" i="11" s="1"/>
  <c r="BN455" i="11"/>
  <c r="BO455" i="11" s="1"/>
  <c r="BN456" i="11"/>
  <c r="BO456" i="11" s="1"/>
  <c r="BN457" i="11"/>
  <c r="BO457" i="11" s="1"/>
  <c r="BN458" i="11"/>
  <c r="BO458" i="11" s="1"/>
  <c r="BN459" i="11"/>
  <c r="BO459" i="11" s="1"/>
  <c r="BN460" i="11"/>
  <c r="BO460" i="11" s="1"/>
  <c r="BN461" i="11"/>
  <c r="BO461" i="11" s="1"/>
  <c r="BN462" i="11"/>
  <c r="BO462" i="11" s="1"/>
  <c r="BP426" i="11"/>
  <c r="BQ426" i="11" s="1"/>
  <c r="BR426" i="11" s="1"/>
  <c r="BP427" i="11"/>
  <c r="BQ427" i="11" s="1"/>
  <c r="BR427" i="11" s="1"/>
  <c r="BP428" i="11"/>
  <c r="BQ428" i="11" s="1"/>
  <c r="BR428" i="11" s="1"/>
  <c r="BP429" i="11"/>
  <c r="BQ429" i="11" s="1"/>
  <c r="BR429" i="11" s="1"/>
  <c r="BP430" i="11"/>
  <c r="BQ430" i="11" s="1"/>
  <c r="BR430" i="11" s="1"/>
  <c r="BP431" i="11"/>
  <c r="BQ431" i="11" s="1"/>
  <c r="BR431" i="11" s="1"/>
  <c r="BP432" i="11"/>
  <c r="BQ432" i="11" s="1"/>
  <c r="BR432" i="11" s="1"/>
  <c r="BP433" i="11"/>
  <c r="BQ433" i="11" s="1"/>
  <c r="BR433" i="11" s="1"/>
  <c r="BP434" i="11"/>
  <c r="BQ434" i="11" s="1"/>
  <c r="BR434" i="11" s="1"/>
  <c r="BP435" i="11"/>
  <c r="BQ435" i="11" s="1"/>
  <c r="BR435" i="11" s="1"/>
  <c r="BP436" i="11"/>
  <c r="BQ436" i="11" s="1"/>
  <c r="BR436" i="11" s="1"/>
  <c r="BP437" i="11"/>
  <c r="BQ437" i="11" s="1"/>
  <c r="BR437" i="11" s="1"/>
  <c r="BP438" i="11"/>
  <c r="BQ438" i="11" s="1"/>
  <c r="BR438" i="11" s="1"/>
  <c r="BP439" i="11"/>
  <c r="BQ439" i="11" s="1"/>
  <c r="BR439" i="11" s="1"/>
  <c r="BP440" i="11"/>
  <c r="BQ440" i="11" s="1"/>
  <c r="BR440" i="11" s="1"/>
  <c r="BP441" i="11"/>
  <c r="BQ441" i="11" s="1"/>
  <c r="BR441" i="11" s="1"/>
  <c r="BP442" i="11"/>
  <c r="BQ442" i="11" s="1"/>
  <c r="BR442" i="11" s="1"/>
  <c r="BP443" i="11"/>
  <c r="BQ443" i="11" s="1"/>
  <c r="BR443" i="11" s="1"/>
  <c r="BP444" i="11"/>
  <c r="BQ444" i="11" s="1"/>
  <c r="BR444" i="11" s="1"/>
  <c r="BP445" i="11"/>
  <c r="BQ445" i="11" s="1"/>
  <c r="BR445" i="11" s="1"/>
  <c r="BP446" i="11"/>
  <c r="BQ446" i="11" s="1"/>
  <c r="BR446" i="11" s="1"/>
  <c r="BP447" i="11"/>
  <c r="BQ447" i="11" s="1"/>
  <c r="BR447" i="11" s="1"/>
  <c r="BP448" i="11"/>
  <c r="BQ448" i="11" s="1"/>
  <c r="BR448" i="11" s="1"/>
  <c r="BP449" i="11"/>
  <c r="BQ449" i="11" s="1"/>
  <c r="BR449" i="11" s="1"/>
  <c r="BP450" i="11"/>
  <c r="BQ450" i="11" s="1"/>
  <c r="BR450" i="11" s="1"/>
  <c r="BP451" i="11"/>
  <c r="BQ451" i="11" s="1"/>
  <c r="BR451" i="11" s="1"/>
  <c r="BP452" i="11"/>
  <c r="BQ452" i="11" s="1"/>
  <c r="BR452" i="11" s="1"/>
  <c r="BP453" i="11"/>
  <c r="BQ453" i="11" s="1"/>
  <c r="BR453" i="11" s="1"/>
  <c r="BP454" i="11"/>
  <c r="BQ454" i="11" s="1"/>
  <c r="BR454" i="11" s="1"/>
  <c r="BP455" i="11"/>
  <c r="BQ455" i="11" s="1"/>
  <c r="BR455" i="11" s="1"/>
  <c r="BP456" i="11"/>
  <c r="BQ456" i="11" s="1"/>
  <c r="BR456" i="11" s="1"/>
  <c r="BP457" i="11"/>
  <c r="BQ457" i="11" s="1"/>
  <c r="BR457" i="11" s="1"/>
  <c r="BP458" i="11"/>
  <c r="BQ458" i="11" s="1"/>
  <c r="BR458" i="11" s="1"/>
  <c r="BP459" i="11"/>
  <c r="BQ459" i="11" s="1"/>
  <c r="BR459" i="11" s="1"/>
  <c r="BP460" i="11"/>
  <c r="BQ460" i="11" s="1"/>
  <c r="BR460" i="11" s="1"/>
  <c r="BP461" i="11"/>
  <c r="BQ461" i="11" s="1"/>
  <c r="BR461" i="11" s="1"/>
  <c r="BP462" i="11"/>
  <c r="BQ462" i="11" s="1"/>
  <c r="BR462" i="11" s="1"/>
  <c r="BS426" i="11"/>
  <c r="BS427" i="11"/>
  <c r="BS428" i="11"/>
  <c r="BS429" i="11"/>
  <c r="BS430" i="11"/>
  <c r="BS431" i="11"/>
  <c r="BS432" i="11"/>
  <c r="BS433" i="11"/>
  <c r="BS434" i="11"/>
  <c r="BS435" i="11"/>
  <c r="BS436" i="11"/>
  <c r="BS437" i="11"/>
  <c r="BS438" i="11"/>
  <c r="BS439" i="11"/>
  <c r="BS440" i="11"/>
  <c r="BS441" i="11"/>
  <c r="BS442" i="11"/>
  <c r="BS443" i="11"/>
  <c r="BS444" i="11"/>
  <c r="BS445" i="11"/>
  <c r="BS446" i="11"/>
  <c r="BS447" i="11"/>
  <c r="BS448" i="11"/>
  <c r="BS449" i="11"/>
  <c r="BS450" i="11"/>
  <c r="BS451" i="11"/>
  <c r="BS452" i="11"/>
  <c r="BS453" i="11"/>
  <c r="BS454" i="11"/>
  <c r="BS455" i="11"/>
  <c r="BS456" i="11"/>
  <c r="BS457" i="11"/>
  <c r="BS458" i="11"/>
  <c r="BS459" i="11"/>
  <c r="BS460" i="11"/>
  <c r="BS461" i="11"/>
  <c r="BS462" i="11"/>
  <c r="BU426" i="11"/>
  <c r="BU427" i="11"/>
  <c r="BU428" i="11"/>
  <c r="BU429" i="11"/>
  <c r="BU430" i="11"/>
  <c r="BU431" i="11"/>
  <c r="BU432" i="11"/>
  <c r="BU433" i="11"/>
  <c r="BU434" i="11"/>
  <c r="BU435" i="11"/>
  <c r="BU436" i="11"/>
  <c r="BU437" i="11"/>
  <c r="BU438" i="11"/>
  <c r="BU439" i="11"/>
  <c r="BU440" i="11"/>
  <c r="BU441" i="11"/>
  <c r="BU442" i="11"/>
  <c r="BU443" i="11"/>
  <c r="BU444" i="11"/>
  <c r="BU445" i="11"/>
  <c r="BU446" i="11"/>
  <c r="BU447" i="11"/>
  <c r="BU448" i="11"/>
  <c r="BU449" i="11"/>
  <c r="BU450" i="11"/>
  <c r="BU451" i="11"/>
  <c r="BU452" i="11"/>
  <c r="BU453" i="11"/>
  <c r="BU454" i="11"/>
  <c r="BU455" i="11"/>
  <c r="BU456" i="11"/>
  <c r="BU457" i="11"/>
  <c r="BU458" i="11"/>
  <c r="BU459" i="11"/>
  <c r="BU460" i="11"/>
  <c r="BU461" i="11"/>
  <c r="BU462" i="11"/>
  <c r="AH336" i="11"/>
  <c r="AH330" i="11"/>
  <c r="AH328" i="11"/>
  <c r="AH327" i="11"/>
  <c r="AH335" i="11"/>
  <c r="AH334" i="11"/>
  <c r="AH329" i="11"/>
  <c r="AH333" i="11"/>
  <c r="AH332" i="11"/>
  <c r="AH331" i="11"/>
  <c r="AH355" i="11"/>
  <c r="AH353" i="11"/>
  <c r="AH360" i="11"/>
  <c r="AH359" i="11"/>
  <c r="AH348" i="11"/>
  <c r="AH356" i="11"/>
  <c r="AH354" i="11"/>
  <c r="AH347" i="11"/>
  <c r="AH346" i="11"/>
  <c r="AH352" i="11"/>
  <c r="AH350" i="11"/>
  <c r="AH345" i="11"/>
  <c r="AH343" i="11"/>
  <c r="AH344" i="11"/>
  <c r="AH342" i="11"/>
  <c r="AH341" i="11"/>
  <c r="AH340" i="11"/>
  <c r="AH339" i="11"/>
  <c r="AH338" i="11"/>
  <c r="AH337" i="11"/>
  <c r="AH303" i="11"/>
  <c r="AH291" i="11"/>
  <c r="AH302" i="11"/>
  <c r="AH307" i="11"/>
  <c r="AH306" i="11"/>
  <c r="AH296" i="11"/>
  <c r="AH295" i="11"/>
  <c r="AH305" i="11"/>
  <c r="AH304" i="11"/>
  <c r="AH294" i="11"/>
  <c r="AH301" i="11"/>
  <c r="AH300" i="11"/>
  <c r="AH299" i="11"/>
  <c r="AH298" i="11"/>
  <c r="AH293" i="11"/>
  <c r="AH292" i="11"/>
  <c r="AH297" i="11"/>
  <c r="AH326" i="11"/>
  <c r="AH325" i="11"/>
  <c r="AH324" i="11"/>
  <c r="AH323" i="11"/>
  <c r="AH322" i="11"/>
  <c r="AH321" i="11"/>
  <c r="AH320" i="11"/>
  <c r="AH319" i="11"/>
  <c r="AH318" i="11"/>
  <c r="AH317" i="11"/>
  <c r="AH316" i="11"/>
  <c r="AH315" i="11"/>
  <c r="AH312" i="11"/>
  <c r="AH311" i="11"/>
  <c r="AH314" i="11"/>
  <c r="AH313" i="11"/>
  <c r="AH310" i="11"/>
  <c r="AH309" i="11"/>
  <c r="AH308" i="11"/>
  <c r="AH247" i="11"/>
  <c r="AH260" i="11"/>
  <c r="AH259" i="11"/>
  <c r="AH257" i="11"/>
  <c r="AH256" i="11"/>
  <c r="AH254" i="11"/>
  <c r="AH253" i="11"/>
  <c r="AH252" i="11"/>
  <c r="AH226" i="11"/>
  <c r="AH225" i="11"/>
  <c r="AH251" i="11"/>
  <c r="AH250" i="11"/>
  <c r="AH249" i="11"/>
  <c r="AH248" i="11"/>
  <c r="AH245" i="11"/>
  <c r="AH242" i="11"/>
  <c r="AH241" i="11"/>
  <c r="AH240" i="11"/>
  <c r="AH239" i="11"/>
  <c r="AH238" i="11"/>
  <c r="AH237" i="11"/>
  <c r="AH236" i="11"/>
  <c r="AH234" i="11"/>
  <c r="AH233" i="11"/>
  <c r="AH232" i="11"/>
  <c r="AH231" i="11"/>
  <c r="AH223" i="11"/>
  <c r="AH230" i="11"/>
  <c r="AH229" i="11"/>
  <c r="AH246" i="11"/>
  <c r="AH224" i="11"/>
  <c r="AH258" i="11"/>
  <c r="AH255" i="11"/>
  <c r="AH227" i="11"/>
  <c r="AH244" i="11"/>
  <c r="AH243" i="11"/>
  <c r="AH228" i="11"/>
  <c r="AH235" i="11"/>
  <c r="AH222" i="11"/>
  <c r="AH284" i="11"/>
  <c r="AH290" i="11"/>
  <c r="AH289" i="11"/>
  <c r="AH288" i="11"/>
  <c r="AH287" i="11"/>
  <c r="AH286" i="11"/>
  <c r="AH285" i="11"/>
  <c r="AH278" i="11"/>
  <c r="AH273" i="11"/>
  <c r="AH272" i="11"/>
  <c r="AH283" i="11"/>
  <c r="AH282" i="11"/>
  <c r="AH275" i="11"/>
  <c r="AH281" i="11"/>
  <c r="AH280" i="11"/>
  <c r="AH276" i="11"/>
  <c r="AH279" i="11"/>
  <c r="AH271" i="11"/>
  <c r="AH274" i="11"/>
  <c r="AH277" i="11"/>
  <c r="AH270" i="11"/>
  <c r="AH269" i="11"/>
  <c r="AH268" i="11"/>
  <c r="AH267" i="11"/>
  <c r="AH266" i="11"/>
  <c r="AH265" i="11"/>
  <c r="AH263" i="11"/>
  <c r="AH261" i="11"/>
  <c r="AH262" i="11"/>
  <c r="AH264" i="11"/>
  <c r="AH121" i="11"/>
  <c r="AH120" i="11"/>
  <c r="AH152" i="11"/>
  <c r="AH151" i="11"/>
  <c r="AH150" i="11"/>
  <c r="AH149" i="11"/>
  <c r="AH148" i="11"/>
  <c r="AH147" i="11"/>
  <c r="AH146" i="11"/>
  <c r="AH144" i="11"/>
  <c r="AH143" i="11"/>
  <c r="AH142" i="11"/>
  <c r="AH141" i="11"/>
  <c r="AH140" i="11"/>
  <c r="AH138" i="11"/>
  <c r="AH137" i="11"/>
  <c r="AH136" i="11"/>
  <c r="AH135" i="11"/>
  <c r="AH134" i="11"/>
  <c r="AH132" i="11"/>
  <c r="AH131" i="11"/>
  <c r="AH119" i="11"/>
  <c r="AH118" i="11"/>
  <c r="AH130" i="11"/>
  <c r="AH128" i="11"/>
  <c r="AH127" i="11"/>
  <c r="AH126" i="11"/>
  <c r="AH117" i="11"/>
  <c r="AH125" i="11"/>
  <c r="AH124" i="11"/>
  <c r="AH122" i="11"/>
  <c r="AH153" i="11"/>
  <c r="AH145" i="11"/>
  <c r="AH139" i="11"/>
  <c r="AH133" i="11"/>
  <c r="AH129" i="11"/>
  <c r="AH123" i="11"/>
  <c r="AH214" i="11"/>
  <c r="AH221" i="11"/>
  <c r="AH218" i="11"/>
  <c r="AH216" i="11"/>
  <c r="AH215" i="11"/>
  <c r="AH213" i="11"/>
  <c r="AH212" i="11"/>
  <c r="AH211" i="11"/>
  <c r="AH210" i="11"/>
  <c r="AH209" i="11"/>
  <c r="AH208" i="11"/>
  <c r="AH207" i="11"/>
  <c r="AH217" i="11"/>
  <c r="AH206" i="11"/>
  <c r="AH220" i="11"/>
  <c r="AH219" i="11"/>
  <c r="AH201" i="11"/>
  <c r="AH196" i="11"/>
  <c r="AH192" i="11"/>
  <c r="AH205" i="11"/>
  <c r="AH204" i="11"/>
  <c r="AH203" i="11"/>
  <c r="AH202" i="11"/>
  <c r="AH200" i="11"/>
  <c r="AH189" i="11"/>
  <c r="AH199" i="11"/>
  <c r="AH198" i="11"/>
  <c r="AH197" i="11"/>
  <c r="AH195" i="11"/>
  <c r="AH194" i="11"/>
  <c r="AH193" i="11"/>
  <c r="AH191" i="11"/>
  <c r="AH190" i="11"/>
  <c r="AH186" i="11"/>
  <c r="AH183" i="11"/>
  <c r="AH178" i="11"/>
  <c r="AH177" i="11"/>
  <c r="AH176" i="11"/>
  <c r="AH175" i="11"/>
  <c r="AH174" i="11"/>
  <c r="AH170" i="11"/>
  <c r="AH168" i="11"/>
  <c r="AH165" i="11"/>
  <c r="AH163" i="11"/>
  <c r="AH161" i="11"/>
  <c r="AH159" i="11"/>
  <c r="AH158" i="11"/>
  <c r="AH156" i="11"/>
  <c r="AH188" i="11"/>
  <c r="AH187" i="11"/>
  <c r="AH185" i="11"/>
  <c r="AH184" i="11"/>
  <c r="AH182" i="11"/>
  <c r="AH181" i="11"/>
  <c r="AH154" i="11"/>
  <c r="AH180" i="11"/>
  <c r="AH179" i="11"/>
  <c r="AH173" i="11"/>
  <c r="AH172" i="11"/>
  <c r="AH171" i="11"/>
  <c r="AH169" i="11"/>
  <c r="AH167" i="11"/>
  <c r="AH166" i="11"/>
  <c r="AH164" i="11"/>
  <c r="AH162" i="11"/>
  <c r="AH160" i="11"/>
  <c r="AH157" i="11"/>
  <c r="AH155" i="11"/>
  <c r="AH91" i="11"/>
  <c r="AH90" i="11"/>
  <c r="AH88" i="11"/>
  <c r="AH86" i="11"/>
  <c r="AH84" i="11"/>
  <c r="AH77" i="11"/>
  <c r="AH74" i="11"/>
  <c r="AH89" i="11"/>
  <c r="AH87" i="11"/>
  <c r="AH85" i="11"/>
  <c r="AH83" i="11"/>
  <c r="AH73" i="11"/>
  <c r="AH82" i="11"/>
  <c r="AH81" i="11"/>
  <c r="AH80" i="11"/>
  <c r="AH79" i="11"/>
  <c r="AH78" i="11"/>
  <c r="AH76" i="11"/>
  <c r="AH75" i="11"/>
  <c r="AH116" i="11"/>
  <c r="AH115" i="11"/>
  <c r="AH112" i="11"/>
  <c r="AH110" i="11"/>
  <c r="AH109" i="11"/>
  <c r="AH104" i="11"/>
  <c r="AH113" i="11"/>
  <c r="AH108" i="11"/>
  <c r="AH114" i="11"/>
  <c r="AH111" i="11"/>
  <c r="AH107" i="11"/>
  <c r="AH106" i="11"/>
  <c r="AH105" i="11"/>
  <c r="AH101" i="11"/>
  <c r="AH103" i="11"/>
  <c r="AH102" i="11"/>
  <c r="AH100" i="11"/>
  <c r="AH99" i="11"/>
  <c r="AH98" i="11"/>
  <c r="AH92" i="11"/>
  <c r="AH97" i="11"/>
  <c r="AH93" i="11"/>
  <c r="AH96" i="11"/>
  <c r="AH95" i="11"/>
  <c r="AH94" i="11"/>
  <c r="AH55" i="11"/>
  <c r="AH50" i="11"/>
  <c r="AH57" i="11"/>
  <c r="AH54" i="11"/>
  <c r="AH51" i="11"/>
  <c r="AH60" i="11"/>
  <c r="AH59" i="11"/>
  <c r="AH58" i="11"/>
  <c r="AH56" i="11"/>
  <c r="AH53" i="11"/>
  <c r="AH49" i="11"/>
  <c r="AH52" i="11"/>
  <c r="AH72" i="11"/>
  <c r="AH61" i="11"/>
  <c r="AH71" i="11"/>
  <c r="AH70" i="11"/>
  <c r="AH63" i="11"/>
  <c r="AH66" i="11"/>
  <c r="AH62" i="11"/>
  <c r="AH65" i="11"/>
  <c r="AH64" i="11"/>
  <c r="AH69" i="11"/>
  <c r="AH68" i="11"/>
  <c r="AH67" i="11"/>
  <c r="AH33" i="11"/>
  <c r="AH32" i="11"/>
  <c r="AH30" i="11"/>
  <c r="AH29" i="11"/>
  <c r="AH28" i="11"/>
  <c r="AH31" i="11"/>
  <c r="AH47" i="11"/>
  <c r="AH46" i="11"/>
  <c r="AH45" i="11"/>
  <c r="AH44" i="11"/>
  <c r="AH43" i="11"/>
  <c r="AH42" i="11"/>
  <c r="AH41" i="11"/>
  <c r="AH34" i="11"/>
  <c r="AH48" i="11"/>
  <c r="AH39" i="11"/>
  <c r="AH38" i="11"/>
  <c r="AH37" i="11"/>
  <c r="AH36" i="11"/>
  <c r="AH35" i="11"/>
  <c r="AH4" i="11"/>
  <c r="AH14" i="11"/>
  <c r="AH13" i="11"/>
  <c r="AH11" i="11"/>
  <c r="AH10" i="11"/>
  <c r="AH8" i="11"/>
  <c r="AH6" i="11"/>
  <c r="AH5" i="11"/>
  <c r="AH15" i="11"/>
  <c r="AH12" i="11"/>
  <c r="AH9" i="11"/>
  <c r="AH7" i="11"/>
  <c r="AH40" i="11"/>
  <c r="AH3" i="11"/>
  <c r="U425" i="11"/>
  <c r="T425" i="11"/>
  <c r="AM412" i="11"/>
  <c r="AM397" i="11"/>
  <c r="AL397" i="11"/>
  <c r="AI413" i="11"/>
  <c r="P12" i="17" l="1"/>
  <c r="Q12" i="17" s="1"/>
  <c r="R12" i="17" s="1"/>
  <c r="N12" i="17"/>
  <c r="AQ455" i="11"/>
  <c r="AQ447" i="11"/>
  <c r="AQ439" i="11"/>
  <c r="AQ451" i="11"/>
  <c r="AQ435" i="11"/>
  <c r="AQ431" i="11"/>
  <c r="AQ443" i="11"/>
  <c r="AQ460" i="11"/>
  <c r="AQ452" i="11"/>
  <c r="AQ444" i="11"/>
  <c r="AQ436" i="11"/>
  <c r="AQ428" i="11"/>
  <c r="BT460" i="11"/>
  <c r="BT452" i="11"/>
  <c r="BT444" i="11"/>
  <c r="BT436" i="11"/>
  <c r="BT428" i="11"/>
  <c r="BT441" i="11"/>
  <c r="AQ459" i="11"/>
  <c r="AQ427" i="11"/>
  <c r="AQ462" i="11"/>
  <c r="AQ454" i="11"/>
  <c r="AQ446" i="11"/>
  <c r="AQ438" i="11"/>
  <c r="AQ430" i="11"/>
  <c r="BT455" i="11"/>
  <c r="BT447" i="11"/>
  <c r="BT458" i="11"/>
  <c r="BT450" i="11"/>
  <c r="BT442" i="11"/>
  <c r="BT434" i="11"/>
  <c r="BT426" i="11"/>
  <c r="BT431" i="11"/>
  <c r="BT429" i="11"/>
  <c r="BT457" i="11"/>
  <c r="BT433" i="11"/>
  <c r="BT439" i="11"/>
  <c r="AQ458" i="11"/>
  <c r="AQ450" i="11"/>
  <c r="AQ442" i="11"/>
  <c r="AQ434" i="11"/>
  <c r="AQ426" i="11"/>
  <c r="BT449" i="11"/>
  <c r="AQ456" i="11"/>
  <c r="AQ448" i="11"/>
  <c r="AQ440" i="11"/>
  <c r="BT459" i="11"/>
  <c r="BT451" i="11"/>
  <c r="BT443" i="11"/>
  <c r="BT435" i="11"/>
  <c r="BT427" i="11"/>
  <c r="AQ432" i="11"/>
  <c r="AQ461" i="11"/>
  <c r="AQ453" i="11"/>
  <c r="AQ445" i="11"/>
  <c r="AQ437" i="11"/>
  <c r="AQ429" i="11"/>
  <c r="BT456" i="11"/>
  <c r="BT448" i="11"/>
  <c r="BT440" i="11"/>
  <c r="BT432" i="11"/>
  <c r="BT462" i="11"/>
  <c r="BT454" i="11"/>
  <c r="BT446" i="11"/>
  <c r="BT438" i="11"/>
  <c r="BT430" i="11"/>
  <c r="BT461" i="11"/>
  <c r="BT453" i="11"/>
  <c r="BT445" i="11"/>
  <c r="BT437" i="11"/>
  <c r="AQ457" i="11"/>
  <c r="AQ449" i="11"/>
  <c r="AQ441" i="11"/>
  <c r="AQ433" i="11"/>
  <c r="E92" i="31" l="1"/>
  <c r="E83" i="31"/>
  <c r="E65" i="31"/>
  <c r="E74" i="31"/>
  <c r="E56" i="31"/>
  <c r="E47" i="31"/>
  <c r="AU408" i="11"/>
  <c r="AT408" i="11" s="1"/>
  <c r="AU378" i="11"/>
  <c r="AT378" i="11" s="1"/>
  <c r="AU407" i="11"/>
  <c r="AT407" i="11" s="1"/>
  <c r="AU403" i="11"/>
  <c r="AT403" i="11" s="1"/>
  <c r="AU405" i="11"/>
  <c r="AT405" i="11" s="1"/>
  <c r="AU423" i="11"/>
  <c r="AT423" i="11" s="1"/>
  <c r="AU424" i="11"/>
  <c r="AT424" i="11" s="1"/>
  <c r="AU414" i="11"/>
  <c r="AT414" i="11" s="1"/>
  <c r="AU416" i="11"/>
  <c r="AT416" i="11" s="1"/>
  <c r="AU422" i="11"/>
  <c r="AT422" i="11" s="1"/>
  <c r="AU404" i="11"/>
  <c r="AT404" i="11" s="1"/>
  <c r="AU421" i="11"/>
  <c r="AT421" i="11" s="1"/>
  <c r="AU410" i="11"/>
  <c r="AT410" i="11" s="1"/>
  <c r="AU406" i="11"/>
  <c r="AT406" i="11" s="1"/>
  <c r="AU409" i="11"/>
  <c r="AT409" i="11" s="1"/>
  <c r="AU411" i="11"/>
  <c r="AT411" i="11" s="1"/>
  <c r="AU415" i="11"/>
  <c r="AT415" i="11" s="1"/>
  <c r="AU417" i="11"/>
  <c r="AT417" i="11" s="1"/>
  <c r="AU418" i="11"/>
  <c r="AT418" i="11" s="1"/>
  <c r="AU419" i="11"/>
  <c r="AT419" i="11" s="1"/>
  <c r="AU420" i="11"/>
  <c r="AT420" i="11" s="1"/>
  <c r="AU412" i="11"/>
  <c r="AT412" i="11" s="1"/>
  <c r="AU413" i="11"/>
  <c r="AT413" i="11" s="1"/>
  <c r="AU355" i="11"/>
  <c r="AU353" i="11"/>
  <c r="AU402" i="11"/>
  <c r="AT402" i="11" s="1"/>
  <c r="AU401" i="11"/>
  <c r="AT401" i="11" s="1"/>
  <c r="AU400" i="11"/>
  <c r="AT400" i="11" s="1"/>
  <c r="AU399" i="11"/>
  <c r="AT399" i="11" s="1"/>
  <c r="AU398" i="11"/>
  <c r="AT398" i="11" s="1"/>
  <c r="AU397" i="11"/>
  <c r="AT397" i="11" s="1"/>
  <c r="AU396" i="11"/>
  <c r="AT396" i="11" s="1"/>
  <c r="AU395" i="11"/>
  <c r="AT395" i="11" s="1"/>
  <c r="AU394" i="11"/>
  <c r="AT394" i="11" s="1"/>
  <c r="AU393" i="11"/>
  <c r="AT393" i="11" s="1"/>
  <c r="AU392" i="11"/>
  <c r="AT392" i="11" s="1"/>
  <c r="AU391" i="11"/>
  <c r="AT391" i="11" s="1"/>
  <c r="AU390" i="11"/>
  <c r="AT390" i="11" s="1"/>
  <c r="AU389" i="11"/>
  <c r="AT389" i="11" s="1"/>
  <c r="AU388" i="11"/>
  <c r="AT388" i="11" s="1"/>
  <c r="AU387" i="11"/>
  <c r="AT387" i="11" s="1"/>
  <c r="AU386" i="11"/>
  <c r="AT386" i="11" s="1"/>
  <c r="AU385" i="11"/>
  <c r="AT385" i="11" s="1"/>
  <c r="AU384" i="11"/>
  <c r="AT384" i="11" s="1"/>
  <c r="AU383" i="11"/>
  <c r="AT383" i="11" s="1"/>
  <c r="AU382" i="11"/>
  <c r="AT382" i="11" s="1"/>
  <c r="AU381" i="11"/>
  <c r="AT381" i="11" s="1"/>
  <c r="AU380" i="11"/>
  <c r="AT380" i="11" s="1"/>
  <c r="AU379" i="11"/>
  <c r="AT379" i="11" s="1"/>
  <c r="S57" i="31"/>
  <c r="X57" i="31"/>
  <c r="W57" i="31"/>
  <c r="V57" i="31"/>
  <c r="U57" i="31"/>
  <c r="Y50" i="31"/>
  <c r="X50" i="31"/>
  <c r="W50" i="31"/>
  <c r="V50" i="31"/>
  <c r="U50" i="31"/>
  <c r="S50" i="31"/>
  <c r="AM421" i="11"/>
  <c r="Z412" i="11"/>
  <c r="V355" i="11"/>
  <c r="V353" i="11"/>
  <c r="D378" i="11" l="1"/>
  <c r="BP378" i="11" s="1"/>
  <c r="BQ378" i="11" s="1"/>
  <c r="AM378" i="11"/>
  <c r="AO378" i="11" s="1"/>
  <c r="Y378" i="11"/>
  <c r="BN378" i="11"/>
  <c r="BM378" i="11"/>
  <c r="BK378" i="11"/>
  <c r="AE378" i="11"/>
  <c r="Z378" i="11"/>
  <c r="D404" i="11"/>
  <c r="V404" i="11"/>
  <c r="Y404" i="11"/>
  <c r="Z404" i="11"/>
  <c r="AM404" i="11"/>
  <c r="AN404" i="11" s="1"/>
  <c r="AM361" i="11"/>
  <c r="D408" i="11"/>
  <c r="BP408" i="11" s="1"/>
  <c r="BQ408" i="11" s="1"/>
  <c r="AM406" i="11"/>
  <c r="AN406" i="11" s="1"/>
  <c r="AM408" i="11"/>
  <c r="AN408" i="11" s="1"/>
  <c r="Y408" i="11"/>
  <c r="Z408" i="11"/>
  <c r="AE408" i="11"/>
  <c r="BK408" i="11"/>
  <c r="BM408" i="11"/>
  <c r="BN408" i="11"/>
  <c r="W51" i="31"/>
  <c r="AB101" i="11"/>
  <c r="AB112" i="11"/>
  <c r="AB110" i="11"/>
  <c r="AB109" i="11"/>
  <c r="AB104" i="11"/>
  <c r="AB217" i="11"/>
  <c r="AB206" i="11"/>
  <c r="AB220" i="11"/>
  <c r="AB219" i="11"/>
  <c r="AB108" i="11"/>
  <c r="AB90" i="11"/>
  <c r="AB88" i="11"/>
  <c r="AB86" i="11"/>
  <c r="AB84" i="11"/>
  <c r="AB77" i="11"/>
  <c r="AB74" i="11"/>
  <c r="AB116" i="11"/>
  <c r="AB115" i="11"/>
  <c r="AB114" i="11"/>
  <c r="AB111" i="11"/>
  <c r="AB107" i="11"/>
  <c r="AB106" i="11"/>
  <c r="AB105" i="11"/>
  <c r="AB103" i="11"/>
  <c r="AB102" i="11"/>
  <c r="AB100" i="11"/>
  <c r="AB99" i="11"/>
  <c r="AB98" i="11"/>
  <c r="AB92" i="11"/>
  <c r="AB97" i="11"/>
  <c r="AB93" i="11"/>
  <c r="AB96" i="11"/>
  <c r="AB95" i="11"/>
  <c r="AB94" i="11"/>
  <c r="AB55" i="11"/>
  <c r="AB22" i="31"/>
  <c r="U26" i="31"/>
  <c r="U25" i="31"/>
  <c r="U24" i="31"/>
  <c r="U23" i="31"/>
  <c r="S26" i="31"/>
  <c r="S23" i="31"/>
  <c r="R26" i="31"/>
  <c r="R23" i="31"/>
  <c r="U22" i="31"/>
  <c r="S22" i="31"/>
  <c r="R22" i="31"/>
  <c r="AN355" i="11"/>
  <c r="AN353" i="11"/>
  <c r="AB50" i="31"/>
  <c r="AB54" i="31"/>
  <c r="Y54" i="31"/>
  <c r="X53" i="31"/>
  <c r="W53" i="31"/>
  <c r="V53" i="31"/>
  <c r="U53" i="31"/>
  <c r="X52" i="31"/>
  <c r="W52" i="31"/>
  <c r="V52" i="31"/>
  <c r="U52" i="31"/>
  <c r="V54" i="31"/>
  <c r="W54" i="31"/>
  <c r="X54" i="31"/>
  <c r="X51" i="31"/>
  <c r="U54" i="31"/>
  <c r="S54" i="31"/>
  <c r="Y51" i="31"/>
  <c r="V51" i="31"/>
  <c r="U51" i="31"/>
  <c r="S51" i="31"/>
  <c r="Z50" i="31"/>
  <c r="AM407" i="11"/>
  <c r="AN407" i="11" s="1"/>
  <c r="AM403" i="11"/>
  <c r="AN403" i="11" s="1"/>
  <c r="AM405" i="11"/>
  <c r="AN405" i="11" s="1"/>
  <c r="AM391" i="11"/>
  <c r="AN391" i="11" s="1"/>
  <c r="AM392" i="11"/>
  <c r="AN392" i="11" s="1"/>
  <c r="AM401" i="11"/>
  <c r="AN401" i="11" s="1"/>
  <c r="AM388" i="11"/>
  <c r="AN388" i="11" s="1"/>
  <c r="AM423" i="11"/>
  <c r="AN423" i="11" s="1"/>
  <c r="AM424" i="11"/>
  <c r="AN424" i="11" s="1"/>
  <c r="AM384" i="11"/>
  <c r="AN384" i="11" s="1"/>
  <c r="AN397" i="11"/>
  <c r="AM414" i="11"/>
  <c r="AN414" i="11" s="1"/>
  <c r="AM416" i="11"/>
  <c r="AN416" i="11" s="1"/>
  <c r="AM422" i="11"/>
  <c r="AN422" i="11" s="1"/>
  <c r="AM381" i="11"/>
  <c r="AN381" i="11" s="1"/>
  <c r="AM395" i="11"/>
  <c r="AN395" i="11" s="1"/>
  <c r="AM386" i="11"/>
  <c r="AN386" i="11" s="1"/>
  <c r="AM387" i="11"/>
  <c r="AN387" i="11" s="1"/>
  <c r="AM380" i="11"/>
  <c r="AN380" i="11" s="1"/>
  <c r="AM400" i="11"/>
  <c r="AN400" i="11" s="1"/>
  <c r="AM393" i="11"/>
  <c r="AN393" i="11" s="1"/>
  <c r="AM396" i="11"/>
  <c r="AN396" i="11" s="1"/>
  <c r="AM385" i="11"/>
  <c r="AN385" i="11" s="1"/>
  <c r="AM398" i="11"/>
  <c r="AN398" i="11" s="1"/>
  <c r="AM399" i="11"/>
  <c r="AN399" i="11" s="1"/>
  <c r="AN421" i="11"/>
  <c r="AM410" i="11"/>
  <c r="AN410" i="11" s="1"/>
  <c r="AM379" i="11"/>
  <c r="AM402" i="11"/>
  <c r="AN402" i="11" s="1"/>
  <c r="AM394" i="11"/>
  <c r="AN394" i="11" s="1"/>
  <c r="AM383" i="11"/>
  <c r="AN383" i="11" s="1"/>
  <c r="AM382" i="11"/>
  <c r="AN382" i="11" s="1"/>
  <c r="AM389" i="11"/>
  <c r="AN389" i="11" s="1"/>
  <c r="AM409" i="11"/>
  <c r="AN409" i="11" s="1"/>
  <c r="AM411" i="11"/>
  <c r="AN411" i="11" s="1"/>
  <c r="AM415" i="11"/>
  <c r="AN415" i="11" s="1"/>
  <c r="AN417" i="11"/>
  <c r="AN418" i="11"/>
  <c r="AM420" i="11"/>
  <c r="AN420" i="11" s="1"/>
  <c r="AN412" i="11"/>
  <c r="AN413" i="11"/>
  <c r="Z407" i="11"/>
  <c r="Z403" i="11"/>
  <c r="Z405" i="11"/>
  <c r="Z391" i="11"/>
  <c r="Z392" i="11"/>
  <c r="Z401" i="11"/>
  <c r="Z388" i="11"/>
  <c r="Z423" i="11"/>
  <c r="Z424" i="11"/>
  <c r="Z384" i="11"/>
  <c r="Z397" i="11"/>
  <c r="Z414" i="11"/>
  <c r="Z416" i="11"/>
  <c r="Z422" i="11"/>
  <c r="Z390" i="11"/>
  <c r="Z381" i="11"/>
  <c r="Z395" i="11"/>
  <c r="Z386" i="11"/>
  <c r="Z387" i="11"/>
  <c r="Z380" i="11"/>
  <c r="Z400" i="11"/>
  <c r="Z393" i="11"/>
  <c r="Z396" i="11"/>
  <c r="Z385" i="11"/>
  <c r="Z398" i="11"/>
  <c r="Z399" i="11"/>
  <c r="Z421" i="11"/>
  <c r="Z410" i="11"/>
  <c r="Z379" i="11"/>
  <c r="Z402" i="11"/>
  <c r="Z394" i="11"/>
  <c r="Z383" i="11"/>
  <c r="Z382" i="11"/>
  <c r="Z389" i="11"/>
  <c r="Z406" i="11"/>
  <c r="Z409" i="11"/>
  <c r="Z411" i="11"/>
  <c r="Z415" i="11"/>
  <c r="Z417" i="11"/>
  <c r="Z418" i="11"/>
  <c r="Z419" i="11"/>
  <c r="AI419" i="11" s="1"/>
  <c r="Z420" i="11"/>
  <c r="Z413" i="11"/>
  <c r="AM20" i="11"/>
  <c r="AM204" i="11"/>
  <c r="AM205" i="11"/>
  <c r="AM167" i="11"/>
  <c r="AM169" i="11"/>
  <c r="AM171" i="11"/>
  <c r="AM172" i="11"/>
  <c r="AM173" i="11"/>
  <c r="AM180" i="11"/>
  <c r="AM154" i="11"/>
  <c r="AM181" i="11"/>
  <c r="AM182" i="11"/>
  <c r="AM184" i="11"/>
  <c r="AM185" i="11"/>
  <c r="AM187" i="11"/>
  <c r="AM188" i="11"/>
  <c r="AM202" i="11"/>
  <c r="AM166" i="11"/>
  <c r="AM164" i="11"/>
  <c r="AM200" i="11"/>
  <c r="AM189" i="11"/>
  <c r="AM199" i="11"/>
  <c r="AM198" i="11"/>
  <c r="AM197" i="11"/>
  <c r="AM162" i="11"/>
  <c r="AM195" i="11"/>
  <c r="AM194" i="11"/>
  <c r="AM193" i="11"/>
  <c r="AM192" i="11"/>
  <c r="AM191" i="11"/>
  <c r="AM190" i="11"/>
  <c r="AM160" i="11"/>
  <c r="AM157" i="11"/>
  <c r="AM155" i="11"/>
  <c r="AM186" i="11"/>
  <c r="AM183" i="11"/>
  <c r="AM178" i="11"/>
  <c r="AM177" i="11"/>
  <c r="AM176" i="11"/>
  <c r="AM175" i="11"/>
  <c r="AM174" i="11"/>
  <c r="AM170" i="11"/>
  <c r="AM168" i="11"/>
  <c r="AM165" i="11"/>
  <c r="AM163" i="11"/>
  <c r="AM161" i="11"/>
  <c r="AM159" i="11"/>
  <c r="AM158" i="11"/>
  <c r="AM156" i="11"/>
  <c r="AM113" i="11"/>
  <c r="AM73" i="11"/>
  <c r="AM81" i="11"/>
  <c r="AM108" i="11"/>
  <c r="AM83" i="11"/>
  <c r="AM220" i="11"/>
  <c r="AM219" i="11"/>
  <c r="AM217" i="11"/>
  <c r="AM206" i="11"/>
  <c r="AM90" i="11"/>
  <c r="AM88" i="11"/>
  <c r="AM86" i="11"/>
  <c r="AM84" i="11"/>
  <c r="AM77" i="11"/>
  <c r="AM74" i="11"/>
  <c r="AM116" i="11"/>
  <c r="AM115" i="11"/>
  <c r="AM114" i="11"/>
  <c r="AM111" i="11"/>
  <c r="AM107" i="11"/>
  <c r="AM106" i="11"/>
  <c r="AM105" i="11"/>
  <c r="AM91" i="11"/>
  <c r="AM89" i="11"/>
  <c r="AM87" i="11"/>
  <c r="AM85" i="11"/>
  <c r="AM82" i="11"/>
  <c r="AM80" i="11"/>
  <c r="AM79" i="11"/>
  <c r="AM78" i="11"/>
  <c r="AM76" i="11"/>
  <c r="AM103" i="11"/>
  <c r="AM102" i="11"/>
  <c r="AM75" i="11"/>
  <c r="AM100" i="11"/>
  <c r="AM99" i="11"/>
  <c r="AM98" i="11"/>
  <c r="AM92" i="11"/>
  <c r="AM97" i="11"/>
  <c r="AM93" i="11"/>
  <c r="AM96" i="11"/>
  <c r="AM95" i="11"/>
  <c r="AM112" i="11"/>
  <c r="AM110" i="11"/>
  <c r="AM109" i="11"/>
  <c r="AM104" i="11"/>
  <c r="AM101" i="11"/>
  <c r="AM55" i="11"/>
  <c r="AM50" i="11"/>
  <c r="AM60" i="11"/>
  <c r="AM57" i="11"/>
  <c r="AM54" i="11"/>
  <c r="AM51" i="11"/>
  <c r="AM53" i="11"/>
  <c r="AM49" i="11"/>
  <c r="AM58" i="11"/>
  <c r="AM52" i="11"/>
  <c r="AM59" i="11"/>
  <c r="AM56" i="11"/>
  <c r="AM72" i="11"/>
  <c r="AM61" i="11"/>
  <c r="AM71" i="11"/>
  <c r="AM69" i="11"/>
  <c r="AM68" i="11"/>
  <c r="AM67" i="11"/>
  <c r="AM70" i="11"/>
  <c r="AM63" i="11"/>
  <c r="AM66" i="11"/>
  <c r="AM62" i="11"/>
  <c r="AM65" i="11"/>
  <c r="AM64" i="11"/>
  <c r="AM33" i="11"/>
  <c r="AM32" i="11"/>
  <c r="AM30" i="11"/>
  <c r="AM29" i="11"/>
  <c r="AM28" i="11"/>
  <c r="AM47" i="11"/>
  <c r="AM46" i="11"/>
  <c r="AM45" i="11"/>
  <c r="AM44" i="11"/>
  <c r="AM43" i="11"/>
  <c r="AM42" i="11"/>
  <c r="AM41" i="11"/>
  <c r="AM34" i="11"/>
  <c r="AM48" i="11"/>
  <c r="AM40" i="11"/>
  <c r="AM39" i="11"/>
  <c r="AM38" i="11"/>
  <c r="AM37" i="11"/>
  <c r="AM36" i="11"/>
  <c r="AM35" i="11"/>
  <c r="AM31" i="11"/>
  <c r="AM4" i="11"/>
  <c r="AM14" i="11"/>
  <c r="AM13" i="11"/>
  <c r="AO13" i="11" s="1"/>
  <c r="AM11" i="11"/>
  <c r="AM10" i="11"/>
  <c r="AM8" i="11"/>
  <c r="AM6" i="11"/>
  <c r="AM5" i="11"/>
  <c r="AM27" i="11"/>
  <c r="AM26" i="11"/>
  <c r="AM25" i="11"/>
  <c r="AM24" i="11"/>
  <c r="AM23" i="11"/>
  <c r="AM15" i="11"/>
  <c r="AM12" i="11"/>
  <c r="AM9" i="11"/>
  <c r="AM7" i="11"/>
  <c r="AM21" i="11"/>
  <c r="AM19" i="11"/>
  <c r="AM18" i="11"/>
  <c r="AM17" i="11"/>
  <c r="AM16" i="11"/>
  <c r="AM2" i="11"/>
  <c r="AM22" i="11"/>
  <c r="AM3" i="11"/>
  <c r="AN3" i="11" s="1"/>
  <c r="AM303" i="11"/>
  <c r="AM291" i="11"/>
  <c r="AM302" i="11"/>
  <c r="AM308" i="11"/>
  <c r="AM258" i="11"/>
  <c r="AM227" i="11"/>
  <c r="AM247" i="11"/>
  <c r="AM246" i="11"/>
  <c r="AM235" i="11"/>
  <c r="AM290" i="11"/>
  <c r="AM289" i="11"/>
  <c r="AM286" i="11"/>
  <c r="AM284" i="11"/>
  <c r="AM278" i="11"/>
  <c r="AM275" i="11"/>
  <c r="AM263" i="11"/>
  <c r="AM262" i="11"/>
  <c r="AM145" i="11"/>
  <c r="AM129" i="11"/>
  <c r="AM215" i="11"/>
  <c r="AM213" i="11"/>
  <c r="AM207" i="11"/>
  <c r="Z377" i="11"/>
  <c r="Z376" i="11"/>
  <c r="Z372" i="11"/>
  <c r="Z375" i="11"/>
  <c r="Z362" i="11"/>
  <c r="Z365" i="11"/>
  <c r="Z363" i="11"/>
  <c r="Z371" i="11"/>
  <c r="Z370" i="11"/>
  <c r="D407" i="11"/>
  <c r="BU407" i="11" s="1"/>
  <c r="D403" i="11"/>
  <c r="BU403" i="11" s="1"/>
  <c r="D405" i="11"/>
  <c r="D391" i="11"/>
  <c r="D392" i="11"/>
  <c r="D401" i="11"/>
  <c r="D388" i="11"/>
  <c r="D423" i="11"/>
  <c r="D424" i="11"/>
  <c r="D384" i="11"/>
  <c r="D397" i="11"/>
  <c r="D414" i="11"/>
  <c r="D416" i="11"/>
  <c r="D422" i="11"/>
  <c r="D390" i="11"/>
  <c r="D381" i="11"/>
  <c r="D395" i="11"/>
  <c r="D386" i="11"/>
  <c r="D387" i="11"/>
  <c r="D380" i="11"/>
  <c r="D400" i="11"/>
  <c r="D393" i="11"/>
  <c r="D396" i="11"/>
  <c r="D385" i="11"/>
  <c r="D398" i="11"/>
  <c r="D399" i="11"/>
  <c r="D421" i="11"/>
  <c r="D410" i="11"/>
  <c r="D379" i="11"/>
  <c r="D402" i="11"/>
  <c r="D394" i="11"/>
  <c r="D383" i="11"/>
  <c r="D382" i="11"/>
  <c r="D389" i="11"/>
  <c r="D406" i="11"/>
  <c r="D409" i="11"/>
  <c r="D411" i="11"/>
  <c r="D415" i="11"/>
  <c r="D417" i="11"/>
  <c r="D418" i="11"/>
  <c r="D419" i="11"/>
  <c r="BP419" i="11" s="1"/>
  <c r="BQ419" i="11" s="1"/>
  <c r="D420" i="11"/>
  <c r="D412" i="11"/>
  <c r="D413" i="11"/>
  <c r="AI258" i="11"/>
  <c r="L234" i="25"/>
  <c r="L233" i="25"/>
  <c r="L232" i="25"/>
  <c r="L231" i="25"/>
  <c r="L230" i="25"/>
  <c r="L229" i="25"/>
  <c r="L228" i="25"/>
  <c r="L227" i="25"/>
  <c r="L226" i="25"/>
  <c r="L225" i="25"/>
  <c r="L224" i="25"/>
  <c r="L223" i="25"/>
  <c r="L222" i="25"/>
  <c r="L219" i="25"/>
  <c r="L218" i="25"/>
  <c r="L217" i="25"/>
  <c r="L216" i="25"/>
  <c r="L215" i="25"/>
  <c r="L214" i="25"/>
  <c r="L213" i="25"/>
  <c r="L212" i="25"/>
  <c r="L211" i="25"/>
  <c r="L210" i="25"/>
  <c r="L209" i="25"/>
  <c r="L208" i="25"/>
  <c r="L207" i="25"/>
  <c r="L206" i="25"/>
  <c r="L205" i="25"/>
  <c r="L204" i="25"/>
  <c r="L203" i="25"/>
  <c r="L202" i="25"/>
  <c r="L201" i="25"/>
  <c r="L200" i="25"/>
  <c r="L199" i="25"/>
  <c r="L198" i="25"/>
  <c r="L197" i="25"/>
  <c r="L196" i="25"/>
  <c r="L195" i="25"/>
  <c r="L194" i="25"/>
  <c r="L193" i="25"/>
  <c r="L192" i="25"/>
  <c r="L190" i="25"/>
  <c r="L189" i="25"/>
  <c r="L188" i="25"/>
  <c r="L187" i="25"/>
  <c r="Y407" i="11"/>
  <c r="Y403" i="11"/>
  <c r="Y405" i="11"/>
  <c r="Y391" i="11"/>
  <c r="Y392" i="11"/>
  <c r="Y401" i="11"/>
  <c r="Y388" i="11"/>
  <c r="Y423" i="11"/>
  <c r="Y424" i="11"/>
  <c r="Y384" i="11"/>
  <c r="Y397" i="11"/>
  <c r="Y414" i="11"/>
  <c r="Y416" i="11"/>
  <c r="Y422" i="11"/>
  <c r="Y390" i="11"/>
  <c r="Y381" i="11"/>
  <c r="Y395" i="11"/>
  <c r="Y386" i="11"/>
  <c r="Y387" i="11"/>
  <c r="Y380" i="11"/>
  <c r="Y400" i="11"/>
  <c r="Y393" i="11"/>
  <c r="Y396" i="11"/>
  <c r="Y385" i="11"/>
  <c r="Y398" i="11"/>
  <c r="Y399" i="11"/>
  <c r="Y421" i="11"/>
  <c r="Y410" i="11"/>
  <c r="Y379" i="11"/>
  <c r="Y402" i="11"/>
  <c r="Y394" i="11"/>
  <c r="Y383" i="11"/>
  <c r="Y382" i="11"/>
  <c r="Y389" i="11"/>
  <c r="Y406" i="11"/>
  <c r="Y409" i="11"/>
  <c r="Y411" i="11"/>
  <c r="Y415" i="11"/>
  <c r="Y417" i="11"/>
  <c r="AJ417" i="11" s="1"/>
  <c r="Y418" i="11"/>
  <c r="AJ418" i="11" s="1"/>
  <c r="AK418" i="11" s="1"/>
  <c r="AL418" i="11" s="1"/>
  <c r="Y419" i="11"/>
  <c r="Y420" i="11"/>
  <c r="Y412" i="11"/>
  <c r="Y413" i="11"/>
  <c r="AJ413" i="11" s="1"/>
  <c r="AK413" i="11" s="1"/>
  <c r="V407" i="11"/>
  <c r="AE407" i="11"/>
  <c r="BK407" i="11"/>
  <c r="BM407" i="11"/>
  <c r="BN407" i="11"/>
  <c r="V405" i="11"/>
  <c r="V391" i="11"/>
  <c r="V392" i="11"/>
  <c r="V401" i="11"/>
  <c r="V388" i="11"/>
  <c r="V423" i="11"/>
  <c r="V424" i="11"/>
  <c r="V384" i="11"/>
  <c r="AE403" i="11"/>
  <c r="BK403" i="11"/>
  <c r="BM403" i="11"/>
  <c r="BN403" i="11"/>
  <c r="V397" i="11"/>
  <c r="V414" i="11"/>
  <c r="V422" i="11"/>
  <c r="V390" i="11"/>
  <c r="V381" i="11"/>
  <c r="V395" i="11"/>
  <c r="A6" i="31"/>
  <c r="AO376" i="11"/>
  <c r="AP376" i="11"/>
  <c r="AO377" i="11"/>
  <c r="AP377" i="11"/>
  <c r="AN372" i="11"/>
  <c r="AN376" i="11"/>
  <c r="AN377" i="11"/>
  <c r="V386" i="11"/>
  <c r="V387" i="11"/>
  <c r="V380" i="11"/>
  <c r="V400" i="11"/>
  <c r="V393" i="11"/>
  <c r="V396" i="11"/>
  <c r="V385" i="11"/>
  <c r="V398" i="11"/>
  <c r="V399" i="11"/>
  <c r="V421" i="11"/>
  <c r="V410" i="11"/>
  <c r="V379" i="11"/>
  <c r="V402" i="11"/>
  <c r="V394" i="11"/>
  <c r="V383" i="11"/>
  <c r="V382" i="11"/>
  <c r="V389" i="11"/>
  <c r="V406" i="11"/>
  <c r="V409" i="11"/>
  <c r="V411" i="11"/>
  <c r="V415" i="11"/>
  <c r="V419" i="11"/>
  <c r="AE419" i="11"/>
  <c r="BK419" i="11"/>
  <c r="BM419" i="11"/>
  <c r="BN419" i="11"/>
  <c r="V417" i="11"/>
  <c r="V418" i="11"/>
  <c r="V420" i="11"/>
  <c r="V412" i="11"/>
  <c r="V413" i="11"/>
  <c r="C22" i="13"/>
  <c r="Y56" i="11"/>
  <c r="Y101" i="11"/>
  <c r="C17" i="13"/>
  <c r="I50" i="13"/>
  <c r="H55" i="13"/>
  <c r="H50" i="13"/>
  <c r="H47" i="13"/>
  <c r="H44" i="13"/>
  <c r="AE113" i="11"/>
  <c r="AE156" i="11"/>
  <c r="AE158" i="11"/>
  <c r="AE159" i="11"/>
  <c r="AE161" i="11"/>
  <c r="AE163" i="11"/>
  <c r="AE165" i="11"/>
  <c r="AE168" i="11"/>
  <c r="AE170" i="11"/>
  <c r="AE174" i="11"/>
  <c r="AE175" i="11"/>
  <c r="AE176" i="11"/>
  <c r="AE177" i="11"/>
  <c r="AE178" i="11"/>
  <c r="AE183" i="11"/>
  <c r="AE186" i="11"/>
  <c r="AE155" i="11"/>
  <c r="AE157" i="11"/>
  <c r="AE160" i="11"/>
  <c r="AE190" i="11"/>
  <c r="AE191" i="11"/>
  <c r="AE192" i="11"/>
  <c r="AE193" i="11"/>
  <c r="AE194" i="11"/>
  <c r="AE195" i="11"/>
  <c r="AE162" i="11"/>
  <c r="AE197" i="11"/>
  <c r="AE198" i="11"/>
  <c r="AE199" i="11"/>
  <c r="AE189" i="11"/>
  <c r="AE200" i="11"/>
  <c r="AE164" i="11"/>
  <c r="AE166" i="11"/>
  <c r="AE202" i="11"/>
  <c r="AE203" i="11"/>
  <c r="AE204" i="11"/>
  <c r="AE205" i="11"/>
  <c r="AE167" i="11"/>
  <c r="AE169" i="11"/>
  <c r="AE171" i="11"/>
  <c r="AE172" i="11"/>
  <c r="AE173" i="11"/>
  <c r="AE179" i="11"/>
  <c r="AE180" i="11"/>
  <c r="AE154" i="11"/>
  <c r="AE181" i="11"/>
  <c r="AE182" i="11"/>
  <c r="AE184" i="11"/>
  <c r="AE185" i="11"/>
  <c r="AE187" i="11"/>
  <c r="AE188" i="11"/>
  <c r="AE196" i="11"/>
  <c r="AE201" i="11"/>
  <c r="AE214" i="11"/>
  <c r="AE207" i="11"/>
  <c r="AE208" i="11"/>
  <c r="AE209" i="11"/>
  <c r="AE210" i="11"/>
  <c r="AE122" i="11"/>
  <c r="AE211" i="11"/>
  <c r="AE212" i="11"/>
  <c r="AE213" i="11"/>
  <c r="AE124" i="11"/>
  <c r="AE215" i="11"/>
  <c r="AE216" i="11"/>
  <c r="AE218" i="11"/>
  <c r="AE221" i="11"/>
  <c r="AE125" i="11"/>
  <c r="AE117" i="11"/>
  <c r="AE126" i="11"/>
  <c r="AE127" i="11"/>
  <c r="AE128" i="11"/>
  <c r="AE130" i="11"/>
  <c r="AE118" i="11"/>
  <c r="AE119" i="11"/>
  <c r="AE131" i="11"/>
  <c r="AE132" i="11"/>
  <c r="AE134" i="11"/>
  <c r="AE135" i="11"/>
  <c r="AE136" i="11"/>
  <c r="AE137" i="11"/>
  <c r="AE138" i="11"/>
  <c r="AE140" i="11"/>
  <c r="AE141" i="11"/>
  <c r="AE142" i="11"/>
  <c r="AE143" i="11"/>
  <c r="AE144" i="11"/>
  <c r="AE146" i="11"/>
  <c r="AE147" i="11"/>
  <c r="AE148" i="11"/>
  <c r="AE149" i="11"/>
  <c r="AE150" i="11"/>
  <c r="AE151" i="11"/>
  <c r="AE152" i="11"/>
  <c r="AE120" i="11"/>
  <c r="AE121" i="11"/>
  <c r="AE123" i="11"/>
  <c r="AE129" i="11"/>
  <c r="AE133" i="11"/>
  <c r="AE139" i="11"/>
  <c r="AE145" i="11"/>
  <c r="AE153" i="11"/>
  <c r="AE262" i="11"/>
  <c r="AE261" i="11"/>
  <c r="AE263" i="11"/>
  <c r="AE275" i="11"/>
  <c r="AE278" i="11"/>
  <c r="AE284" i="11"/>
  <c r="AE286" i="11"/>
  <c r="AE289" i="11"/>
  <c r="AE290" i="11"/>
  <c r="AE264" i="11"/>
  <c r="AE265" i="11"/>
  <c r="AE266" i="11"/>
  <c r="AE267" i="11"/>
  <c r="AE268" i="11"/>
  <c r="AE269" i="11"/>
  <c r="AE270" i="11"/>
  <c r="AE277" i="11"/>
  <c r="AE274" i="11"/>
  <c r="AE271" i="11"/>
  <c r="AE279" i="11"/>
  <c r="AE276" i="11"/>
  <c r="AE280" i="11"/>
  <c r="AE281" i="11"/>
  <c r="AE282" i="11"/>
  <c r="AE283" i="11"/>
  <c r="AE272" i="11"/>
  <c r="AE273" i="11"/>
  <c r="AE285" i="11"/>
  <c r="AE287" i="11"/>
  <c r="AE288" i="11"/>
  <c r="AE229" i="11"/>
  <c r="AE230" i="11"/>
  <c r="AE223" i="11"/>
  <c r="AE231" i="11"/>
  <c r="AE232" i="11"/>
  <c r="AE233" i="11"/>
  <c r="AE234" i="11"/>
  <c r="AE236" i="11"/>
  <c r="AE237" i="11"/>
  <c r="AE238" i="11"/>
  <c r="AE239" i="11"/>
  <c r="AE240" i="11"/>
  <c r="AE241" i="11"/>
  <c r="AE242" i="11"/>
  <c r="AE245" i="11"/>
  <c r="AE248" i="11"/>
  <c r="AE249" i="11"/>
  <c r="AE250" i="11"/>
  <c r="AE251" i="11"/>
  <c r="AE226" i="11"/>
  <c r="AE252" i="11"/>
  <c r="AE253" i="11"/>
  <c r="AE254" i="11"/>
  <c r="AE256" i="11"/>
  <c r="AE257" i="11"/>
  <c r="AE259" i="11"/>
  <c r="AE260" i="11"/>
  <c r="AE228" i="11"/>
  <c r="AE222" i="11"/>
  <c r="AE235" i="11"/>
  <c r="AE224" i="11"/>
  <c r="AE243" i="11"/>
  <c r="AE244" i="11"/>
  <c r="AE246" i="11"/>
  <c r="AE247" i="11"/>
  <c r="AE225" i="11"/>
  <c r="AE227" i="11"/>
  <c r="AE255" i="11"/>
  <c r="AE258" i="11"/>
  <c r="AE308" i="11"/>
  <c r="AE309" i="11"/>
  <c r="AE310" i="11"/>
  <c r="AE313" i="11"/>
  <c r="AE314" i="11"/>
  <c r="AE311" i="11"/>
  <c r="AE312" i="11"/>
  <c r="AE315" i="11"/>
  <c r="AE316" i="11"/>
  <c r="AE317" i="11"/>
  <c r="AE318" i="11"/>
  <c r="AE319" i="11"/>
  <c r="AE320" i="11"/>
  <c r="AE321" i="11"/>
  <c r="AE322" i="11"/>
  <c r="AE323" i="11"/>
  <c r="AE324" i="11"/>
  <c r="AE325" i="11"/>
  <c r="AE326" i="11"/>
  <c r="AE297" i="11"/>
  <c r="AE292" i="11"/>
  <c r="AE293" i="11"/>
  <c r="AE298" i="11"/>
  <c r="AE299" i="11"/>
  <c r="AE300" i="11"/>
  <c r="AE301" i="11"/>
  <c r="AE294" i="11"/>
  <c r="AE304" i="11"/>
  <c r="AE305" i="11"/>
  <c r="AE295" i="11"/>
  <c r="AE296" i="11"/>
  <c r="AE306" i="11"/>
  <c r="AE307" i="11"/>
  <c r="AE302" i="11"/>
  <c r="AE291" i="11"/>
  <c r="AE303" i="11"/>
  <c r="AE353" i="11"/>
  <c r="AE355" i="11"/>
  <c r="AE337" i="11"/>
  <c r="AE338" i="11"/>
  <c r="AE339" i="11"/>
  <c r="AE340" i="11"/>
  <c r="AE341" i="11"/>
  <c r="AE342" i="11"/>
  <c r="AE344" i="11"/>
  <c r="AE343" i="11"/>
  <c r="AE345" i="11"/>
  <c r="AE350" i="11"/>
  <c r="AE351" i="11"/>
  <c r="AE352" i="11"/>
  <c r="AE346" i="11"/>
  <c r="AE347" i="11"/>
  <c r="AE354" i="11"/>
  <c r="AE356" i="11"/>
  <c r="AE357" i="11"/>
  <c r="AE348" i="11"/>
  <c r="AE358" i="11"/>
  <c r="AE359" i="11"/>
  <c r="AE349" i="11"/>
  <c r="AE360" i="11"/>
  <c r="AE331" i="11"/>
  <c r="AE332" i="11"/>
  <c r="AE333" i="11"/>
  <c r="AE329" i="11"/>
  <c r="AE334" i="11"/>
  <c r="AE335" i="11"/>
  <c r="AE327" i="11"/>
  <c r="AE328" i="11"/>
  <c r="AE330" i="11"/>
  <c r="AE336" i="11"/>
  <c r="AE361" i="11"/>
  <c r="AE366" i="11"/>
  <c r="AE367" i="11"/>
  <c r="AE368" i="11"/>
  <c r="AE364" i="11"/>
  <c r="AE369" i="11"/>
  <c r="AE370" i="11"/>
  <c r="AE371" i="11"/>
  <c r="AE363" i="11"/>
  <c r="AE365" i="11"/>
  <c r="AE362" i="11"/>
  <c r="AE373" i="11"/>
  <c r="AE374" i="11"/>
  <c r="AE375" i="11"/>
  <c r="AE372" i="11"/>
  <c r="AE376" i="11"/>
  <c r="AE377" i="11"/>
  <c r="I37" i="13"/>
  <c r="I32" i="13"/>
  <c r="E26" i="31"/>
  <c r="E25" i="31"/>
  <c r="F26" i="31"/>
  <c r="D26" i="31"/>
  <c r="F25" i="31"/>
  <c r="D25" i="31"/>
  <c r="A87" i="31"/>
  <c r="A78" i="31"/>
  <c r="D78" i="31" s="1"/>
  <c r="A69" i="31"/>
  <c r="A60" i="31"/>
  <c r="A51" i="31"/>
  <c r="A42" i="31"/>
  <c r="A33" i="31"/>
  <c r="A24" i="31"/>
  <c r="A25" i="31" s="1"/>
  <c r="A26" i="31" s="1"/>
  <c r="A27" i="31" s="1"/>
  <c r="A28" i="31" s="1"/>
  <c r="A15" i="31"/>
  <c r="E15" i="31" s="1"/>
  <c r="D376" i="11"/>
  <c r="D377" i="11"/>
  <c r="D372" i="11"/>
  <c r="BU372" i="11" s="1"/>
  <c r="BS372" i="11"/>
  <c r="BN372" i="11"/>
  <c r="BO372" i="11" s="1"/>
  <c r="BM372" i="11"/>
  <c r="BK372" i="11"/>
  <c r="AP372" i="11"/>
  <c r="AO372" i="11"/>
  <c r="AN375" i="11"/>
  <c r="Y377" i="11"/>
  <c r="Y376" i="11"/>
  <c r="Y372" i="11"/>
  <c r="F56" i="27"/>
  <c r="BS408" i="11" l="1"/>
  <c r="G23" i="27"/>
  <c r="AK412" i="11"/>
  <c r="AJ412" i="11"/>
  <c r="AK397" i="11"/>
  <c r="AJ397" i="11"/>
  <c r="AL390" i="11"/>
  <c r="AM390" i="11" s="1"/>
  <c r="AN390" i="11" s="1"/>
  <c r="AK390" i="11"/>
  <c r="AJ390" i="11"/>
  <c r="AJ419" i="11"/>
  <c r="AN379" i="11"/>
  <c r="G87" i="31"/>
  <c r="BO378" i="11"/>
  <c r="BS378" i="11"/>
  <c r="AP378" i="11"/>
  <c r="AQ378" i="11" s="1"/>
  <c r="BR378" i="11"/>
  <c r="BU378" i="11"/>
  <c r="AN378" i="11"/>
  <c r="BO408" i="11"/>
  <c r="BR408" i="11"/>
  <c r="BT408" i="11" s="1"/>
  <c r="BU408" i="11"/>
  <c r="AP419" i="11"/>
  <c r="AO408" i="11"/>
  <c r="AO403" i="11"/>
  <c r="AP408" i="11"/>
  <c r="BR419" i="11"/>
  <c r="BS403" i="11"/>
  <c r="BO403" i="11"/>
  <c r="BO419" i="11"/>
  <c r="AP403" i="11"/>
  <c r="AO419" i="11"/>
  <c r="BS419" i="11"/>
  <c r="BP407" i="11"/>
  <c r="BQ407" i="11" s="1"/>
  <c r="BR407" i="11" s="1"/>
  <c r="AQ372" i="11"/>
  <c r="BU419" i="11"/>
  <c r="BP403" i="11"/>
  <c r="BQ403" i="11" s="1"/>
  <c r="BR403" i="11" s="1"/>
  <c r="BS407" i="11"/>
  <c r="AO407" i="11"/>
  <c r="BO407" i="11"/>
  <c r="AQ377" i="11"/>
  <c r="AP407" i="11"/>
  <c r="AQ376" i="11"/>
  <c r="A7" i="31"/>
  <c r="E6" i="31"/>
  <c r="D6" i="31"/>
  <c r="A16" i="31"/>
  <c r="E16" i="31" s="1"/>
  <c r="D15" i="31"/>
  <c r="F15" i="31" s="1"/>
  <c r="A34" i="31"/>
  <c r="E33" i="31"/>
  <c r="A43" i="31"/>
  <c r="D43" i="31" s="1"/>
  <c r="E42" i="31"/>
  <c r="A52" i="31"/>
  <c r="E51" i="31"/>
  <c r="A61" i="31"/>
  <c r="D61" i="31" s="1"/>
  <c r="E60" i="31"/>
  <c r="A70" i="31"/>
  <c r="E69" i="31"/>
  <c r="D69" i="31"/>
  <c r="A79" i="31"/>
  <c r="E78" i="31"/>
  <c r="F78" i="31" s="1"/>
  <c r="A88" i="31"/>
  <c r="G88" i="31" s="1"/>
  <c r="E87" i="31"/>
  <c r="D87" i="31"/>
  <c r="G20" i="27"/>
  <c r="BP372" i="11"/>
  <c r="BQ372" i="11" s="1"/>
  <c r="BR372" i="11" s="1"/>
  <c r="BT372" i="11" s="1"/>
  <c r="I23" i="27"/>
  <c r="H23" i="27"/>
  <c r="F23" i="27"/>
  <c r="E23" i="27"/>
  <c r="F20" i="27"/>
  <c r="Y35" i="11"/>
  <c r="Y36" i="11"/>
  <c r="Y37" i="11"/>
  <c r="Y38" i="11"/>
  <c r="Y39" i="11"/>
  <c r="Y40" i="11"/>
  <c r="Y48" i="11"/>
  <c r="Y34" i="11"/>
  <c r="Y41" i="11"/>
  <c r="Y42" i="11"/>
  <c r="Y43" i="11"/>
  <c r="Y44" i="11"/>
  <c r="Y45" i="11"/>
  <c r="Y46" i="11"/>
  <c r="Y47" i="11"/>
  <c r="Y28" i="11"/>
  <c r="Y29" i="11"/>
  <c r="Y30" i="11"/>
  <c r="Y32" i="11"/>
  <c r="Y33" i="11"/>
  <c r="Y64" i="11"/>
  <c r="Y65" i="11"/>
  <c r="Y62" i="11"/>
  <c r="Y66" i="11"/>
  <c r="Y63" i="11"/>
  <c r="Y70" i="11"/>
  <c r="Y67" i="11"/>
  <c r="Y68" i="11"/>
  <c r="Y69" i="11"/>
  <c r="Y71" i="11"/>
  <c r="Y61" i="11"/>
  <c r="Y72" i="11"/>
  <c r="Y59" i="11"/>
  <c r="Y52" i="11"/>
  <c r="Y58" i="11"/>
  <c r="Y49" i="11"/>
  <c r="Y53" i="11"/>
  <c r="Y51" i="11"/>
  <c r="Y54" i="11"/>
  <c r="Y57" i="11"/>
  <c r="Y60" i="11"/>
  <c r="Y50" i="11"/>
  <c r="Y55" i="11"/>
  <c r="Y104" i="11"/>
  <c r="Y109" i="11"/>
  <c r="Y110" i="11"/>
  <c r="Y112" i="11"/>
  <c r="Y94" i="11"/>
  <c r="Y95" i="11"/>
  <c r="Y96" i="11"/>
  <c r="Y93" i="11"/>
  <c r="Y97" i="11"/>
  <c r="Y92" i="11"/>
  <c r="Y98" i="11"/>
  <c r="Y99" i="11"/>
  <c r="Y100" i="11"/>
  <c r="Y75" i="11"/>
  <c r="Y102" i="11"/>
  <c r="Y103" i="11"/>
  <c r="Y76" i="11"/>
  <c r="Y78" i="11"/>
  <c r="Y79" i="11"/>
  <c r="Y80" i="11"/>
  <c r="Y82" i="11"/>
  <c r="Y85" i="11"/>
  <c r="Y87" i="11"/>
  <c r="Y89" i="11"/>
  <c r="Y91" i="11"/>
  <c r="Y105" i="11"/>
  <c r="Y106" i="11"/>
  <c r="Y107" i="11"/>
  <c r="Y111" i="11"/>
  <c r="Y114" i="11"/>
  <c r="Y115" i="11"/>
  <c r="Y116" i="11"/>
  <c r="Y74" i="11"/>
  <c r="Y77" i="11"/>
  <c r="Y84" i="11"/>
  <c r="Y86" i="11"/>
  <c r="Y88" i="11"/>
  <c r="Y90" i="11"/>
  <c r="Y206" i="11"/>
  <c r="Y217" i="11"/>
  <c r="Y219" i="11"/>
  <c r="Y220" i="11"/>
  <c r="Y83" i="11"/>
  <c r="Y108" i="11"/>
  <c r="Y81" i="11"/>
  <c r="Y113" i="11"/>
  <c r="Y156" i="11"/>
  <c r="Y158" i="11"/>
  <c r="Y159" i="11"/>
  <c r="Y161" i="11"/>
  <c r="Y163" i="11"/>
  <c r="Y165" i="11"/>
  <c r="Y168" i="11"/>
  <c r="Y170" i="11"/>
  <c r="Y174" i="11"/>
  <c r="Y175" i="11"/>
  <c r="Y176" i="11"/>
  <c r="Y177" i="11"/>
  <c r="Y178" i="11"/>
  <c r="Y183" i="11"/>
  <c r="Y186" i="11"/>
  <c r="Y155" i="11"/>
  <c r="Y157" i="11"/>
  <c r="Y160" i="11"/>
  <c r="Y190" i="11"/>
  <c r="Y191" i="11"/>
  <c r="Y192" i="11"/>
  <c r="Y194" i="11"/>
  <c r="Y195" i="11"/>
  <c r="Y162" i="11"/>
  <c r="Y197" i="11"/>
  <c r="Y198" i="11"/>
  <c r="Y199" i="11"/>
  <c r="Y189" i="11"/>
  <c r="Y200" i="11"/>
  <c r="Y164" i="11"/>
  <c r="Y166" i="11"/>
  <c r="Y202" i="11"/>
  <c r="Y203" i="11"/>
  <c r="Y204" i="11"/>
  <c r="Y205" i="11"/>
  <c r="Y167" i="11"/>
  <c r="Y169" i="11"/>
  <c r="Y171" i="11"/>
  <c r="Y172" i="11"/>
  <c r="Y173" i="11"/>
  <c r="Y179" i="11"/>
  <c r="Y180" i="11"/>
  <c r="Y154" i="11"/>
  <c r="Y181" i="11"/>
  <c r="Y182" i="11"/>
  <c r="Y184" i="11"/>
  <c r="Y185" i="11"/>
  <c r="Y187" i="11"/>
  <c r="Y188" i="11"/>
  <c r="Y196" i="11"/>
  <c r="Y201" i="11"/>
  <c r="Y214" i="11"/>
  <c r="Y207" i="11"/>
  <c r="Y208" i="11"/>
  <c r="Y209" i="11"/>
  <c r="Y210" i="11"/>
  <c r="Y122" i="11"/>
  <c r="Y212" i="11"/>
  <c r="Y213" i="11"/>
  <c r="Y124" i="11"/>
  <c r="Y215" i="11"/>
  <c r="Y216" i="11"/>
  <c r="Y218" i="11"/>
  <c r="Y221" i="11"/>
  <c r="Y125" i="11"/>
  <c r="Y117" i="11"/>
  <c r="Y126" i="11"/>
  <c r="Y127" i="11"/>
  <c r="Y128" i="11"/>
  <c r="Y130" i="11"/>
  <c r="Y118" i="11"/>
  <c r="Y119" i="11"/>
  <c r="Y131" i="11"/>
  <c r="Y132" i="11"/>
  <c r="Y134" i="11"/>
  <c r="Y135" i="11"/>
  <c r="Y136" i="11"/>
  <c r="Y137" i="11"/>
  <c r="Y138" i="11"/>
  <c r="Y140" i="11"/>
  <c r="Y141" i="11"/>
  <c r="Y142" i="11"/>
  <c r="Y143" i="11"/>
  <c r="Y144" i="11"/>
  <c r="Y146" i="11"/>
  <c r="Y147" i="11"/>
  <c r="Y148" i="11"/>
  <c r="Y149" i="11"/>
  <c r="Y150" i="11"/>
  <c r="Y151" i="11"/>
  <c r="Y152" i="11"/>
  <c r="Y120" i="11"/>
  <c r="Y121" i="11"/>
  <c r="Y123" i="11"/>
  <c r="Y129" i="11"/>
  <c r="Y133" i="11"/>
  <c r="Y139" i="11"/>
  <c r="Y145" i="11"/>
  <c r="Y153" i="11"/>
  <c r="Y262" i="11"/>
  <c r="Y261" i="11"/>
  <c r="Y263" i="11"/>
  <c r="Y275" i="11"/>
  <c r="Y278" i="11"/>
  <c r="Y284" i="11"/>
  <c r="Y286" i="11"/>
  <c r="Y289" i="11"/>
  <c r="Y290" i="11"/>
  <c r="Y264" i="11"/>
  <c r="Y265" i="11"/>
  <c r="Y266" i="11"/>
  <c r="Y267" i="11"/>
  <c r="Y268" i="11"/>
  <c r="Y269" i="11"/>
  <c r="Y270" i="11"/>
  <c r="Y277" i="11"/>
  <c r="Y274" i="11"/>
  <c r="Y271" i="11"/>
  <c r="Y279" i="11"/>
  <c r="Y276" i="11"/>
  <c r="Y280" i="11"/>
  <c r="Y281" i="11"/>
  <c r="Y282" i="11"/>
  <c r="Y283" i="11"/>
  <c r="Y272" i="11"/>
  <c r="Y273" i="11"/>
  <c r="Y285" i="11"/>
  <c r="Y287" i="11"/>
  <c r="Y288" i="11"/>
  <c r="Y229" i="11"/>
  <c r="Y230" i="11"/>
  <c r="Y223" i="11"/>
  <c r="Y231" i="11"/>
  <c r="Y232" i="11"/>
  <c r="Y233" i="11"/>
  <c r="Y234" i="11"/>
  <c r="Y236" i="11"/>
  <c r="Y237" i="11"/>
  <c r="Y238" i="11"/>
  <c r="Y239" i="11"/>
  <c r="Y240" i="11"/>
  <c r="Y241" i="11"/>
  <c r="Y242" i="11"/>
  <c r="Y245" i="11"/>
  <c r="Y248" i="11"/>
  <c r="Y249" i="11"/>
  <c r="Y250" i="11"/>
  <c r="Y251" i="11"/>
  <c r="Y226" i="11"/>
  <c r="Y252" i="11"/>
  <c r="Y253" i="11"/>
  <c r="Y254" i="11"/>
  <c r="Y256" i="11"/>
  <c r="Y257" i="11"/>
  <c r="Y259" i="11"/>
  <c r="Y260" i="11"/>
  <c r="Y228" i="11"/>
  <c r="Y235" i="11"/>
  <c r="Y224" i="11"/>
  <c r="Y243" i="11"/>
  <c r="Y244" i="11"/>
  <c r="Y246" i="11"/>
  <c r="Y247" i="11"/>
  <c r="Y225" i="11"/>
  <c r="Y227" i="11"/>
  <c r="Y255" i="11"/>
  <c r="Y258" i="11"/>
  <c r="Y308" i="11"/>
  <c r="Y309" i="11"/>
  <c r="Y310" i="11"/>
  <c r="Y313" i="11"/>
  <c r="Y314" i="11"/>
  <c r="Y311" i="11"/>
  <c r="Y312" i="11"/>
  <c r="Y315" i="11"/>
  <c r="Y316" i="11"/>
  <c r="Y317" i="11"/>
  <c r="Y318" i="11"/>
  <c r="Y319" i="11"/>
  <c r="Y320" i="11"/>
  <c r="Y321" i="11"/>
  <c r="Y322" i="11"/>
  <c r="Y323" i="11"/>
  <c r="Y324" i="11"/>
  <c r="Y325" i="11"/>
  <c r="Y326" i="11"/>
  <c r="Y297" i="11"/>
  <c r="Y292" i="11"/>
  <c r="Y293" i="11"/>
  <c r="Y298" i="11"/>
  <c r="Y299" i="11"/>
  <c r="Y300" i="11"/>
  <c r="Y301" i="11"/>
  <c r="Y294" i="11"/>
  <c r="Y304" i="11"/>
  <c r="Y305" i="11"/>
  <c r="Y295" i="11"/>
  <c r="Y296" i="11"/>
  <c r="Y306" i="11"/>
  <c r="Y307" i="11"/>
  <c r="Y302" i="11"/>
  <c r="Y291" i="11"/>
  <c r="Y303" i="11"/>
  <c r="Y353" i="11"/>
  <c r="Y355" i="11"/>
  <c r="Y337" i="11"/>
  <c r="Y338" i="11"/>
  <c r="Y339" i="11"/>
  <c r="Y340" i="11"/>
  <c r="Y341" i="11"/>
  <c r="Y342" i="11"/>
  <c r="Y344" i="11"/>
  <c r="Y343" i="11"/>
  <c r="Y345" i="11"/>
  <c r="Y350" i="11"/>
  <c r="Y351" i="11"/>
  <c r="Y352" i="11"/>
  <c r="Y346" i="11"/>
  <c r="Y347" i="11"/>
  <c r="Y354" i="11"/>
  <c r="Y356" i="11"/>
  <c r="Y357" i="11"/>
  <c r="Y348" i="11"/>
  <c r="Y358" i="11"/>
  <c r="Y359" i="11"/>
  <c r="Y349" i="11"/>
  <c r="Y360" i="11"/>
  <c r="Y331" i="11"/>
  <c r="Y332" i="11"/>
  <c r="Y333" i="11"/>
  <c r="Y329" i="11"/>
  <c r="Y334" i="11"/>
  <c r="Y335" i="11"/>
  <c r="Y327" i="11"/>
  <c r="Y328" i="11"/>
  <c r="Y330" i="11"/>
  <c r="Y336" i="11"/>
  <c r="Y361" i="11"/>
  <c r="Y366" i="11"/>
  <c r="Y367" i="11"/>
  <c r="Y368" i="11"/>
  <c r="Y364" i="11"/>
  <c r="Y369" i="11"/>
  <c r="Y370" i="11"/>
  <c r="Y371" i="11"/>
  <c r="AM371" i="11" s="1"/>
  <c r="Y363" i="11"/>
  <c r="Y365" i="11"/>
  <c r="AJ365" i="11" s="1"/>
  <c r="AK365" i="11" s="1"/>
  <c r="AL365" i="11" s="1"/>
  <c r="Y362" i="11"/>
  <c r="Y373" i="11"/>
  <c r="Y374" i="11"/>
  <c r="Y375" i="11"/>
  <c r="Y31" i="11"/>
  <c r="G5" i="27"/>
  <c r="F5" i="27"/>
  <c r="Z31" i="11"/>
  <c r="Z35" i="11"/>
  <c r="Z36" i="11"/>
  <c r="Z37" i="11"/>
  <c r="Z38" i="11"/>
  <c r="Z39" i="11"/>
  <c r="Z40" i="11"/>
  <c r="Z48" i="11"/>
  <c r="Z34" i="11"/>
  <c r="Z41" i="11"/>
  <c r="Z42" i="11"/>
  <c r="Z43" i="11"/>
  <c r="Z44" i="11"/>
  <c r="Z45" i="11"/>
  <c r="Z46" i="11"/>
  <c r="Z47" i="11"/>
  <c r="Z28" i="11"/>
  <c r="Z29" i="11"/>
  <c r="Z30" i="11"/>
  <c r="Z32" i="11"/>
  <c r="Z33" i="11"/>
  <c r="Z64" i="11"/>
  <c r="Z65" i="11"/>
  <c r="Z62" i="11"/>
  <c r="Z66" i="11"/>
  <c r="Z63" i="11"/>
  <c r="Z70" i="11"/>
  <c r="Z67" i="11"/>
  <c r="Z68" i="11"/>
  <c r="Z69" i="11"/>
  <c r="Z71" i="11"/>
  <c r="Z61" i="11"/>
  <c r="Z72" i="11"/>
  <c r="Z56" i="11"/>
  <c r="Z59" i="11"/>
  <c r="Z52" i="11"/>
  <c r="Z58" i="11"/>
  <c r="Z49" i="11"/>
  <c r="Z53" i="11"/>
  <c r="Z51" i="11"/>
  <c r="Z54" i="11"/>
  <c r="Z57" i="11"/>
  <c r="Z60" i="11"/>
  <c r="Z50" i="11"/>
  <c r="Z55" i="11"/>
  <c r="Z101" i="11"/>
  <c r="Z104" i="11"/>
  <c r="Z109" i="11"/>
  <c r="Z110" i="11"/>
  <c r="Z112" i="11"/>
  <c r="Z94" i="11"/>
  <c r="Z95" i="11"/>
  <c r="Z96" i="11"/>
  <c r="Z93" i="11"/>
  <c r="Z97" i="11"/>
  <c r="Z92" i="11"/>
  <c r="Z98" i="11"/>
  <c r="Z99" i="11"/>
  <c r="Z100" i="11"/>
  <c r="Z75" i="11"/>
  <c r="Z102" i="11"/>
  <c r="Z103" i="11"/>
  <c r="Z76" i="11"/>
  <c r="Z78" i="11"/>
  <c r="Z79" i="11"/>
  <c r="Z80" i="11"/>
  <c r="Z82" i="11"/>
  <c r="Z85" i="11"/>
  <c r="Z87" i="11"/>
  <c r="Z89" i="11"/>
  <c r="Z91" i="11"/>
  <c r="Z105" i="11"/>
  <c r="Z106" i="11"/>
  <c r="Z107" i="11"/>
  <c r="Z111" i="11"/>
  <c r="Z114" i="11"/>
  <c r="Z115" i="11"/>
  <c r="Z116" i="11"/>
  <c r="Z74" i="11"/>
  <c r="Z77" i="11"/>
  <c r="Z84" i="11"/>
  <c r="Z86" i="11"/>
  <c r="Z88" i="11"/>
  <c r="Z90" i="11"/>
  <c r="Z206" i="11"/>
  <c r="Z217" i="11"/>
  <c r="Z219" i="11"/>
  <c r="Z220" i="11"/>
  <c r="Z83" i="11"/>
  <c r="Z108" i="11"/>
  <c r="Z81" i="11"/>
  <c r="Z156" i="11"/>
  <c r="Z158" i="11"/>
  <c r="Z159" i="11"/>
  <c r="Z161" i="11"/>
  <c r="Z163" i="11"/>
  <c r="Z165" i="11"/>
  <c r="Z168" i="11"/>
  <c r="Z170" i="11"/>
  <c r="Z174" i="11"/>
  <c r="Z175" i="11"/>
  <c r="Z176" i="11"/>
  <c r="Z177" i="11"/>
  <c r="Z178" i="11"/>
  <c r="Z183" i="11"/>
  <c r="Z186" i="11"/>
  <c r="Z155" i="11"/>
  <c r="Z157" i="11"/>
  <c r="Z160" i="11"/>
  <c r="Z190" i="11"/>
  <c r="Z191" i="11"/>
  <c r="Z192" i="11"/>
  <c r="Z194" i="11"/>
  <c r="Z195" i="11"/>
  <c r="Z162" i="11"/>
  <c r="Z197" i="11"/>
  <c r="Z198" i="11"/>
  <c r="Z199" i="11"/>
  <c r="Z189" i="11"/>
  <c r="Z200" i="11"/>
  <c r="Z164" i="11"/>
  <c r="Z166" i="11"/>
  <c r="Z202" i="11"/>
  <c r="Z203" i="11"/>
  <c r="Z204" i="11"/>
  <c r="Z205" i="11"/>
  <c r="Z167" i="11"/>
  <c r="Z169" i="11"/>
  <c r="Z171" i="11"/>
  <c r="Z172" i="11"/>
  <c r="Z173" i="11"/>
  <c r="Z179" i="11"/>
  <c r="Z180" i="11"/>
  <c r="Z154" i="11"/>
  <c r="Z181" i="11"/>
  <c r="Z182" i="11"/>
  <c r="Z184" i="11"/>
  <c r="Z185" i="11"/>
  <c r="Z187" i="11"/>
  <c r="Z188" i="11"/>
  <c r="Z196" i="11"/>
  <c r="Z201" i="11"/>
  <c r="Z214" i="11"/>
  <c r="Z207" i="11"/>
  <c r="Z208" i="11"/>
  <c r="Z209" i="11"/>
  <c r="Z210" i="11"/>
  <c r="Z122" i="11"/>
  <c r="Z212" i="11"/>
  <c r="Z213" i="11"/>
  <c r="Z124" i="11"/>
  <c r="Z215" i="11"/>
  <c r="Z216" i="11"/>
  <c r="Z218" i="11"/>
  <c r="Z221" i="11"/>
  <c r="Z125" i="11"/>
  <c r="Z117" i="11"/>
  <c r="Z126" i="11"/>
  <c r="Z127" i="11"/>
  <c r="Z128" i="11"/>
  <c r="Z130" i="11"/>
  <c r="Z118" i="11"/>
  <c r="Z119" i="11"/>
  <c r="Z131" i="11"/>
  <c r="Z132" i="11"/>
  <c r="Z134" i="11"/>
  <c r="Z135" i="11"/>
  <c r="Z136" i="11"/>
  <c r="Z137" i="11"/>
  <c r="Z138" i="11"/>
  <c r="Z140" i="11"/>
  <c r="Z141" i="11"/>
  <c r="Z142" i="11"/>
  <c r="Z143" i="11"/>
  <c r="Z144" i="11"/>
  <c r="Z146" i="11"/>
  <c r="Z147" i="11"/>
  <c r="Z148" i="11"/>
  <c r="Z149" i="11"/>
  <c r="Z150" i="11"/>
  <c r="Z151" i="11"/>
  <c r="Z152" i="11"/>
  <c r="Z120" i="11"/>
  <c r="Z121" i="11"/>
  <c r="Z123" i="11"/>
  <c r="Z129" i="11"/>
  <c r="Z133" i="11"/>
  <c r="Z139" i="11"/>
  <c r="Z145" i="11"/>
  <c r="Z153" i="11"/>
  <c r="Z262" i="11"/>
  <c r="Z261" i="11"/>
  <c r="Z263" i="11"/>
  <c r="Z275" i="11"/>
  <c r="Z278" i="11"/>
  <c r="Z284" i="11"/>
  <c r="Z286" i="11"/>
  <c r="Z289" i="11"/>
  <c r="Z290" i="11"/>
  <c r="Z264" i="11"/>
  <c r="Z265" i="11"/>
  <c r="Z266" i="11"/>
  <c r="Z267" i="11"/>
  <c r="Z268" i="11"/>
  <c r="Z269" i="11"/>
  <c r="Z270" i="11"/>
  <c r="Z277" i="11"/>
  <c r="Z274" i="11"/>
  <c r="Z271" i="11"/>
  <c r="Z279" i="11"/>
  <c r="AM279" i="11" s="1"/>
  <c r="Z276" i="11"/>
  <c r="Z280" i="11"/>
  <c r="Z281" i="11"/>
  <c r="Z282" i="11"/>
  <c r="Z283" i="11"/>
  <c r="Z272" i="11"/>
  <c r="Z273" i="11"/>
  <c r="Z285" i="11"/>
  <c r="Z287" i="11"/>
  <c r="Z288" i="11"/>
  <c r="Z229" i="11"/>
  <c r="Z230" i="11"/>
  <c r="Z223" i="11"/>
  <c r="Z231" i="11"/>
  <c r="Z232" i="11"/>
  <c r="Z233" i="11"/>
  <c r="Z234" i="11"/>
  <c r="Z236" i="11"/>
  <c r="Z237" i="11"/>
  <c r="Z238" i="11"/>
  <c r="Z239" i="11"/>
  <c r="Z240" i="11"/>
  <c r="Z241" i="11"/>
  <c r="Z242" i="11"/>
  <c r="Z245" i="11"/>
  <c r="Z248" i="11"/>
  <c r="Z249" i="11"/>
  <c r="Z250" i="11"/>
  <c r="Z251" i="11"/>
  <c r="Z226" i="11"/>
  <c r="Z252" i="11"/>
  <c r="Z253" i="11"/>
  <c r="Z254" i="11"/>
  <c r="Z256" i="11"/>
  <c r="Z257" i="11"/>
  <c r="Z259" i="11"/>
  <c r="Z260" i="11"/>
  <c r="Z228" i="11"/>
  <c r="Z222" i="11"/>
  <c r="Z235" i="11"/>
  <c r="Z224" i="11"/>
  <c r="Z243" i="11"/>
  <c r="Z244" i="11"/>
  <c r="Z246" i="11"/>
  <c r="Z247" i="11"/>
  <c r="Z225" i="11"/>
  <c r="Z227" i="11"/>
  <c r="Z255" i="11"/>
  <c r="Z258" i="11"/>
  <c r="Z308" i="11"/>
  <c r="Z309" i="11"/>
  <c r="Z310" i="11"/>
  <c r="Z314" i="11"/>
  <c r="Z311" i="11"/>
  <c r="Z312" i="11"/>
  <c r="Z315" i="11"/>
  <c r="Z316" i="11"/>
  <c r="Z317" i="11"/>
  <c r="Z318" i="11"/>
  <c r="Z319" i="11"/>
  <c r="Z320" i="11"/>
  <c r="Z321" i="11"/>
  <c r="Z322" i="11"/>
  <c r="Z323" i="11"/>
  <c r="Z324" i="11"/>
  <c r="Z325" i="11"/>
  <c r="Z326" i="11"/>
  <c r="Z297" i="11"/>
  <c r="Z292" i="11"/>
  <c r="Z293" i="11"/>
  <c r="Z298" i="11"/>
  <c r="Z299" i="11"/>
  <c r="Z300" i="11"/>
  <c r="Z301" i="11"/>
  <c r="Z294" i="11"/>
  <c r="Z304" i="11"/>
  <c r="Z305" i="11"/>
  <c r="Z295" i="11"/>
  <c r="Z296" i="11"/>
  <c r="Z306" i="11"/>
  <c r="Z307" i="11"/>
  <c r="Z302" i="11"/>
  <c r="Z291" i="11"/>
  <c r="Z303" i="11"/>
  <c r="Z353" i="11"/>
  <c r="Z355" i="11"/>
  <c r="Z337" i="11"/>
  <c r="Z338" i="11"/>
  <c r="Z339" i="11"/>
  <c r="Z340" i="11"/>
  <c r="Z341" i="11"/>
  <c r="Z342" i="11"/>
  <c r="Z344" i="11"/>
  <c r="Z343" i="11"/>
  <c r="Z345" i="11"/>
  <c r="Z350" i="11"/>
  <c r="Z351" i="11"/>
  <c r="Z352" i="11"/>
  <c r="Z346" i="11"/>
  <c r="Z347" i="11"/>
  <c r="Z354" i="11"/>
  <c r="Z356" i="11"/>
  <c r="Z357" i="11"/>
  <c r="Z348" i="11"/>
  <c r="Z358" i="11"/>
  <c r="Z359" i="11"/>
  <c r="Z349" i="11"/>
  <c r="Z360" i="11"/>
  <c r="Z331" i="11"/>
  <c r="Z332" i="11"/>
  <c r="Z333" i="11"/>
  <c r="Z329" i="11"/>
  <c r="Z334" i="11"/>
  <c r="Z335" i="11"/>
  <c r="Z327" i="11"/>
  <c r="Z328" i="11"/>
  <c r="Z330" i="11"/>
  <c r="Z336" i="11"/>
  <c r="Z361" i="11"/>
  <c r="Z366" i="11"/>
  <c r="Z367" i="11"/>
  <c r="Z368" i="11"/>
  <c r="Z364" i="11"/>
  <c r="Z369" i="11"/>
  <c r="Z373" i="11"/>
  <c r="Z374" i="11"/>
  <c r="G6" i="27"/>
  <c r="F6" i="27"/>
  <c r="G36" i="27"/>
  <c r="F36" i="27"/>
  <c r="G34" i="27"/>
  <c r="F34" i="27"/>
  <c r="G37" i="27"/>
  <c r="F37" i="27"/>
  <c r="G35" i="27"/>
  <c r="F35" i="27"/>
  <c r="G33" i="27"/>
  <c r="F33" i="27"/>
  <c r="H20" i="27" l="1"/>
  <c r="Y425" i="11"/>
  <c r="BT378" i="11"/>
  <c r="AQ419" i="11"/>
  <c r="AQ408" i="11"/>
  <c r="AQ403" i="11"/>
  <c r="D37" i="13"/>
  <c r="BT419" i="11"/>
  <c r="BT403" i="11"/>
  <c r="BT407" i="11"/>
  <c r="AQ407" i="11"/>
  <c r="F87" i="31"/>
  <c r="F69" i="31"/>
  <c r="F6" i="31"/>
  <c r="D60" i="31"/>
  <c r="F60" i="31" s="1"/>
  <c r="E20" i="27"/>
  <c r="D32" i="13"/>
  <c r="E32" i="13" s="1"/>
  <c r="F32" i="13"/>
  <c r="D52" i="31"/>
  <c r="I7" i="13"/>
  <c r="D51" i="31"/>
  <c r="F51" i="31" s="1"/>
  <c r="D42" i="31"/>
  <c r="F42" i="31" s="1"/>
  <c r="A8" i="31"/>
  <c r="G7" i="31"/>
  <c r="E7" i="31"/>
  <c r="D7" i="31"/>
  <c r="E10" i="27"/>
  <c r="D17" i="13"/>
  <c r="B61" i="13"/>
  <c r="B59" i="13"/>
  <c r="F27" i="13"/>
  <c r="F17" i="13"/>
  <c r="F12" i="13"/>
  <c r="F7" i="13"/>
  <c r="I27" i="13"/>
  <c r="I22" i="13"/>
  <c r="I17" i="13"/>
  <c r="I12" i="13"/>
  <c r="D22" i="13"/>
  <c r="D12" i="13"/>
  <c r="D7" i="13"/>
  <c r="A89" i="31"/>
  <c r="G89" i="31" s="1"/>
  <c r="E88" i="31"/>
  <c r="D88" i="31"/>
  <c r="A80" i="31"/>
  <c r="E79" i="31"/>
  <c r="D79" i="31"/>
  <c r="A71" i="31"/>
  <c r="D71" i="31" s="1"/>
  <c r="E70" i="31"/>
  <c r="D70" i="31"/>
  <c r="A62" i="31"/>
  <c r="E61" i="31"/>
  <c r="A53" i="31"/>
  <c r="D53" i="31" s="1"/>
  <c r="E52" i="31"/>
  <c r="A44" i="31"/>
  <c r="D44" i="31" s="1"/>
  <c r="E43" i="31"/>
  <c r="F43" i="31" s="1"/>
  <c r="G43" i="31"/>
  <c r="A35" i="31"/>
  <c r="E34" i="31"/>
  <c r="A17" i="31"/>
  <c r="D16" i="31"/>
  <c r="F16" i="31" s="1"/>
  <c r="G16" i="31"/>
  <c r="E5" i="27"/>
  <c r="E4" i="27"/>
  <c r="G17" i="27"/>
  <c r="G16" i="27"/>
  <c r="F17" i="27"/>
  <c r="E17" i="27"/>
  <c r="E7" i="27"/>
  <c r="H17" i="27"/>
  <c r="H14" i="27"/>
  <c r="G14" i="27"/>
  <c r="E14" i="27"/>
  <c r="H11" i="27"/>
  <c r="G11" i="27"/>
  <c r="F11" i="27"/>
  <c r="E11" i="27"/>
  <c r="G8" i="27"/>
  <c r="F8" i="27"/>
  <c r="E8" i="27"/>
  <c r="H8" i="27"/>
  <c r="H5" i="27"/>
  <c r="H14" i="11"/>
  <c r="F37" i="13"/>
  <c r="H27" i="13"/>
  <c r="C32" i="13"/>
  <c r="C27" i="13"/>
  <c r="D27" i="13"/>
  <c r="E27" i="13" s="1"/>
  <c r="I20" i="27" l="1"/>
  <c r="F70" i="31"/>
  <c r="F7" i="31"/>
  <c r="I11" i="27"/>
  <c r="F52" i="31"/>
  <c r="F61" i="31"/>
  <c r="F79" i="31"/>
  <c r="F88" i="31"/>
  <c r="A9" i="31"/>
  <c r="G8" i="31"/>
  <c r="E8" i="31"/>
  <c r="D8" i="31"/>
  <c r="A18" i="31"/>
  <c r="E18" i="31" s="1"/>
  <c r="E17" i="31"/>
  <c r="D17" i="31"/>
  <c r="G17" i="31"/>
  <c r="A36" i="31"/>
  <c r="E35" i="31"/>
  <c r="A45" i="31"/>
  <c r="D45" i="31" s="1"/>
  <c r="E44" i="31"/>
  <c r="F44" i="31" s="1"/>
  <c r="G44" i="31"/>
  <c r="A54" i="31"/>
  <c r="D54" i="31" s="1"/>
  <c r="E53" i="31"/>
  <c r="F53" i="31" s="1"/>
  <c r="A63" i="31"/>
  <c r="D63" i="31" s="1"/>
  <c r="D64" i="31" s="1"/>
  <c r="F62" i="31"/>
  <c r="A72" i="31"/>
  <c r="E71" i="31"/>
  <c r="A81" i="31"/>
  <c r="E80" i="31"/>
  <c r="D80" i="31"/>
  <c r="A90" i="31"/>
  <c r="E89" i="31"/>
  <c r="D89" i="31"/>
  <c r="I8" i="27"/>
  <c r="I17" i="27"/>
  <c r="I5" i="27"/>
  <c r="F64" i="27"/>
  <c r="G64" i="27"/>
  <c r="H64" i="27"/>
  <c r="I64" i="27"/>
  <c r="F65" i="27"/>
  <c r="G65" i="27"/>
  <c r="H65" i="27"/>
  <c r="I65" i="27"/>
  <c r="F63" i="27"/>
  <c r="I63" i="27"/>
  <c r="F61" i="27"/>
  <c r="F59" i="27"/>
  <c r="H59" i="27"/>
  <c r="I59" i="27"/>
  <c r="H57" i="27"/>
  <c r="I57" i="27"/>
  <c r="F55" i="27"/>
  <c r="G55" i="27"/>
  <c r="H55" i="27"/>
  <c r="I55" i="27"/>
  <c r="F53" i="27"/>
  <c r="G53" i="27"/>
  <c r="H53" i="27"/>
  <c r="I53" i="27"/>
  <c r="F51" i="27"/>
  <c r="G51" i="27"/>
  <c r="H51" i="27"/>
  <c r="I51" i="27"/>
  <c r="F49" i="27"/>
  <c r="G49" i="27"/>
  <c r="H49" i="27"/>
  <c r="I49" i="27"/>
  <c r="F47" i="27"/>
  <c r="G47" i="27"/>
  <c r="H47" i="27"/>
  <c r="I47" i="27"/>
  <c r="F62" i="27"/>
  <c r="G62" i="27"/>
  <c r="H62" i="27"/>
  <c r="I62" i="27"/>
  <c r="F60" i="27"/>
  <c r="H60" i="27"/>
  <c r="I60" i="27"/>
  <c r="F58" i="27"/>
  <c r="G58" i="27"/>
  <c r="H58" i="27"/>
  <c r="I58" i="27"/>
  <c r="G56" i="27"/>
  <c r="H56" i="27"/>
  <c r="I56" i="27"/>
  <c r="F54" i="27"/>
  <c r="G54" i="27"/>
  <c r="H54" i="27"/>
  <c r="I54" i="27"/>
  <c r="F52" i="27"/>
  <c r="G52" i="27"/>
  <c r="H52" i="27"/>
  <c r="I52" i="27"/>
  <c r="F50" i="27"/>
  <c r="G50" i="27"/>
  <c r="H50" i="27"/>
  <c r="I50" i="27"/>
  <c r="F48" i="27"/>
  <c r="G48" i="27"/>
  <c r="H48" i="27"/>
  <c r="I48" i="27"/>
  <c r="G46" i="27"/>
  <c r="H46" i="27"/>
  <c r="I46" i="27"/>
  <c r="F46" i="27"/>
  <c r="E24" i="27"/>
  <c r="F24" i="27"/>
  <c r="G24" i="27"/>
  <c r="F21" i="27"/>
  <c r="G21" i="27"/>
  <c r="E22" i="27"/>
  <c r="F22" i="27"/>
  <c r="G22" i="27"/>
  <c r="H22" i="27"/>
  <c r="E19" i="27"/>
  <c r="F19" i="27"/>
  <c r="G19" i="27"/>
  <c r="H19" i="27"/>
  <c r="E16" i="27"/>
  <c r="F16" i="27"/>
  <c r="H16" i="27"/>
  <c r="E13" i="27"/>
  <c r="F13" i="27"/>
  <c r="G13" i="27"/>
  <c r="H13" i="27"/>
  <c r="F10" i="27"/>
  <c r="G10" i="27"/>
  <c r="H10" i="27"/>
  <c r="F7" i="27"/>
  <c r="G7" i="27"/>
  <c r="H7" i="27"/>
  <c r="F4" i="27"/>
  <c r="G4" i="27"/>
  <c r="H4" i="27"/>
  <c r="BU16" i="11"/>
  <c r="BU17" i="11"/>
  <c r="BU18" i="11"/>
  <c r="BU19" i="11"/>
  <c r="BU20" i="11"/>
  <c r="BU21" i="11"/>
  <c r="BU22" i="11"/>
  <c r="BU23" i="11"/>
  <c r="BU24" i="11"/>
  <c r="BU25" i="11"/>
  <c r="BU26" i="11"/>
  <c r="BU27" i="11"/>
  <c r="BU5" i="11"/>
  <c r="BU6" i="11"/>
  <c r="BU8" i="11"/>
  <c r="BU11" i="11"/>
  <c r="BU13" i="11"/>
  <c r="BU14" i="11"/>
  <c r="BU35" i="11"/>
  <c r="BU36" i="11"/>
  <c r="BU37" i="11"/>
  <c r="BU38" i="11"/>
  <c r="BU39" i="11"/>
  <c r="BU48" i="11"/>
  <c r="BU34" i="11"/>
  <c r="BU41" i="11"/>
  <c r="BU42" i="11"/>
  <c r="BU43" i="11"/>
  <c r="BU44" i="11"/>
  <c r="BU45" i="11"/>
  <c r="BU46" i="11"/>
  <c r="BU47" i="11"/>
  <c r="BU28" i="11"/>
  <c r="BU29" i="11"/>
  <c r="BU30" i="11"/>
  <c r="BU31" i="11"/>
  <c r="BU32" i="11"/>
  <c r="BU33" i="11"/>
  <c r="BU64" i="11"/>
  <c r="BU65" i="11"/>
  <c r="BU61" i="11"/>
  <c r="BU62" i="11"/>
  <c r="BU66" i="11"/>
  <c r="BU63" i="11"/>
  <c r="BU70" i="11"/>
  <c r="BU71" i="11"/>
  <c r="BU72" i="11"/>
  <c r="BU51" i="11"/>
  <c r="BU55" i="11"/>
  <c r="BU50" i="11"/>
  <c r="BU94" i="11"/>
  <c r="BU92" i="11"/>
  <c r="BU98" i="11"/>
  <c r="BU102" i="11"/>
  <c r="BU103" i="11"/>
  <c r="BU105" i="11"/>
  <c r="BU106" i="11"/>
  <c r="BU107" i="11"/>
  <c r="BU108" i="11"/>
  <c r="BU111" i="11"/>
  <c r="BU113" i="11"/>
  <c r="BU115" i="11"/>
  <c r="BU116" i="11"/>
  <c r="BU74" i="11"/>
  <c r="BU77" i="11"/>
  <c r="BU84" i="11"/>
  <c r="BU86" i="11"/>
  <c r="BU88" i="11"/>
  <c r="BU158" i="11"/>
  <c r="BU161" i="11"/>
  <c r="BU163" i="11"/>
  <c r="BU168" i="11"/>
  <c r="BU170" i="11"/>
  <c r="BU174" i="11"/>
  <c r="BU191" i="11"/>
  <c r="BU193" i="11"/>
  <c r="BU195" i="11"/>
  <c r="BU197" i="11"/>
  <c r="BU198" i="11"/>
  <c r="BU199" i="11"/>
  <c r="BU189" i="11"/>
  <c r="BU203" i="11"/>
  <c r="BU206" i="11"/>
  <c r="BU208" i="11"/>
  <c r="BU209" i="11"/>
  <c r="BU210" i="11"/>
  <c r="BU211" i="11"/>
  <c r="BU212" i="11"/>
  <c r="BU216" i="11"/>
  <c r="BU217" i="11"/>
  <c r="BU218" i="11"/>
  <c r="BU221" i="11"/>
  <c r="BU123" i="11"/>
  <c r="BU133" i="11"/>
  <c r="BU139" i="11"/>
  <c r="BU153" i="11"/>
  <c r="BU261" i="11"/>
  <c r="BU228" i="11"/>
  <c r="BU222" i="11"/>
  <c r="BU224" i="11"/>
  <c r="BU243" i="11"/>
  <c r="BU244" i="11"/>
  <c r="BU255" i="11"/>
  <c r="BU353" i="11"/>
  <c r="BU355" i="11"/>
  <c r="BM2" i="11"/>
  <c r="BM16" i="11"/>
  <c r="BM17" i="11"/>
  <c r="BM18" i="11"/>
  <c r="BM19" i="11"/>
  <c r="BM20" i="11"/>
  <c r="BM21" i="11"/>
  <c r="BM22" i="11"/>
  <c r="BM3" i="11"/>
  <c r="BM7" i="11"/>
  <c r="BM9" i="11"/>
  <c r="BM12" i="11"/>
  <c r="BM15" i="11"/>
  <c r="BM23" i="11"/>
  <c r="BM24" i="11"/>
  <c r="BM25" i="11"/>
  <c r="BM26" i="11"/>
  <c r="BM27" i="11"/>
  <c r="BM5" i="11"/>
  <c r="BM6" i="11"/>
  <c r="BM4" i="11"/>
  <c r="BM8" i="11"/>
  <c r="BM10" i="11"/>
  <c r="BM11" i="11"/>
  <c r="BM13" i="11"/>
  <c r="BM14" i="11"/>
  <c r="BM35" i="11"/>
  <c r="BM36" i="11"/>
  <c r="BM37" i="11"/>
  <c r="BM38" i="11"/>
  <c r="BM39" i="11"/>
  <c r="BM40" i="11"/>
  <c r="BM48" i="11"/>
  <c r="BM34" i="11"/>
  <c r="BM41" i="11"/>
  <c r="BM42" i="11"/>
  <c r="BM43" i="11"/>
  <c r="BM44" i="11"/>
  <c r="BM45" i="11"/>
  <c r="BM46" i="11"/>
  <c r="BM47" i="11"/>
  <c r="BM28" i="11"/>
  <c r="BM29" i="11"/>
  <c r="BM30" i="11"/>
  <c r="BM31" i="11"/>
  <c r="BM32" i="11"/>
  <c r="BM33" i="11"/>
  <c r="BM64" i="11"/>
  <c r="BM65" i="11"/>
  <c r="BM61" i="11"/>
  <c r="BM62" i="11"/>
  <c r="BM66" i="11"/>
  <c r="BM63" i="11"/>
  <c r="BM70" i="11"/>
  <c r="BM71" i="11"/>
  <c r="BM72" i="11"/>
  <c r="BM67" i="11"/>
  <c r="BM68" i="11"/>
  <c r="BM69" i="11"/>
  <c r="BM52" i="11"/>
  <c r="BM49" i="11"/>
  <c r="BM53" i="11"/>
  <c r="BM56" i="11"/>
  <c r="BM58" i="11"/>
  <c r="BM59" i="11"/>
  <c r="BM60" i="11"/>
  <c r="BM51" i="11"/>
  <c r="BM54" i="11"/>
  <c r="BM55" i="11"/>
  <c r="BM50" i="11"/>
  <c r="BM57" i="11"/>
  <c r="BM101" i="11"/>
  <c r="BM104" i="11"/>
  <c r="BM109" i="11"/>
  <c r="BM110" i="11"/>
  <c r="BM112" i="11"/>
  <c r="BM94" i="11"/>
  <c r="BM95" i="11"/>
  <c r="BM96" i="11"/>
  <c r="BM93" i="11"/>
  <c r="BM97" i="11"/>
  <c r="BM92" i="11"/>
  <c r="BM98" i="11"/>
  <c r="BM99" i="11"/>
  <c r="BM100" i="11"/>
  <c r="BM75" i="11"/>
  <c r="BM102" i="11"/>
  <c r="BM103" i="11"/>
  <c r="BM76" i="11"/>
  <c r="BM78" i="11"/>
  <c r="BM79" i="11"/>
  <c r="BM80" i="11"/>
  <c r="BM81" i="11"/>
  <c r="BM82" i="11"/>
  <c r="BM73" i="11"/>
  <c r="BM83" i="11"/>
  <c r="BM85" i="11"/>
  <c r="BM87" i="11"/>
  <c r="BM89" i="11"/>
  <c r="BM91" i="11"/>
  <c r="BM105" i="11"/>
  <c r="BM106" i="11"/>
  <c r="BM107" i="11"/>
  <c r="BM108" i="11"/>
  <c r="BM111" i="11"/>
  <c r="BM113" i="11"/>
  <c r="BM114" i="11"/>
  <c r="BM115" i="11"/>
  <c r="BM116" i="11"/>
  <c r="BM74" i="11"/>
  <c r="BM77" i="11"/>
  <c r="BM84" i="11"/>
  <c r="BM86" i="11"/>
  <c r="BM88" i="11"/>
  <c r="BM90" i="11"/>
  <c r="BM156" i="11"/>
  <c r="BM158" i="11"/>
  <c r="BM159" i="11"/>
  <c r="BM161" i="11"/>
  <c r="BM163" i="11"/>
  <c r="BM165" i="11"/>
  <c r="BM168" i="11"/>
  <c r="BM170" i="11"/>
  <c r="BM174" i="11"/>
  <c r="BM175" i="11"/>
  <c r="BM176" i="11"/>
  <c r="BM177" i="11"/>
  <c r="BM178" i="11"/>
  <c r="BM183" i="11"/>
  <c r="BM186" i="11"/>
  <c r="BM155" i="11"/>
  <c r="BM157" i="11"/>
  <c r="BM160" i="11"/>
  <c r="BM190" i="11"/>
  <c r="BM191" i="11"/>
  <c r="BM192" i="11"/>
  <c r="BM193" i="11"/>
  <c r="BM194" i="11"/>
  <c r="BM195" i="11"/>
  <c r="BM162" i="11"/>
  <c r="BM197" i="11"/>
  <c r="BM198" i="11"/>
  <c r="BM199" i="11"/>
  <c r="BM189" i="11"/>
  <c r="BM200" i="11"/>
  <c r="BM164" i="11"/>
  <c r="BM166" i="11"/>
  <c r="BM202" i="11"/>
  <c r="BM203" i="11"/>
  <c r="BM204" i="11"/>
  <c r="BM205" i="11"/>
  <c r="BM167" i="11"/>
  <c r="BM169" i="11"/>
  <c r="BM171" i="11"/>
  <c r="BM172" i="11"/>
  <c r="BM173" i="11"/>
  <c r="BM179" i="11"/>
  <c r="BM180" i="11"/>
  <c r="BM154" i="11"/>
  <c r="BM181" i="11"/>
  <c r="BM182" i="11"/>
  <c r="BM184" i="11"/>
  <c r="BM185" i="11"/>
  <c r="BM187" i="11"/>
  <c r="BM188" i="11"/>
  <c r="BM196" i="11"/>
  <c r="BM201" i="11"/>
  <c r="BM214" i="11"/>
  <c r="BM206" i="11"/>
  <c r="BM207" i="11"/>
  <c r="BM208" i="11"/>
  <c r="BM209" i="11"/>
  <c r="BM210" i="11"/>
  <c r="BM122" i="11"/>
  <c r="BM211" i="11"/>
  <c r="BM212" i="11"/>
  <c r="BM213" i="11"/>
  <c r="BM124" i="11"/>
  <c r="BM215" i="11"/>
  <c r="BM216" i="11"/>
  <c r="BM217" i="11"/>
  <c r="BM218" i="11"/>
  <c r="BM219" i="11"/>
  <c r="BM220" i="11"/>
  <c r="BM221" i="11"/>
  <c r="BM125" i="11"/>
  <c r="BM117" i="11"/>
  <c r="BM126" i="11"/>
  <c r="BM127" i="11"/>
  <c r="BM128" i="11"/>
  <c r="BM130" i="11"/>
  <c r="BM118" i="11"/>
  <c r="BM119" i="11"/>
  <c r="BM131" i="11"/>
  <c r="BM132" i="11"/>
  <c r="BM134" i="11"/>
  <c r="BM135" i="11"/>
  <c r="BM136" i="11"/>
  <c r="BM137" i="11"/>
  <c r="BM138" i="11"/>
  <c r="BM140" i="11"/>
  <c r="BM141" i="11"/>
  <c r="BM142" i="11"/>
  <c r="BM143" i="11"/>
  <c r="BM144" i="11"/>
  <c r="BM146" i="11"/>
  <c r="BM147" i="11"/>
  <c r="BM148" i="11"/>
  <c r="BM149" i="11"/>
  <c r="BM150" i="11"/>
  <c r="BM151" i="11"/>
  <c r="BM152" i="11"/>
  <c r="BM120" i="11"/>
  <c r="BM121" i="11"/>
  <c r="BM123" i="11"/>
  <c r="BM129" i="11"/>
  <c r="BM133" i="11"/>
  <c r="BM139" i="11"/>
  <c r="BM145" i="11"/>
  <c r="BM153" i="11"/>
  <c r="BM262" i="11"/>
  <c r="BM261" i="11"/>
  <c r="BM263" i="11"/>
  <c r="BM275" i="11"/>
  <c r="BM278" i="11"/>
  <c r="BM284" i="11"/>
  <c r="BM286" i="11"/>
  <c r="BM289" i="11"/>
  <c r="BM290" i="11"/>
  <c r="BM264" i="11"/>
  <c r="BM265" i="11"/>
  <c r="BM266" i="11"/>
  <c r="BM267" i="11"/>
  <c r="BM268" i="11"/>
  <c r="BM269" i="11"/>
  <c r="BM270" i="11"/>
  <c r="BM277" i="11"/>
  <c r="BM274" i="11"/>
  <c r="BM271" i="11"/>
  <c r="BM279" i="11"/>
  <c r="BM276" i="11"/>
  <c r="BM280" i="11"/>
  <c r="BM281" i="11"/>
  <c r="BM282" i="11"/>
  <c r="BM283" i="11"/>
  <c r="BM272" i="11"/>
  <c r="BM273" i="11"/>
  <c r="BM285" i="11"/>
  <c r="BM287" i="11"/>
  <c r="BM288" i="11"/>
  <c r="BM229" i="11"/>
  <c r="BM230" i="11"/>
  <c r="BM223" i="11"/>
  <c r="BM231" i="11"/>
  <c r="BM232" i="11"/>
  <c r="BM233" i="11"/>
  <c r="BM234" i="11"/>
  <c r="BM236" i="11"/>
  <c r="BM237" i="11"/>
  <c r="BM238" i="11"/>
  <c r="BM239" i="11"/>
  <c r="BM240" i="11"/>
  <c r="BM241" i="11"/>
  <c r="BM242" i="11"/>
  <c r="BM245" i="11"/>
  <c r="BM248" i="11"/>
  <c r="BM249" i="11"/>
  <c r="BM250" i="11"/>
  <c r="BM251" i="11"/>
  <c r="BM226" i="11"/>
  <c r="BM252" i="11"/>
  <c r="BM253" i="11"/>
  <c r="BM254" i="11"/>
  <c r="BM256" i="11"/>
  <c r="BM257" i="11"/>
  <c r="BM259" i="11"/>
  <c r="BM260" i="11"/>
  <c r="BM228" i="11"/>
  <c r="BM222" i="11"/>
  <c r="BM235" i="11"/>
  <c r="BM224" i="11"/>
  <c r="BM243" i="11"/>
  <c r="BM244" i="11"/>
  <c r="BM246" i="11"/>
  <c r="BM247" i="11"/>
  <c r="BM225" i="11"/>
  <c r="BM227" i="11"/>
  <c r="BM255" i="11"/>
  <c r="BM258" i="11"/>
  <c r="BM308" i="11"/>
  <c r="BM309" i="11"/>
  <c r="BM310" i="11"/>
  <c r="BM313" i="11"/>
  <c r="BM314" i="11"/>
  <c r="BM311" i="11"/>
  <c r="BM312" i="11"/>
  <c r="BM315" i="11"/>
  <c r="BM316" i="11"/>
  <c r="BM317" i="11"/>
  <c r="BM318" i="11"/>
  <c r="BM319" i="11"/>
  <c r="BM320" i="11"/>
  <c r="BM321" i="11"/>
  <c r="BM322" i="11"/>
  <c r="BM323" i="11"/>
  <c r="BM324" i="11"/>
  <c r="BM325" i="11"/>
  <c r="BM326" i="11"/>
  <c r="BM297" i="11"/>
  <c r="BM292" i="11"/>
  <c r="BM293" i="11"/>
  <c r="BM298" i="11"/>
  <c r="BM299" i="11"/>
  <c r="BM300" i="11"/>
  <c r="BM301" i="11"/>
  <c r="BM294" i="11"/>
  <c r="BM304" i="11"/>
  <c r="BM305" i="11"/>
  <c r="BM295" i="11"/>
  <c r="BM296" i="11"/>
  <c r="BM306" i="11"/>
  <c r="BM307" i="11"/>
  <c r="BM302" i="11"/>
  <c r="BM291" i="11"/>
  <c r="BM303" i="11"/>
  <c r="BM353" i="11"/>
  <c r="BM355" i="11"/>
  <c r="BM337" i="11"/>
  <c r="BM338" i="11"/>
  <c r="BM339" i="11"/>
  <c r="BM340" i="11"/>
  <c r="BM341" i="11"/>
  <c r="BM342" i="11"/>
  <c r="BM344" i="11"/>
  <c r="BM343" i="11"/>
  <c r="BM345" i="11"/>
  <c r="BM350" i="11"/>
  <c r="BM351" i="11"/>
  <c r="BM352" i="11"/>
  <c r="BM346" i="11"/>
  <c r="BM347" i="11"/>
  <c r="BM354" i="11"/>
  <c r="BM356" i="11"/>
  <c r="BM357" i="11"/>
  <c r="BM348" i="11"/>
  <c r="BM358" i="11"/>
  <c r="BM359" i="11"/>
  <c r="BM349" i="11"/>
  <c r="BM360" i="11"/>
  <c r="BM331" i="11"/>
  <c r="BM332" i="11"/>
  <c r="BM333" i="11"/>
  <c r="BM329" i="11"/>
  <c r="BM334" i="11"/>
  <c r="BM335" i="11"/>
  <c r="BM327" i="11"/>
  <c r="BM328" i="11"/>
  <c r="BM330" i="11"/>
  <c r="BM336" i="11"/>
  <c r="BM361" i="11"/>
  <c r="BM366" i="11"/>
  <c r="BM367" i="11"/>
  <c r="BM368" i="11"/>
  <c r="BM364" i="11"/>
  <c r="BM369" i="11"/>
  <c r="BM370" i="11"/>
  <c r="BM371" i="11"/>
  <c r="BM363" i="11"/>
  <c r="BM365" i="11"/>
  <c r="BM362" i="11"/>
  <c r="BM373" i="11"/>
  <c r="BM374" i="11"/>
  <c r="BM375" i="11"/>
  <c r="F8" i="31" l="1"/>
  <c r="F89" i="31"/>
  <c r="F80" i="31"/>
  <c r="F17" i="31"/>
  <c r="F71" i="31"/>
  <c r="A10" i="31"/>
  <c r="E9" i="31"/>
  <c r="D9" i="31"/>
  <c r="I10" i="27"/>
  <c r="A91" i="31"/>
  <c r="G91" i="31" s="1"/>
  <c r="G92" i="31" s="1"/>
  <c r="E90" i="31"/>
  <c r="D90" i="31"/>
  <c r="A82" i="31"/>
  <c r="D82" i="31" s="1"/>
  <c r="E81" i="31"/>
  <c r="D81" i="31"/>
  <c r="A73" i="31"/>
  <c r="E72" i="31"/>
  <c r="D72" i="31"/>
  <c r="A64" i="31"/>
  <c r="E63" i="31"/>
  <c r="F63" i="31" s="1"/>
  <c r="A55" i="31"/>
  <c r="D55" i="31" s="1"/>
  <c r="E54" i="31"/>
  <c r="F54" i="31" s="1"/>
  <c r="A46" i="31"/>
  <c r="D46" i="31" s="1"/>
  <c r="E45" i="31"/>
  <c r="F45" i="31" s="1"/>
  <c r="A37" i="31"/>
  <c r="E36" i="31"/>
  <c r="A19" i="31"/>
  <c r="D18" i="31"/>
  <c r="F18" i="31" s="1"/>
  <c r="J55" i="27"/>
  <c r="J65" i="27"/>
  <c r="H3" i="17"/>
  <c r="G3" i="17"/>
  <c r="F3" i="17"/>
  <c r="E3" i="17"/>
  <c r="D3" i="17"/>
  <c r="BP355" i="11"/>
  <c r="BQ355" i="11" s="1"/>
  <c r="BR355" i="11" s="1"/>
  <c r="BP353" i="11"/>
  <c r="BQ353" i="11" s="1"/>
  <c r="BR353" i="11" s="1"/>
  <c r="BP255" i="11"/>
  <c r="BQ255" i="11" s="1"/>
  <c r="BR255" i="11" s="1"/>
  <c r="BP244" i="11"/>
  <c r="BQ244" i="11" s="1"/>
  <c r="BR244" i="11" s="1"/>
  <c r="BP243" i="11"/>
  <c r="BQ243" i="11" s="1"/>
  <c r="BR243" i="11" s="1"/>
  <c r="BP224" i="11"/>
  <c r="BQ224" i="11" s="1"/>
  <c r="BR224" i="11" s="1"/>
  <c r="BP222" i="11"/>
  <c r="BQ222" i="11" s="1"/>
  <c r="BR222" i="11" s="1"/>
  <c r="BP228" i="11"/>
  <c r="BQ228" i="11" s="1"/>
  <c r="BR228" i="11" s="1"/>
  <c r="BP261" i="11"/>
  <c r="BQ261" i="11" s="1"/>
  <c r="BR261" i="11" s="1"/>
  <c r="BP153" i="11"/>
  <c r="BQ153" i="11" s="1"/>
  <c r="BR153" i="11" s="1"/>
  <c r="BP139" i="11"/>
  <c r="BQ139" i="11" s="1"/>
  <c r="BR139" i="11" s="1"/>
  <c r="BP133" i="11"/>
  <c r="BQ133" i="11" s="1"/>
  <c r="BR133" i="11" s="1"/>
  <c r="BP123" i="11"/>
  <c r="BQ123" i="11" s="1"/>
  <c r="BR123" i="11" s="1"/>
  <c r="BP221" i="11"/>
  <c r="BQ221" i="11" s="1"/>
  <c r="BR221" i="11" s="1"/>
  <c r="BP218" i="11"/>
  <c r="BQ218" i="11" s="1"/>
  <c r="BR218" i="11" s="1"/>
  <c r="BP217" i="11"/>
  <c r="BQ217" i="11" s="1"/>
  <c r="BR217" i="11" s="1"/>
  <c r="BP216" i="11"/>
  <c r="BQ216" i="11" s="1"/>
  <c r="BR216" i="11" s="1"/>
  <c r="BP212" i="11"/>
  <c r="BQ212" i="11" s="1"/>
  <c r="BR212" i="11" s="1"/>
  <c r="BP211" i="11"/>
  <c r="BQ211" i="11" s="1"/>
  <c r="BR211" i="11" s="1"/>
  <c r="BP210" i="11"/>
  <c r="BQ210" i="11" s="1"/>
  <c r="BR210" i="11" s="1"/>
  <c r="BP209" i="11"/>
  <c r="BQ209" i="11" s="1"/>
  <c r="BR209" i="11" s="1"/>
  <c r="BP208" i="11"/>
  <c r="BQ208" i="11" s="1"/>
  <c r="BR208" i="11" s="1"/>
  <c r="BP206" i="11"/>
  <c r="BQ206" i="11" s="1"/>
  <c r="BR206" i="11" s="1"/>
  <c r="BP203" i="11"/>
  <c r="BQ203" i="11" s="1"/>
  <c r="BR203" i="11" s="1"/>
  <c r="BP189" i="11"/>
  <c r="BQ189" i="11" s="1"/>
  <c r="BR189" i="11" s="1"/>
  <c r="BP199" i="11"/>
  <c r="BQ199" i="11" s="1"/>
  <c r="BR199" i="11" s="1"/>
  <c r="BP198" i="11"/>
  <c r="BQ198" i="11" s="1"/>
  <c r="BR198" i="11" s="1"/>
  <c r="BP197" i="11"/>
  <c r="BQ197" i="11" s="1"/>
  <c r="BR197" i="11" s="1"/>
  <c r="BP195" i="11"/>
  <c r="BQ195" i="11" s="1"/>
  <c r="BR195" i="11" s="1"/>
  <c r="BP193" i="11"/>
  <c r="BQ193" i="11" s="1"/>
  <c r="BR193" i="11" s="1"/>
  <c r="BP191" i="11"/>
  <c r="BQ191" i="11" s="1"/>
  <c r="BR191" i="11" s="1"/>
  <c r="BP174" i="11"/>
  <c r="BQ174" i="11" s="1"/>
  <c r="BR174" i="11" s="1"/>
  <c r="BP170" i="11"/>
  <c r="BQ170" i="11" s="1"/>
  <c r="BR170" i="11" s="1"/>
  <c r="BP168" i="11"/>
  <c r="BQ168" i="11" s="1"/>
  <c r="BR168" i="11" s="1"/>
  <c r="BP163" i="11"/>
  <c r="BQ163" i="11" s="1"/>
  <c r="BR163" i="11" s="1"/>
  <c r="BP161" i="11"/>
  <c r="BQ161" i="11" s="1"/>
  <c r="BR161" i="11" s="1"/>
  <c r="BP158" i="11"/>
  <c r="BQ158" i="11" s="1"/>
  <c r="BR158" i="11" s="1"/>
  <c r="BP88" i="11"/>
  <c r="BQ88" i="11" s="1"/>
  <c r="BR88" i="11" s="1"/>
  <c r="BP86" i="11"/>
  <c r="BQ86" i="11" s="1"/>
  <c r="BR86" i="11" s="1"/>
  <c r="BP84" i="11"/>
  <c r="BQ84" i="11" s="1"/>
  <c r="BR84" i="11" s="1"/>
  <c r="BP77" i="11"/>
  <c r="BQ77" i="11" s="1"/>
  <c r="BR77" i="11" s="1"/>
  <c r="BP74" i="11"/>
  <c r="BQ74" i="11" s="1"/>
  <c r="BR74" i="11" s="1"/>
  <c r="BP116" i="11"/>
  <c r="BQ116" i="11" s="1"/>
  <c r="BR116" i="11" s="1"/>
  <c r="BP115" i="11"/>
  <c r="BQ115" i="11" s="1"/>
  <c r="BR115" i="11" s="1"/>
  <c r="BP113" i="11"/>
  <c r="BQ113" i="11" s="1"/>
  <c r="BR113" i="11" s="1"/>
  <c r="BP111" i="11"/>
  <c r="BQ111" i="11" s="1"/>
  <c r="BR111" i="11" s="1"/>
  <c r="BP108" i="11"/>
  <c r="BQ108" i="11" s="1"/>
  <c r="BR108" i="11" s="1"/>
  <c r="BP107" i="11"/>
  <c r="BQ107" i="11" s="1"/>
  <c r="BR107" i="11" s="1"/>
  <c r="BP106" i="11"/>
  <c r="BQ106" i="11" s="1"/>
  <c r="BR106" i="11" s="1"/>
  <c r="BP105" i="11"/>
  <c r="BQ105" i="11" s="1"/>
  <c r="BR105" i="11" s="1"/>
  <c r="BP103" i="11"/>
  <c r="BQ103" i="11" s="1"/>
  <c r="BR103" i="11" s="1"/>
  <c r="BP102" i="11"/>
  <c r="BQ102" i="11" s="1"/>
  <c r="BR102" i="11" s="1"/>
  <c r="BP98" i="11"/>
  <c r="BQ98" i="11" s="1"/>
  <c r="BR98" i="11" s="1"/>
  <c r="BP92" i="11"/>
  <c r="BQ92" i="11" s="1"/>
  <c r="BR92" i="11" s="1"/>
  <c r="BP94" i="11"/>
  <c r="BQ94" i="11" s="1"/>
  <c r="BR94" i="11" s="1"/>
  <c r="BP50" i="11"/>
  <c r="BQ50" i="11" s="1"/>
  <c r="BR50" i="11" s="1"/>
  <c r="BP55" i="11"/>
  <c r="BQ55" i="11" s="1"/>
  <c r="BR55" i="11" s="1"/>
  <c r="BP51" i="11"/>
  <c r="BQ51" i="11" s="1"/>
  <c r="BR51" i="11" s="1"/>
  <c r="BP72" i="11"/>
  <c r="BQ72" i="11" s="1"/>
  <c r="BR72" i="11" s="1"/>
  <c r="BP71" i="11"/>
  <c r="BQ71" i="11" s="1"/>
  <c r="BR71" i="11" s="1"/>
  <c r="BP70" i="11"/>
  <c r="BQ70" i="11" s="1"/>
  <c r="BR70" i="11" s="1"/>
  <c r="BP63" i="11"/>
  <c r="BQ63" i="11" s="1"/>
  <c r="BR63" i="11" s="1"/>
  <c r="BP66" i="11"/>
  <c r="BQ66" i="11" s="1"/>
  <c r="BR66" i="11" s="1"/>
  <c r="BP62" i="11"/>
  <c r="BQ62" i="11" s="1"/>
  <c r="BR62" i="11" s="1"/>
  <c r="BP61" i="11"/>
  <c r="BQ61" i="11" s="1"/>
  <c r="BR61" i="11" s="1"/>
  <c r="BP65" i="11"/>
  <c r="BQ65" i="11" s="1"/>
  <c r="BR65" i="11" s="1"/>
  <c r="BP64" i="11"/>
  <c r="BQ64" i="11" s="1"/>
  <c r="BR64" i="11" s="1"/>
  <c r="BP33" i="11"/>
  <c r="BQ33" i="11" s="1"/>
  <c r="BR33" i="11" s="1"/>
  <c r="BP32" i="11"/>
  <c r="BQ32" i="11" s="1"/>
  <c r="BR32" i="11" s="1"/>
  <c r="BP31" i="11"/>
  <c r="BQ31" i="11" s="1"/>
  <c r="BR31" i="11" s="1"/>
  <c r="BP30" i="11"/>
  <c r="BQ30" i="11" s="1"/>
  <c r="BR30" i="11" s="1"/>
  <c r="BP29" i="11"/>
  <c r="BQ29" i="11" s="1"/>
  <c r="BR29" i="11" s="1"/>
  <c r="BP28" i="11"/>
  <c r="BQ28" i="11" s="1"/>
  <c r="BR28" i="11" s="1"/>
  <c r="BP47" i="11"/>
  <c r="BQ47" i="11" s="1"/>
  <c r="BR47" i="11" s="1"/>
  <c r="BP46" i="11"/>
  <c r="BQ46" i="11" s="1"/>
  <c r="BR46" i="11" s="1"/>
  <c r="BP45" i="11"/>
  <c r="BQ45" i="11" s="1"/>
  <c r="BR45" i="11" s="1"/>
  <c r="BP44" i="11"/>
  <c r="BQ44" i="11" s="1"/>
  <c r="BR44" i="11" s="1"/>
  <c r="BP43" i="11"/>
  <c r="BQ43" i="11" s="1"/>
  <c r="BR43" i="11" s="1"/>
  <c r="BP42" i="11"/>
  <c r="BQ42" i="11" s="1"/>
  <c r="BR42" i="11" s="1"/>
  <c r="BP41" i="11"/>
  <c r="BQ41" i="11" s="1"/>
  <c r="BR41" i="11" s="1"/>
  <c r="BP34" i="11"/>
  <c r="BQ34" i="11" s="1"/>
  <c r="BR34" i="11" s="1"/>
  <c r="BP48" i="11"/>
  <c r="BQ48" i="11" s="1"/>
  <c r="BR48" i="11" s="1"/>
  <c r="BP39" i="11"/>
  <c r="BQ39" i="11" s="1"/>
  <c r="BR39" i="11" s="1"/>
  <c r="BP38" i="11"/>
  <c r="BQ38" i="11" s="1"/>
  <c r="BR38" i="11" s="1"/>
  <c r="BP37" i="11"/>
  <c r="BQ37" i="11" s="1"/>
  <c r="BR37" i="11" s="1"/>
  <c r="BP36" i="11"/>
  <c r="BQ36" i="11" s="1"/>
  <c r="BR36" i="11" s="1"/>
  <c r="BP35" i="11"/>
  <c r="BQ35" i="11" s="1"/>
  <c r="BR35" i="11" s="1"/>
  <c r="BP14" i="11"/>
  <c r="BQ14" i="11" s="1"/>
  <c r="BR14" i="11" s="1"/>
  <c r="BP13" i="11"/>
  <c r="BQ13" i="11" s="1"/>
  <c r="BR13" i="11" s="1"/>
  <c r="BP11" i="11"/>
  <c r="BQ11" i="11" s="1"/>
  <c r="BR11" i="11" s="1"/>
  <c r="BP8" i="11"/>
  <c r="BQ8" i="11" s="1"/>
  <c r="BR8" i="11" s="1"/>
  <c r="BP6" i="11"/>
  <c r="BQ6" i="11" s="1"/>
  <c r="BR6" i="11" s="1"/>
  <c r="BP5" i="11"/>
  <c r="BQ5" i="11" s="1"/>
  <c r="BR5" i="11" s="1"/>
  <c r="BP27" i="11"/>
  <c r="BQ27" i="11" s="1"/>
  <c r="BR27" i="11" s="1"/>
  <c r="BP26" i="11"/>
  <c r="BQ26" i="11" s="1"/>
  <c r="BR26" i="11" s="1"/>
  <c r="BP25" i="11"/>
  <c r="BQ25" i="11" s="1"/>
  <c r="BR25" i="11" s="1"/>
  <c r="BP24" i="11"/>
  <c r="BQ24" i="11" s="1"/>
  <c r="BR24" i="11" s="1"/>
  <c r="BP23" i="11"/>
  <c r="BQ23" i="11" s="1"/>
  <c r="BR23" i="11" s="1"/>
  <c r="BP22" i="11"/>
  <c r="BQ22" i="11" s="1"/>
  <c r="BR22" i="11" s="1"/>
  <c r="BP21" i="11"/>
  <c r="BQ21" i="11" s="1"/>
  <c r="BR21" i="11" s="1"/>
  <c r="BP20" i="11"/>
  <c r="BQ20" i="11" s="1"/>
  <c r="BR20" i="11" s="1"/>
  <c r="BP19" i="11"/>
  <c r="BQ19" i="11" s="1"/>
  <c r="BR19" i="11" s="1"/>
  <c r="BP18" i="11"/>
  <c r="BQ18" i="11" s="1"/>
  <c r="BR18" i="11" s="1"/>
  <c r="BP17" i="11"/>
  <c r="BQ17" i="11" s="1"/>
  <c r="BR17" i="11" s="1"/>
  <c r="BP16" i="11"/>
  <c r="BQ16" i="11" s="1"/>
  <c r="BR16" i="11" s="1"/>
  <c r="AN306" i="11"/>
  <c r="AN307" i="11"/>
  <c r="AN302" i="11"/>
  <c r="AN291" i="11"/>
  <c r="AN303" i="11"/>
  <c r="AN337" i="11"/>
  <c r="AN338" i="11"/>
  <c r="AN339" i="11"/>
  <c r="AN340" i="11"/>
  <c r="AN341" i="11"/>
  <c r="AN342" i="11"/>
  <c r="AN343" i="11"/>
  <c r="AN345" i="11"/>
  <c r="AN350" i="11"/>
  <c r="AN352" i="11"/>
  <c r="AN346" i="11"/>
  <c r="AN347" i="11"/>
  <c r="AN354" i="11"/>
  <c r="AN356" i="11"/>
  <c r="AN348" i="11"/>
  <c r="AN359" i="11"/>
  <c r="AN360" i="11"/>
  <c r="AN331" i="11"/>
  <c r="AN332" i="11"/>
  <c r="AN333" i="11"/>
  <c r="AN329" i="11"/>
  <c r="AN334" i="11"/>
  <c r="AN335" i="11"/>
  <c r="AN327" i="11"/>
  <c r="AN328" i="11"/>
  <c r="AN330" i="11"/>
  <c r="AN336" i="11"/>
  <c r="AN361" i="11"/>
  <c r="AN366" i="11"/>
  <c r="AN367" i="11"/>
  <c r="AN368" i="11"/>
  <c r="AN364" i="11"/>
  <c r="AN369" i="11"/>
  <c r="AN370" i="11"/>
  <c r="AN371" i="11"/>
  <c r="AN363" i="11"/>
  <c r="AN362" i="11"/>
  <c r="AN373" i="11"/>
  <c r="AN374" i="11"/>
  <c r="AN293" i="11"/>
  <c r="AN298" i="11"/>
  <c r="AN299" i="11"/>
  <c r="AN300" i="11"/>
  <c r="AN301" i="11"/>
  <c r="AN294" i="11"/>
  <c r="AN304" i="11"/>
  <c r="AN305" i="11"/>
  <c r="AN295" i="11"/>
  <c r="AN296" i="11"/>
  <c r="AN228" i="11"/>
  <c r="AN222" i="11"/>
  <c r="AN235" i="11"/>
  <c r="AN224" i="11"/>
  <c r="AN243" i="11"/>
  <c r="AN244" i="11"/>
  <c r="AN246" i="11"/>
  <c r="AN247" i="11"/>
  <c r="AN225" i="11"/>
  <c r="AN227" i="11"/>
  <c r="AN255" i="11"/>
  <c r="AN258" i="11"/>
  <c r="AN308" i="11"/>
  <c r="AN309" i="11"/>
  <c r="AN310" i="11"/>
  <c r="AN123" i="11"/>
  <c r="AN129" i="11"/>
  <c r="AN133" i="11"/>
  <c r="AN139" i="11"/>
  <c r="AN145" i="11"/>
  <c r="AN153" i="11"/>
  <c r="AN262" i="11"/>
  <c r="AN261" i="11"/>
  <c r="AN263" i="11"/>
  <c r="AN275" i="11"/>
  <c r="AN278" i="11"/>
  <c r="AN284" i="11"/>
  <c r="AN286" i="11"/>
  <c r="AN289" i="11"/>
  <c r="AN290" i="11"/>
  <c r="AN264" i="11"/>
  <c r="AN265" i="11"/>
  <c r="AN266" i="11"/>
  <c r="AN267" i="11"/>
  <c r="AN268" i="11"/>
  <c r="AN269" i="11"/>
  <c r="AN270" i="11"/>
  <c r="AN277" i="11"/>
  <c r="AN274" i="11"/>
  <c r="AN271" i="11"/>
  <c r="AN279" i="11"/>
  <c r="AN276" i="11"/>
  <c r="AN280" i="11"/>
  <c r="AN281" i="11"/>
  <c r="AN282" i="11"/>
  <c r="AN272" i="11"/>
  <c r="AN273" i="11"/>
  <c r="AN285" i="11"/>
  <c r="AN287" i="11"/>
  <c r="AN288" i="11"/>
  <c r="AN229" i="11"/>
  <c r="AN230" i="11"/>
  <c r="AN223" i="11"/>
  <c r="AN231" i="11"/>
  <c r="AN232" i="11"/>
  <c r="AN233" i="11"/>
  <c r="AN234" i="11"/>
  <c r="AN236" i="11"/>
  <c r="AN237" i="11"/>
  <c r="AN238" i="11"/>
  <c r="AN239" i="11"/>
  <c r="AN240" i="11"/>
  <c r="AN241" i="11"/>
  <c r="AN242" i="11"/>
  <c r="AN245" i="11"/>
  <c r="AN248" i="11"/>
  <c r="AN249" i="11"/>
  <c r="AN250" i="11"/>
  <c r="AN251" i="11"/>
  <c r="AN226" i="11"/>
  <c r="AN252" i="11"/>
  <c r="AN253" i="11"/>
  <c r="AN254" i="11"/>
  <c r="AN256" i="11"/>
  <c r="AN257" i="11"/>
  <c r="AN259" i="11"/>
  <c r="AN260" i="11"/>
  <c r="AN215" i="11"/>
  <c r="AN216" i="11"/>
  <c r="AN217" i="11"/>
  <c r="AN218" i="11"/>
  <c r="AN219" i="11"/>
  <c r="AN220" i="11"/>
  <c r="AN221" i="11"/>
  <c r="AN125" i="11"/>
  <c r="AN117" i="11"/>
  <c r="AN126" i="11"/>
  <c r="AN127" i="11"/>
  <c r="AN128" i="11"/>
  <c r="AN130" i="11"/>
  <c r="AN118" i="11"/>
  <c r="AN119" i="11"/>
  <c r="AN131" i="11"/>
  <c r="AN132" i="11"/>
  <c r="AN134" i="11"/>
  <c r="AN135" i="11"/>
  <c r="AN136" i="11"/>
  <c r="AN137" i="11"/>
  <c r="AN138" i="11"/>
  <c r="AN140" i="11"/>
  <c r="AN141" i="11"/>
  <c r="AN142" i="11"/>
  <c r="AN143" i="11"/>
  <c r="AN144" i="11"/>
  <c r="AN146" i="11"/>
  <c r="AN147" i="11"/>
  <c r="AN148" i="11"/>
  <c r="AN149" i="11"/>
  <c r="AN150" i="11"/>
  <c r="AN151" i="11"/>
  <c r="AN152" i="11"/>
  <c r="AN120" i="11"/>
  <c r="AN121" i="11"/>
  <c r="AN201" i="11"/>
  <c r="AN214" i="11"/>
  <c r="AN206" i="11"/>
  <c r="AN207" i="11"/>
  <c r="AN208" i="11"/>
  <c r="AN209" i="11"/>
  <c r="AN210" i="11"/>
  <c r="AN122" i="11"/>
  <c r="AN211" i="11"/>
  <c r="AN212" i="11"/>
  <c r="AN213" i="11"/>
  <c r="AN124" i="11"/>
  <c r="AN197" i="11"/>
  <c r="AN198" i="11"/>
  <c r="AN199" i="11"/>
  <c r="AN189" i="11"/>
  <c r="AN200" i="11"/>
  <c r="AN164" i="11"/>
  <c r="AN166" i="11"/>
  <c r="AN202" i="11"/>
  <c r="AN191" i="11"/>
  <c r="AN192" i="11"/>
  <c r="AN193" i="11"/>
  <c r="AN194" i="11"/>
  <c r="AN195" i="11"/>
  <c r="AN162" i="11"/>
  <c r="AN105" i="11"/>
  <c r="AN106" i="11"/>
  <c r="AN107" i="11"/>
  <c r="AN108" i="11"/>
  <c r="AN111" i="11"/>
  <c r="AN113" i="11"/>
  <c r="AN114" i="11"/>
  <c r="AN115" i="11"/>
  <c r="AN116" i="11"/>
  <c r="AN74" i="11"/>
  <c r="AN77" i="11"/>
  <c r="AN84" i="11"/>
  <c r="AN86" i="11"/>
  <c r="AN88" i="11"/>
  <c r="AN90" i="11"/>
  <c r="AN156" i="11"/>
  <c r="AN158" i="11"/>
  <c r="AN159" i="11"/>
  <c r="AN161" i="11"/>
  <c r="AN163" i="11"/>
  <c r="AN165" i="11"/>
  <c r="AN168" i="11"/>
  <c r="AN170" i="11"/>
  <c r="AN174" i="11"/>
  <c r="AN175" i="11"/>
  <c r="AN176" i="11"/>
  <c r="AN177" i="11"/>
  <c r="AN178" i="11"/>
  <c r="AN183" i="11"/>
  <c r="AN186" i="11"/>
  <c r="AN155" i="11"/>
  <c r="AN157" i="11"/>
  <c r="AN160" i="11"/>
  <c r="AN190" i="11"/>
  <c r="AN104" i="11"/>
  <c r="AN109" i="11"/>
  <c r="AN110" i="11"/>
  <c r="AN112" i="11"/>
  <c r="AN94" i="11"/>
  <c r="AN95" i="11"/>
  <c r="AN96" i="11"/>
  <c r="AN93" i="11"/>
  <c r="AN97" i="11"/>
  <c r="AN92" i="11"/>
  <c r="AN98" i="11"/>
  <c r="AN99" i="11"/>
  <c r="AN100" i="11"/>
  <c r="AN75" i="11"/>
  <c r="AN102" i="11"/>
  <c r="AN103" i="11"/>
  <c r="AN76" i="11"/>
  <c r="AN78" i="11"/>
  <c r="AN79" i="11"/>
  <c r="AN80" i="11"/>
  <c r="AN81" i="11"/>
  <c r="AN82" i="11"/>
  <c r="AN73" i="11"/>
  <c r="AN83" i="11"/>
  <c r="AN85" i="11"/>
  <c r="AN87" i="11"/>
  <c r="AN89" i="11"/>
  <c r="AN91" i="11"/>
  <c r="AN101" i="11"/>
  <c r="AN2" i="11"/>
  <c r="AN16" i="11"/>
  <c r="AN17" i="11"/>
  <c r="AN18" i="11"/>
  <c r="AN19" i="11"/>
  <c r="AN20" i="11"/>
  <c r="AN21" i="11"/>
  <c r="AN22" i="11"/>
  <c r="AN7" i="11"/>
  <c r="AN9" i="11"/>
  <c r="AN12" i="11"/>
  <c r="AN15" i="11"/>
  <c r="AN23" i="11"/>
  <c r="AN24" i="11"/>
  <c r="AN25" i="11"/>
  <c r="AN26" i="11"/>
  <c r="AN27" i="11"/>
  <c r="AN5" i="11"/>
  <c r="AN6" i="11"/>
  <c r="AN4" i="11"/>
  <c r="AN8" i="11"/>
  <c r="AN10" i="11"/>
  <c r="AN11" i="11"/>
  <c r="AN13" i="11"/>
  <c r="AN14" i="11"/>
  <c r="AN35" i="11"/>
  <c r="AN36" i="11"/>
  <c r="AN37" i="11"/>
  <c r="AN38" i="11"/>
  <c r="AN39" i="11"/>
  <c r="AN40" i="11"/>
  <c r="AN48" i="11"/>
  <c r="AN34" i="11"/>
  <c r="AN41" i="11"/>
  <c r="AN42" i="11"/>
  <c r="AN43" i="11"/>
  <c r="AN44" i="11"/>
  <c r="AN45" i="11"/>
  <c r="AN46" i="11"/>
  <c r="AN47" i="11"/>
  <c r="AN28" i="11"/>
  <c r="AN29" i="11"/>
  <c r="AN30" i="11"/>
  <c r="AN31" i="11"/>
  <c r="AN32" i="11"/>
  <c r="AN33" i="11"/>
  <c r="AN64" i="11"/>
  <c r="AN65" i="11"/>
  <c r="AN61" i="11"/>
  <c r="AN62" i="11"/>
  <c r="AN66" i="11"/>
  <c r="AN63" i="11"/>
  <c r="AN70" i="11"/>
  <c r="AN71" i="11"/>
  <c r="AN72" i="11"/>
  <c r="AN68" i="11"/>
  <c r="AN69" i="11"/>
  <c r="AN52" i="11"/>
  <c r="AN49" i="11"/>
  <c r="AN53" i="11"/>
  <c r="AN56" i="11"/>
  <c r="AN58" i="11"/>
  <c r="AN59" i="11"/>
  <c r="AN60" i="11"/>
  <c r="AN51" i="11"/>
  <c r="AN67" i="11"/>
  <c r="AM313" i="11"/>
  <c r="AM314" i="11"/>
  <c r="AN314" i="11" s="1"/>
  <c r="AM311" i="11"/>
  <c r="AN311" i="11" s="1"/>
  <c r="AM312" i="11"/>
  <c r="AN312" i="11" s="1"/>
  <c r="AM315" i="11"/>
  <c r="AM316" i="11"/>
  <c r="BS316" i="11" s="1"/>
  <c r="AM317" i="11"/>
  <c r="BS317" i="11" s="1"/>
  <c r="AM318" i="11"/>
  <c r="BS318" i="11" s="1"/>
  <c r="AM319" i="11"/>
  <c r="AN319" i="11" s="1"/>
  <c r="AM320" i="11"/>
  <c r="AN320" i="11" s="1"/>
  <c r="AM321" i="11"/>
  <c r="AN321" i="11" s="1"/>
  <c r="AM322" i="11"/>
  <c r="AN322" i="11" s="1"/>
  <c r="AM323" i="11"/>
  <c r="AN323" i="11" s="1"/>
  <c r="AM324" i="11"/>
  <c r="BS324" i="11" s="1"/>
  <c r="AM325" i="11"/>
  <c r="BS325" i="11" s="1"/>
  <c r="AM326" i="11"/>
  <c r="BS326" i="11" s="1"/>
  <c r="AM297" i="11"/>
  <c r="AM292" i="11"/>
  <c r="BS292" i="11" s="1"/>
  <c r="AN169" i="11"/>
  <c r="AN171" i="11"/>
  <c r="BS172" i="11"/>
  <c r="BS173" i="11"/>
  <c r="BS179" i="11"/>
  <c r="AN180" i="11"/>
  <c r="AN154" i="11"/>
  <c r="AN181" i="11"/>
  <c r="AN182" i="11"/>
  <c r="AN184" i="11"/>
  <c r="BS185" i="11"/>
  <c r="BS187" i="11"/>
  <c r="BS188" i="11"/>
  <c r="AM196" i="11"/>
  <c r="AI67" i="11"/>
  <c r="AI68" i="11"/>
  <c r="AI69" i="11"/>
  <c r="AI52" i="11"/>
  <c r="AI49" i="11"/>
  <c r="AI53" i="11"/>
  <c r="AI56" i="11"/>
  <c r="AI58" i="11"/>
  <c r="AI59" i="11"/>
  <c r="AI60" i="11"/>
  <c r="AI51" i="11"/>
  <c r="AI54" i="11"/>
  <c r="AI55" i="11"/>
  <c r="AI50" i="11"/>
  <c r="AI57" i="11"/>
  <c r="AI101" i="11"/>
  <c r="AI109" i="11"/>
  <c r="AI110" i="11"/>
  <c r="AI112" i="11"/>
  <c r="AI94" i="11"/>
  <c r="AI95" i="11"/>
  <c r="AI96" i="11"/>
  <c r="AI93" i="11"/>
  <c r="AI97" i="11"/>
  <c r="AI92" i="11"/>
  <c r="AI98" i="11"/>
  <c r="AI99" i="11"/>
  <c r="AI100" i="11"/>
  <c r="AI75" i="11"/>
  <c r="AI102" i="11"/>
  <c r="AI103" i="11"/>
  <c r="AI76" i="11"/>
  <c r="AI78" i="11"/>
  <c r="AI79" i="11"/>
  <c r="AI80" i="11"/>
  <c r="AI81" i="11"/>
  <c r="AI82" i="11"/>
  <c r="AI73" i="11"/>
  <c r="AI83" i="11"/>
  <c r="AI85" i="11"/>
  <c r="AI87" i="11"/>
  <c r="AI89" i="11"/>
  <c r="AI91" i="11"/>
  <c r="AI105" i="11"/>
  <c r="AI106" i="11"/>
  <c r="AI107" i="11"/>
  <c r="AI108" i="11"/>
  <c r="AI111" i="11"/>
  <c r="AI113" i="11"/>
  <c r="AI114" i="11"/>
  <c r="AI115" i="11"/>
  <c r="AI116" i="11"/>
  <c r="AI74" i="11"/>
  <c r="AI77" i="11"/>
  <c r="AI84" i="11"/>
  <c r="AI86" i="11"/>
  <c r="AI88" i="11"/>
  <c r="AI90" i="11"/>
  <c r="AI156" i="11"/>
  <c r="AI158" i="11"/>
  <c r="AI159" i="11"/>
  <c r="AI161" i="11"/>
  <c r="AI163" i="11"/>
  <c r="AI165" i="11"/>
  <c r="AI168" i="11"/>
  <c r="AI170" i="11"/>
  <c r="AI174" i="11"/>
  <c r="AI175" i="11"/>
  <c r="AI176" i="11"/>
  <c r="AI177" i="11"/>
  <c r="AI178" i="11"/>
  <c r="AI183" i="11"/>
  <c r="AI186" i="11"/>
  <c r="AI155" i="11"/>
  <c r="AI157" i="11"/>
  <c r="AI160" i="11"/>
  <c r="AI190" i="11"/>
  <c r="AI191" i="11"/>
  <c r="AI192" i="11"/>
  <c r="AI193" i="11"/>
  <c r="AI194" i="11"/>
  <c r="AI195" i="11"/>
  <c r="AI162" i="11"/>
  <c r="AI197" i="11"/>
  <c r="AI198" i="11"/>
  <c r="AI199" i="11"/>
  <c r="AI189" i="11"/>
  <c r="AI200" i="11"/>
  <c r="AI164" i="11"/>
  <c r="AI166" i="11"/>
  <c r="AI202" i="11"/>
  <c r="AI203" i="11"/>
  <c r="AI204" i="11"/>
  <c r="AI205" i="11"/>
  <c r="AI167" i="11"/>
  <c r="AI169" i="11"/>
  <c r="AI171" i="11"/>
  <c r="AI172" i="11"/>
  <c r="AI173" i="11"/>
  <c r="AI179" i="11"/>
  <c r="AI180" i="11"/>
  <c r="AI154" i="11"/>
  <c r="AI181" i="11"/>
  <c r="AI182" i="11"/>
  <c r="AI184" i="11"/>
  <c r="AI185" i="11"/>
  <c r="AI187" i="11"/>
  <c r="AI188" i="11"/>
  <c r="AI196" i="11"/>
  <c r="AI201" i="11"/>
  <c r="AI214" i="11"/>
  <c r="AI206" i="11"/>
  <c r="AI207" i="11"/>
  <c r="AI208" i="11"/>
  <c r="AI209" i="11"/>
  <c r="AI210" i="11"/>
  <c r="AI122" i="11"/>
  <c r="AI211" i="11"/>
  <c r="AI212" i="11"/>
  <c r="AI213" i="11"/>
  <c r="AI124" i="11"/>
  <c r="AI215" i="11"/>
  <c r="AI216" i="11"/>
  <c r="AI217" i="11"/>
  <c r="AI218" i="11"/>
  <c r="AI219" i="11"/>
  <c r="AI220" i="11"/>
  <c r="AI221" i="11"/>
  <c r="AI125" i="11"/>
  <c r="AI117" i="11"/>
  <c r="AI126" i="11"/>
  <c r="AI127" i="11"/>
  <c r="AI128" i="11"/>
  <c r="AI130" i="11"/>
  <c r="AI118" i="11"/>
  <c r="AI119" i="11"/>
  <c r="AI131" i="11"/>
  <c r="AI132" i="11"/>
  <c r="AI134" i="11"/>
  <c r="AI135" i="11"/>
  <c r="AI136" i="11"/>
  <c r="AI137" i="11"/>
  <c r="AI138" i="11"/>
  <c r="AI140" i="11"/>
  <c r="AI141" i="11"/>
  <c r="AI142" i="11"/>
  <c r="AI143" i="11"/>
  <c r="AI144" i="11"/>
  <c r="AI146" i="11"/>
  <c r="AI147" i="11"/>
  <c r="AI148" i="11"/>
  <c r="AI149" i="11"/>
  <c r="AI150" i="11"/>
  <c r="AI151" i="11"/>
  <c r="AI152" i="11"/>
  <c r="AI120" i="11"/>
  <c r="AI121" i="11"/>
  <c r="AI123" i="11"/>
  <c r="AI129" i="11"/>
  <c r="AI133" i="11"/>
  <c r="AI139" i="11"/>
  <c r="AI145" i="11"/>
  <c r="AI153" i="11"/>
  <c r="AI262" i="11"/>
  <c r="AI261" i="11"/>
  <c r="AI263" i="11"/>
  <c r="AI275" i="11"/>
  <c r="AI278" i="11"/>
  <c r="AI284" i="11"/>
  <c r="AI286" i="11"/>
  <c r="AI289" i="11"/>
  <c r="AI290" i="11"/>
  <c r="AI264" i="11"/>
  <c r="AI265" i="11"/>
  <c r="AI266" i="11"/>
  <c r="AI267" i="11"/>
  <c r="AI268" i="11"/>
  <c r="AI269" i="11"/>
  <c r="AI270" i="11"/>
  <c r="AI277" i="11"/>
  <c r="AI274" i="11"/>
  <c r="AI271" i="11"/>
  <c r="AI279" i="11"/>
  <c r="AI276" i="11"/>
  <c r="AI280" i="11"/>
  <c r="AI281" i="11"/>
  <c r="AI282" i="11"/>
  <c r="AI283" i="11"/>
  <c r="AI272" i="11"/>
  <c r="AI273" i="11"/>
  <c r="AI285" i="11"/>
  <c r="AI287" i="11"/>
  <c r="AI288" i="11"/>
  <c r="AI229" i="11"/>
  <c r="AI230" i="11"/>
  <c r="AI223" i="11"/>
  <c r="AI231" i="11"/>
  <c r="AI232" i="11"/>
  <c r="AI233" i="11"/>
  <c r="AI234" i="11"/>
  <c r="AI236" i="11"/>
  <c r="AI237" i="11"/>
  <c r="AI238" i="11"/>
  <c r="AI239" i="11"/>
  <c r="AI240" i="11"/>
  <c r="AI241" i="11"/>
  <c r="AI242" i="11"/>
  <c r="AI245" i="11"/>
  <c r="AI248" i="11"/>
  <c r="AI249" i="11"/>
  <c r="AI250" i="11"/>
  <c r="AI251" i="11"/>
  <c r="AI226" i="11"/>
  <c r="AI252" i="11"/>
  <c r="AI253" i="11"/>
  <c r="AI254" i="11"/>
  <c r="AI256" i="11"/>
  <c r="AI257" i="11"/>
  <c r="AI259" i="11"/>
  <c r="AI260" i="11"/>
  <c r="AI228" i="11"/>
  <c r="AI222" i="11"/>
  <c r="AI235" i="11"/>
  <c r="AI224" i="11"/>
  <c r="AI243" i="11"/>
  <c r="AI244" i="11"/>
  <c r="AI246" i="11"/>
  <c r="AI247" i="11"/>
  <c r="AI225" i="11"/>
  <c r="AI227" i="11"/>
  <c r="AI255" i="11"/>
  <c r="AI308" i="11"/>
  <c r="AI309" i="11"/>
  <c r="AI310" i="11"/>
  <c r="AI313" i="11"/>
  <c r="AI314" i="11"/>
  <c r="AI311" i="11"/>
  <c r="AI312" i="11"/>
  <c r="AI315" i="11"/>
  <c r="AI316" i="11"/>
  <c r="AI317" i="11"/>
  <c r="AI318" i="11"/>
  <c r="AI319" i="11"/>
  <c r="AI320" i="11"/>
  <c r="AI321" i="11"/>
  <c r="AI322" i="11"/>
  <c r="AI323" i="11"/>
  <c r="AI324" i="11"/>
  <c r="AI325" i="11"/>
  <c r="AI326" i="11"/>
  <c r="AI297" i="11"/>
  <c r="AI292" i="11"/>
  <c r="AI293" i="11"/>
  <c r="AI298" i="11"/>
  <c r="AI299" i="11"/>
  <c r="AI300" i="11"/>
  <c r="AI301" i="11"/>
  <c r="AI294" i="11"/>
  <c r="AI304" i="11"/>
  <c r="AI305" i="11"/>
  <c r="AI295" i="11"/>
  <c r="AI296" i="11"/>
  <c r="AI306" i="11"/>
  <c r="AI307" i="11"/>
  <c r="AI302" i="11"/>
  <c r="AI291" i="11"/>
  <c r="AI303" i="11"/>
  <c r="AI353" i="11"/>
  <c r="AI355" i="11"/>
  <c r="AI337" i="11"/>
  <c r="AI338" i="11"/>
  <c r="AI339" i="11"/>
  <c r="AI340" i="11"/>
  <c r="AI341" i="11"/>
  <c r="AI342" i="11"/>
  <c r="AI343" i="11"/>
  <c r="AI345" i="11"/>
  <c r="AI350" i="11"/>
  <c r="AI351" i="11"/>
  <c r="AI352" i="11"/>
  <c r="AI346" i="11"/>
  <c r="AI347" i="11"/>
  <c r="AI354" i="11"/>
  <c r="AI356" i="11"/>
  <c r="AI357" i="11"/>
  <c r="AI348" i="11"/>
  <c r="AI358" i="11"/>
  <c r="AI359" i="11"/>
  <c r="AI349" i="11"/>
  <c r="AI360" i="11"/>
  <c r="AI331" i="11"/>
  <c r="AI332" i="11"/>
  <c r="AI333" i="11"/>
  <c r="AI329" i="11"/>
  <c r="AI334" i="11"/>
  <c r="AI335" i="11"/>
  <c r="AI327" i="11"/>
  <c r="AI328" i="11"/>
  <c r="AI330" i="11"/>
  <c r="AI336" i="11"/>
  <c r="BK2" i="11"/>
  <c r="BK16" i="11"/>
  <c r="BK17" i="11"/>
  <c r="BK18" i="11"/>
  <c r="BK19" i="11"/>
  <c r="BK20" i="11"/>
  <c r="BK21" i="11"/>
  <c r="BK22" i="11"/>
  <c r="BK3" i="11"/>
  <c r="BK7" i="11"/>
  <c r="BK9" i="11"/>
  <c r="BK12" i="11"/>
  <c r="BK15" i="11"/>
  <c r="BK23" i="11"/>
  <c r="BK24" i="11"/>
  <c r="BK25" i="11"/>
  <c r="BK26" i="11"/>
  <c r="BK27" i="11"/>
  <c r="BK5" i="11"/>
  <c r="BK6" i="11"/>
  <c r="BK4" i="11"/>
  <c r="BK8" i="11"/>
  <c r="BK10" i="11"/>
  <c r="BK11" i="11"/>
  <c r="BK13" i="11"/>
  <c r="BK14" i="11"/>
  <c r="BK35" i="11"/>
  <c r="BK36" i="11"/>
  <c r="BK37" i="11"/>
  <c r="BK38" i="11"/>
  <c r="BK39" i="11"/>
  <c r="BK40" i="11"/>
  <c r="BK48" i="11"/>
  <c r="BK34" i="11"/>
  <c r="BK41" i="11"/>
  <c r="BK42" i="11"/>
  <c r="BK43" i="11"/>
  <c r="BK44" i="11"/>
  <c r="BK45" i="11"/>
  <c r="BK46" i="11"/>
  <c r="BK47" i="11"/>
  <c r="BK28" i="11"/>
  <c r="BK29" i="11"/>
  <c r="BK30" i="11"/>
  <c r="BK31" i="11"/>
  <c r="BK32" i="11"/>
  <c r="BK33" i="11"/>
  <c r="BK64" i="11"/>
  <c r="BK65" i="11"/>
  <c r="BK61" i="11"/>
  <c r="BK62" i="11"/>
  <c r="BK66" i="11"/>
  <c r="BK63" i="11"/>
  <c r="BK70" i="11"/>
  <c r="BK71" i="11"/>
  <c r="BK72" i="11"/>
  <c r="BK67" i="11"/>
  <c r="BK68" i="11"/>
  <c r="BK69" i="11"/>
  <c r="BK52" i="11"/>
  <c r="BK49" i="11"/>
  <c r="BK53" i="11"/>
  <c r="BK56" i="11"/>
  <c r="BK58" i="11"/>
  <c r="BK59" i="11"/>
  <c r="BK60" i="11"/>
  <c r="BK51" i="11"/>
  <c r="BK54" i="11"/>
  <c r="BK55" i="11"/>
  <c r="BK50" i="11"/>
  <c r="BK57" i="11"/>
  <c r="BK101" i="11"/>
  <c r="BK104" i="11"/>
  <c r="BK109" i="11"/>
  <c r="BK110" i="11"/>
  <c r="BK112" i="11"/>
  <c r="BK94" i="11"/>
  <c r="BK95" i="11"/>
  <c r="BK96" i="11"/>
  <c r="BK93" i="11"/>
  <c r="BK97" i="11"/>
  <c r="BK92" i="11"/>
  <c r="BK98" i="11"/>
  <c r="BK99" i="11"/>
  <c r="BK100" i="11"/>
  <c r="BK75" i="11"/>
  <c r="BK102" i="11"/>
  <c r="BK103" i="11"/>
  <c r="BK76" i="11"/>
  <c r="BK78" i="11"/>
  <c r="BK79" i="11"/>
  <c r="BK80" i="11"/>
  <c r="BK81" i="11"/>
  <c r="BK82" i="11"/>
  <c r="BK73" i="11"/>
  <c r="BK83" i="11"/>
  <c r="BK85" i="11"/>
  <c r="BK87" i="11"/>
  <c r="BK89" i="11"/>
  <c r="BK91" i="11"/>
  <c r="BK105" i="11"/>
  <c r="BK106" i="11"/>
  <c r="BK107" i="11"/>
  <c r="BK108" i="11"/>
  <c r="BK111" i="11"/>
  <c r="BK113" i="11"/>
  <c r="BK114" i="11"/>
  <c r="BK115" i="11"/>
  <c r="BK116" i="11"/>
  <c r="BK74" i="11"/>
  <c r="BK77" i="11"/>
  <c r="BK84" i="11"/>
  <c r="BK86" i="11"/>
  <c r="BK88" i="11"/>
  <c r="BK90" i="11"/>
  <c r="BK156" i="11"/>
  <c r="BK158" i="11"/>
  <c r="BK159" i="11"/>
  <c r="BK161" i="11"/>
  <c r="BK163" i="11"/>
  <c r="BK165" i="11"/>
  <c r="BK168" i="11"/>
  <c r="BK170" i="11"/>
  <c r="BK174" i="11"/>
  <c r="BK175" i="11"/>
  <c r="BK176" i="11"/>
  <c r="BK177" i="11"/>
  <c r="BK178" i="11"/>
  <c r="BK183" i="11"/>
  <c r="BK186" i="11"/>
  <c r="BK155" i="11"/>
  <c r="BK157" i="11"/>
  <c r="BK160" i="11"/>
  <c r="BK190" i="11"/>
  <c r="BK191" i="11"/>
  <c r="BK192" i="11"/>
  <c r="BK193" i="11"/>
  <c r="BK194" i="11"/>
  <c r="BK195" i="11"/>
  <c r="BK162" i="11"/>
  <c r="BK197" i="11"/>
  <c r="BK198" i="11"/>
  <c r="BK199" i="11"/>
  <c r="BK189" i="11"/>
  <c r="BK200" i="11"/>
  <c r="BK164" i="11"/>
  <c r="BK166" i="11"/>
  <c r="BK202" i="11"/>
  <c r="BK203" i="11"/>
  <c r="BK204" i="11"/>
  <c r="BK205" i="11"/>
  <c r="BK167" i="11"/>
  <c r="BK169" i="11"/>
  <c r="BK171" i="11"/>
  <c r="BK172" i="11"/>
  <c r="BK173" i="11"/>
  <c r="BK179" i="11"/>
  <c r="BK180" i="11"/>
  <c r="BK154" i="11"/>
  <c r="BK181" i="11"/>
  <c r="BK182" i="11"/>
  <c r="BK184" i="11"/>
  <c r="BK185" i="11"/>
  <c r="BK187" i="11"/>
  <c r="BK188" i="11"/>
  <c r="BK196" i="11"/>
  <c r="BK201" i="11"/>
  <c r="BK214" i="11"/>
  <c r="BK206" i="11"/>
  <c r="BK207" i="11"/>
  <c r="BK208" i="11"/>
  <c r="BK209" i="11"/>
  <c r="BK210" i="11"/>
  <c r="BK122" i="11"/>
  <c r="BK211" i="11"/>
  <c r="BK212" i="11"/>
  <c r="BK213" i="11"/>
  <c r="BK124" i="11"/>
  <c r="BK215" i="11"/>
  <c r="BK216" i="11"/>
  <c r="BK217" i="11"/>
  <c r="BK218" i="11"/>
  <c r="BK219" i="11"/>
  <c r="BK220" i="11"/>
  <c r="BK221" i="11"/>
  <c r="BK125" i="11"/>
  <c r="BK117" i="11"/>
  <c r="BK126" i="11"/>
  <c r="BK127" i="11"/>
  <c r="BK128" i="11"/>
  <c r="BK130" i="11"/>
  <c r="BK118" i="11"/>
  <c r="BK119" i="11"/>
  <c r="BK131" i="11"/>
  <c r="BK132" i="11"/>
  <c r="BK134" i="11"/>
  <c r="BK135" i="11"/>
  <c r="BK136" i="11"/>
  <c r="BK137" i="11"/>
  <c r="BK138" i="11"/>
  <c r="BK140" i="11"/>
  <c r="BK141" i="11"/>
  <c r="BK142" i="11"/>
  <c r="BK143" i="11"/>
  <c r="BK144" i="11"/>
  <c r="BK146" i="11"/>
  <c r="BK147" i="11"/>
  <c r="BK148" i="11"/>
  <c r="BK149" i="11"/>
  <c r="BK150" i="11"/>
  <c r="BK151" i="11"/>
  <c r="BK152" i="11"/>
  <c r="BK120" i="11"/>
  <c r="BK121" i="11"/>
  <c r="BK123" i="11"/>
  <c r="BK129" i="11"/>
  <c r="BK133" i="11"/>
  <c r="BK139" i="11"/>
  <c r="BK145" i="11"/>
  <c r="BK153" i="11"/>
  <c r="BK262" i="11"/>
  <c r="BK261" i="11"/>
  <c r="BK263" i="11"/>
  <c r="BK275" i="11"/>
  <c r="BK278" i="11"/>
  <c r="BK284" i="11"/>
  <c r="BK286" i="11"/>
  <c r="BK289" i="11"/>
  <c r="BK290" i="11"/>
  <c r="BK264" i="11"/>
  <c r="BK265" i="11"/>
  <c r="BK266" i="11"/>
  <c r="BK267" i="11"/>
  <c r="BK268" i="11"/>
  <c r="BK269" i="11"/>
  <c r="BK270" i="11"/>
  <c r="BK277" i="11"/>
  <c r="BK274" i="11"/>
  <c r="BK271" i="11"/>
  <c r="BK279" i="11"/>
  <c r="BK276" i="11"/>
  <c r="BK280" i="11"/>
  <c r="BK281" i="11"/>
  <c r="BK282" i="11"/>
  <c r="BK283" i="11"/>
  <c r="BK272" i="11"/>
  <c r="BK273" i="11"/>
  <c r="BK285" i="11"/>
  <c r="BK287" i="11"/>
  <c r="BK288" i="11"/>
  <c r="BK229" i="11"/>
  <c r="BK230" i="11"/>
  <c r="BK223" i="11"/>
  <c r="BK231" i="11"/>
  <c r="BK232" i="11"/>
  <c r="BK233" i="11"/>
  <c r="BK234" i="11"/>
  <c r="BK236" i="11"/>
  <c r="BK237" i="11"/>
  <c r="BK238" i="11"/>
  <c r="BK239" i="11"/>
  <c r="BK240" i="11"/>
  <c r="BK241" i="11"/>
  <c r="BK242" i="11"/>
  <c r="BK245" i="11"/>
  <c r="BK248" i="11"/>
  <c r="BK249" i="11"/>
  <c r="BK250" i="11"/>
  <c r="BK251" i="11"/>
  <c r="BK226" i="11"/>
  <c r="BK252" i="11"/>
  <c r="BK253" i="11"/>
  <c r="BK254" i="11"/>
  <c r="BK256" i="11"/>
  <c r="BK257" i="11"/>
  <c r="BK259" i="11"/>
  <c r="BK260" i="11"/>
  <c r="BK228" i="11"/>
  <c r="BK222" i="11"/>
  <c r="BK235" i="11"/>
  <c r="BK224" i="11"/>
  <c r="BK243" i="11"/>
  <c r="BK244" i="11"/>
  <c r="BK246" i="11"/>
  <c r="BK247" i="11"/>
  <c r="BK225" i="11"/>
  <c r="BK227" i="11"/>
  <c r="BK255" i="11"/>
  <c r="BK258" i="11"/>
  <c r="BK308" i="11"/>
  <c r="BK309" i="11"/>
  <c r="BK310" i="11"/>
  <c r="BK313" i="11"/>
  <c r="BK314" i="11"/>
  <c r="BK311" i="11"/>
  <c r="BK312" i="11"/>
  <c r="BK315" i="11"/>
  <c r="BK316" i="11"/>
  <c r="BK317" i="11"/>
  <c r="BK318" i="11"/>
  <c r="BK319" i="11"/>
  <c r="BK320" i="11"/>
  <c r="BK321" i="11"/>
  <c r="BK322" i="11"/>
  <c r="BK323" i="11"/>
  <c r="BK324" i="11"/>
  <c r="BK325" i="11"/>
  <c r="BK326" i="11"/>
  <c r="BK297" i="11"/>
  <c r="BK292" i="11"/>
  <c r="BK293" i="11"/>
  <c r="BK298" i="11"/>
  <c r="BK299" i="11"/>
  <c r="BK300" i="11"/>
  <c r="BK301" i="11"/>
  <c r="BK294" i="11"/>
  <c r="BK304" i="11"/>
  <c r="BK305" i="11"/>
  <c r="BK295" i="11"/>
  <c r="BK296" i="11"/>
  <c r="BK306" i="11"/>
  <c r="BK307" i="11"/>
  <c r="BK302" i="11"/>
  <c r="BK291" i="11"/>
  <c r="BK303" i="11"/>
  <c r="BK353" i="11"/>
  <c r="BK355" i="11"/>
  <c r="BK337" i="11"/>
  <c r="BK338" i="11"/>
  <c r="BK339" i="11"/>
  <c r="BK340" i="11"/>
  <c r="BK341" i="11"/>
  <c r="BK342" i="11"/>
  <c r="BK344" i="11"/>
  <c r="BK343" i="11"/>
  <c r="BK345" i="11"/>
  <c r="BK350" i="11"/>
  <c r="BK351" i="11"/>
  <c r="BK352" i="11"/>
  <c r="BK346" i="11"/>
  <c r="BK347" i="11"/>
  <c r="BK354" i="11"/>
  <c r="BK356" i="11"/>
  <c r="BK357" i="11"/>
  <c r="BK348" i="11"/>
  <c r="BK358" i="11"/>
  <c r="BK359" i="11"/>
  <c r="BK349" i="11"/>
  <c r="BK360" i="11"/>
  <c r="BK331" i="11"/>
  <c r="BK332" i="11"/>
  <c r="BK333" i="11"/>
  <c r="BK329" i="11"/>
  <c r="BK334" i="11"/>
  <c r="BK335" i="11"/>
  <c r="BK327" i="11"/>
  <c r="BK328" i="11"/>
  <c r="BK330" i="11"/>
  <c r="BK336" i="11"/>
  <c r="BK361" i="11"/>
  <c r="BK366" i="11"/>
  <c r="BK367" i="11"/>
  <c r="BK368" i="11"/>
  <c r="BK364" i="11"/>
  <c r="BK369" i="11"/>
  <c r="BK370" i="11"/>
  <c r="BK371" i="11"/>
  <c r="BK363" i="11"/>
  <c r="BK365" i="11"/>
  <c r="BK362" i="11"/>
  <c r="BK373" i="11"/>
  <c r="BK374" i="11"/>
  <c r="BK375" i="11"/>
  <c r="BS2" i="11"/>
  <c r="BS16" i="11"/>
  <c r="BS17" i="11"/>
  <c r="BS18" i="11"/>
  <c r="BS19" i="11"/>
  <c r="BS20" i="11"/>
  <c r="BS21" i="11"/>
  <c r="BS22" i="11"/>
  <c r="BS3" i="11"/>
  <c r="BS7" i="11"/>
  <c r="BS9" i="11"/>
  <c r="BS12" i="11"/>
  <c r="BS15" i="11"/>
  <c r="BS23" i="11"/>
  <c r="BS24" i="11"/>
  <c r="BS25" i="11"/>
  <c r="BS26" i="11"/>
  <c r="BS27" i="11"/>
  <c r="BS5" i="11"/>
  <c r="BS6" i="11"/>
  <c r="BS4" i="11"/>
  <c r="BS8" i="11"/>
  <c r="BS10" i="11"/>
  <c r="BS11" i="11"/>
  <c r="BS13" i="11"/>
  <c r="BS14" i="11"/>
  <c r="BS35" i="11"/>
  <c r="BS36" i="11"/>
  <c r="BS37" i="11"/>
  <c r="BS38" i="11"/>
  <c r="BS39" i="11"/>
  <c r="BS40" i="11"/>
  <c r="BS48" i="11"/>
  <c r="BS34" i="11"/>
  <c r="BS41" i="11"/>
  <c r="BS42" i="11"/>
  <c r="BS43" i="11"/>
  <c r="BS44" i="11"/>
  <c r="BS45" i="11"/>
  <c r="BS46" i="11"/>
  <c r="BS47" i="11"/>
  <c r="BS28" i="11"/>
  <c r="BS29" i="11"/>
  <c r="BS30" i="11"/>
  <c r="BS31" i="11"/>
  <c r="BS32" i="11"/>
  <c r="BS33" i="11"/>
  <c r="BS64" i="11"/>
  <c r="BS65" i="11"/>
  <c r="BS61" i="11"/>
  <c r="BS62" i="11"/>
  <c r="BS66" i="11"/>
  <c r="BS63" i="11"/>
  <c r="BS70" i="11"/>
  <c r="BS71" i="11"/>
  <c r="BS72" i="11"/>
  <c r="BS67" i="11"/>
  <c r="BS68" i="11"/>
  <c r="BS69" i="11"/>
  <c r="BS52" i="11"/>
  <c r="BS49" i="11"/>
  <c r="BS53" i="11"/>
  <c r="BS56" i="11"/>
  <c r="BS58" i="11"/>
  <c r="BS59" i="11"/>
  <c r="BS60" i="11"/>
  <c r="BS51" i="11"/>
  <c r="BS54" i="11"/>
  <c r="BS55" i="11"/>
  <c r="BS50" i="11"/>
  <c r="BS57" i="11"/>
  <c r="BS101" i="11"/>
  <c r="BS104" i="11"/>
  <c r="BS109" i="11"/>
  <c r="BS110" i="11"/>
  <c r="BS112" i="11"/>
  <c r="BS94" i="11"/>
  <c r="BS95" i="11"/>
  <c r="BS96" i="11"/>
  <c r="BS93" i="11"/>
  <c r="BS97" i="11"/>
  <c r="BS92" i="11"/>
  <c r="BS98" i="11"/>
  <c r="BS99" i="11"/>
  <c r="BS100" i="11"/>
  <c r="BS75" i="11"/>
  <c r="BS102" i="11"/>
  <c r="BS103" i="11"/>
  <c r="BS76" i="11"/>
  <c r="BS78" i="11"/>
  <c r="BS79" i="11"/>
  <c r="BS80" i="11"/>
  <c r="BS81" i="11"/>
  <c r="BS82" i="11"/>
  <c r="BS73" i="11"/>
  <c r="BS83" i="11"/>
  <c r="BS85" i="11"/>
  <c r="BS87" i="11"/>
  <c r="BS89" i="11"/>
  <c r="BS91" i="11"/>
  <c r="BS105" i="11"/>
  <c r="BS106" i="11"/>
  <c r="BS107" i="11"/>
  <c r="BS108" i="11"/>
  <c r="BS111" i="11"/>
  <c r="BS113" i="11"/>
  <c r="BS114" i="11"/>
  <c r="BS115" i="11"/>
  <c r="BS116" i="11"/>
  <c r="BS74" i="11"/>
  <c r="BS77" i="11"/>
  <c r="BS84" i="11"/>
  <c r="BS86" i="11"/>
  <c r="BS88" i="11"/>
  <c r="BS90" i="11"/>
  <c r="BS156" i="11"/>
  <c r="BS158" i="11"/>
  <c r="BS159" i="11"/>
  <c r="BS161" i="11"/>
  <c r="BS163" i="11"/>
  <c r="BS165" i="11"/>
  <c r="BS168" i="11"/>
  <c r="BS170" i="11"/>
  <c r="BS174" i="11"/>
  <c r="BS175" i="11"/>
  <c r="BS176" i="11"/>
  <c r="BS177" i="11"/>
  <c r="BS178" i="11"/>
  <c r="BS183" i="11"/>
  <c r="BS186" i="11"/>
  <c r="BS155" i="11"/>
  <c r="BS157" i="11"/>
  <c r="BS160" i="11"/>
  <c r="BS190" i="11"/>
  <c r="BS191" i="11"/>
  <c r="BS192" i="11"/>
  <c r="BS193" i="11"/>
  <c r="BS194" i="11"/>
  <c r="BS195" i="11"/>
  <c r="BS162" i="11"/>
  <c r="BS197" i="11"/>
  <c r="BS198" i="11"/>
  <c r="BS199" i="11"/>
  <c r="BS189" i="11"/>
  <c r="BS200" i="11"/>
  <c r="BS164" i="11"/>
  <c r="BS166" i="11"/>
  <c r="BS202" i="11"/>
  <c r="BS203" i="11"/>
  <c r="BS204" i="11"/>
  <c r="BS205" i="11"/>
  <c r="BS201" i="11"/>
  <c r="BS214" i="11"/>
  <c r="BS206" i="11"/>
  <c r="BS207" i="11"/>
  <c r="BS208" i="11"/>
  <c r="BS209" i="11"/>
  <c r="BS210" i="11"/>
  <c r="BS122" i="11"/>
  <c r="BS211" i="11"/>
  <c r="BS212" i="11"/>
  <c r="BS213" i="11"/>
  <c r="BS124" i="11"/>
  <c r="BS215" i="11"/>
  <c r="BS216" i="11"/>
  <c r="BS217" i="11"/>
  <c r="BS218" i="11"/>
  <c r="BS219" i="11"/>
  <c r="BS220" i="11"/>
  <c r="BS221" i="11"/>
  <c r="BS125" i="11"/>
  <c r="BS117" i="11"/>
  <c r="BS126" i="11"/>
  <c r="BS127" i="11"/>
  <c r="BS128" i="11"/>
  <c r="BS130" i="11"/>
  <c r="BS118" i="11"/>
  <c r="BS119" i="11"/>
  <c r="BS131" i="11"/>
  <c r="BS132" i="11"/>
  <c r="BS134" i="11"/>
  <c r="BS135" i="11"/>
  <c r="BS136" i="11"/>
  <c r="BS137" i="11"/>
  <c r="BS138" i="11"/>
  <c r="BS140" i="11"/>
  <c r="BS141" i="11"/>
  <c r="BS142" i="11"/>
  <c r="BS143" i="11"/>
  <c r="BS144" i="11"/>
  <c r="BS146" i="11"/>
  <c r="BS147" i="11"/>
  <c r="BS148" i="11"/>
  <c r="BS149" i="11"/>
  <c r="BS150" i="11"/>
  <c r="BS151" i="11"/>
  <c r="BS152" i="11"/>
  <c r="BS120" i="11"/>
  <c r="BS121" i="11"/>
  <c r="BS123" i="11"/>
  <c r="BS129" i="11"/>
  <c r="BS133" i="11"/>
  <c r="BS139" i="11"/>
  <c r="BS145" i="11"/>
  <c r="BS153" i="11"/>
  <c r="BS262" i="11"/>
  <c r="BS261" i="11"/>
  <c r="BS263" i="11"/>
  <c r="BS275" i="11"/>
  <c r="BS278" i="11"/>
  <c r="BS284" i="11"/>
  <c r="BS286" i="11"/>
  <c r="BS289" i="11"/>
  <c r="BS290" i="11"/>
  <c r="BS264" i="11"/>
  <c r="BS265" i="11"/>
  <c r="BS266" i="11"/>
  <c r="BS267" i="11"/>
  <c r="BS268" i="11"/>
  <c r="BS269" i="11"/>
  <c r="BS270" i="11"/>
  <c r="BS277" i="11"/>
  <c r="BS274" i="11"/>
  <c r="BS271" i="11"/>
  <c r="BS279" i="11"/>
  <c r="BS276" i="11"/>
  <c r="BS280" i="11"/>
  <c r="BS281" i="11"/>
  <c r="BS282" i="11"/>
  <c r="BS272" i="11"/>
  <c r="BS273" i="11"/>
  <c r="BS285" i="11"/>
  <c r="BS287" i="11"/>
  <c r="BS288" i="11"/>
  <c r="BS229" i="11"/>
  <c r="BS230" i="11"/>
  <c r="BS223" i="11"/>
  <c r="BS231" i="11"/>
  <c r="BS232" i="11"/>
  <c r="BS233" i="11"/>
  <c r="BS234" i="11"/>
  <c r="BS236" i="11"/>
  <c r="BS237" i="11"/>
  <c r="BS238" i="11"/>
  <c r="BS239" i="11"/>
  <c r="BS240" i="11"/>
  <c r="BS241" i="11"/>
  <c r="BS242" i="11"/>
  <c r="BS245" i="11"/>
  <c r="BS248" i="11"/>
  <c r="BS249" i="11"/>
  <c r="BS250" i="11"/>
  <c r="BS251" i="11"/>
  <c r="BS226" i="11"/>
  <c r="BS252" i="11"/>
  <c r="BS253" i="11"/>
  <c r="BS254" i="11"/>
  <c r="BS256" i="11"/>
  <c r="BS257" i="11"/>
  <c r="BS259" i="11"/>
  <c r="BS260" i="11"/>
  <c r="BS228" i="11"/>
  <c r="BS222" i="11"/>
  <c r="BS235" i="11"/>
  <c r="BS224" i="11"/>
  <c r="BS243" i="11"/>
  <c r="BS244" i="11"/>
  <c r="BS246" i="11"/>
  <c r="BS247" i="11"/>
  <c r="BS225" i="11"/>
  <c r="BS227" i="11"/>
  <c r="BS255" i="11"/>
  <c r="BS258" i="11"/>
  <c r="BS308" i="11"/>
  <c r="BS309" i="11"/>
  <c r="BS310" i="11"/>
  <c r="BS293" i="11"/>
  <c r="BS298" i="11"/>
  <c r="BS299" i="11"/>
  <c r="BS300" i="11"/>
  <c r="BS301" i="11"/>
  <c r="BS294" i="11"/>
  <c r="BS304" i="11"/>
  <c r="BS305" i="11"/>
  <c r="BS295" i="11"/>
  <c r="BS296" i="11"/>
  <c r="BS306" i="11"/>
  <c r="BS307" i="11"/>
  <c r="BS302" i="11"/>
  <c r="BS291" i="11"/>
  <c r="BS303" i="11"/>
  <c r="BS353" i="11"/>
  <c r="BS355" i="11"/>
  <c r="BS337" i="11"/>
  <c r="BS338" i="11"/>
  <c r="BS339" i="11"/>
  <c r="BS340" i="11"/>
  <c r="BS341" i="11"/>
  <c r="BS342" i="11"/>
  <c r="BS343" i="11"/>
  <c r="BS345" i="11"/>
  <c r="BS350" i="11"/>
  <c r="BS352" i="11"/>
  <c r="BS346" i="11"/>
  <c r="BS347" i="11"/>
  <c r="BS354" i="11"/>
  <c r="BS356" i="11"/>
  <c r="BS348" i="11"/>
  <c r="BS359" i="11"/>
  <c r="BS360" i="11"/>
  <c r="BS331" i="11"/>
  <c r="BS332" i="11"/>
  <c r="BS333" i="11"/>
  <c r="BS329" i="11"/>
  <c r="BS334" i="11"/>
  <c r="BS335" i="11"/>
  <c r="BS327" i="11"/>
  <c r="BS328" i="11"/>
  <c r="BS330" i="11"/>
  <c r="BS336" i="11"/>
  <c r="BS361" i="11"/>
  <c r="BS366" i="11"/>
  <c r="BS367" i="11"/>
  <c r="BS368" i="11"/>
  <c r="BS364" i="11"/>
  <c r="BS369" i="11"/>
  <c r="BS370" i="11"/>
  <c r="BS371" i="11"/>
  <c r="BS363" i="11"/>
  <c r="BS365" i="11"/>
  <c r="BS362" i="11"/>
  <c r="BS373" i="11"/>
  <c r="BS374" i="11"/>
  <c r="BS375" i="11"/>
  <c r="BN2" i="11"/>
  <c r="BO2" i="11" s="1"/>
  <c r="BN16" i="11"/>
  <c r="BO16" i="11" s="1"/>
  <c r="BN17" i="11"/>
  <c r="BO17" i="11" s="1"/>
  <c r="BN18" i="11"/>
  <c r="BO18" i="11" s="1"/>
  <c r="BN19" i="11"/>
  <c r="BO19" i="11" s="1"/>
  <c r="BN20" i="11"/>
  <c r="BO20" i="11" s="1"/>
  <c r="BN21" i="11"/>
  <c r="BO21" i="11" s="1"/>
  <c r="BN22" i="11"/>
  <c r="BO22" i="11" s="1"/>
  <c r="BN3" i="11"/>
  <c r="BO3" i="11" s="1"/>
  <c r="BN7" i="11"/>
  <c r="BO7" i="11" s="1"/>
  <c r="BN9" i="11"/>
  <c r="BO9" i="11" s="1"/>
  <c r="BN12" i="11"/>
  <c r="BO12" i="11" s="1"/>
  <c r="BN15" i="11"/>
  <c r="BO15" i="11" s="1"/>
  <c r="BN23" i="11"/>
  <c r="BO23" i="11" s="1"/>
  <c r="BN24" i="11"/>
  <c r="BO24" i="11" s="1"/>
  <c r="BN25" i="11"/>
  <c r="BO25" i="11" s="1"/>
  <c r="BN26" i="11"/>
  <c r="BO26" i="11" s="1"/>
  <c r="BN27" i="11"/>
  <c r="BO27" i="11" s="1"/>
  <c r="BN5" i="11"/>
  <c r="BO5" i="11" s="1"/>
  <c r="BN6" i="11"/>
  <c r="BO6" i="11" s="1"/>
  <c r="BN4" i="11"/>
  <c r="BO4" i="11" s="1"/>
  <c r="BN8" i="11"/>
  <c r="BO8" i="11" s="1"/>
  <c r="BN10" i="11"/>
  <c r="BO10" i="11" s="1"/>
  <c r="BN11" i="11"/>
  <c r="BO11" i="11" s="1"/>
  <c r="BN13" i="11"/>
  <c r="BO13" i="11" s="1"/>
  <c r="BN14" i="11"/>
  <c r="BO14" i="11" s="1"/>
  <c r="BN35" i="11"/>
  <c r="BO35" i="11" s="1"/>
  <c r="BN36" i="11"/>
  <c r="BO36" i="11" s="1"/>
  <c r="BN37" i="11"/>
  <c r="BO37" i="11" s="1"/>
  <c r="BN38" i="11"/>
  <c r="BO38" i="11" s="1"/>
  <c r="BN39" i="11"/>
  <c r="BO39" i="11" s="1"/>
  <c r="BN40" i="11"/>
  <c r="BO40" i="11" s="1"/>
  <c r="BN48" i="11"/>
  <c r="BO48" i="11" s="1"/>
  <c r="BN34" i="11"/>
  <c r="BO34" i="11" s="1"/>
  <c r="BN41" i="11"/>
  <c r="BO41" i="11" s="1"/>
  <c r="BN42" i="11"/>
  <c r="BO42" i="11" s="1"/>
  <c r="BN43" i="11"/>
  <c r="BO43" i="11" s="1"/>
  <c r="BN44" i="11"/>
  <c r="BO44" i="11" s="1"/>
  <c r="BN45" i="11"/>
  <c r="BO45" i="11" s="1"/>
  <c r="BN46" i="11"/>
  <c r="BO46" i="11" s="1"/>
  <c r="BN47" i="11"/>
  <c r="BO47" i="11" s="1"/>
  <c r="BN28" i="11"/>
  <c r="BO28" i="11" s="1"/>
  <c r="BN29" i="11"/>
  <c r="BO29" i="11" s="1"/>
  <c r="BN30" i="11"/>
  <c r="BO30" i="11" s="1"/>
  <c r="BN31" i="11"/>
  <c r="BO31" i="11" s="1"/>
  <c r="BN32" i="11"/>
  <c r="BO32" i="11" s="1"/>
  <c r="BN33" i="11"/>
  <c r="BO33" i="11" s="1"/>
  <c r="BN64" i="11"/>
  <c r="BO64" i="11" s="1"/>
  <c r="BN65" i="11"/>
  <c r="BO65" i="11" s="1"/>
  <c r="BN61" i="11"/>
  <c r="BO61" i="11" s="1"/>
  <c r="BN62" i="11"/>
  <c r="BO62" i="11" s="1"/>
  <c r="BN66" i="11"/>
  <c r="BO66" i="11" s="1"/>
  <c r="BN63" i="11"/>
  <c r="BO63" i="11" s="1"/>
  <c r="BN70" i="11"/>
  <c r="BO70" i="11" s="1"/>
  <c r="BN71" i="11"/>
  <c r="BO71" i="11" s="1"/>
  <c r="BN72" i="11"/>
  <c r="BO72" i="11" s="1"/>
  <c r="BN67" i="11"/>
  <c r="BO67" i="11" s="1"/>
  <c r="BN68" i="11"/>
  <c r="BO68" i="11" s="1"/>
  <c r="BN69" i="11"/>
  <c r="BO69" i="11" s="1"/>
  <c r="BN52" i="11"/>
  <c r="BO52" i="11" s="1"/>
  <c r="BN49" i="11"/>
  <c r="BO49" i="11" s="1"/>
  <c r="BN53" i="11"/>
  <c r="BO53" i="11" s="1"/>
  <c r="BN56" i="11"/>
  <c r="BO56" i="11" s="1"/>
  <c r="BN58" i="11"/>
  <c r="BO58" i="11" s="1"/>
  <c r="BN59" i="11"/>
  <c r="BO59" i="11" s="1"/>
  <c r="BN60" i="11"/>
  <c r="BO60" i="11" s="1"/>
  <c r="BN51" i="11"/>
  <c r="BO51" i="11" s="1"/>
  <c r="BN54" i="11"/>
  <c r="BO54" i="11" s="1"/>
  <c r="BN55" i="11"/>
  <c r="BO55" i="11" s="1"/>
  <c r="BN50" i="11"/>
  <c r="BO50" i="11" s="1"/>
  <c r="BN57" i="11"/>
  <c r="BO57" i="11" s="1"/>
  <c r="BN101" i="11"/>
  <c r="BO101" i="11" s="1"/>
  <c r="BN104" i="11"/>
  <c r="BO104" i="11" s="1"/>
  <c r="BN109" i="11"/>
  <c r="BO109" i="11" s="1"/>
  <c r="BN110" i="11"/>
  <c r="BO110" i="11" s="1"/>
  <c r="BN112" i="11"/>
  <c r="BO112" i="11" s="1"/>
  <c r="BN94" i="11"/>
  <c r="BO94" i="11" s="1"/>
  <c r="BN95" i="11"/>
  <c r="BO95" i="11" s="1"/>
  <c r="BN96" i="11"/>
  <c r="BO96" i="11" s="1"/>
  <c r="BN93" i="11"/>
  <c r="BO93" i="11" s="1"/>
  <c r="BN97" i="11"/>
  <c r="BO97" i="11" s="1"/>
  <c r="BN92" i="11"/>
  <c r="BO92" i="11" s="1"/>
  <c r="BN98" i="11"/>
  <c r="BO98" i="11" s="1"/>
  <c r="BN99" i="11"/>
  <c r="BO99" i="11" s="1"/>
  <c r="BN100" i="11"/>
  <c r="BO100" i="11" s="1"/>
  <c r="BN75" i="11"/>
  <c r="BO75" i="11" s="1"/>
  <c r="BN102" i="11"/>
  <c r="BO102" i="11" s="1"/>
  <c r="BN103" i="11"/>
  <c r="BO103" i="11" s="1"/>
  <c r="BN76" i="11"/>
  <c r="BO76" i="11" s="1"/>
  <c r="BN78" i="11"/>
  <c r="BO78" i="11" s="1"/>
  <c r="BN79" i="11"/>
  <c r="BO79" i="11" s="1"/>
  <c r="BN80" i="11"/>
  <c r="BO80" i="11" s="1"/>
  <c r="BN81" i="11"/>
  <c r="BO81" i="11" s="1"/>
  <c r="BN82" i="11"/>
  <c r="BO82" i="11" s="1"/>
  <c r="BN73" i="11"/>
  <c r="BO73" i="11" s="1"/>
  <c r="BN83" i="11"/>
  <c r="BO83" i="11" s="1"/>
  <c r="BN85" i="11"/>
  <c r="BO85" i="11" s="1"/>
  <c r="BN87" i="11"/>
  <c r="BO87" i="11" s="1"/>
  <c r="BN89" i="11"/>
  <c r="BO89" i="11" s="1"/>
  <c r="BN91" i="11"/>
  <c r="BO91" i="11" s="1"/>
  <c r="BN105" i="11"/>
  <c r="BO105" i="11" s="1"/>
  <c r="BN106" i="11"/>
  <c r="BO106" i="11" s="1"/>
  <c r="BN107" i="11"/>
  <c r="BO107" i="11" s="1"/>
  <c r="BN108" i="11"/>
  <c r="BO108" i="11" s="1"/>
  <c r="BN111" i="11"/>
  <c r="BO111" i="11" s="1"/>
  <c r="BN113" i="11"/>
  <c r="BO113" i="11" s="1"/>
  <c r="BN114" i="11"/>
  <c r="BO114" i="11" s="1"/>
  <c r="BN115" i="11"/>
  <c r="BO115" i="11" s="1"/>
  <c r="BN116" i="11"/>
  <c r="BO116" i="11" s="1"/>
  <c r="BN74" i="11"/>
  <c r="BO74" i="11" s="1"/>
  <c r="BN77" i="11"/>
  <c r="BO77" i="11" s="1"/>
  <c r="BN84" i="11"/>
  <c r="BO84" i="11" s="1"/>
  <c r="BN86" i="11"/>
  <c r="BO86" i="11" s="1"/>
  <c r="BN88" i="11"/>
  <c r="BO88" i="11" s="1"/>
  <c r="BN90" i="11"/>
  <c r="BO90" i="11" s="1"/>
  <c r="BN156" i="11"/>
  <c r="BO156" i="11" s="1"/>
  <c r="BN158" i="11"/>
  <c r="BO158" i="11" s="1"/>
  <c r="BN159" i="11"/>
  <c r="BO159" i="11" s="1"/>
  <c r="BN161" i="11"/>
  <c r="BO161" i="11" s="1"/>
  <c r="BN163" i="11"/>
  <c r="BO163" i="11" s="1"/>
  <c r="BN165" i="11"/>
  <c r="BO165" i="11" s="1"/>
  <c r="BN168" i="11"/>
  <c r="BO168" i="11" s="1"/>
  <c r="BN170" i="11"/>
  <c r="BO170" i="11" s="1"/>
  <c r="BN174" i="11"/>
  <c r="BO174" i="11" s="1"/>
  <c r="BN175" i="11"/>
  <c r="BO175" i="11" s="1"/>
  <c r="BN176" i="11"/>
  <c r="BO176" i="11" s="1"/>
  <c r="BN177" i="11"/>
  <c r="BO177" i="11" s="1"/>
  <c r="BN178" i="11"/>
  <c r="BO178" i="11" s="1"/>
  <c r="BN183" i="11"/>
  <c r="BO183" i="11" s="1"/>
  <c r="BN186" i="11"/>
  <c r="BO186" i="11" s="1"/>
  <c r="BN155" i="11"/>
  <c r="BO155" i="11" s="1"/>
  <c r="BN157" i="11"/>
  <c r="BO157" i="11" s="1"/>
  <c r="BN160" i="11"/>
  <c r="BO160" i="11" s="1"/>
  <c r="BN190" i="11"/>
  <c r="BO190" i="11" s="1"/>
  <c r="BN191" i="11"/>
  <c r="BO191" i="11" s="1"/>
  <c r="BN192" i="11"/>
  <c r="BO192" i="11" s="1"/>
  <c r="BN193" i="11"/>
  <c r="BO193" i="11" s="1"/>
  <c r="BN194" i="11"/>
  <c r="BO194" i="11" s="1"/>
  <c r="BN195" i="11"/>
  <c r="BO195" i="11" s="1"/>
  <c r="BN162" i="11"/>
  <c r="BO162" i="11" s="1"/>
  <c r="BN197" i="11"/>
  <c r="BO197" i="11" s="1"/>
  <c r="BN198" i="11"/>
  <c r="BO198" i="11" s="1"/>
  <c r="BN199" i="11"/>
  <c r="BO199" i="11" s="1"/>
  <c r="BN189" i="11"/>
  <c r="BO189" i="11" s="1"/>
  <c r="BN200" i="11"/>
  <c r="BO200" i="11" s="1"/>
  <c r="BN164" i="11"/>
  <c r="BO164" i="11" s="1"/>
  <c r="BN166" i="11"/>
  <c r="BO166" i="11" s="1"/>
  <c r="BN202" i="11"/>
  <c r="BO202" i="11" s="1"/>
  <c r="BN203" i="11"/>
  <c r="BO203" i="11" s="1"/>
  <c r="BN204" i="11"/>
  <c r="BO204" i="11" s="1"/>
  <c r="BN205" i="11"/>
  <c r="BO205" i="11" s="1"/>
  <c r="BN167" i="11"/>
  <c r="BN169" i="11"/>
  <c r="BN171" i="11"/>
  <c r="BN172" i="11"/>
  <c r="BN173" i="11"/>
  <c r="BN179" i="11"/>
  <c r="BN180" i="11"/>
  <c r="BN154" i="11"/>
  <c r="BN181" i="11"/>
  <c r="BN182" i="11"/>
  <c r="BN184" i="11"/>
  <c r="BN185" i="11"/>
  <c r="BN187" i="11"/>
  <c r="BN188" i="11"/>
  <c r="BN196" i="11"/>
  <c r="BN201" i="11"/>
  <c r="BO201" i="11" s="1"/>
  <c r="BN214" i="11"/>
  <c r="BO214" i="11" s="1"/>
  <c r="BN206" i="11"/>
  <c r="BO206" i="11" s="1"/>
  <c r="BN207" i="11"/>
  <c r="BO207" i="11" s="1"/>
  <c r="BN208" i="11"/>
  <c r="BO208" i="11" s="1"/>
  <c r="BN209" i="11"/>
  <c r="BO209" i="11" s="1"/>
  <c r="BN210" i="11"/>
  <c r="BO210" i="11" s="1"/>
  <c r="BN122" i="11"/>
  <c r="BO122" i="11" s="1"/>
  <c r="BN211" i="11"/>
  <c r="BO211" i="11" s="1"/>
  <c r="BN212" i="11"/>
  <c r="BO212" i="11" s="1"/>
  <c r="BN213" i="11"/>
  <c r="BO213" i="11" s="1"/>
  <c r="BN124" i="11"/>
  <c r="BO124" i="11" s="1"/>
  <c r="BN215" i="11"/>
  <c r="BO215" i="11" s="1"/>
  <c r="BN216" i="11"/>
  <c r="BO216" i="11" s="1"/>
  <c r="BN217" i="11"/>
  <c r="BO217" i="11" s="1"/>
  <c r="BN218" i="11"/>
  <c r="BO218" i="11" s="1"/>
  <c r="BN219" i="11"/>
  <c r="BO219" i="11" s="1"/>
  <c r="BN220" i="11"/>
  <c r="BO220" i="11" s="1"/>
  <c r="BN221" i="11"/>
  <c r="BO221" i="11" s="1"/>
  <c r="BN125" i="11"/>
  <c r="BO125" i="11" s="1"/>
  <c r="BN117" i="11"/>
  <c r="BO117" i="11" s="1"/>
  <c r="BN126" i="11"/>
  <c r="BO126" i="11" s="1"/>
  <c r="BN127" i="11"/>
  <c r="BO127" i="11" s="1"/>
  <c r="BN128" i="11"/>
  <c r="BO128" i="11" s="1"/>
  <c r="BN130" i="11"/>
  <c r="BO130" i="11" s="1"/>
  <c r="BN118" i="11"/>
  <c r="BO118" i="11" s="1"/>
  <c r="BN119" i="11"/>
  <c r="BO119" i="11" s="1"/>
  <c r="BN131" i="11"/>
  <c r="BO131" i="11" s="1"/>
  <c r="BN132" i="11"/>
  <c r="BO132" i="11" s="1"/>
  <c r="BN134" i="11"/>
  <c r="BO134" i="11" s="1"/>
  <c r="BN135" i="11"/>
  <c r="BO135" i="11" s="1"/>
  <c r="BN136" i="11"/>
  <c r="BO136" i="11" s="1"/>
  <c r="BN137" i="11"/>
  <c r="BO137" i="11" s="1"/>
  <c r="BN138" i="11"/>
  <c r="BO138" i="11" s="1"/>
  <c r="BN140" i="11"/>
  <c r="BO140" i="11" s="1"/>
  <c r="BN141" i="11"/>
  <c r="BO141" i="11" s="1"/>
  <c r="BN142" i="11"/>
  <c r="BO142" i="11" s="1"/>
  <c r="BN143" i="11"/>
  <c r="BO143" i="11" s="1"/>
  <c r="BN144" i="11"/>
  <c r="BO144" i="11" s="1"/>
  <c r="BN146" i="11"/>
  <c r="BO146" i="11" s="1"/>
  <c r="BN147" i="11"/>
  <c r="BO147" i="11" s="1"/>
  <c r="BN148" i="11"/>
  <c r="BO148" i="11" s="1"/>
  <c r="BN149" i="11"/>
  <c r="BO149" i="11" s="1"/>
  <c r="BN150" i="11"/>
  <c r="BO150" i="11" s="1"/>
  <c r="BN151" i="11"/>
  <c r="BO151" i="11" s="1"/>
  <c r="BN152" i="11"/>
  <c r="BO152" i="11" s="1"/>
  <c r="BN120" i="11"/>
  <c r="BO120" i="11" s="1"/>
  <c r="BN121" i="11"/>
  <c r="BO121" i="11" s="1"/>
  <c r="BN123" i="11"/>
  <c r="BO123" i="11" s="1"/>
  <c r="BN129" i="11"/>
  <c r="BO129" i="11" s="1"/>
  <c r="BN133" i="11"/>
  <c r="BO133" i="11" s="1"/>
  <c r="BN139" i="11"/>
  <c r="BO139" i="11" s="1"/>
  <c r="BN145" i="11"/>
  <c r="BO145" i="11" s="1"/>
  <c r="BN153" i="11"/>
  <c r="BO153" i="11" s="1"/>
  <c r="BN262" i="11"/>
  <c r="BO262" i="11" s="1"/>
  <c r="BN261" i="11"/>
  <c r="BO261" i="11" s="1"/>
  <c r="BN263" i="11"/>
  <c r="BO263" i="11" s="1"/>
  <c r="BN275" i="11"/>
  <c r="BO275" i="11" s="1"/>
  <c r="BN278" i="11"/>
  <c r="BO278" i="11" s="1"/>
  <c r="BN284" i="11"/>
  <c r="BO284" i="11" s="1"/>
  <c r="BN286" i="11"/>
  <c r="BO286" i="11" s="1"/>
  <c r="BN289" i="11"/>
  <c r="BO289" i="11" s="1"/>
  <c r="BN290" i="11"/>
  <c r="BO290" i="11" s="1"/>
  <c r="BN264" i="11"/>
  <c r="BO264" i="11" s="1"/>
  <c r="BN265" i="11"/>
  <c r="BO265" i="11" s="1"/>
  <c r="BN266" i="11"/>
  <c r="BO266" i="11" s="1"/>
  <c r="BN267" i="11"/>
  <c r="BO267" i="11" s="1"/>
  <c r="BN268" i="11"/>
  <c r="BO268" i="11" s="1"/>
  <c r="BN269" i="11"/>
  <c r="BO269" i="11" s="1"/>
  <c r="BN270" i="11"/>
  <c r="BO270" i="11" s="1"/>
  <c r="BN277" i="11"/>
  <c r="BO277" i="11" s="1"/>
  <c r="BN274" i="11"/>
  <c r="BO274" i="11" s="1"/>
  <c r="BN271" i="11"/>
  <c r="BO271" i="11" s="1"/>
  <c r="BN279" i="11"/>
  <c r="BO279" i="11" s="1"/>
  <c r="BN276" i="11"/>
  <c r="BO276" i="11" s="1"/>
  <c r="BN280" i="11"/>
  <c r="BO280" i="11" s="1"/>
  <c r="BN281" i="11"/>
  <c r="BO281" i="11" s="1"/>
  <c r="BN282" i="11"/>
  <c r="BO282" i="11" s="1"/>
  <c r="BN283" i="11"/>
  <c r="BN272" i="11"/>
  <c r="BO272" i="11" s="1"/>
  <c r="BN273" i="11"/>
  <c r="BO273" i="11" s="1"/>
  <c r="BN285" i="11"/>
  <c r="BO285" i="11" s="1"/>
  <c r="BN287" i="11"/>
  <c r="BO287" i="11" s="1"/>
  <c r="BN288" i="11"/>
  <c r="BO288" i="11" s="1"/>
  <c r="BN229" i="11"/>
  <c r="BO229" i="11" s="1"/>
  <c r="BN230" i="11"/>
  <c r="BO230" i="11" s="1"/>
  <c r="BN223" i="11"/>
  <c r="BO223" i="11" s="1"/>
  <c r="BN231" i="11"/>
  <c r="BO231" i="11" s="1"/>
  <c r="BN232" i="11"/>
  <c r="BO232" i="11" s="1"/>
  <c r="BN233" i="11"/>
  <c r="BO233" i="11" s="1"/>
  <c r="BN234" i="11"/>
  <c r="BO234" i="11" s="1"/>
  <c r="BN236" i="11"/>
  <c r="BO236" i="11" s="1"/>
  <c r="BN237" i="11"/>
  <c r="BO237" i="11" s="1"/>
  <c r="BN238" i="11"/>
  <c r="BO238" i="11" s="1"/>
  <c r="BN239" i="11"/>
  <c r="BO239" i="11" s="1"/>
  <c r="BN240" i="11"/>
  <c r="BO240" i="11" s="1"/>
  <c r="BN241" i="11"/>
  <c r="BO241" i="11" s="1"/>
  <c r="BN242" i="11"/>
  <c r="BO242" i="11" s="1"/>
  <c r="BN245" i="11"/>
  <c r="BO245" i="11" s="1"/>
  <c r="BN248" i="11"/>
  <c r="BO248" i="11" s="1"/>
  <c r="BN249" i="11"/>
  <c r="BO249" i="11" s="1"/>
  <c r="BN250" i="11"/>
  <c r="BO250" i="11" s="1"/>
  <c r="BN251" i="11"/>
  <c r="BO251" i="11" s="1"/>
  <c r="BN226" i="11"/>
  <c r="BO226" i="11" s="1"/>
  <c r="BN252" i="11"/>
  <c r="BO252" i="11" s="1"/>
  <c r="BN253" i="11"/>
  <c r="BO253" i="11" s="1"/>
  <c r="BN254" i="11"/>
  <c r="BO254" i="11" s="1"/>
  <c r="BN256" i="11"/>
  <c r="BO256" i="11" s="1"/>
  <c r="BN257" i="11"/>
  <c r="BO257" i="11" s="1"/>
  <c r="BN259" i="11"/>
  <c r="BO259" i="11" s="1"/>
  <c r="BN260" i="11"/>
  <c r="BO260" i="11" s="1"/>
  <c r="BN228" i="11"/>
  <c r="BO228" i="11" s="1"/>
  <c r="BN222" i="11"/>
  <c r="BO222" i="11" s="1"/>
  <c r="BN235" i="11"/>
  <c r="BO235" i="11" s="1"/>
  <c r="BN224" i="11"/>
  <c r="BO224" i="11" s="1"/>
  <c r="BN243" i="11"/>
  <c r="BO243" i="11" s="1"/>
  <c r="BN244" i="11"/>
  <c r="BO244" i="11" s="1"/>
  <c r="BN246" i="11"/>
  <c r="BO246" i="11" s="1"/>
  <c r="BN247" i="11"/>
  <c r="BO247" i="11" s="1"/>
  <c r="BN225" i="11"/>
  <c r="BO225" i="11" s="1"/>
  <c r="BN227" i="11"/>
  <c r="BO227" i="11" s="1"/>
  <c r="BN255" i="11"/>
  <c r="BO255" i="11" s="1"/>
  <c r="BN258" i="11"/>
  <c r="BO258" i="11" s="1"/>
  <c r="BN308" i="11"/>
  <c r="BO308" i="11" s="1"/>
  <c r="BN309" i="11"/>
  <c r="BO309" i="11" s="1"/>
  <c r="BN310" i="11"/>
  <c r="BO310" i="11" s="1"/>
  <c r="BN313" i="11"/>
  <c r="BN314" i="11"/>
  <c r="BN311" i="11"/>
  <c r="BN312" i="11"/>
  <c r="BN315" i="11"/>
  <c r="BN316" i="11"/>
  <c r="BN317" i="11"/>
  <c r="BN318" i="11"/>
  <c r="BN319" i="11"/>
  <c r="BN320" i="11"/>
  <c r="BN321" i="11"/>
  <c r="BN322" i="11"/>
  <c r="BN323" i="11"/>
  <c r="BN324" i="11"/>
  <c r="BN325" i="11"/>
  <c r="BN326" i="11"/>
  <c r="BN297" i="11"/>
  <c r="BN292" i="11"/>
  <c r="BN293" i="11"/>
  <c r="BO293" i="11" s="1"/>
  <c r="BN298" i="11"/>
  <c r="BO298" i="11" s="1"/>
  <c r="BN299" i="11"/>
  <c r="BO299" i="11" s="1"/>
  <c r="BN300" i="11"/>
  <c r="BO300" i="11" s="1"/>
  <c r="BN301" i="11"/>
  <c r="BO301" i="11" s="1"/>
  <c r="BN294" i="11"/>
  <c r="BO294" i="11" s="1"/>
  <c r="BN304" i="11"/>
  <c r="BO304" i="11" s="1"/>
  <c r="BN305" i="11"/>
  <c r="BO305" i="11" s="1"/>
  <c r="BN295" i="11"/>
  <c r="BO295" i="11" s="1"/>
  <c r="BN296" i="11"/>
  <c r="BO296" i="11" s="1"/>
  <c r="BN306" i="11"/>
  <c r="BO306" i="11" s="1"/>
  <c r="BN307" i="11"/>
  <c r="BO307" i="11" s="1"/>
  <c r="BN302" i="11"/>
  <c r="BO302" i="11" s="1"/>
  <c r="BN291" i="11"/>
  <c r="BO291" i="11" s="1"/>
  <c r="BN303" i="11"/>
  <c r="BO303" i="11" s="1"/>
  <c r="BN353" i="11"/>
  <c r="BO353" i="11" s="1"/>
  <c r="BN355" i="11"/>
  <c r="BO355" i="11" s="1"/>
  <c r="BN337" i="11"/>
  <c r="BO337" i="11" s="1"/>
  <c r="BN338" i="11"/>
  <c r="BO338" i="11" s="1"/>
  <c r="BN339" i="11"/>
  <c r="BO339" i="11" s="1"/>
  <c r="BN340" i="11"/>
  <c r="BO340" i="11" s="1"/>
  <c r="BN341" i="11"/>
  <c r="BO341" i="11" s="1"/>
  <c r="BN342" i="11"/>
  <c r="BO342" i="11" s="1"/>
  <c r="BN344" i="11"/>
  <c r="BN343" i="11"/>
  <c r="BO343" i="11" s="1"/>
  <c r="BN345" i="11"/>
  <c r="BO345" i="11" s="1"/>
  <c r="BN350" i="11"/>
  <c r="BO350" i="11" s="1"/>
  <c r="BN351" i="11"/>
  <c r="BN352" i="11"/>
  <c r="BO352" i="11" s="1"/>
  <c r="BN346" i="11"/>
  <c r="BO346" i="11" s="1"/>
  <c r="BN347" i="11"/>
  <c r="BO347" i="11" s="1"/>
  <c r="BN354" i="11"/>
  <c r="BO354" i="11" s="1"/>
  <c r="BN356" i="11"/>
  <c r="BO356" i="11" s="1"/>
  <c r="BN357" i="11"/>
  <c r="BN348" i="11"/>
  <c r="BO348" i="11" s="1"/>
  <c r="BN358" i="11"/>
  <c r="BN359" i="11"/>
  <c r="BO359" i="11" s="1"/>
  <c r="BN349" i="11"/>
  <c r="BN360" i="11"/>
  <c r="BO360" i="11" s="1"/>
  <c r="BN331" i="11"/>
  <c r="BO331" i="11" s="1"/>
  <c r="BN332" i="11"/>
  <c r="BO332" i="11" s="1"/>
  <c r="BN333" i="11"/>
  <c r="BO333" i="11" s="1"/>
  <c r="BN329" i="11"/>
  <c r="BO329" i="11" s="1"/>
  <c r="BN334" i="11"/>
  <c r="BO334" i="11" s="1"/>
  <c r="BN335" i="11"/>
  <c r="BO335" i="11" s="1"/>
  <c r="BN327" i="11"/>
  <c r="BO327" i="11" s="1"/>
  <c r="BN328" i="11"/>
  <c r="BO328" i="11" s="1"/>
  <c r="BN330" i="11"/>
  <c r="BO330" i="11" s="1"/>
  <c r="BN336" i="11"/>
  <c r="BO336" i="11" s="1"/>
  <c r="BN361" i="11"/>
  <c r="BO361" i="11" s="1"/>
  <c r="BN366" i="11"/>
  <c r="BO366" i="11" s="1"/>
  <c r="BN367" i="11"/>
  <c r="BO367" i="11" s="1"/>
  <c r="BN368" i="11"/>
  <c r="BO368" i="11" s="1"/>
  <c r="BN364" i="11"/>
  <c r="BO364" i="11" s="1"/>
  <c r="BN369" i="11"/>
  <c r="BO369" i="11" s="1"/>
  <c r="BN370" i="11"/>
  <c r="BO370" i="11" s="1"/>
  <c r="BN371" i="11"/>
  <c r="BO371" i="11" s="1"/>
  <c r="BN363" i="11"/>
  <c r="BO363" i="11" s="1"/>
  <c r="BN365" i="11"/>
  <c r="BO365" i="11" s="1"/>
  <c r="BN362" i="11"/>
  <c r="BO362" i="11" s="1"/>
  <c r="BN373" i="11"/>
  <c r="BO373" i="11" s="1"/>
  <c r="BN374" i="11"/>
  <c r="BO374" i="11" s="1"/>
  <c r="BN375" i="11"/>
  <c r="BO375" i="11" s="1"/>
  <c r="G75" i="13"/>
  <c r="G74" i="13"/>
  <c r="AI16" i="11"/>
  <c r="AI17" i="11"/>
  <c r="AI18" i="11"/>
  <c r="AI19" i="11"/>
  <c r="AI20" i="11"/>
  <c r="AI21" i="11"/>
  <c r="AI22" i="11"/>
  <c r="AI7" i="11"/>
  <c r="AI9" i="11"/>
  <c r="AI12" i="11"/>
  <c r="AI15" i="11"/>
  <c r="AI23" i="11"/>
  <c r="AI24" i="11"/>
  <c r="AI25" i="11"/>
  <c r="AI26" i="11"/>
  <c r="AI27" i="11"/>
  <c r="AI5" i="11"/>
  <c r="AI6" i="11"/>
  <c r="AI4" i="11"/>
  <c r="AI8" i="11"/>
  <c r="AI10" i="11"/>
  <c r="AI11" i="11"/>
  <c r="AI13" i="11"/>
  <c r="AI14" i="11"/>
  <c r="AI35" i="11"/>
  <c r="AI36" i="11"/>
  <c r="AI37" i="11"/>
  <c r="AI38" i="11"/>
  <c r="AI39" i="11"/>
  <c r="AI40" i="11"/>
  <c r="AI48" i="11"/>
  <c r="AI34" i="11"/>
  <c r="AI41" i="11"/>
  <c r="AI2" i="11"/>
  <c r="G57" i="27" l="1"/>
  <c r="G90" i="31"/>
  <c r="L37" i="13"/>
  <c r="H24" i="27"/>
  <c r="F72" i="31"/>
  <c r="F81" i="31"/>
  <c r="F90" i="31"/>
  <c r="L12" i="13"/>
  <c r="F9" i="31"/>
  <c r="L7" i="13"/>
  <c r="E21" i="27"/>
  <c r="L32" i="13"/>
  <c r="H21" i="27"/>
  <c r="E10" i="31"/>
  <c r="D10" i="31"/>
  <c r="E19" i="31"/>
  <c r="D19" i="31"/>
  <c r="E37" i="31"/>
  <c r="E46" i="31"/>
  <c r="F46" i="31" s="1"/>
  <c r="E55" i="31"/>
  <c r="F55" i="31" s="1"/>
  <c r="E64" i="31"/>
  <c r="F64" i="31" s="1"/>
  <c r="E73" i="31"/>
  <c r="D73" i="31"/>
  <c r="E82" i="31"/>
  <c r="F82" i="31" s="1"/>
  <c r="E91" i="31"/>
  <c r="D91" i="31"/>
  <c r="G42" i="31"/>
  <c r="G46" i="31"/>
  <c r="G47" i="31" s="1"/>
  <c r="G45" i="31"/>
  <c r="G55" i="31"/>
  <c r="G56" i="31" s="1"/>
  <c r="G51" i="31"/>
  <c r="G54" i="31"/>
  <c r="G52" i="31"/>
  <c r="G53" i="31"/>
  <c r="G63" i="31"/>
  <c r="G69" i="31"/>
  <c r="G81" i="31"/>
  <c r="G78" i="31"/>
  <c r="E6" i="27"/>
  <c r="H6" i="27"/>
  <c r="H61" i="27"/>
  <c r="F57" i="27"/>
  <c r="I61" i="27"/>
  <c r="AN313" i="11"/>
  <c r="G61" i="27"/>
  <c r="F9" i="27"/>
  <c r="H9" i="27"/>
  <c r="G9" i="27"/>
  <c r="G12" i="27"/>
  <c r="E15" i="27"/>
  <c r="E9" i="27"/>
  <c r="E18" i="27"/>
  <c r="H12" i="27"/>
  <c r="H18" i="27"/>
  <c r="AN196" i="11"/>
  <c r="AN297" i="11"/>
  <c r="AN315" i="11"/>
  <c r="AN167" i="11"/>
  <c r="BS171" i="11"/>
  <c r="BO184" i="11"/>
  <c r="BO171" i="11"/>
  <c r="BS322" i="11"/>
  <c r="BS169" i="11"/>
  <c r="BS312" i="11"/>
  <c r="BO182" i="11"/>
  <c r="BO169" i="11"/>
  <c r="BO322" i="11"/>
  <c r="BO312" i="11"/>
  <c r="BS311" i="11"/>
  <c r="BS167" i="11"/>
  <c r="BO181" i="11"/>
  <c r="BO167" i="11"/>
  <c r="BO321" i="11"/>
  <c r="BO311" i="11"/>
  <c r="BS321" i="11"/>
  <c r="BS323" i="11"/>
  <c r="BO297" i="11"/>
  <c r="BO319" i="11"/>
  <c r="BO313" i="11"/>
  <c r="BS319" i="11"/>
  <c r="BS181" i="11"/>
  <c r="BO154" i="11"/>
  <c r="BS315" i="11"/>
  <c r="BS184" i="11"/>
  <c r="BO196" i="11"/>
  <c r="BO180" i="11"/>
  <c r="BS297" i="11"/>
  <c r="BS313" i="11"/>
  <c r="BS182" i="11"/>
  <c r="BS180" i="11"/>
  <c r="BS196" i="11"/>
  <c r="BO187" i="11"/>
  <c r="BO173" i="11"/>
  <c r="BS314" i="11"/>
  <c r="BS320" i="11"/>
  <c r="BS154" i="11"/>
  <c r="AN292" i="11"/>
  <c r="BO292" i="11"/>
  <c r="BO320" i="11"/>
  <c r="BO314" i="11"/>
  <c r="AN325" i="11"/>
  <c r="AN317" i="11"/>
  <c r="AN324" i="11"/>
  <c r="AN316" i="11"/>
  <c r="AN185" i="11"/>
  <c r="BT195" i="11"/>
  <c r="AN188" i="11"/>
  <c r="AN179" i="11"/>
  <c r="AN187" i="11"/>
  <c r="AN173" i="11"/>
  <c r="AN172" i="11"/>
  <c r="BT66" i="11"/>
  <c r="BT30" i="11"/>
  <c r="BT42" i="11"/>
  <c r="AN326" i="11"/>
  <c r="AN318" i="11"/>
  <c r="BO185" i="11"/>
  <c r="BO172" i="11"/>
  <c r="BT209" i="11"/>
  <c r="BO188" i="11"/>
  <c r="BO179" i="11"/>
  <c r="BO326" i="11"/>
  <c r="BO317" i="11"/>
  <c r="BO324" i="11"/>
  <c r="BO316" i="11"/>
  <c r="BO318" i="11"/>
  <c r="BO325" i="11"/>
  <c r="BO323" i="11"/>
  <c r="BO315" i="11"/>
  <c r="BT261" i="11"/>
  <c r="BT106" i="11"/>
  <c r="BT34" i="11"/>
  <c r="BT16" i="11"/>
  <c r="BT24" i="11"/>
  <c r="BT62" i="11"/>
  <c r="BT41" i="11"/>
  <c r="BT107" i="11"/>
  <c r="BT50" i="11"/>
  <c r="BT203" i="11"/>
  <c r="BT17" i="11"/>
  <c r="BT153" i="11"/>
  <c r="BT168" i="11"/>
  <c r="BT51" i="11"/>
  <c r="BT217" i="11"/>
  <c r="BT170" i="11"/>
  <c r="BT353" i="11"/>
  <c r="BT243" i="11"/>
  <c r="BT36" i="11"/>
  <c r="BT45" i="11"/>
  <c r="BT14" i="11"/>
  <c r="BT20" i="11"/>
  <c r="BT222" i="11"/>
  <c r="BT191" i="11"/>
  <c r="BT35" i="11"/>
  <c r="BT77" i="11"/>
  <c r="BT44" i="11"/>
  <c r="BT29" i="11"/>
  <c r="BT25" i="11"/>
  <c r="BT355" i="11"/>
  <c r="BT189" i="11"/>
  <c r="BT199" i="11"/>
  <c r="BT211" i="11"/>
  <c r="BT115" i="11"/>
  <c r="BT255" i="11"/>
  <c r="BT163" i="11"/>
  <c r="BT103" i="11"/>
  <c r="BT39" i="11"/>
  <c r="BT22" i="11"/>
  <c r="BT33" i="11"/>
  <c r="BT161" i="11"/>
  <c r="BT102" i="11"/>
  <c r="BT71" i="11"/>
  <c r="BT6" i="11"/>
  <c r="BT139" i="11"/>
  <c r="BT38" i="11"/>
  <c r="BT123" i="11"/>
  <c r="BT98" i="11"/>
  <c r="BT5" i="11"/>
  <c r="BT208" i="11"/>
  <c r="BT21" i="11"/>
  <c r="BT221" i="11"/>
  <c r="BT86" i="11"/>
  <c r="BT133" i="11"/>
  <c r="BT26" i="11"/>
  <c r="BT63" i="11"/>
  <c r="BT216" i="11"/>
  <c r="BT158" i="11"/>
  <c r="BT37" i="11"/>
  <c r="BT212" i="11"/>
  <c r="BT174" i="11"/>
  <c r="BT72" i="11"/>
  <c r="BT64" i="11"/>
  <c r="BT46" i="11"/>
  <c r="BT11" i="11"/>
  <c r="BT18" i="11"/>
  <c r="BT65" i="11"/>
  <c r="BT224" i="11"/>
  <c r="BT13" i="11"/>
  <c r="BT244" i="11"/>
  <c r="BT84" i="11"/>
  <c r="BT108" i="11"/>
  <c r="BT74" i="11"/>
  <c r="BT105" i="11"/>
  <c r="BT32" i="11"/>
  <c r="BT43" i="11"/>
  <c r="BT218" i="11"/>
  <c r="BT210" i="11"/>
  <c r="BT193" i="11"/>
  <c r="BT116" i="11"/>
  <c r="BT92" i="11"/>
  <c r="BT70" i="11"/>
  <c r="BT31" i="11"/>
  <c r="BT27" i="11"/>
  <c r="BT198" i="11"/>
  <c r="BT113" i="11"/>
  <c r="BT55" i="11"/>
  <c r="BT28" i="11"/>
  <c r="BT48" i="11"/>
  <c r="BT23" i="11"/>
  <c r="BT19" i="11"/>
  <c r="BT228" i="11"/>
  <c r="BT206" i="11"/>
  <c r="BT197" i="11"/>
  <c r="BT88" i="11"/>
  <c r="BT111" i="11"/>
  <c r="BT94" i="11"/>
  <c r="BT61" i="11"/>
  <c r="BT47" i="11"/>
  <c r="BT8" i="11"/>
  <c r="J47" i="27"/>
  <c r="AP375" i="11"/>
  <c r="AP374" i="11"/>
  <c r="AP373" i="11"/>
  <c r="AP362" i="11"/>
  <c r="AP365" i="11"/>
  <c r="AP363" i="11"/>
  <c r="AP371" i="11"/>
  <c r="AP370" i="11"/>
  <c r="AP369" i="11"/>
  <c r="AP364" i="11"/>
  <c r="AP368" i="11"/>
  <c r="AP367" i="11"/>
  <c r="AP366" i="11"/>
  <c r="AP361" i="11"/>
  <c r="AP336" i="11"/>
  <c r="AP330" i="11"/>
  <c r="AP328" i="11"/>
  <c r="AP327" i="11"/>
  <c r="AP335" i="11"/>
  <c r="AP334" i="11"/>
  <c r="AP329" i="11"/>
  <c r="AP333" i="11"/>
  <c r="AP332" i="11"/>
  <c r="AP331" i="11"/>
  <c r="AP360" i="11"/>
  <c r="AP359" i="11"/>
  <c r="AP348" i="11"/>
  <c r="AP356" i="11"/>
  <c r="AP354" i="11"/>
  <c r="AP347" i="11"/>
  <c r="AP346" i="11"/>
  <c r="AP352" i="11"/>
  <c r="AP350" i="11"/>
  <c r="AP345" i="11"/>
  <c r="AP343" i="11"/>
  <c r="AP342" i="11"/>
  <c r="AP341" i="11"/>
  <c r="AP340" i="11"/>
  <c r="AP339" i="11"/>
  <c r="AP338" i="11"/>
  <c r="AP337" i="11"/>
  <c r="AP355" i="11"/>
  <c r="AP353" i="11"/>
  <c r="AP303" i="11"/>
  <c r="AP291" i="11"/>
  <c r="AP302" i="11"/>
  <c r="AP307" i="11"/>
  <c r="AP306" i="11"/>
  <c r="AP296" i="11"/>
  <c r="AP295" i="11"/>
  <c r="AP305" i="11"/>
  <c r="AP304" i="11"/>
  <c r="AP294" i="11"/>
  <c r="AP301" i="11"/>
  <c r="AP300" i="11"/>
  <c r="AP299" i="11"/>
  <c r="AP298" i="11"/>
  <c r="AP293" i="11"/>
  <c r="AP292" i="11"/>
  <c r="AP297" i="11"/>
  <c r="AP326" i="11"/>
  <c r="AP325" i="11"/>
  <c r="AP324" i="11"/>
  <c r="AP323" i="11"/>
  <c r="AP322" i="11"/>
  <c r="AP321" i="11"/>
  <c r="AP320" i="11"/>
  <c r="AP319" i="11"/>
  <c r="AP318" i="11"/>
  <c r="AP317" i="11"/>
  <c r="AP316" i="11"/>
  <c r="AP315" i="11"/>
  <c r="AP312" i="11"/>
  <c r="AP311" i="11"/>
  <c r="AP314" i="11"/>
  <c r="AP310" i="11"/>
  <c r="AP309" i="11"/>
  <c r="AP308" i="11"/>
  <c r="AP258" i="11"/>
  <c r="AP255" i="11"/>
  <c r="AP227" i="11"/>
  <c r="AP225" i="11"/>
  <c r="AP247" i="11"/>
  <c r="AP246" i="11"/>
  <c r="AP244" i="11"/>
  <c r="AP243" i="11"/>
  <c r="AP224" i="11"/>
  <c r="AP235" i="11"/>
  <c r="AP222" i="11"/>
  <c r="AP228" i="11"/>
  <c r="AP260" i="11"/>
  <c r="AP259" i="11"/>
  <c r="AP257" i="11"/>
  <c r="AP256" i="11"/>
  <c r="AP254" i="11"/>
  <c r="AP253" i="11"/>
  <c r="AP252" i="11"/>
  <c r="AP226" i="11"/>
  <c r="AP251" i="11"/>
  <c r="AP250" i="11"/>
  <c r="AP249" i="11"/>
  <c r="AP248" i="11"/>
  <c r="AP245" i="11"/>
  <c r="AP242" i="11"/>
  <c r="AP241" i="11"/>
  <c r="AP240" i="11"/>
  <c r="AP239" i="11"/>
  <c r="AP238" i="11"/>
  <c r="AP237" i="11"/>
  <c r="AP236" i="11"/>
  <c r="AP234" i="11"/>
  <c r="AP233" i="11"/>
  <c r="AP232" i="11"/>
  <c r="AP231" i="11"/>
  <c r="AP223" i="11"/>
  <c r="AP230" i="11"/>
  <c r="AP229" i="11"/>
  <c r="AP288" i="11"/>
  <c r="AP287" i="11"/>
  <c r="AP285" i="11"/>
  <c r="AP273" i="11"/>
  <c r="AP272" i="11"/>
  <c r="AP282" i="11"/>
  <c r="AP281" i="11"/>
  <c r="AP280" i="11"/>
  <c r="AP276" i="11"/>
  <c r="AP279" i="11"/>
  <c r="AP271" i="11"/>
  <c r="AP274" i="11"/>
  <c r="AP277" i="11"/>
  <c r="AP270" i="11"/>
  <c r="AP269" i="11"/>
  <c r="AP268" i="11"/>
  <c r="AP267" i="11"/>
  <c r="AP266" i="11"/>
  <c r="AP265" i="11"/>
  <c r="AP264" i="11"/>
  <c r="AP290" i="11"/>
  <c r="AP289" i="11"/>
  <c r="AP286" i="11"/>
  <c r="AP284" i="11"/>
  <c r="AP278" i="11"/>
  <c r="AP275" i="11"/>
  <c r="AP263" i="11"/>
  <c r="AP261" i="11"/>
  <c r="AP262" i="11"/>
  <c r="AP153" i="11"/>
  <c r="AP145" i="11"/>
  <c r="AP139" i="11"/>
  <c r="AP133" i="11"/>
  <c r="AP129" i="11"/>
  <c r="AP123" i="11"/>
  <c r="AP121" i="11"/>
  <c r="AP120" i="11"/>
  <c r="AP152" i="11"/>
  <c r="AP151" i="11"/>
  <c r="AP150" i="11"/>
  <c r="AP149" i="11"/>
  <c r="AP148" i="11"/>
  <c r="AP147" i="11"/>
  <c r="AP146" i="11"/>
  <c r="AP144" i="11"/>
  <c r="AP143" i="11"/>
  <c r="AP142" i="11"/>
  <c r="AP141" i="11"/>
  <c r="AP140" i="11"/>
  <c r="AP138" i="11"/>
  <c r="AP137" i="11"/>
  <c r="AP136" i="11"/>
  <c r="AP135" i="11"/>
  <c r="AP134" i="11"/>
  <c r="AP132" i="11"/>
  <c r="AP131" i="11"/>
  <c r="AP119" i="11"/>
  <c r="AP118" i="11"/>
  <c r="AP130" i="11"/>
  <c r="AP128" i="11"/>
  <c r="AP127" i="11"/>
  <c r="AP126" i="11"/>
  <c r="AP117" i="11"/>
  <c r="AP125" i="11"/>
  <c r="AP221" i="11"/>
  <c r="AP220" i="11"/>
  <c r="AP219" i="11"/>
  <c r="AP218" i="11"/>
  <c r="AP217" i="11"/>
  <c r="AP216" i="11"/>
  <c r="AP215" i="11"/>
  <c r="AP124" i="11"/>
  <c r="AP213" i="11"/>
  <c r="AP212" i="11"/>
  <c r="AP211" i="11"/>
  <c r="AP122" i="11"/>
  <c r="AP210" i="11"/>
  <c r="AP209" i="11"/>
  <c r="AP208" i="11"/>
  <c r="AP207" i="11"/>
  <c r="AP206" i="11"/>
  <c r="AP214" i="11"/>
  <c r="AP201" i="11"/>
  <c r="AP196" i="11"/>
  <c r="AP188" i="11"/>
  <c r="AP187" i="11"/>
  <c r="AP185" i="11"/>
  <c r="AP184" i="11"/>
  <c r="AP182" i="11"/>
  <c r="AP181" i="11"/>
  <c r="AP154" i="11"/>
  <c r="AP180" i="11"/>
  <c r="AP179" i="11"/>
  <c r="AP173" i="11"/>
  <c r="AP172" i="11"/>
  <c r="AP171" i="11"/>
  <c r="AP169" i="11"/>
  <c r="AP167" i="11"/>
  <c r="AP205" i="11"/>
  <c r="AP204" i="11"/>
  <c r="AP203" i="11"/>
  <c r="AP202" i="11"/>
  <c r="AP166" i="11"/>
  <c r="AP164" i="11"/>
  <c r="AP200" i="11"/>
  <c r="AP189" i="11"/>
  <c r="AP199" i="11"/>
  <c r="AP198" i="11"/>
  <c r="AP197" i="11"/>
  <c r="AP162" i="11"/>
  <c r="AP195" i="11"/>
  <c r="AP194" i="11"/>
  <c r="AP193" i="11"/>
  <c r="AP192" i="11"/>
  <c r="AP191" i="11"/>
  <c r="AP190" i="11"/>
  <c r="AP160" i="11"/>
  <c r="AP157" i="11"/>
  <c r="AP155" i="11"/>
  <c r="AP186" i="11"/>
  <c r="AP183" i="11"/>
  <c r="AP178" i="11"/>
  <c r="AP177" i="11"/>
  <c r="AP176" i="11"/>
  <c r="AP175" i="11"/>
  <c r="AP174" i="11"/>
  <c r="AP170" i="11"/>
  <c r="AP168" i="11"/>
  <c r="AP165" i="11"/>
  <c r="AP163" i="11"/>
  <c r="AP161" i="11"/>
  <c r="AP159" i="11"/>
  <c r="AP158" i="11"/>
  <c r="AP156" i="11"/>
  <c r="AP90" i="11"/>
  <c r="AP88" i="11"/>
  <c r="AP86" i="11"/>
  <c r="AP84" i="11"/>
  <c r="AP77" i="11"/>
  <c r="AP74" i="11"/>
  <c r="AP116" i="11"/>
  <c r="AP115" i="11"/>
  <c r="AP114" i="11"/>
  <c r="AP113" i="11"/>
  <c r="AP111" i="11"/>
  <c r="AP108" i="11"/>
  <c r="AP107" i="11"/>
  <c r="AP106" i="11"/>
  <c r="AP105" i="11"/>
  <c r="AP91" i="11"/>
  <c r="AP89" i="11"/>
  <c r="AP87" i="11"/>
  <c r="AP85" i="11"/>
  <c r="AP83" i="11"/>
  <c r="AP73" i="11"/>
  <c r="AP82" i="11"/>
  <c r="AP81" i="11"/>
  <c r="AP80" i="11"/>
  <c r="AP79" i="11"/>
  <c r="AP78" i="11"/>
  <c r="AP76" i="11"/>
  <c r="AP103" i="11"/>
  <c r="AP102" i="11"/>
  <c r="AP75" i="11"/>
  <c r="AP100" i="11"/>
  <c r="AP99" i="11"/>
  <c r="AP98" i="11"/>
  <c r="AP92" i="11"/>
  <c r="AP97" i="11"/>
  <c r="AP93" i="11"/>
  <c r="AP96" i="11"/>
  <c r="AP95" i="11"/>
  <c r="AP94" i="11"/>
  <c r="AP112" i="11"/>
  <c r="AP110" i="11"/>
  <c r="AP109" i="11"/>
  <c r="AP104" i="11"/>
  <c r="AP101" i="11"/>
  <c r="AP57" i="11"/>
  <c r="AP50" i="11"/>
  <c r="AP55" i="11"/>
  <c r="AP54" i="11"/>
  <c r="AP51" i="11"/>
  <c r="AP60" i="11"/>
  <c r="AP59" i="11"/>
  <c r="AP58" i="11"/>
  <c r="AP56" i="11"/>
  <c r="AP53" i="11"/>
  <c r="AP49" i="11"/>
  <c r="AP52" i="11"/>
  <c r="AP69" i="11"/>
  <c r="AP68" i="11"/>
  <c r="AP67" i="11"/>
  <c r="AP72" i="11"/>
  <c r="AP71" i="11"/>
  <c r="AP70" i="11"/>
  <c r="AP63" i="11"/>
  <c r="AP66" i="11"/>
  <c r="AP62" i="11"/>
  <c r="AP61" i="11"/>
  <c r="AP65" i="11"/>
  <c r="AP64" i="11"/>
  <c r="AP33" i="11"/>
  <c r="AP32" i="11"/>
  <c r="AP31" i="11"/>
  <c r="AP30" i="11"/>
  <c r="AP29" i="11"/>
  <c r="AP28" i="11"/>
  <c r="AP47" i="11"/>
  <c r="AP46" i="11"/>
  <c r="AP45" i="11"/>
  <c r="AP44" i="11"/>
  <c r="AP43" i="11"/>
  <c r="AP42" i="11"/>
  <c r="AP41" i="11"/>
  <c r="AP34" i="11"/>
  <c r="AP48" i="11"/>
  <c r="AP40" i="11"/>
  <c r="AP39" i="11"/>
  <c r="AP38" i="11"/>
  <c r="AP37" i="11"/>
  <c r="AP36" i="11"/>
  <c r="AP35" i="11"/>
  <c r="AP14" i="11"/>
  <c r="AP13" i="11"/>
  <c r="AQ13" i="11" s="1"/>
  <c r="AP11" i="11"/>
  <c r="AP10" i="11"/>
  <c r="AP8" i="11"/>
  <c r="AP4" i="11"/>
  <c r="AP6" i="11"/>
  <c r="AP5" i="11"/>
  <c r="AP27" i="11"/>
  <c r="AP26" i="11"/>
  <c r="AP25" i="11"/>
  <c r="AP24" i="11"/>
  <c r="AP23" i="11"/>
  <c r="AP15" i="11"/>
  <c r="AP12" i="11"/>
  <c r="AP9" i="11"/>
  <c r="AP7" i="11"/>
  <c r="AP3" i="11"/>
  <c r="AP22" i="11"/>
  <c r="AP21" i="11"/>
  <c r="AP20" i="11"/>
  <c r="AP19" i="11"/>
  <c r="AP18" i="11"/>
  <c r="AP17" i="11"/>
  <c r="AP16" i="11"/>
  <c r="AP2" i="11"/>
  <c r="AO375" i="11"/>
  <c r="AO374" i="11"/>
  <c r="AO373" i="11"/>
  <c r="AO362" i="11"/>
  <c r="AO365" i="11"/>
  <c r="AO363" i="11"/>
  <c r="AO371" i="11"/>
  <c r="AO370" i="11"/>
  <c r="AO369" i="11"/>
  <c r="AO364" i="11"/>
  <c r="AO368" i="11"/>
  <c r="AO367" i="11"/>
  <c r="AO366" i="11"/>
  <c r="AO361" i="11"/>
  <c r="AO336" i="11"/>
  <c r="AO330" i="11"/>
  <c r="AO328" i="11"/>
  <c r="AO327" i="11"/>
  <c r="AO335" i="11"/>
  <c r="AO334" i="11"/>
  <c r="AO329" i="11"/>
  <c r="AO333" i="11"/>
  <c r="AO332" i="11"/>
  <c r="AO331" i="11"/>
  <c r="AO360" i="11"/>
  <c r="AO359" i="11"/>
  <c r="AO348" i="11"/>
  <c r="AO356" i="11"/>
  <c r="AO354" i="11"/>
  <c r="AO347" i="11"/>
  <c r="AO346" i="11"/>
  <c r="AO352" i="11"/>
  <c r="AO350" i="11"/>
  <c r="AO345" i="11"/>
  <c r="AO343" i="11"/>
  <c r="AO342" i="11"/>
  <c r="AO341" i="11"/>
  <c r="AO340" i="11"/>
  <c r="AO339" i="11"/>
  <c r="AO338" i="11"/>
  <c r="AO337" i="11"/>
  <c r="AO355" i="11"/>
  <c r="AO353" i="11"/>
  <c r="AO303" i="11"/>
  <c r="AO291" i="11"/>
  <c r="AO302" i="11"/>
  <c r="AO307" i="11"/>
  <c r="AO306" i="11"/>
  <c r="AO296" i="11"/>
  <c r="AO295" i="11"/>
  <c r="AO305" i="11"/>
  <c r="AO304" i="11"/>
  <c r="AO294" i="11"/>
  <c r="AO301" i="11"/>
  <c r="AO300" i="11"/>
  <c r="AO299" i="11"/>
  <c r="AO298" i="11"/>
  <c r="AO293" i="11"/>
  <c r="AO292" i="11"/>
  <c r="AO297" i="11"/>
  <c r="AO326" i="11"/>
  <c r="AO325" i="11"/>
  <c r="AO324" i="11"/>
  <c r="AO323" i="11"/>
  <c r="AO322" i="11"/>
  <c r="AO321" i="11"/>
  <c r="AO320" i="11"/>
  <c r="AO319" i="11"/>
  <c r="AO318" i="11"/>
  <c r="AO317" i="11"/>
  <c r="AO316" i="11"/>
  <c r="AO315" i="11"/>
  <c r="AO312" i="11"/>
  <c r="AO311" i="11"/>
  <c r="AO314" i="11"/>
  <c r="AO310" i="11"/>
  <c r="AO309" i="11"/>
  <c r="AO308" i="11"/>
  <c r="AO258" i="11"/>
  <c r="AO255" i="11"/>
  <c r="AO227" i="11"/>
  <c r="AO225" i="11"/>
  <c r="AO247" i="11"/>
  <c r="AO246" i="11"/>
  <c r="AO244" i="11"/>
  <c r="AO243" i="11"/>
  <c r="AO224" i="11"/>
  <c r="AO235" i="11"/>
  <c r="AO222" i="11"/>
  <c r="AO228" i="11"/>
  <c r="AO260" i="11"/>
  <c r="AO259" i="11"/>
  <c r="AO257" i="11"/>
  <c r="AO256" i="11"/>
  <c r="AO254" i="11"/>
  <c r="AO253" i="11"/>
  <c r="AO252" i="11"/>
  <c r="AO226" i="11"/>
  <c r="AO251" i="11"/>
  <c r="AO250" i="11"/>
  <c r="AO249" i="11"/>
  <c r="AO248" i="11"/>
  <c r="AO245" i="11"/>
  <c r="AO242" i="11"/>
  <c r="AO241" i="11"/>
  <c r="AO240" i="11"/>
  <c r="AO239" i="11"/>
  <c r="AO238" i="11"/>
  <c r="AO237" i="11"/>
  <c r="AO236" i="11"/>
  <c r="AO234" i="11"/>
  <c r="AO233" i="11"/>
  <c r="AO232" i="11"/>
  <c r="AO231" i="11"/>
  <c r="AO223" i="11"/>
  <c r="AO230" i="11"/>
  <c r="AO229" i="11"/>
  <c r="AO288" i="11"/>
  <c r="AO287" i="11"/>
  <c r="AO285" i="11"/>
  <c r="AO273" i="11"/>
  <c r="AO272" i="11"/>
  <c r="AO282" i="11"/>
  <c r="AO281" i="11"/>
  <c r="AO280" i="11"/>
  <c r="AO276" i="11"/>
  <c r="AO279" i="11"/>
  <c r="AO271" i="11"/>
  <c r="AO274" i="11"/>
  <c r="AO277" i="11"/>
  <c r="AO270" i="11"/>
  <c r="AO269" i="11"/>
  <c r="AO268" i="11"/>
  <c r="AO267" i="11"/>
  <c r="AO266" i="11"/>
  <c r="AO265" i="11"/>
  <c r="AO264" i="11"/>
  <c r="AO290" i="11"/>
  <c r="AO289" i="11"/>
  <c r="AO286" i="11"/>
  <c r="AO284" i="11"/>
  <c r="AO278" i="11"/>
  <c r="AO275" i="11"/>
  <c r="AO263" i="11"/>
  <c r="AO261" i="11"/>
  <c r="AO262" i="11"/>
  <c r="AO153" i="11"/>
  <c r="AO145" i="11"/>
  <c r="AO139" i="11"/>
  <c r="AO133" i="11"/>
  <c r="AO129" i="11"/>
  <c r="AO123" i="11"/>
  <c r="AO121" i="11"/>
  <c r="AO120" i="11"/>
  <c r="AO152" i="11"/>
  <c r="AO151" i="11"/>
  <c r="AO150" i="11"/>
  <c r="AO149" i="11"/>
  <c r="AO148" i="11"/>
  <c r="AO147" i="11"/>
  <c r="AO146" i="11"/>
  <c r="AO144" i="11"/>
  <c r="AO143" i="11"/>
  <c r="AO142" i="11"/>
  <c r="AO141" i="11"/>
  <c r="AO140" i="11"/>
  <c r="AO138" i="11"/>
  <c r="AO137" i="11"/>
  <c r="AO136" i="11"/>
  <c r="AO135" i="11"/>
  <c r="AO134" i="11"/>
  <c r="AO132" i="11"/>
  <c r="AO131" i="11"/>
  <c r="AO119" i="11"/>
  <c r="AO118" i="11"/>
  <c r="AO130" i="11"/>
  <c r="AO128" i="11"/>
  <c r="AO127" i="11"/>
  <c r="AO126" i="11"/>
  <c r="AO117" i="11"/>
  <c r="AO125" i="11"/>
  <c r="AO221" i="11"/>
  <c r="AO220" i="11"/>
  <c r="AO219" i="11"/>
  <c r="AO218" i="11"/>
  <c r="AO217" i="11"/>
  <c r="AO216" i="11"/>
  <c r="AO215" i="11"/>
  <c r="AO124" i="11"/>
  <c r="AO213" i="11"/>
  <c r="AO212" i="11"/>
  <c r="AO211" i="11"/>
  <c r="AO122" i="11"/>
  <c r="AO210" i="11"/>
  <c r="AO209" i="11"/>
  <c r="AO208" i="11"/>
  <c r="AO207" i="11"/>
  <c r="AO206" i="11"/>
  <c r="AO214" i="11"/>
  <c r="AO201" i="11"/>
  <c r="AO196" i="11"/>
  <c r="AO188" i="11"/>
  <c r="AO187" i="11"/>
  <c r="AO185" i="11"/>
  <c r="AO184" i="11"/>
  <c r="AO182" i="11"/>
  <c r="AO181" i="11"/>
  <c r="AO154" i="11"/>
  <c r="AO180" i="11"/>
  <c r="AO179" i="11"/>
  <c r="AO173" i="11"/>
  <c r="AO172" i="11"/>
  <c r="AO171" i="11"/>
  <c r="AO169" i="11"/>
  <c r="AO167" i="11"/>
  <c r="AO205" i="11"/>
  <c r="AO204" i="11"/>
  <c r="AO203" i="11"/>
  <c r="AO202" i="11"/>
  <c r="AO166" i="11"/>
  <c r="AO164" i="11"/>
  <c r="AO200" i="11"/>
  <c r="AO189" i="11"/>
  <c r="AO199" i="11"/>
  <c r="AO198" i="11"/>
  <c r="AO197" i="11"/>
  <c r="AO162" i="11"/>
  <c r="AO195" i="11"/>
  <c r="AO194" i="11"/>
  <c r="AO193" i="11"/>
  <c r="AO192" i="11"/>
  <c r="AO191" i="11"/>
  <c r="AO190" i="11"/>
  <c r="AO160" i="11"/>
  <c r="AO157" i="11"/>
  <c r="AO155" i="11"/>
  <c r="AO186" i="11"/>
  <c r="AO183" i="11"/>
  <c r="AO178" i="11"/>
  <c r="AO177" i="11"/>
  <c r="AO176" i="11"/>
  <c r="AO175" i="11"/>
  <c r="AO174" i="11"/>
  <c r="AO170" i="11"/>
  <c r="AO168" i="11"/>
  <c r="AO165" i="11"/>
  <c r="AO163" i="11"/>
  <c r="AO161" i="11"/>
  <c r="AO159" i="11"/>
  <c r="AO158" i="11"/>
  <c r="AO156" i="11"/>
  <c r="AO90" i="11"/>
  <c r="AO88" i="11"/>
  <c r="AO86" i="11"/>
  <c r="AO84" i="11"/>
  <c r="AO77" i="11"/>
  <c r="AO74" i="11"/>
  <c r="AO116" i="11"/>
  <c r="AO115" i="11"/>
  <c r="AO114" i="11"/>
  <c r="AO113" i="11"/>
  <c r="AO111" i="11"/>
  <c r="AO108" i="11"/>
  <c r="AO107" i="11"/>
  <c r="AO106" i="11"/>
  <c r="AO105" i="11"/>
  <c r="AO91" i="11"/>
  <c r="AO89" i="11"/>
  <c r="AO87" i="11"/>
  <c r="AO85" i="11"/>
  <c r="AO83" i="11"/>
  <c r="AO73" i="11"/>
  <c r="AO82" i="11"/>
  <c r="AO81" i="11"/>
  <c r="AO80" i="11"/>
  <c r="AO79" i="11"/>
  <c r="AO78" i="11"/>
  <c r="AO76" i="11"/>
  <c r="AO103" i="11"/>
  <c r="AO102" i="11"/>
  <c r="AO75" i="11"/>
  <c r="AO100" i="11"/>
  <c r="AO99" i="11"/>
  <c r="AO98" i="11"/>
  <c r="AO92" i="11"/>
  <c r="AO97" i="11"/>
  <c r="AO93" i="11"/>
  <c r="AO96" i="11"/>
  <c r="AO95" i="11"/>
  <c r="AO94" i="11"/>
  <c r="AO112" i="11"/>
  <c r="AO110" i="11"/>
  <c r="AO109" i="11"/>
  <c r="AO104" i="11"/>
  <c r="AO101" i="11"/>
  <c r="AO57" i="11"/>
  <c r="AO50" i="11"/>
  <c r="AO55" i="11"/>
  <c r="AO54" i="11"/>
  <c r="AO51" i="11"/>
  <c r="AO60" i="11"/>
  <c r="AO59" i="11"/>
  <c r="AO58" i="11"/>
  <c r="AO56" i="11"/>
  <c r="AO53" i="11"/>
  <c r="AO49" i="11"/>
  <c r="AO52" i="11"/>
  <c r="AO69" i="11"/>
  <c r="AO68" i="11"/>
  <c r="AO67" i="11"/>
  <c r="AO72" i="11"/>
  <c r="AO71" i="11"/>
  <c r="AO70" i="11"/>
  <c r="AO63" i="11"/>
  <c r="AO66" i="11"/>
  <c r="AO62" i="11"/>
  <c r="AO61" i="11"/>
  <c r="AO65" i="11"/>
  <c r="AO64" i="11"/>
  <c r="AO33" i="11"/>
  <c r="AO32" i="11"/>
  <c r="AO31" i="11"/>
  <c r="AO30" i="11"/>
  <c r="AO29" i="11"/>
  <c r="AO28" i="11"/>
  <c r="AO47" i="11"/>
  <c r="AO46" i="11"/>
  <c r="AO45" i="11"/>
  <c r="AO44" i="11"/>
  <c r="AO43" i="11"/>
  <c r="AO42" i="11"/>
  <c r="AO41" i="11"/>
  <c r="AO34" i="11"/>
  <c r="AO48" i="11"/>
  <c r="AO40" i="11"/>
  <c r="AO39" i="11"/>
  <c r="AO38" i="11"/>
  <c r="AO37" i="11"/>
  <c r="AO36" i="11"/>
  <c r="AO35" i="11"/>
  <c r="AO14" i="11"/>
  <c r="AO11" i="11"/>
  <c r="AO10" i="11"/>
  <c r="AO8" i="11"/>
  <c r="AO4" i="11"/>
  <c r="AO6" i="11"/>
  <c r="AO5" i="11"/>
  <c r="AO27" i="11"/>
  <c r="AO26" i="11"/>
  <c r="AO25" i="11"/>
  <c r="AO24" i="11"/>
  <c r="AO23" i="11"/>
  <c r="AO15" i="11"/>
  <c r="AO12" i="11"/>
  <c r="AO9" i="11"/>
  <c r="AO7" i="11"/>
  <c r="AO3" i="11"/>
  <c r="AO22" i="11"/>
  <c r="AO21" i="11"/>
  <c r="AO20" i="11"/>
  <c r="AO19" i="11"/>
  <c r="AO18" i="11"/>
  <c r="AO17" i="11"/>
  <c r="AO16" i="11"/>
  <c r="AO2" i="11"/>
  <c r="D40" i="11"/>
  <c r="BU40" i="11" s="1"/>
  <c r="D374" i="11"/>
  <c r="BU374" i="11" s="1"/>
  <c r="D375" i="11"/>
  <c r="BU375" i="11" s="1"/>
  <c r="D156" i="11"/>
  <c r="BU156" i="11" s="1"/>
  <c r="D159" i="11"/>
  <c r="BU159" i="11" s="1"/>
  <c r="D165" i="11"/>
  <c r="BU165" i="11" s="1"/>
  <c r="D3" i="11"/>
  <c r="BU3" i="11" s="1"/>
  <c r="D7" i="11"/>
  <c r="BU7" i="11" s="1"/>
  <c r="D9" i="11"/>
  <c r="BU9" i="11" s="1"/>
  <c r="D12" i="11"/>
  <c r="BU12" i="11" s="1"/>
  <c r="D15" i="11"/>
  <c r="BU15" i="11" s="1"/>
  <c r="D175" i="11"/>
  <c r="BU175" i="11" s="1"/>
  <c r="D176" i="11"/>
  <c r="BU176" i="11" s="1"/>
  <c r="D177" i="11"/>
  <c r="BU177" i="11" s="1"/>
  <c r="D178" i="11"/>
  <c r="BU178" i="11" s="1"/>
  <c r="D67" i="11"/>
  <c r="BU67" i="11" s="1"/>
  <c r="D68" i="11"/>
  <c r="BU68" i="11" s="1"/>
  <c r="D69" i="11"/>
  <c r="BU69" i="11" s="1"/>
  <c r="D52" i="11"/>
  <c r="BU52" i="11" s="1"/>
  <c r="D49" i="11"/>
  <c r="BU49" i="11" s="1"/>
  <c r="D183" i="11"/>
  <c r="BU183" i="11" s="1"/>
  <c r="BU53" i="11"/>
  <c r="D56" i="11"/>
  <c r="BU56" i="11" s="1"/>
  <c r="D186" i="11"/>
  <c r="BU186" i="11" s="1"/>
  <c r="D58" i="11"/>
  <c r="BU58" i="11" s="1"/>
  <c r="D59" i="11"/>
  <c r="BU59" i="11" s="1"/>
  <c r="D262" i="11"/>
  <c r="BU262" i="11" s="1"/>
  <c r="D263" i="11"/>
  <c r="BU263" i="11" s="1"/>
  <c r="D60" i="11"/>
  <c r="BU60" i="11" s="1"/>
  <c r="D101" i="11"/>
  <c r="BU101" i="11" s="1"/>
  <c r="D104" i="11"/>
  <c r="BU104" i="11" s="1"/>
  <c r="D109" i="11"/>
  <c r="BU109" i="11" s="1"/>
  <c r="D110" i="11"/>
  <c r="BU110" i="11" s="1"/>
  <c r="D112" i="11"/>
  <c r="BU112" i="11" s="1"/>
  <c r="D155" i="11"/>
  <c r="BU155" i="11" s="1"/>
  <c r="D157" i="11"/>
  <c r="BU157" i="11" s="1"/>
  <c r="D160" i="11"/>
  <c r="BU160" i="11" s="1"/>
  <c r="D162" i="11"/>
  <c r="BU162" i="11" s="1"/>
  <c r="D164" i="11"/>
  <c r="BU164" i="11" s="1"/>
  <c r="D166" i="11"/>
  <c r="BU166" i="11" s="1"/>
  <c r="D167" i="11"/>
  <c r="BU167" i="11" s="1"/>
  <c r="D169" i="11"/>
  <c r="BU169" i="11" s="1"/>
  <c r="D171" i="11"/>
  <c r="BU171" i="11" s="1"/>
  <c r="D172" i="11"/>
  <c r="BU172" i="11" s="1"/>
  <c r="D173" i="11"/>
  <c r="BU173" i="11" s="1"/>
  <c r="D179" i="11"/>
  <c r="BU179" i="11" s="1"/>
  <c r="D180" i="11"/>
  <c r="BU180" i="11" s="1"/>
  <c r="D154" i="11"/>
  <c r="BU154" i="11" s="1"/>
  <c r="D181" i="11"/>
  <c r="BU181" i="11" s="1"/>
  <c r="D182" i="11"/>
  <c r="BU182" i="11" s="1"/>
  <c r="D184" i="11"/>
  <c r="BU184" i="11" s="1"/>
  <c r="D185" i="11"/>
  <c r="BU185" i="11" s="1"/>
  <c r="D187" i="11"/>
  <c r="BU187" i="11" s="1"/>
  <c r="D188" i="11"/>
  <c r="BU188" i="11" s="1"/>
  <c r="D264" i="11"/>
  <c r="BU264" i="11" s="1"/>
  <c r="D265" i="11"/>
  <c r="BU265" i="11" s="1"/>
  <c r="D266" i="11"/>
  <c r="BU266" i="11" s="1"/>
  <c r="D267" i="11"/>
  <c r="BU267" i="11" s="1"/>
  <c r="D268" i="11"/>
  <c r="BU268" i="11" s="1"/>
  <c r="D269" i="11"/>
  <c r="BU269" i="11" s="1"/>
  <c r="D95" i="11"/>
  <c r="BU95" i="11" s="1"/>
  <c r="D96" i="11"/>
  <c r="BU96" i="11" s="1"/>
  <c r="D93" i="11"/>
  <c r="BU93" i="11" s="1"/>
  <c r="D97" i="11"/>
  <c r="BU97" i="11" s="1"/>
  <c r="D99" i="11"/>
  <c r="BU99" i="11" s="1"/>
  <c r="D100" i="11"/>
  <c r="BU100" i="11" s="1"/>
  <c r="D270" i="11"/>
  <c r="BU270" i="11" s="1"/>
  <c r="D308" i="11"/>
  <c r="BU308" i="11" s="1"/>
  <c r="D309" i="11"/>
  <c r="BU309" i="11" s="1"/>
  <c r="D310" i="11"/>
  <c r="BU310" i="11" s="1"/>
  <c r="D337" i="11"/>
  <c r="BU337" i="11" s="1"/>
  <c r="D338" i="11"/>
  <c r="BU338" i="11" s="1"/>
  <c r="D339" i="11"/>
  <c r="BU339" i="11" s="1"/>
  <c r="D340" i="11"/>
  <c r="BU340" i="11" s="1"/>
  <c r="D341" i="11"/>
  <c r="BU341" i="11" s="1"/>
  <c r="D342" i="11"/>
  <c r="BU342" i="11" s="1"/>
  <c r="D114" i="11"/>
  <c r="BU114" i="11" s="1"/>
  <c r="D190" i="11"/>
  <c r="BU190" i="11" s="1"/>
  <c r="D192" i="11"/>
  <c r="BU192" i="11" s="1"/>
  <c r="D194" i="11"/>
  <c r="BU194" i="11" s="1"/>
  <c r="D196" i="11"/>
  <c r="BU196" i="11" s="1"/>
  <c r="D200" i="11"/>
  <c r="BU200" i="11" s="1"/>
  <c r="D201" i="11"/>
  <c r="BU201" i="11" s="1"/>
  <c r="D277" i="11"/>
  <c r="BU277" i="11" s="1"/>
  <c r="D202" i="11"/>
  <c r="BU202" i="11" s="1"/>
  <c r="D204" i="11"/>
  <c r="BU204" i="11" s="1"/>
  <c r="D205" i="11"/>
  <c r="BU205" i="11" s="1"/>
  <c r="D274" i="11"/>
  <c r="BU274" i="11" s="1"/>
  <c r="D271" i="11"/>
  <c r="BU271" i="11" s="1"/>
  <c r="D279" i="11"/>
  <c r="BU279" i="11" s="1"/>
  <c r="D313" i="11"/>
  <c r="BU313" i="11" s="1"/>
  <c r="D344" i="11"/>
  <c r="BU344" i="11" s="1"/>
  <c r="D275" i="11"/>
  <c r="BU275" i="11" s="1"/>
  <c r="D276" i="11"/>
  <c r="BU276" i="11" s="1"/>
  <c r="D280" i="11"/>
  <c r="BU280" i="11" s="1"/>
  <c r="D281" i="11"/>
  <c r="BU281" i="11" s="1"/>
  <c r="D282" i="11"/>
  <c r="BU282" i="11" s="1"/>
  <c r="D283" i="11"/>
  <c r="BU283" i="11" s="1"/>
  <c r="D272" i="11"/>
  <c r="BU272" i="11" s="1"/>
  <c r="D278" i="11"/>
  <c r="BU278" i="11" s="1"/>
  <c r="D273" i="11"/>
  <c r="BU273" i="11" s="1"/>
  <c r="D314" i="11"/>
  <c r="BU314" i="11" s="1"/>
  <c r="D311" i="11"/>
  <c r="BU311" i="11" s="1"/>
  <c r="D312" i="11"/>
  <c r="BU312" i="11" s="1"/>
  <c r="D343" i="11"/>
  <c r="BU343" i="11" s="1"/>
  <c r="D345" i="11"/>
  <c r="BU345" i="11" s="1"/>
  <c r="D284" i="11"/>
  <c r="BU284" i="11" s="1"/>
  <c r="D207" i="11"/>
  <c r="BU207" i="11" s="1"/>
  <c r="D285" i="11"/>
  <c r="BU285" i="11" s="1"/>
  <c r="D213" i="11"/>
  <c r="BU213" i="11" s="1"/>
  <c r="D214" i="11"/>
  <c r="BU214" i="11" s="1"/>
  <c r="D215" i="11"/>
  <c r="BU215" i="11" s="1"/>
  <c r="D219" i="11"/>
  <c r="BU219" i="11" s="1"/>
  <c r="D220" i="11"/>
  <c r="BU220" i="11" s="1"/>
  <c r="D286" i="11"/>
  <c r="BU286" i="11" s="1"/>
  <c r="D287" i="11"/>
  <c r="BU287" i="11" s="1"/>
  <c r="D288" i="11"/>
  <c r="BU288" i="11" s="1"/>
  <c r="D289" i="11"/>
  <c r="BU289" i="11" s="1"/>
  <c r="D290" i="11"/>
  <c r="BU290" i="11" s="1"/>
  <c r="D315" i="11"/>
  <c r="BU315" i="11" s="1"/>
  <c r="D316" i="11"/>
  <c r="BU316" i="11" s="1"/>
  <c r="D317" i="11"/>
  <c r="BU317" i="11" s="1"/>
  <c r="D318" i="11"/>
  <c r="BU318" i="11" s="1"/>
  <c r="D319" i="11"/>
  <c r="BU319" i="11" s="1"/>
  <c r="D320" i="11"/>
  <c r="BU320" i="11" s="1"/>
  <c r="D321" i="11"/>
  <c r="BU321" i="11" s="1"/>
  <c r="D322" i="11"/>
  <c r="BU322" i="11" s="1"/>
  <c r="D323" i="11"/>
  <c r="BU323" i="11" s="1"/>
  <c r="D324" i="11"/>
  <c r="BU324" i="11" s="1"/>
  <c r="D325" i="11"/>
  <c r="BU325" i="11" s="1"/>
  <c r="D326" i="11"/>
  <c r="BU326" i="11" s="1"/>
  <c r="D350" i="11"/>
  <c r="BU350" i="11" s="1"/>
  <c r="D351" i="11"/>
  <c r="BU351" i="11" s="1"/>
  <c r="D352" i="11"/>
  <c r="BU352" i="11" s="1"/>
  <c r="D346" i="11"/>
  <c r="BU346" i="11" s="1"/>
  <c r="D347" i="11"/>
  <c r="BU347" i="11" s="1"/>
  <c r="D354" i="11"/>
  <c r="BU354" i="11" s="1"/>
  <c r="D356" i="11"/>
  <c r="BU356" i="11" s="1"/>
  <c r="D357" i="11"/>
  <c r="BU357" i="11" s="1"/>
  <c r="D348" i="11"/>
  <c r="BU348" i="11" s="1"/>
  <c r="D358" i="11"/>
  <c r="BU358" i="11" s="1"/>
  <c r="D359" i="11"/>
  <c r="BU359" i="11" s="1"/>
  <c r="D349" i="11"/>
  <c r="BU349" i="11" s="1"/>
  <c r="D360" i="11"/>
  <c r="BU360" i="11" s="1"/>
  <c r="D2" i="11"/>
  <c r="BU2" i="11" s="1"/>
  <c r="D4" i="11"/>
  <c r="BU4" i="11" s="1"/>
  <c r="D10" i="11"/>
  <c r="BU10" i="11" s="1"/>
  <c r="D54" i="11"/>
  <c r="BU54" i="11" s="1"/>
  <c r="D57" i="11"/>
  <c r="BU57" i="11" s="1"/>
  <c r="D75" i="11"/>
  <c r="BU75" i="11" s="1"/>
  <c r="D76" i="11"/>
  <c r="BU76" i="11" s="1"/>
  <c r="D78" i="11"/>
  <c r="BU78" i="11" s="1"/>
  <c r="D79" i="11"/>
  <c r="BU79" i="11" s="1"/>
  <c r="D80" i="11"/>
  <c r="BU80" i="11" s="1"/>
  <c r="D81" i="11"/>
  <c r="BU81" i="11" s="1"/>
  <c r="D82" i="11"/>
  <c r="BU82" i="11" s="1"/>
  <c r="D73" i="11"/>
  <c r="BU73" i="11" s="1"/>
  <c r="D83" i="11"/>
  <c r="BU83" i="11" s="1"/>
  <c r="D85" i="11"/>
  <c r="BU85" i="11" s="1"/>
  <c r="D87" i="11"/>
  <c r="BU87" i="11" s="1"/>
  <c r="D89" i="11"/>
  <c r="BU89" i="11" s="1"/>
  <c r="D90" i="11"/>
  <c r="BU90" i="11" s="1"/>
  <c r="D91" i="11"/>
  <c r="BU91" i="11" s="1"/>
  <c r="D122" i="11"/>
  <c r="BU122" i="11" s="1"/>
  <c r="D124" i="11"/>
  <c r="BU124" i="11" s="1"/>
  <c r="D125" i="11"/>
  <c r="BU125" i="11" s="1"/>
  <c r="D117" i="11"/>
  <c r="BU117" i="11" s="1"/>
  <c r="D126" i="11"/>
  <c r="BU126" i="11" s="1"/>
  <c r="D127" i="11"/>
  <c r="BU127" i="11" s="1"/>
  <c r="D128" i="11"/>
  <c r="BU128" i="11" s="1"/>
  <c r="D129" i="11"/>
  <c r="BU129" i="11" s="1"/>
  <c r="D130" i="11"/>
  <c r="BU130" i="11" s="1"/>
  <c r="D118" i="11"/>
  <c r="BU118" i="11" s="1"/>
  <c r="D119" i="11"/>
  <c r="BU119" i="11" s="1"/>
  <c r="D131" i="11"/>
  <c r="BU131" i="11" s="1"/>
  <c r="D132" i="11"/>
  <c r="BU132" i="11" s="1"/>
  <c r="D134" i="11"/>
  <c r="BU134" i="11" s="1"/>
  <c r="D135" i="11"/>
  <c r="BU135" i="11" s="1"/>
  <c r="D136" i="11"/>
  <c r="BU136" i="11" s="1"/>
  <c r="D137" i="11"/>
  <c r="BU137" i="11" s="1"/>
  <c r="D138" i="11"/>
  <c r="BU138" i="11" s="1"/>
  <c r="D140" i="11"/>
  <c r="BU140" i="11" s="1"/>
  <c r="D141" i="11"/>
  <c r="BU141" i="11" s="1"/>
  <c r="D142" i="11"/>
  <c r="BU142" i="11" s="1"/>
  <c r="D143" i="11"/>
  <c r="BU143" i="11" s="1"/>
  <c r="D144" i="11"/>
  <c r="BU144" i="11" s="1"/>
  <c r="D145" i="11"/>
  <c r="BU145" i="11" s="1"/>
  <c r="D146" i="11"/>
  <c r="BU146" i="11" s="1"/>
  <c r="D147" i="11"/>
  <c r="BU147" i="11" s="1"/>
  <c r="D148" i="11"/>
  <c r="BU148" i="11" s="1"/>
  <c r="D149" i="11"/>
  <c r="BU149" i="11" s="1"/>
  <c r="D150" i="11"/>
  <c r="BU150" i="11" s="1"/>
  <c r="D151" i="11"/>
  <c r="BU151" i="11" s="1"/>
  <c r="D152" i="11"/>
  <c r="BU152" i="11" s="1"/>
  <c r="D120" i="11"/>
  <c r="BU120" i="11" s="1"/>
  <c r="D121" i="11"/>
  <c r="BU121" i="11" s="1"/>
  <c r="D229" i="11"/>
  <c r="BU229" i="11" s="1"/>
  <c r="D230" i="11"/>
  <c r="BU230" i="11" s="1"/>
  <c r="D223" i="11"/>
  <c r="BU223" i="11" s="1"/>
  <c r="D231" i="11"/>
  <c r="BU231" i="11" s="1"/>
  <c r="D232" i="11"/>
  <c r="BU232" i="11" s="1"/>
  <c r="D233" i="11"/>
  <c r="BU233" i="11" s="1"/>
  <c r="D234" i="11"/>
  <c r="BU234" i="11" s="1"/>
  <c r="D235" i="11"/>
  <c r="BU235" i="11" s="1"/>
  <c r="D236" i="11"/>
  <c r="BU236" i="11" s="1"/>
  <c r="D237" i="11"/>
  <c r="BU237" i="11" s="1"/>
  <c r="D238" i="11"/>
  <c r="BU238" i="11" s="1"/>
  <c r="D239" i="11"/>
  <c r="BU239" i="11" s="1"/>
  <c r="D240" i="11"/>
  <c r="BU240" i="11" s="1"/>
  <c r="D241" i="11"/>
  <c r="BU241" i="11" s="1"/>
  <c r="D242" i="11"/>
  <c r="BU242" i="11" s="1"/>
  <c r="D245" i="11"/>
  <c r="BU245" i="11" s="1"/>
  <c r="D246" i="11"/>
  <c r="BU246" i="11" s="1"/>
  <c r="D247" i="11"/>
  <c r="BU247" i="11" s="1"/>
  <c r="D248" i="11"/>
  <c r="BU248" i="11" s="1"/>
  <c r="D249" i="11"/>
  <c r="BU249" i="11" s="1"/>
  <c r="D250" i="11"/>
  <c r="BU250" i="11" s="1"/>
  <c r="D251" i="11"/>
  <c r="BU251" i="11" s="1"/>
  <c r="D225" i="11"/>
  <c r="BU225" i="11" s="1"/>
  <c r="D226" i="11"/>
  <c r="BU226" i="11" s="1"/>
  <c r="D252" i="11"/>
  <c r="BU252" i="11" s="1"/>
  <c r="D227" i="11"/>
  <c r="BU227" i="11" s="1"/>
  <c r="D253" i="11"/>
  <c r="BU253" i="11" s="1"/>
  <c r="D254" i="11"/>
  <c r="BU254" i="11" s="1"/>
  <c r="D256" i="11"/>
  <c r="BU256" i="11" s="1"/>
  <c r="D257" i="11"/>
  <c r="BU257" i="11" s="1"/>
  <c r="D258" i="11"/>
  <c r="BU258" i="11" s="1"/>
  <c r="D259" i="11"/>
  <c r="BU259" i="11" s="1"/>
  <c r="D260" i="11"/>
  <c r="BU260" i="11" s="1"/>
  <c r="D297" i="11"/>
  <c r="BU297" i="11" s="1"/>
  <c r="D292" i="11"/>
  <c r="BU292" i="11" s="1"/>
  <c r="D293" i="11"/>
  <c r="BU293" i="11" s="1"/>
  <c r="D298" i="11"/>
  <c r="BU298" i="11" s="1"/>
  <c r="D299" i="11"/>
  <c r="BU299" i="11" s="1"/>
  <c r="D300" i="11"/>
  <c r="BU300" i="11" s="1"/>
  <c r="D301" i="11"/>
  <c r="BU301" i="11" s="1"/>
  <c r="D294" i="11"/>
  <c r="BU294" i="11" s="1"/>
  <c r="D302" i="11"/>
  <c r="BU302" i="11" s="1"/>
  <c r="D291" i="11"/>
  <c r="BU291" i="11" s="1"/>
  <c r="D303" i="11"/>
  <c r="BU303" i="11" s="1"/>
  <c r="D304" i="11"/>
  <c r="BU304" i="11" s="1"/>
  <c r="D305" i="11"/>
  <c r="BU305" i="11" s="1"/>
  <c r="D295" i="11"/>
  <c r="BU295" i="11" s="1"/>
  <c r="D296" i="11"/>
  <c r="BU296" i="11" s="1"/>
  <c r="D306" i="11"/>
  <c r="BU306" i="11" s="1"/>
  <c r="D307" i="11"/>
  <c r="BU307" i="11" s="1"/>
  <c r="D331" i="11"/>
  <c r="BU331" i="11" s="1"/>
  <c r="D332" i="11"/>
  <c r="BU332" i="11" s="1"/>
  <c r="D333" i="11"/>
  <c r="BU333" i="11" s="1"/>
  <c r="D329" i="11"/>
  <c r="BU329" i="11" s="1"/>
  <c r="D334" i="11"/>
  <c r="BU334" i="11" s="1"/>
  <c r="D335" i="11"/>
  <c r="BU335" i="11" s="1"/>
  <c r="D327" i="11"/>
  <c r="BU327" i="11" s="1"/>
  <c r="D328" i="11"/>
  <c r="BU328" i="11" s="1"/>
  <c r="D330" i="11"/>
  <c r="BU330" i="11" s="1"/>
  <c r="D336" i="11"/>
  <c r="BU336" i="11" s="1"/>
  <c r="D361" i="11"/>
  <c r="BU361" i="11" s="1"/>
  <c r="D366" i="11"/>
  <c r="BU366" i="11" s="1"/>
  <c r="D367" i="11"/>
  <c r="BU367" i="11" s="1"/>
  <c r="D368" i="11"/>
  <c r="BU368" i="11" s="1"/>
  <c r="D364" i="11"/>
  <c r="BU364" i="11" s="1"/>
  <c r="D369" i="11"/>
  <c r="BU369" i="11" s="1"/>
  <c r="D370" i="11"/>
  <c r="BU370" i="11" s="1"/>
  <c r="D371" i="11"/>
  <c r="BU371" i="11" s="1"/>
  <c r="D363" i="11"/>
  <c r="BU363" i="11" s="1"/>
  <c r="D365" i="11"/>
  <c r="BU365" i="11" s="1"/>
  <c r="D362" i="11"/>
  <c r="BU362" i="11" s="1"/>
  <c r="D373" i="11"/>
  <c r="BU373" i="11" s="1"/>
  <c r="AM283" i="11"/>
  <c r="G59" i="27" s="1"/>
  <c r="AD73" i="11"/>
  <c r="AE73" i="11" s="1"/>
  <c r="AD59" i="11"/>
  <c r="AD58" i="11"/>
  <c r="AD56" i="11"/>
  <c r="AD49" i="11"/>
  <c r="AD52" i="11"/>
  <c r="AD61" i="11"/>
  <c r="AD64" i="11"/>
  <c r="AD60" i="11"/>
  <c r="AD57" i="11"/>
  <c r="AD54" i="11"/>
  <c r="AD53" i="11"/>
  <c r="AD50" i="11"/>
  <c r="AD51" i="11"/>
  <c r="AD72" i="11"/>
  <c r="AD71" i="11"/>
  <c r="AD70" i="11"/>
  <c r="AD63" i="11"/>
  <c r="AD66" i="11"/>
  <c r="AD62" i="11"/>
  <c r="AD65" i="11"/>
  <c r="AD69" i="11"/>
  <c r="AD68" i="11"/>
  <c r="AD67" i="11"/>
  <c r="AB91" i="11"/>
  <c r="AE91" i="11" s="1"/>
  <c r="AE90" i="11"/>
  <c r="AB89" i="11"/>
  <c r="AE89" i="11" s="1"/>
  <c r="AB87" i="11"/>
  <c r="AE87" i="11" s="1"/>
  <c r="AB85" i="11"/>
  <c r="AE85" i="11" s="1"/>
  <c r="AB83" i="11"/>
  <c r="AE83" i="11" s="1"/>
  <c r="AB82" i="11"/>
  <c r="AE82" i="11" s="1"/>
  <c r="AB81" i="11"/>
  <c r="AE81" i="11" s="1"/>
  <c r="AB80" i="11"/>
  <c r="AE80" i="11" s="1"/>
  <c r="AB79" i="11"/>
  <c r="AE79" i="11" s="1"/>
  <c r="AB78" i="11"/>
  <c r="AE78" i="11" s="1"/>
  <c r="AB76" i="11"/>
  <c r="AE76" i="11" s="1"/>
  <c r="AB75" i="11"/>
  <c r="AE75" i="11" s="1"/>
  <c r="AB60" i="11"/>
  <c r="AB59" i="11"/>
  <c r="AB58" i="11"/>
  <c r="AB57" i="11"/>
  <c r="AB56" i="11"/>
  <c r="AB54" i="11"/>
  <c r="AB53" i="11"/>
  <c r="AB49" i="11"/>
  <c r="AB52" i="11"/>
  <c r="AB15" i="11"/>
  <c r="AE15" i="11" s="1"/>
  <c r="AB12" i="11"/>
  <c r="AE12" i="11" s="1"/>
  <c r="AB10" i="11"/>
  <c r="AE10" i="11" s="1"/>
  <c r="AB9" i="11"/>
  <c r="AE9" i="11" s="1"/>
  <c r="AB7" i="11"/>
  <c r="AE7" i="11" s="1"/>
  <c r="AB4" i="11"/>
  <c r="AE4" i="11" s="1"/>
  <c r="AB3" i="11"/>
  <c r="AE3" i="11" s="1"/>
  <c r="AB2" i="11"/>
  <c r="AE2" i="11" s="1"/>
  <c r="AE220" i="11"/>
  <c r="AE219" i="11"/>
  <c r="AE217" i="11"/>
  <c r="AE206" i="11"/>
  <c r="AE114" i="11"/>
  <c r="AE112" i="11"/>
  <c r="AE110" i="11"/>
  <c r="AE109" i="11"/>
  <c r="AE100" i="11"/>
  <c r="AE99" i="11"/>
  <c r="AE98" i="11"/>
  <c r="AE88" i="11"/>
  <c r="AE97" i="11"/>
  <c r="AE86" i="11"/>
  <c r="AE93" i="11"/>
  <c r="AE84" i="11"/>
  <c r="AE96" i="11"/>
  <c r="AE95" i="11"/>
  <c r="AE77" i="11"/>
  <c r="AE74" i="11"/>
  <c r="AE116" i="11"/>
  <c r="AE111" i="11"/>
  <c r="AE108" i="11"/>
  <c r="AE107" i="11"/>
  <c r="AE106" i="11"/>
  <c r="AE105" i="11"/>
  <c r="AE103" i="11"/>
  <c r="AE102" i="11"/>
  <c r="AE92" i="11"/>
  <c r="AE94" i="11"/>
  <c r="AB50" i="11"/>
  <c r="AB51" i="11"/>
  <c r="AB72" i="11"/>
  <c r="AB71" i="11"/>
  <c r="AB70" i="11"/>
  <c r="AB63" i="11"/>
  <c r="AB66" i="11"/>
  <c r="AB62" i="11"/>
  <c r="AB61" i="11"/>
  <c r="AB65" i="11"/>
  <c r="AB64" i="11"/>
  <c r="AB33" i="11"/>
  <c r="AE33" i="11" s="1"/>
  <c r="AB32" i="11"/>
  <c r="AE32" i="11" s="1"/>
  <c r="AB31" i="11"/>
  <c r="AE31" i="11" s="1"/>
  <c r="AB30" i="11"/>
  <c r="AE30" i="11" s="1"/>
  <c r="AB29" i="11"/>
  <c r="AE29" i="11" s="1"/>
  <c r="AB28" i="11"/>
  <c r="AE28" i="11" s="1"/>
  <c r="AB47" i="11"/>
  <c r="AE47" i="11" s="1"/>
  <c r="AB46" i="11"/>
  <c r="AE46" i="11" s="1"/>
  <c r="AB45" i="11"/>
  <c r="AE45" i="11" s="1"/>
  <c r="AB44" i="11"/>
  <c r="AE44" i="11" s="1"/>
  <c r="AB43" i="11"/>
  <c r="AE43" i="11" s="1"/>
  <c r="AB42" i="11"/>
  <c r="AE42" i="11" s="1"/>
  <c r="AB41" i="11"/>
  <c r="AE41" i="11" s="1"/>
  <c r="AB34" i="11"/>
  <c r="AE34" i="11" s="1"/>
  <c r="AB48" i="11"/>
  <c r="AE48" i="11" s="1"/>
  <c r="AB39" i="11"/>
  <c r="AE39" i="11" s="1"/>
  <c r="AB38" i="11"/>
  <c r="AE38" i="11" s="1"/>
  <c r="AB37" i="11"/>
  <c r="AE37" i="11" s="1"/>
  <c r="AB36" i="11"/>
  <c r="AE36" i="11" s="1"/>
  <c r="AB35" i="11"/>
  <c r="AE35" i="11" s="1"/>
  <c r="AB14" i="11"/>
  <c r="AE14" i="11" s="1"/>
  <c r="AB13" i="11"/>
  <c r="AE13" i="11" s="1"/>
  <c r="AB69" i="11"/>
  <c r="AB68" i="11"/>
  <c r="AB67" i="11"/>
  <c r="AB11" i="11"/>
  <c r="AE11" i="11" s="1"/>
  <c r="AB8" i="11"/>
  <c r="AE8" i="11" s="1"/>
  <c r="AB6" i="11"/>
  <c r="AE6" i="11" s="1"/>
  <c r="AB5" i="11"/>
  <c r="AE5" i="11" s="1"/>
  <c r="AB27" i="11"/>
  <c r="AE27" i="11" s="1"/>
  <c r="AB26" i="11"/>
  <c r="AE26" i="11" s="1"/>
  <c r="AB25" i="11"/>
  <c r="AE25" i="11" s="1"/>
  <c r="AB24" i="11"/>
  <c r="AE24" i="11" s="1"/>
  <c r="AB23" i="11"/>
  <c r="AE23" i="11" s="1"/>
  <c r="AB22" i="11"/>
  <c r="AE22" i="11" s="1"/>
  <c r="AB21" i="11"/>
  <c r="AE21" i="11" s="1"/>
  <c r="AB20" i="11"/>
  <c r="AE20" i="11" s="1"/>
  <c r="AB19" i="11"/>
  <c r="AE19" i="11" s="1"/>
  <c r="AB18" i="11"/>
  <c r="AE18" i="11" s="1"/>
  <c r="AB17" i="11"/>
  <c r="AE17" i="11" s="1"/>
  <c r="AB16" i="11"/>
  <c r="AE16" i="11" s="1"/>
  <c r="AB40" i="11"/>
  <c r="AE40" i="11" s="1"/>
  <c r="AE49" i="11" l="1"/>
  <c r="AE69" i="11"/>
  <c r="AE68" i="11"/>
  <c r="AE67" i="11"/>
  <c r="AQ20" i="11"/>
  <c r="AQ8" i="11"/>
  <c r="AE52" i="11"/>
  <c r="AQ19" i="11"/>
  <c r="AQ39" i="11"/>
  <c r="AQ33" i="11"/>
  <c r="AQ56" i="11"/>
  <c r="AQ57" i="11"/>
  <c r="AQ102" i="11"/>
  <c r="AQ107" i="11"/>
  <c r="AQ77" i="11"/>
  <c r="AQ177" i="11"/>
  <c r="AQ199" i="11"/>
  <c r="AQ205" i="11"/>
  <c r="AQ201" i="11"/>
  <c r="AQ219" i="11"/>
  <c r="AQ130" i="11"/>
  <c r="AQ147" i="11"/>
  <c r="AQ263" i="11"/>
  <c r="AQ265" i="11"/>
  <c r="AQ285" i="11"/>
  <c r="AQ242" i="11"/>
  <c r="AQ253" i="11"/>
  <c r="AQ255" i="11"/>
  <c r="AQ323" i="11"/>
  <c r="AQ299" i="11"/>
  <c r="AQ338" i="11"/>
  <c r="AQ331" i="11"/>
  <c r="AQ330" i="11"/>
  <c r="AQ37" i="11"/>
  <c r="AQ31" i="11"/>
  <c r="AQ55" i="11"/>
  <c r="AQ100" i="11"/>
  <c r="AQ116" i="11"/>
  <c r="AQ175" i="11"/>
  <c r="AQ203" i="11"/>
  <c r="AQ188" i="11"/>
  <c r="AQ127" i="11"/>
  <c r="AQ144" i="11"/>
  <c r="AQ290" i="11"/>
  <c r="AQ272" i="11"/>
  <c r="AQ226" i="11"/>
  <c r="AQ225" i="11"/>
  <c r="AQ293" i="11"/>
  <c r="AQ355" i="11"/>
  <c r="AQ327" i="11"/>
  <c r="AQ374" i="11"/>
  <c r="AQ38" i="11"/>
  <c r="AQ32" i="11"/>
  <c r="AQ50" i="11"/>
  <c r="AQ21" i="11"/>
  <c r="AQ10" i="11"/>
  <c r="AQ64" i="11"/>
  <c r="AQ58" i="11"/>
  <c r="AQ103" i="11"/>
  <c r="AQ108" i="11"/>
  <c r="AQ178" i="11"/>
  <c r="AQ189" i="11"/>
  <c r="AQ214" i="11"/>
  <c r="AQ220" i="11"/>
  <c r="AQ148" i="11"/>
  <c r="AQ275" i="11"/>
  <c r="AQ287" i="11"/>
  <c r="AQ245" i="11"/>
  <c r="AQ258" i="11"/>
  <c r="AQ324" i="11"/>
  <c r="AQ339" i="11"/>
  <c r="AQ332" i="11"/>
  <c r="AQ11" i="11"/>
  <c r="AQ22" i="11"/>
  <c r="AQ53" i="11"/>
  <c r="AQ75" i="11"/>
  <c r="AQ106" i="11"/>
  <c r="AQ74" i="11"/>
  <c r="AQ176" i="11"/>
  <c r="AQ198" i="11"/>
  <c r="AQ204" i="11"/>
  <c r="AQ196" i="11"/>
  <c r="AQ218" i="11"/>
  <c r="AQ128" i="11"/>
  <c r="AQ146" i="11"/>
  <c r="AQ261" i="11"/>
  <c r="AQ264" i="11"/>
  <c r="AQ273" i="11"/>
  <c r="AQ241" i="11"/>
  <c r="AQ252" i="11"/>
  <c r="AQ227" i="11"/>
  <c r="AQ322" i="11"/>
  <c r="AQ298" i="11"/>
  <c r="AQ337" i="11"/>
  <c r="AQ360" i="11"/>
  <c r="AQ328" i="11"/>
  <c r="AQ375" i="11"/>
  <c r="AQ65" i="11"/>
  <c r="AQ59" i="11"/>
  <c r="AQ76" i="11"/>
  <c r="AQ111" i="11"/>
  <c r="AQ183" i="11"/>
  <c r="AQ200" i="11"/>
  <c r="AQ206" i="11"/>
  <c r="AQ221" i="11"/>
  <c r="AQ149" i="11"/>
  <c r="AQ278" i="11"/>
  <c r="AQ288" i="11"/>
  <c r="AQ248" i="11"/>
  <c r="AQ308" i="11"/>
  <c r="AQ325" i="11"/>
  <c r="AQ340" i="11"/>
  <c r="AQ333" i="11"/>
  <c r="AQ7" i="11"/>
  <c r="AQ14" i="11"/>
  <c r="AQ28" i="11"/>
  <c r="AQ61" i="11"/>
  <c r="AQ60" i="11"/>
  <c r="AQ92" i="11"/>
  <c r="AQ78" i="11"/>
  <c r="AQ113" i="11"/>
  <c r="AQ168" i="11"/>
  <c r="AQ186" i="11"/>
  <c r="AQ164" i="11"/>
  <c r="AQ184" i="11"/>
  <c r="AQ207" i="11"/>
  <c r="AQ125" i="11"/>
  <c r="AQ141" i="11"/>
  <c r="AQ150" i="11"/>
  <c r="AQ284" i="11"/>
  <c r="AQ280" i="11"/>
  <c r="AQ229" i="11"/>
  <c r="AQ249" i="11"/>
  <c r="AQ244" i="11"/>
  <c r="AQ309" i="11"/>
  <c r="AQ326" i="11"/>
  <c r="AQ291" i="11"/>
  <c r="AQ341" i="11"/>
  <c r="AQ329" i="11"/>
  <c r="AQ365" i="11"/>
  <c r="AQ17" i="11"/>
  <c r="AQ9" i="11"/>
  <c r="AQ35" i="11"/>
  <c r="AQ29" i="11"/>
  <c r="AQ62" i="11"/>
  <c r="AQ51" i="11"/>
  <c r="AQ98" i="11"/>
  <c r="AQ79" i="11"/>
  <c r="AQ114" i="11"/>
  <c r="AQ170" i="11"/>
  <c r="AQ155" i="11"/>
  <c r="AQ166" i="11"/>
  <c r="AQ185" i="11"/>
  <c r="AQ208" i="11"/>
  <c r="AQ117" i="11"/>
  <c r="AQ142" i="11"/>
  <c r="AQ151" i="11"/>
  <c r="AQ286" i="11"/>
  <c r="AQ281" i="11"/>
  <c r="AQ230" i="11"/>
  <c r="AQ250" i="11"/>
  <c r="AQ246" i="11"/>
  <c r="AQ310" i="11"/>
  <c r="AQ297" i="11"/>
  <c r="AQ303" i="11"/>
  <c r="AQ342" i="11"/>
  <c r="AQ334" i="11"/>
  <c r="AQ362" i="11"/>
  <c r="F19" i="31"/>
  <c r="AQ18" i="11"/>
  <c r="AQ36" i="11"/>
  <c r="AQ30" i="11"/>
  <c r="AQ54" i="11"/>
  <c r="AQ99" i="11"/>
  <c r="AQ115" i="11"/>
  <c r="AQ174" i="11"/>
  <c r="AQ202" i="11"/>
  <c r="AQ187" i="11"/>
  <c r="AQ126" i="11"/>
  <c r="AQ143" i="11"/>
  <c r="AQ289" i="11"/>
  <c r="AQ282" i="11"/>
  <c r="AQ251" i="11"/>
  <c r="AQ247" i="11"/>
  <c r="AQ292" i="11"/>
  <c r="AQ353" i="11"/>
  <c r="AQ335" i="11"/>
  <c r="AQ373" i="11"/>
  <c r="AQ3" i="11"/>
  <c r="F73" i="31"/>
  <c r="F10" i="31"/>
  <c r="AQ12" i="11"/>
  <c r="AQ40" i="11"/>
  <c r="AQ66" i="11"/>
  <c r="AQ101" i="11"/>
  <c r="AQ80" i="11"/>
  <c r="AQ84" i="11"/>
  <c r="AQ157" i="11"/>
  <c r="AQ167" i="11"/>
  <c r="AQ209" i="11"/>
  <c r="AQ118" i="11"/>
  <c r="AQ152" i="11"/>
  <c r="AQ266" i="11"/>
  <c r="AQ223" i="11"/>
  <c r="AQ254" i="11"/>
  <c r="AQ314" i="11"/>
  <c r="AQ300" i="11"/>
  <c r="AQ343" i="11"/>
  <c r="AQ336" i="11"/>
  <c r="AE51" i="11"/>
  <c r="AE50" i="11"/>
  <c r="AQ15" i="11"/>
  <c r="AQ48" i="11"/>
  <c r="AQ63" i="11"/>
  <c r="AQ104" i="11"/>
  <c r="AQ81" i="11"/>
  <c r="AQ86" i="11"/>
  <c r="AQ160" i="11"/>
  <c r="AQ169" i="11"/>
  <c r="AQ210" i="11"/>
  <c r="AQ119" i="11"/>
  <c r="AQ120" i="11"/>
  <c r="AQ267" i="11"/>
  <c r="AQ231" i="11"/>
  <c r="AQ256" i="11"/>
  <c r="AQ311" i="11"/>
  <c r="AQ301" i="11"/>
  <c r="AQ345" i="11"/>
  <c r="AQ361" i="11"/>
  <c r="AE54" i="11"/>
  <c r="AE53" i="11"/>
  <c r="AQ23" i="11"/>
  <c r="AQ34" i="11"/>
  <c r="AQ70" i="11"/>
  <c r="AQ109" i="11"/>
  <c r="AQ82" i="11"/>
  <c r="AQ88" i="11"/>
  <c r="AQ190" i="11"/>
  <c r="AQ171" i="11"/>
  <c r="AQ122" i="11"/>
  <c r="AQ131" i="11"/>
  <c r="AQ121" i="11"/>
  <c r="AQ268" i="11"/>
  <c r="AQ232" i="11"/>
  <c r="AQ257" i="11"/>
  <c r="AQ312" i="11"/>
  <c r="AQ294" i="11"/>
  <c r="AQ350" i="11"/>
  <c r="AQ366" i="11"/>
  <c r="AQ24" i="11"/>
  <c r="AQ41" i="11"/>
  <c r="AQ71" i="11"/>
  <c r="AQ110" i="11"/>
  <c r="AQ73" i="11"/>
  <c r="L50" i="13" s="1"/>
  <c r="AQ90" i="11"/>
  <c r="AQ191" i="11"/>
  <c r="AQ172" i="11"/>
  <c r="AQ211" i="11"/>
  <c r="AQ132" i="11"/>
  <c r="AQ123" i="11"/>
  <c r="AQ269" i="11"/>
  <c r="AQ233" i="11"/>
  <c r="AQ259" i="11"/>
  <c r="AQ315" i="11"/>
  <c r="AQ304" i="11"/>
  <c r="AQ352" i="11"/>
  <c r="AQ367" i="11"/>
  <c r="AE61" i="11"/>
  <c r="AQ368" i="11"/>
  <c r="AE57" i="11"/>
  <c r="AQ42" i="11"/>
  <c r="AQ156" i="11"/>
  <c r="AQ270" i="11"/>
  <c r="AQ305" i="11"/>
  <c r="AE66" i="11"/>
  <c r="AQ26" i="11"/>
  <c r="AQ43" i="11"/>
  <c r="AQ67" i="11"/>
  <c r="AQ94" i="11"/>
  <c r="AQ85" i="11"/>
  <c r="AQ158" i="11"/>
  <c r="AQ193" i="11"/>
  <c r="AQ179" i="11"/>
  <c r="AQ213" i="11"/>
  <c r="AQ135" i="11"/>
  <c r="AQ133" i="11"/>
  <c r="AQ277" i="11"/>
  <c r="AQ236" i="11"/>
  <c r="AQ228" i="11"/>
  <c r="AQ317" i="11"/>
  <c r="AQ295" i="11"/>
  <c r="AQ347" i="11"/>
  <c r="AQ364" i="11"/>
  <c r="AE65" i="11"/>
  <c r="AE62" i="11"/>
  <c r="AQ72" i="11"/>
  <c r="AQ173" i="11"/>
  <c r="AQ316" i="11"/>
  <c r="AQ139" i="11"/>
  <c r="AE56" i="11"/>
  <c r="I44" i="13"/>
  <c r="AE59" i="11"/>
  <c r="AE60" i="11"/>
  <c r="AQ112" i="11"/>
  <c r="AQ212" i="11"/>
  <c r="AQ260" i="11"/>
  <c r="AE63" i="11"/>
  <c r="AQ44" i="11"/>
  <c r="AQ159" i="11"/>
  <c r="AQ124" i="11"/>
  <c r="AQ237" i="11"/>
  <c r="AQ296" i="11"/>
  <c r="AQ5" i="11"/>
  <c r="AQ69" i="11"/>
  <c r="AQ89" i="11"/>
  <c r="AQ195" i="11"/>
  <c r="AQ215" i="11"/>
  <c r="AQ145" i="11"/>
  <c r="AQ238" i="11"/>
  <c r="AQ319" i="11"/>
  <c r="AQ356" i="11"/>
  <c r="AE58" i="11"/>
  <c r="AQ83" i="11"/>
  <c r="AQ134" i="11"/>
  <c r="AQ234" i="11"/>
  <c r="AQ27" i="11"/>
  <c r="AQ68" i="11"/>
  <c r="AQ87" i="11"/>
  <c r="AQ180" i="11"/>
  <c r="AQ274" i="11"/>
  <c r="AQ318" i="11"/>
  <c r="AQ369" i="11"/>
  <c r="AE70" i="11"/>
  <c r="AQ45" i="11"/>
  <c r="AQ96" i="11"/>
  <c r="AQ161" i="11"/>
  <c r="AQ154" i="11"/>
  <c r="AQ137" i="11"/>
  <c r="AQ271" i="11"/>
  <c r="AQ235" i="11"/>
  <c r="AQ306" i="11"/>
  <c r="AQ370" i="11"/>
  <c r="AE71" i="11"/>
  <c r="AQ6" i="11"/>
  <c r="AQ46" i="11"/>
  <c r="AQ52" i="11"/>
  <c r="AQ93" i="11"/>
  <c r="AQ91" i="11"/>
  <c r="AQ163" i="11"/>
  <c r="AQ162" i="11"/>
  <c r="AQ181" i="11"/>
  <c r="AQ216" i="11"/>
  <c r="AQ138" i="11"/>
  <c r="AQ153" i="11"/>
  <c r="AQ279" i="11"/>
  <c r="AQ239" i="11"/>
  <c r="AQ224" i="11"/>
  <c r="AQ320" i="11"/>
  <c r="AQ307" i="11"/>
  <c r="AQ348" i="11"/>
  <c r="AQ371" i="11"/>
  <c r="AE64" i="11"/>
  <c r="AQ25" i="11"/>
  <c r="AQ192" i="11"/>
  <c r="AQ129" i="11"/>
  <c r="AQ346" i="11"/>
  <c r="AQ95" i="11"/>
  <c r="AQ194" i="11"/>
  <c r="AQ136" i="11"/>
  <c r="AQ222" i="11"/>
  <c r="AQ354" i="11"/>
  <c r="AE72" i="11"/>
  <c r="AQ4" i="11"/>
  <c r="AQ47" i="11"/>
  <c r="AQ49" i="11"/>
  <c r="AQ97" i="11"/>
  <c r="AQ105" i="11"/>
  <c r="AQ165" i="11"/>
  <c r="AQ197" i="11"/>
  <c r="AQ182" i="11"/>
  <c r="AQ217" i="11"/>
  <c r="AQ140" i="11"/>
  <c r="AQ262" i="11"/>
  <c r="AQ276" i="11"/>
  <c r="AQ240" i="11"/>
  <c r="AQ243" i="11"/>
  <c r="AQ321" i="11"/>
  <c r="AQ302" i="11"/>
  <c r="AQ359" i="11"/>
  <c r="AQ363" i="11"/>
  <c r="G60" i="31"/>
  <c r="F91" i="31"/>
  <c r="AE55" i="11"/>
  <c r="D37" i="31"/>
  <c r="F37" i="31" s="1"/>
  <c r="D36" i="31"/>
  <c r="F36" i="31" s="1"/>
  <c r="AE115" i="11"/>
  <c r="D35" i="31"/>
  <c r="F35" i="31" s="1"/>
  <c r="AE101" i="11"/>
  <c r="D33" i="31"/>
  <c r="F33" i="31" s="1"/>
  <c r="AE104" i="11"/>
  <c r="D34" i="31"/>
  <c r="F34" i="31" s="1"/>
  <c r="AQ2" i="11"/>
  <c r="G9" i="31"/>
  <c r="G10" i="31"/>
  <c r="AQ16" i="11"/>
  <c r="G6" i="31"/>
  <c r="F44" i="13"/>
  <c r="D44" i="13"/>
  <c r="F50" i="13"/>
  <c r="D50" i="13"/>
  <c r="E24" i="31"/>
  <c r="E28" i="31"/>
  <c r="D28" i="31"/>
  <c r="E27" i="31"/>
  <c r="G27" i="31"/>
  <c r="G24" i="31"/>
  <c r="D24" i="31"/>
  <c r="D27" i="31"/>
  <c r="G19" i="31"/>
  <c r="G18" i="31"/>
  <c r="G15" i="31"/>
  <c r="G37" i="31"/>
  <c r="G36" i="31"/>
  <c r="G33" i="31"/>
  <c r="G34" i="31"/>
  <c r="G35" i="31"/>
  <c r="G64" i="31"/>
  <c r="G65" i="31" s="1"/>
  <c r="G71" i="31"/>
  <c r="G72" i="31"/>
  <c r="F12" i="27"/>
  <c r="G61" i="31"/>
  <c r="E39" i="27"/>
  <c r="E37" i="27"/>
  <c r="H36" i="27"/>
  <c r="H40" i="27"/>
  <c r="H37" i="27"/>
  <c r="H39" i="27"/>
  <c r="E36" i="27"/>
  <c r="G40" i="27"/>
  <c r="E35" i="27"/>
  <c r="G39" i="27"/>
  <c r="H33" i="27"/>
  <c r="H38" i="27"/>
  <c r="E40" i="27"/>
  <c r="E38" i="27"/>
  <c r="F39" i="27"/>
  <c r="E33" i="27"/>
  <c r="H34" i="27"/>
  <c r="F40" i="27"/>
  <c r="H35" i="27"/>
  <c r="E34" i="27"/>
  <c r="H15" i="27"/>
  <c r="E12" i="27"/>
  <c r="G15" i="27"/>
  <c r="AN283" i="11"/>
  <c r="L17" i="13" s="1"/>
  <c r="BP307" i="11"/>
  <c r="BQ307" i="11" s="1"/>
  <c r="BR307" i="11" s="1"/>
  <c r="BT307" i="11" s="1"/>
  <c r="BP148" i="11"/>
  <c r="BQ148" i="11" s="1"/>
  <c r="BR148" i="11" s="1"/>
  <c r="BT148" i="11" s="1"/>
  <c r="BP289" i="11"/>
  <c r="BQ289" i="11" s="1"/>
  <c r="BR289" i="11" s="1"/>
  <c r="BT289" i="11" s="1"/>
  <c r="BP327" i="11"/>
  <c r="BQ327" i="11" s="1"/>
  <c r="BR327" i="11" s="1"/>
  <c r="BT327" i="11" s="1"/>
  <c r="BP294" i="11"/>
  <c r="BQ294" i="11" s="1"/>
  <c r="BR294" i="11" s="1"/>
  <c r="BT294" i="11" s="1"/>
  <c r="BP260" i="11"/>
  <c r="BQ260" i="11" s="1"/>
  <c r="BR260" i="11" s="1"/>
  <c r="BT260" i="11" s="1"/>
  <c r="BP246" i="11"/>
  <c r="BQ246" i="11" s="1"/>
  <c r="BR246" i="11" s="1"/>
  <c r="BT246" i="11" s="1"/>
  <c r="BP236" i="11"/>
  <c r="BQ236" i="11" s="1"/>
  <c r="BR236" i="11" s="1"/>
  <c r="BT236" i="11" s="1"/>
  <c r="BP147" i="11"/>
  <c r="BQ147" i="11" s="1"/>
  <c r="BR147" i="11" s="1"/>
  <c r="BT147" i="11" s="1"/>
  <c r="BP138" i="11"/>
  <c r="BQ138" i="11" s="1"/>
  <c r="BR138" i="11" s="1"/>
  <c r="BT138" i="11" s="1"/>
  <c r="BP118" i="11"/>
  <c r="BQ118" i="11" s="1"/>
  <c r="BR118" i="11" s="1"/>
  <c r="BT118" i="11" s="1"/>
  <c r="BP124" i="11"/>
  <c r="BQ124" i="11" s="1"/>
  <c r="BR124" i="11" s="1"/>
  <c r="BT124" i="11" s="1"/>
  <c r="BP73" i="11"/>
  <c r="BQ73" i="11" s="1"/>
  <c r="BR73" i="11" s="1"/>
  <c r="BT73" i="11" s="1"/>
  <c r="BP358" i="11"/>
  <c r="BQ358" i="11" s="1"/>
  <c r="BP351" i="11"/>
  <c r="BQ351" i="11" s="1"/>
  <c r="BP320" i="11"/>
  <c r="BQ320" i="11" s="1"/>
  <c r="BR320" i="11" s="1"/>
  <c r="BT320" i="11" s="1"/>
  <c r="BP288" i="11"/>
  <c r="BQ288" i="11" s="1"/>
  <c r="BR288" i="11" s="1"/>
  <c r="BT288" i="11" s="1"/>
  <c r="BP285" i="11"/>
  <c r="BQ285" i="11" s="1"/>
  <c r="BR285" i="11" s="1"/>
  <c r="BT285" i="11" s="1"/>
  <c r="BP273" i="11"/>
  <c r="BQ273" i="11" s="1"/>
  <c r="BR273" i="11" s="1"/>
  <c r="BT273" i="11" s="1"/>
  <c r="BP275" i="11"/>
  <c r="BQ275" i="11" s="1"/>
  <c r="BR275" i="11" s="1"/>
  <c r="BT275" i="11" s="1"/>
  <c r="BP202" i="11"/>
  <c r="BQ202" i="11" s="1"/>
  <c r="BR202" i="11" s="1"/>
  <c r="BT202" i="11" s="1"/>
  <c r="BP114" i="11"/>
  <c r="BQ114" i="11" s="1"/>
  <c r="BR114" i="11" s="1"/>
  <c r="BT114" i="11" s="1"/>
  <c r="BP309" i="11"/>
  <c r="BQ309" i="11" s="1"/>
  <c r="BR309" i="11" s="1"/>
  <c r="BT309" i="11" s="1"/>
  <c r="BP95" i="11"/>
  <c r="BQ95" i="11" s="1"/>
  <c r="BR95" i="11" s="1"/>
  <c r="BT95" i="11" s="1"/>
  <c r="BP187" i="11"/>
  <c r="BQ187" i="11" s="1"/>
  <c r="BR187" i="11" s="1"/>
  <c r="BT187" i="11" s="1"/>
  <c r="BP173" i="11"/>
  <c r="BQ173" i="11" s="1"/>
  <c r="BR173" i="11" s="1"/>
  <c r="BT173" i="11" s="1"/>
  <c r="BP160" i="11"/>
  <c r="BQ160" i="11" s="1"/>
  <c r="BR160" i="11" s="1"/>
  <c r="BT160" i="11" s="1"/>
  <c r="BP60" i="11"/>
  <c r="BQ60" i="11" s="1"/>
  <c r="BR60" i="11" s="1"/>
  <c r="BT60" i="11" s="1"/>
  <c r="BP183" i="11"/>
  <c r="BQ183" i="11" s="1"/>
  <c r="BR183" i="11" s="1"/>
  <c r="BT183" i="11" s="1"/>
  <c r="BP176" i="11"/>
  <c r="BQ176" i="11" s="1"/>
  <c r="BR176" i="11" s="1"/>
  <c r="BT176" i="11" s="1"/>
  <c r="BP165" i="11"/>
  <c r="BQ165" i="11" s="1"/>
  <c r="BR165" i="11" s="1"/>
  <c r="BT165" i="11" s="1"/>
  <c r="BP373" i="11"/>
  <c r="BQ373" i="11" s="1"/>
  <c r="BR373" i="11" s="1"/>
  <c r="BT373" i="11" s="1"/>
  <c r="BP368" i="11"/>
  <c r="BQ368" i="11" s="1"/>
  <c r="BR368" i="11" s="1"/>
  <c r="BT368" i="11" s="1"/>
  <c r="BP335" i="11"/>
  <c r="BQ335" i="11" s="1"/>
  <c r="BR335" i="11" s="1"/>
  <c r="BT335" i="11" s="1"/>
  <c r="BP296" i="11"/>
  <c r="BQ296" i="11" s="1"/>
  <c r="BR296" i="11" s="1"/>
  <c r="BT296" i="11" s="1"/>
  <c r="BP301" i="11"/>
  <c r="BQ301" i="11" s="1"/>
  <c r="BR301" i="11" s="1"/>
  <c r="BT301" i="11" s="1"/>
  <c r="BP259" i="11"/>
  <c r="BQ259" i="11" s="1"/>
  <c r="BR259" i="11" s="1"/>
  <c r="BT259" i="11" s="1"/>
  <c r="BP226" i="11"/>
  <c r="BQ226" i="11" s="1"/>
  <c r="BR226" i="11" s="1"/>
  <c r="BT226" i="11" s="1"/>
  <c r="BP245" i="11"/>
  <c r="BQ245" i="11" s="1"/>
  <c r="BR245" i="11" s="1"/>
  <c r="BT245" i="11" s="1"/>
  <c r="BP235" i="11"/>
  <c r="BQ235" i="11" s="1"/>
  <c r="BR235" i="11" s="1"/>
  <c r="BT235" i="11" s="1"/>
  <c r="BP121" i="11"/>
  <c r="BQ121" i="11" s="1"/>
  <c r="BR121" i="11" s="1"/>
  <c r="BT121" i="11" s="1"/>
  <c r="BP146" i="11"/>
  <c r="BQ146" i="11" s="1"/>
  <c r="BR146" i="11" s="1"/>
  <c r="BT146" i="11" s="1"/>
  <c r="BP137" i="11"/>
  <c r="BQ137" i="11" s="1"/>
  <c r="BR137" i="11" s="1"/>
  <c r="BT137" i="11" s="1"/>
  <c r="BP130" i="11"/>
  <c r="BQ130" i="11" s="1"/>
  <c r="BR130" i="11" s="1"/>
  <c r="BT130" i="11" s="1"/>
  <c r="BP122" i="11"/>
  <c r="BQ122" i="11" s="1"/>
  <c r="BR122" i="11" s="1"/>
  <c r="BT122" i="11" s="1"/>
  <c r="BP82" i="11"/>
  <c r="BQ82" i="11" s="1"/>
  <c r="BR82" i="11" s="1"/>
  <c r="BT82" i="11" s="1"/>
  <c r="BP54" i="11"/>
  <c r="BQ54" i="11" s="1"/>
  <c r="BR54" i="11" s="1"/>
  <c r="BT54" i="11" s="1"/>
  <c r="BP348" i="11"/>
  <c r="BQ348" i="11" s="1"/>
  <c r="BR348" i="11" s="1"/>
  <c r="BT348" i="11" s="1"/>
  <c r="BP350" i="11"/>
  <c r="BQ350" i="11" s="1"/>
  <c r="BR350" i="11" s="1"/>
  <c r="BT350" i="11" s="1"/>
  <c r="BP319" i="11"/>
  <c r="BQ319" i="11" s="1"/>
  <c r="BR319" i="11" s="1"/>
  <c r="BT319" i="11" s="1"/>
  <c r="BP287" i="11"/>
  <c r="BQ287" i="11" s="1"/>
  <c r="BR287" i="11" s="1"/>
  <c r="BT287" i="11" s="1"/>
  <c r="BP207" i="11"/>
  <c r="BQ207" i="11" s="1"/>
  <c r="BR207" i="11" s="1"/>
  <c r="BT207" i="11" s="1"/>
  <c r="BP278" i="11"/>
  <c r="BQ278" i="11" s="1"/>
  <c r="BR278" i="11" s="1"/>
  <c r="BT278" i="11" s="1"/>
  <c r="BP344" i="11"/>
  <c r="BQ344" i="11" s="1"/>
  <c r="BP277" i="11"/>
  <c r="BQ277" i="11" s="1"/>
  <c r="BR277" i="11" s="1"/>
  <c r="BT277" i="11" s="1"/>
  <c r="BP342" i="11"/>
  <c r="BQ342" i="11" s="1"/>
  <c r="BR342" i="11" s="1"/>
  <c r="BT342" i="11" s="1"/>
  <c r="BP308" i="11"/>
  <c r="BQ308" i="11" s="1"/>
  <c r="BR308" i="11" s="1"/>
  <c r="BT308" i="11" s="1"/>
  <c r="BP269" i="11"/>
  <c r="BQ269" i="11" s="1"/>
  <c r="BR269" i="11" s="1"/>
  <c r="BT269" i="11" s="1"/>
  <c r="BP185" i="11"/>
  <c r="BQ185" i="11" s="1"/>
  <c r="BR185" i="11" s="1"/>
  <c r="BT185" i="11" s="1"/>
  <c r="BP172" i="11"/>
  <c r="BQ172" i="11" s="1"/>
  <c r="BR172" i="11" s="1"/>
  <c r="BT172" i="11" s="1"/>
  <c r="BP157" i="11"/>
  <c r="BQ157" i="11" s="1"/>
  <c r="BR157" i="11" s="1"/>
  <c r="BT157" i="11" s="1"/>
  <c r="BP263" i="11"/>
  <c r="BQ263" i="11" s="1"/>
  <c r="BR263" i="11" s="1"/>
  <c r="BT263" i="11" s="1"/>
  <c r="BP49" i="11"/>
  <c r="BQ49" i="11" s="1"/>
  <c r="BR49" i="11" s="1"/>
  <c r="BT49" i="11" s="1"/>
  <c r="BP175" i="11"/>
  <c r="BQ175" i="11" s="1"/>
  <c r="BR175" i="11" s="1"/>
  <c r="BT175" i="11" s="1"/>
  <c r="BP375" i="11"/>
  <c r="BQ375" i="11" s="1"/>
  <c r="BR375" i="11" s="1"/>
  <c r="BT375" i="11" s="1"/>
  <c r="BP328" i="11"/>
  <c r="BQ328" i="11" s="1"/>
  <c r="BR328" i="11" s="1"/>
  <c r="BT328" i="11" s="1"/>
  <c r="BP297" i="11"/>
  <c r="BQ297" i="11" s="1"/>
  <c r="BR297" i="11" s="1"/>
  <c r="BT297" i="11" s="1"/>
  <c r="BP227" i="11"/>
  <c r="BQ227" i="11" s="1"/>
  <c r="BR227" i="11" s="1"/>
  <c r="BT227" i="11" s="1"/>
  <c r="BP237" i="11"/>
  <c r="BQ237" i="11" s="1"/>
  <c r="BR237" i="11" s="1"/>
  <c r="BT237" i="11" s="1"/>
  <c r="BP140" i="11"/>
  <c r="BQ140" i="11" s="1"/>
  <c r="BR140" i="11" s="1"/>
  <c r="BT140" i="11" s="1"/>
  <c r="BP125" i="11"/>
  <c r="BQ125" i="11" s="1"/>
  <c r="BR125" i="11" s="1"/>
  <c r="BT125" i="11" s="1"/>
  <c r="BP75" i="11"/>
  <c r="BQ75" i="11" s="1"/>
  <c r="BR75" i="11" s="1"/>
  <c r="BT75" i="11" s="1"/>
  <c r="BP352" i="11"/>
  <c r="BQ352" i="11" s="1"/>
  <c r="BR352" i="11" s="1"/>
  <c r="BT352" i="11" s="1"/>
  <c r="BP276" i="11"/>
  <c r="BQ276" i="11" s="1"/>
  <c r="BR276" i="11" s="1"/>
  <c r="BT276" i="11" s="1"/>
  <c r="BP310" i="11"/>
  <c r="BQ310" i="11" s="1"/>
  <c r="BR310" i="11" s="1"/>
  <c r="BT310" i="11" s="1"/>
  <c r="BP188" i="11"/>
  <c r="BQ188" i="11" s="1"/>
  <c r="BR188" i="11" s="1"/>
  <c r="BT188" i="11" s="1"/>
  <c r="BP53" i="11"/>
  <c r="BQ53" i="11" s="1"/>
  <c r="BR53" i="11" s="1"/>
  <c r="BT53" i="11" s="1"/>
  <c r="BP364" i="11"/>
  <c r="BQ364" i="11" s="1"/>
  <c r="BR364" i="11" s="1"/>
  <c r="BT364" i="11" s="1"/>
  <c r="BP306" i="11"/>
  <c r="BQ306" i="11" s="1"/>
  <c r="BR306" i="11" s="1"/>
  <c r="BT306" i="11" s="1"/>
  <c r="BP252" i="11"/>
  <c r="BQ252" i="11" s="1"/>
  <c r="BR252" i="11" s="1"/>
  <c r="BT252" i="11" s="1"/>
  <c r="BP229" i="11"/>
  <c r="BQ229" i="11" s="1"/>
  <c r="BR229" i="11" s="1"/>
  <c r="BT229" i="11" s="1"/>
  <c r="BP57" i="11"/>
  <c r="BQ57" i="11" s="1"/>
  <c r="BR57" i="11" s="1"/>
  <c r="BT57" i="11" s="1"/>
  <c r="BP362" i="11"/>
  <c r="BQ362" i="11" s="1"/>
  <c r="BR362" i="11" s="1"/>
  <c r="BT362" i="11" s="1"/>
  <c r="BP367" i="11"/>
  <c r="BQ367" i="11" s="1"/>
  <c r="BR367" i="11" s="1"/>
  <c r="BT367" i="11" s="1"/>
  <c r="BP334" i="11"/>
  <c r="BQ334" i="11" s="1"/>
  <c r="BR334" i="11" s="1"/>
  <c r="BT334" i="11" s="1"/>
  <c r="BP295" i="11"/>
  <c r="BQ295" i="11" s="1"/>
  <c r="BR295" i="11" s="1"/>
  <c r="BT295" i="11" s="1"/>
  <c r="BP300" i="11"/>
  <c r="BQ300" i="11" s="1"/>
  <c r="BR300" i="11" s="1"/>
  <c r="BT300" i="11" s="1"/>
  <c r="BP258" i="11"/>
  <c r="BQ258" i="11" s="1"/>
  <c r="BR258" i="11" s="1"/>
  <c r="BT258" i="11" s="1"/>
  <c r="BP225" i="11"/>
  <c r="BQ225" i="11" s="1"/>
  <c r="BR225" i="11" s="1"/>
  <c r="BT225" i="11" s="1"/>
  <c r="BP242" i="11"/>
  <c r="BQ242" i="11" s="1"/>
  <c r="BR242" i="11" s="1"/>
  <c r="BT242" i="11" s="1"/>
  <c r="BP234" i="11"/>
  <c r="BQ234" i="11" s="1"/>
  <c r="BR234" i="11" s="1"/>
  <c r="BT234" i="11" s="1"/>
  <c r="BP120" i="11"/>
  <c r="BQ120" i="11" s="1"/>
  <c r="BR120" i="11" s="1"/>
  <c r="BT120" i="11" s="1"/>
  <c r="BP145" i="11"/>
  <c r="BQ145" i="11" s="1"/>
  <c r="BR145" i="11" s="1"/>
  <c r="BT145" i="11" s="1"/>
  <c r="BP136" i="11"/>
  <c r="BQ136" i="11" s="1"/>
  <c r="BR136" i="11" s="1"/>
  <c r="BT136" i="11" s="1"/>
  <c r="BP129" i="11"/>
  <c r="BQ129" i="11" s="1"/>
  <c r="BR129" i="11" s="1"/>
  <c r="BT129" i="11" s="1"/>
  <c r="BP91" i="11"/>
  <c r="BQ91" i="11" s="1"/>
  <c r="BR91" i="11" s="1"/>
  <c r="BT91" i="11" s="1"/>
  <c r="BP81" i="11"/>
  <c r="BQ81" i="11" s="1"/>
  <c r="BR81" i="11" s="1"/>
  <c r="BT81" i="11" s="1"/>
  <c r="BP10" i="11"/>
  <c r="BQ10" i="11" s="1"/>
  <c r="BR10" i="11" s="1"/>
  <c r="BT10" i="11" s="1"/>
  <c r="BP357" i="11"/>
  <c r="BQ357" i="11" s="1"/>
  <c r="BP326" i="11"/>
  <c r="BQ326" i="11" s="1"/>
  <c r="BR326" i="11" s="1"/>
  <c r="BT326" i="11" s="1"/>
  <c r="BP318" i="11"/>
  <c r="BQ318" i="11" s="1"/>
  <c r="BR318" i="11" s="1"/>
  <c r="BT318" i="11" s="1"/>
  <c r="BP286" i="11"/>
  <c r="BQ286" i="11" s="1"/>
  <c r="BR286" i="11" s="1"/>
  <c r="BT286" i="11" s="1"/>
  <c r="BP284" i="11"/>
  <c r="BQ284" i="11" s="1"/>
  <c r="BR284" i="11" s="1"/>
  <c r="BT284" i="11" s="1"/>
  <c r="BP272" i="11"/>
  <c r="BQ272" i="11" s="1"/>
  <c r="BR272" i="11" s="1"/>
  <c r="BT272" i="11" s="1"/>
  <c r="BP313" i="11"/>
  <c r="BQ313" i="11" s="1"/>
  <c r="BR313" i="11" s="1"/>
  <c r="BT313" i="11" s="1"/>
  <c r="BP201" i="11"/>
  <c r="BQ201" i="11" s="1"/>
  <c r="BR201" i="11" s="1"/>
  <c r="BT201" i="11" s="1"/>
  <c r="BP341" i="11"/>
  <c r="BQ341" i="11" s="1"/>
  <c r="BR341" i="11" s="1"/>
  <c r="BT341" i="11" s="1"/>
  <c r="BP270" i="11"/>
  <c r="BQ270" i="11" s="1"/>
  <c r="BR270" i="11" s="1"/>
  <c r="BT270" i="11" s="1"/>
  <c r="BP268" i="11"/>
  <c r="BQ268" i="11" s="1"/>
  <c r="BR268" i="11" s="1"/>
  <c r="BT268" i="11" s="1"/>
  <c r="BP184" i="11"/>
  <c r="BQ184" i="11" s="1"/>
  <c r="BR184" i="11" s="1"/>
  <c r="BT184" i="11" s="1"/>
  <c r="BP171" i="11"/>
  <c r="BQ171" i="11" s="1"/>
  <c r="BR171" i="11" s="1"/>
  <c r="BT171" i="11" s="1"/>
  <c r="BP155" i="11"/>
  <c r="BQ155" i="11" s="1"/>
  <c r="BR155" i="11" s="1"/>
  <c r="BT155" i="11" s="1"/>
  <c r="BP262" i="11"/>
  <c r="BQ262" i="11" s="1"/>
  <c r="BR262" i="11" s="1"/>
  <c r="BT262" i="11" s="1"/>
  <c r="BP52" i="11"/>
  <c r="BQ52" i="11" s="1"/>
  <c r="BR52" i="11" s="1"/>
  <c r="BT52" i="11" s="1"/>
  <c r="BP15" i="11"/>
  <c r="BQ15" i="11" s="1"/>
  <c r="BR15" i="11" s="1"/>
  <c r="BT15" i="11" s="1"/>
  <c r="BP374" i="11"/>
  <c r="BQ374" i="11" s="1"/>
  <c r="BR374" i="11" s="1"/>
  <c r="BT374" i="11" s="1"/>
  <c r="BP369" i="11"/>
  <c r="BQ369" i="11" s="1"/>
  <c r="BR369" i="11" s="1"/>
  <c r="BT369" i="11" s="1"/>
  <c r="BP302" i="11"/>
  <c r="BQ302" i="11" s="1"/>
  <c r="BR302" i="11" s="1"/>
  <c r="BT302" i="11" s="1"/>
  <c r="BP247" i="11"/>
  <c r="BQ247" i="11" s="1"/>
  <c r="BR247" i="11" s="1"/>
  <c r="BT247" i="11" s="1"/>
  <c r="BP230" i="11"/>
  <c r="BQ230" i="11" s="1"/>
  <c r="BR230" i="11" s="1"/>
  <c r="BT230" i="11" s="1"/>
  <c r="BP119" i="11"/>
  <c r="BQ119" i="11" s="1"/>
  <c r="BR119" i="11" s="1"/>
  <c r="BT119" i="11" s="1"/>
  <c r="BP83" i="11"/>
  <c r="BQ83" i="11" s="1"/>
  <c r="BR83" i="11" s="1"/>
  <c r="BT83" i="11" s="1"/>
  <c r="BP359" i="11"/>
  <c r="BQ359" i="11" s="1"/>
  <c r="BR359" i="11" s="1"/>
  <c r="BT359" i="11" s="1"/>
  <c r="BP321" i="11"/>
  <c r="BQ321" i="11" s="1"/>
  <c r="BR321" i="11" s="1"/>
  <c r="BT321" i="11" s="1"/>
  <c r="BP213" i="11"/>
  <c r="BQ213" i="11" s="1"/>
  <c r="BR213" i="11" s="1"/>
  <c r="BT213" i="11" s="1"/>
  <c r="BP314" i="11"/>
  <c r="BQ314" i="11" s="1"/>
  <c r="BR314" i="11" s="1"/>
  <c r="BT314" i="11" s="1"/>
  <c r="BP190" i="11"/>
  <c r="BQ190" i="11" s="1"/>
  <c r="BR190" i="11" s="1"/>
  <c r="BT190" i="11" s="1"/>
  <c r="BP96" i="11"/>
  <c r="BQ96" i="11" s="1"/>
  <c r="BR96" i="11" s="1"/>
  <c r="BT96" i="11" s="1"/>
  <c r="BP179" i="11"/>
  <c r="BQ179" i="11" s="1"/>
  <c r="BR179" i="11" s="1"/>
  <c r="BT179" i="11" s="1"/>
  <c r="BP162" i="11"/>
  <c r="BQ162" i="11" s="1"/>
  <c r="BR162" i="11" s="1"/>
  <c r="BT162" i="11" s="1"/>
  <c r="BP101" i="11"/>
  <c r="BQ101" i="11" s="1"/>
  <c r="BR101" i="11" s="1"/>
  <c r="BT101" i="11" s="1"/>
  <c r="BP177" i="11"/>
  <c r="BQ177" i="11" s="1"/>
  <c r="BR177" i="11" s="1"/>
  <c r="BT177" i="11" s="1"/>
  <c r="BP365" i="11"/>
  <c r="BQ365" i="11" s="1"/>
  <c r="BR365" i="11" s="1"/>
  <c r="BT365" i="11" s="1"/>
  <c r="BP305" i="11"/>
  <c r="BQ305" i="11" s="1"/>
  <c r="BR305" i="11" s="1"/>
  <c r="BT305" i="11" s="1"/>
  <c r="BP251" i="11"/>
  <c r="BQ251" i="11" s="1"/>
  <c r="BR251" i="11" s="1"/>
  <c r="BT251" i="11" s="1"/>
  <c r="BP233" i="11"/>
  <c r="BQ233" i="11" s="1"/>
  <c r="BR233" i="11" s="1"/>
  <c r="BT233" i="11" s="1"/>
  <c r="BP135" i="11"/>
  <c r="BQ135" i="11" s="1"/>
  <c r="BR135" i="11" s="1"/>
  <c r="BT135" i="11" s="1"/>
  <c r="BP80" i="11"/>
  <c r="BQ80" i="11" s="1"/>
  <c r="BR80" i="11" s="1"/>
  <c r="BT80" i="11" s="1"/>
  <c r="BP325" i="11"/>
  <c r="BQ325" i="11" s="1"/>
  <c r="BR325" i="11" s="1"/>
  <c r="BT325" i="11" s="1"/>
  <c r="BP345" i="11"/>
  <c r="BQ345" i="11" s="1"/>
  <c r="BR345" i="11" s="1"/>
  <c r="BT345" i="11" s="1"/>
  <c r="BP200" i="11"/>
  <c r="BQ200" i="11" s="1"/>
  <c r="BR200" i="11" s="1"/>
  <c r="BT200" i="11" s="1"/>
  <c r="BP267" i="11"/>
  <c r="BQ267" i="11" s="1"/>
  <c r="BR267" i="11" s="1"/>
  <c r="BT267" i="11" s="1"/>
  <c r="BP169" i="11"/>
  <c r="BQ169" i="11" s="1"/>
  <c r="BR169" i="11" s="1"/>
  <c r="BT169" i="11" s="1"/>
  <c r="BP69" i="11"/>
  <c r="BQ69" i="11" s="1"/>
  <c r="BR69" i="11" s="1"/>
  <c r="BT69" i="11" s="1"/>
  <c r="BP40" i="11"/>
  <c r="BQ40" i="11" s="1"/>
  <c r="BR40" i="11" s="1"/>
  <c r="BT40" i="11" s="1"/>
  <c r="BP361" i="11"/>
  <c r="BQ361" i="11" s="1"/>
  <c r="BR361" i="11" s="1"/>
  <c r="BT361" i="11" s="1"/>
  <c r="BP298" i="11"/>
  <c r="BQ298" i="11" s="1"/>
  <c r="BR298" i="11" s="1"/>
  <c r="BT298" i="11" s="1"/>
  <c r="BP250" i="11"/>
  <c r="BQ250" i="11" s="1"/>
  <c r="BR250" i="11" s="1"/>
  <c r="BT250" i="11" s="1"/>
  <c r="BP143" i="11"/>
  <c r="BQ143" i="11" s="1"/>
  <c r="BR143" i="11" s="1"/>
  <c r="BT143" i="11" s="1"/>
  <c r="BP89" i="11"/>
  <c r="BQ89" i="11" s="1"/>
  <c r="BR89" i="11" s="1"/>
  <c r="BT89" i="11" s="1"/>
  <c r="BP354" i="11"/>
  <c r="BQ354" i="11" s="1"/>
  <c r="BR354" i="11" s="1"/>
  <c r="BT354" i="11" s="1"/>
  <c r="BP219" i="11"/>
  <c r="BQ219" i="11" s="1"/>
  <c r="BR219" i="11" s="1"/>
  <c r="BT219" i="11" s="1"/>
  <c r="BP271" i="11"/>
  <c r="BQ271" i="11" s="1"/>
  <c r="BR271" i="11" s="1"/>
  <c r="BT271" i="11" s="1"/>
  <c r="BP99" i="11"/>
  <c r="BQ99" i="11" s="1"/>
  <c r="BR99" i="11" s="1"/>
  <c r="BT99" i="11" s="1"/>
  <c r="BP167" i="11"/>
  <c r="BQ167" i="11" s="1"/>
  <c r="BR167" i="11" s="1"/>
  <c r="BT167" i="11" s="1"/>
  <c r="BP68" i="11"/>
  <c r="BQ68" i="11" s="1"/>
  <c r="BR68" i="11" s="1"/>
  <c r="BT68" i="11" s="1"/>
  <c r="BP204" i="11"/>
  <c r="BQ204" i="11" s="1"/>
  <c r="BR204" i="11" s="1"/>
  <c r="BT204" i="11" s="1"/>
  <c r="BP329" i="11"/>
  <c r="BQ329" i="11" s="1"/>
  <c r="BR329" i="11" s="1"/>
  <c r="BT329" i="11" s="1"/>
  <c r="BP299" i="11"/>
  <c r="BQ299" i="11" s="1"/>
  <c r="BR299" i="11" s="1"/>
  <c r="BT299" i="11" s="1"/>
  <c r="BP241" i="11"/>
  <c r="BQ241" i="11" s="1"/>
  <c r="BR241" i="11" s="1"/>
  <c r="BT241" i="11" s="1"/>
  <c r="BP144" i="11"/>
  <c r="BQ144" i="11" s="1"/>
  <c r="BR144" i="11" s="1"/>
  <c r="BT144" i="11" s="1"/>
  <c r="BP128" i="11"/>
  <c r="BQ128" i="11" s="1"/>
  <c r="BR128" i="11" s="1"/>
  <c r="BT128" i="11" s="1"/>
  <c r="BP4" i="11"/>
  <c r="BQ4" i="11" s="1"/>
  <c r="BR4" i="11" s="1"/>
  <c r="BT4" i="11" s="1"/>
  <c r="BP317" i="11"/>
  <c r="BQ317" i="11" s="1"/>
  <c r="BR317" i="11" s="1"/>
  <c r="BT317" i="11" s="1"/>
  <c r="BP283" i="11"/>
  <c r="BQ283" i="11" s="1"/>
  <c r="BR283" i="11" s="1"/>
  <c r="BP340" i="11"/>
  <c r="BQ340" i="11" s="1"/>
  <c r="BR340" i="11" s="1"/>
  <c r="BT340" i="11" s="1"/>
  <c r="BP182" i="11"/>
  <c r="BQ182" i="11" s="1"/>
  <c r="BR182" i="11" s="1"/>
  <c r="BT182" i="11" s="1"/>
  <c r="BP59" i="11"/>
  <c r="BQ59" i="11" s="1"/>
  <c r="BR59" i="11" s="1"/>
  <c r="BT59" i="11" s="1"/>
  <c r="BP12" i="11"/>
  <c r="BQ12" i="11" s="1"/>
  <c r="BR12" i="11" s="1"/>
  <c r="BT12" i="11" s="1"/>
  <c r="BP363" i="11"/>
  <c r="BQ363" i="11" s="1"/>
  <c r="BR363" i="11" s="1"/>
  <c r="BT363" i="11" s="1"/>
  <c r="BP304" i="11"/>
  <c r="BQ304" i="11" s="1"/>
  <c r="BR304" i="11" s="1"/>
  <c r="BT304" i="11" s="1"/>
  <c r="BP240" i="11"/>
  <c r="BQ240" i="11" s="1"/>
  <c r="BR240" i="11" s="1"/>
  <c r="BT240" i="11" s="1"/>
  <c r="BP151" i="11"/>
  <c r="BQ151" i="11" s="1"/>
  <c r="BR151" i="11" s="1"/>
  <c r="BT151" i="11" s="1"/>
  <c r="BP127" i="11"/>
  <c r="BQ127" i="11" s="1"/>
  <c r="BR127" i="11" s="1"/>
  <c r="BT127" i="11" s="1"/>
  <c r="BP2" i="11"/>
  <c r="BQ2" i="11" s="1"/>
  <c r="BR2" i="11" s="1"/>
  <c r="BT2" i="11" s="1"/>
  <c r="BP316" i="11"/>
  <c r="BQ316" i="11" s="1"/>
  <c r="BR316" i="11" s="1"/>
  <c r="BT316" i="11" s="1"/>
  <c r="BP282" i="11"/>
  <c r="BQ282" i="11" s="1"/>
  <c r="BR282" i="11" s="1"/>
  <c r="BT282" i="11" s="1"/>
  <c r="BP339" i="11"/>
  <c r="BQ339" i="11" s="1"/>
  <c r="BR339" i="11" s="1"/>
  <c r="BT339" i="11" s="1"/>
  <c r="BP266" i="11"/>
  <c r="BQ266" i="11" s="1"/>
  <c r="BR266" i="11" s="1"/>
  <c r="BT266" i="11" s="1"/>
  <c r="BP110" i="11"/>
  <c r="BQ110" i="11" s="1"/>
  <c r="BR110" i="11" s="1"/>
  <c r="BT110" i="11" s="1"/>
  <c r="BP9" i="11"/>
  <c r="BQ9" i="11" s="1"/>
  <c r="BR9" i="11" s="1"/>
  <c r="BT9" i="11" s="1"/>
  <c r="BP371" i="11"/>
  <c r="BQ371" i="11" s="1"/>
  <c r="BR371" i="11" s="1"/>
  <c r="BT371" i="11" s="1"/>
  <c r="BP303" i="11"/>
  <c r="BQ303" i="11" s="1"/>
  <c r="BR303" i="11" s="1"/>
  <c r="BT303" i="11" s="1"/>
  <c r="BP254" i="11"/>
  <c r="BQ254" i="11" s="1"/>
  <c r="BR254" i="11" s="1"/>
  <c r="BT254" i="11" s="1"/>
  <c r="BP239" i="11"/>
  <c r="BQ239" i="11" s="1"/>
  <c r="BR239" i="11" s="1"/>
  <c r="BT239" i="11" s="1"/>
  <c r="BP150" i="11"/>
  <c r="BQ150" i="11" s="1"/>
  <c r="BR150" i="11" s="1"/>
  <c r="BT150" i="11" s="1"/>
  <c r="BP132" i="11"/>
  <c r="BQ132" i="11" s="1"/>
  <c r="BR132" i="11" s="1"/>
  <c r="BT132" i="11" s="1"/>
  <c r="BP126" i="11"/>
  <c r="BQ126" i="11" s="1"/>
  <c r="BR126" i="11" s="1"/>
  <c r="BT126" i="11" s="1"/>
  <c r="BP87" i="11"/>
  <c r="BQ87" i="11" s="1"/>
  <c r="BR87" i="11" s="1"/>
  <c r="BT87" i="11" s="1"/>
  <c r="BP360" i="11"/>
  <c r="BQ360" i="11" s="1"/>
  <c r="BR360" i="11" s="1"/>
  <c r="BT360" i="11" s="1"/>
  <c r="BP347" i="11"/>
  <c r="BQ347" i="11" s="1"/>
  <c r="BR347" i="11" s="1"/>
  <c r="BT347" i="11" s="1"/>
  <c r="BP323" i="11"/>
  <c r="BQ323" i="11" s="1"/>
  <c r="BR323" i="11" s="1"/>
  <c r="BT323" i="11" s="1"/>
  <c r="BP315" i="11"/>
  <c r="BQ315" i="11" s="1"/>
  <c r="BR315" i="11" s="1"/>
  <c r="BT315" i="11" s="1"/>
  <c r="BP215" i="11"/>
  <c r="BQ215" i="11" s="1"/>
  <c r="BR215" i="11" s="1"/>
  <c r="BT215" i="11" s="1"/>
  <c r="BP312" i="11"/>
  <c r="BQ312" i="11" s="1"/>
  <c r="BR312" i="11" s="1"/>
  <c r="BT312" i="11" s="1"/>
  <c r="BP281" i="11"/>
  <c r="BQ281" i="11" s="1"/>
  <c r="BR281" i="11" s="1"/>
  <c r="BT281" i="11" s="1"/>
  <c r="BP274" i="11"/>
  <c r="BQ274" i="11" s="1"/>
  <c r="BR274" i="11" s="1"/>
  <c r="BT274" i="11" s="1"/>
  <c r="BP194" i="11"/>
  <c r="BQ194" i="11" s="1"/>
  <c r="BR194" i="11" s="1"/>
  <c r="BT194" i="11" s="1"/>
  <c r="BP338" i="11"/>
  <c r="BQ338" i="11" s="1"/>
  <c r="BR338" i="11" s="1"/>
  <c r="BT338" i="11" s="1"/>
  <c r="BP97" i="11"/>
  <c r="BQ97" i="11" s="1"/>
  <c r="BR97" i="11" s="1"/>
  <c r="BT97" i="11" s="1"/>
  <c r="BP265" i="11"/>
  <c r="BQ265" i="11" s="1"/>
  <c r="BR265" i="11" s="1"/>
  <c r="BT265" i="11" s="1"/>
  <c r="BP154" i="11"/>
  <c r="BQ154" i="11" s="1"/>
  <c r="BR154" i="11" s="1"/>
  <c r="BT154" i="11" s="1"/>
  <c r="BP166" i="11"/>
  <c r="BQ166" i="11" s="1"/>
  <c r="BR166" i="11" s="1"/>
  <c r="BT166" i="11" s="1"/>
  <c r="BP109" i="11"/>
  <c r="BQ109" i="11" s="1"/>
  <c r="BR109" i="11" s="1"/>
  <c r="BT109" i="11" s="1"/>
  <c r="BP186" i="11"/>
  <c r="BQ186" i="11" s="1"/>
  <c r="BR186" i="11" s="1"/>
  <c r="BT186" i="11" s="1"/>
  <c r="BP67" i="11"/>
  <c r="BQ67" i="11" s="1"/>
  <c r="BR67" i="11" s="1"/>
  <c r="BT67" i="11" s="1"/>
  <c r="BP7" i="11"/>
  <c r="BQ7" i="11" s="1"/>
  <c r="BR7" i="11" s="1"/>
  <c r="BT7" i="11" s="1"/>
  <c r="BP366" i="11"/>
  <c r="BQ366" i="11" s="1"/>
  <c r="BR366" i="11" s="1"/>
  <c r="BT366" i="11" s="1"/>
  <c r="BP257" i="11"/>
  <c r="BQ257" i="11" s="1"/>
  <c r="BR257" i="11" s="1"/>
  <c r="BT257" i="11" s="1"/>
  <c r="BP152" i="11"/>
  <c r="BQ152" i="11" s="1"/>
  <c r="BR152" i="11" s="1"/>
  <c r="BT152" i="11" s="1"/>
  <c r="BP90" i="11"/>
  <c r="BQ90" i="11" s="1"/>
  <c r="BR90" i="11" s="1"/>
  <c r="BT90" i="11" s="1"/>
  <c r="BP356" i="11"/>
  <c r="BQ356" i="11" s="1"/>
  <c r="BR356" i="11" s="1"/>
  <c r="BT356" i="11" s="1"/>
  <c r="BP220" i="11"/>
  <c r="BQ220" i="11" s="1"/>
  <c r="BR220" i="11" s="1"/>
  <c r="BT220" i="11" s="1"/>
  <c r="BP279" i="11"/>
  <c r="BQ279" i="11" s="1"/>
  <c r="BR279" i="11" s="1"/>
  <c r="BT279" i="11" s="1"/>
  <c r="BP100" i="11"/>
  <c r="BQ100" i="11" s="1"/>
  <c r="BR100" i="11" s="1"/>
  <c r="BT100" i="11" s="1"/>
  <c r="BP112" i="11"/>
  <c r="BQ112" i="11" s="1"/>
  <c r="BR112" i="11" s="1"/>
  <c r="BT112" i="11" s="1"/>
  <c r="BP333" i="11"/>
  <c r="BQ333" i="11" s="1"/>
  <c r="BR333" i="11" s="1"/>
  <c r="BT333" i="11" s="1"/>
  <c r="BP256" i="11"/>
  <c r="BQ256" i="11" s="1"/>
  <c r="BR256" i="11" s="1"/>
  <c r="BT256" i="11" s="1"/>
  <c r="BP232" i="11"/>
  <c r="BQ232" i="11" s="1"/>
  <c r="BR232" i="11" s="1"/>
  <c r="BT232" i="11" s="1"/>
  <c r="BP134" i="11"/>
  <c r="BQ134" i="11" s="1"/>
  <c r="BR134" i="11" s="1"/>
  <c r="BT134" i="11" s="1"/>
  <c r="BP79" i="11"/>
  <c r="BQ79" i="11" s="1"/>
  <c r="BR79" i="11" s="1"/>
  <c r="BT79" i="11" s="1"/>
  <c r="BP324" i="11"/>
  <c r="BQ324" i="11" s="1"/>
  <c r="BR324" i="11" s="1"/>
  <c r="BT324" i="11" s="1"/>
  <c r="BP343" i="11"/>
  <c r="BQ343" i="11" s="1"/>
  <c r="BR343" i="11" s="1"/>
  <c r="BT343" i="11" s="1"/>
  <c r="BP196" i="11"/>
  <c r="BQ196" i="11" s="1"/>
  <c r="BR196" i="11" s="1"/>
  <c r="BT196" i="11" s="1"/>
  <c r="BP181" i="11"/>
  <c r="BQ181" i="11" s="1"/>
  <c r="BR181" i="11" s="1"/>
  <c r="BT181" i="11" s="1"/>
  <c r="BP58" i="11"/>
  <c r="BQ58" i="11" s="1"/>
  <c r="BR58" i="11" s="1"/>
  <c r="BT58" i="11" s="1"/>
  <c r="BP159" i="11"/>
  <c r="BQ159" i="11" s="1"/>
  <c r="BR159" i="11" s="1"/>
  <c r="BT159" i="11" s="1"/>
  <c r="BP336" i="11"/>
  <c r="BQ336" i="11" s="1"/>
  <c r="BR336" i="11" s="1"/>
  <c r="BT336" i="11" s="1"/>
  <c r="BP332" i="11"/>
  <c r="BQ332" i="11" s="1"/>
  <c r="BR332" i="11" s="1"/>
  <c r="BT332" i="11" s="1"/>
  <c r="BP293" i="11"/>
  <c r="BQ293" i="11" s="1"/>
  <c r="BR293" i="11" s="1"/>
  <c r="BT293" i="11" s="1"/>
  <c r="BP249" i="11"/>
  <c r="BQ249" i="11" s="1"/>
  <c r="BR249" i="11" s="1"/>
  <c r="BT249" i="11" s="1"/>
  <c r="BP231" i="11"/>
  <c r="BQ231" i="11" s="1"/>
  <c r="BR231" i="11" s="1"/>
  <c r="BT231" i="11" s="1"/>
  <c r="BP142" i="11"/>
  <c r="BQ142" i="11" s="1"/>
  <c r="BR142" i="11" s="1"/>
  <c r="BT142" i="11" s="1"/>
  <c r="BP78" i="11"/>
  <c r="BQ78" i="11" s="1"/>
  <c r="BR78" i="11" s="1"/>
  <c r="BT78" i="11" s="1"/>
  <c r="BP370" i="11"/>
  <c r="BQ370" i="11" s="1"/>
  <c r="BR370" i="11" s="1"/>
  <c r="BT370" i="11" s="1"/>
  <c r="BP330" i="11"/>
  <c r="BQ330" i="11" s="1"/>
  <c r="BR330" i="11" s="1"/>
  <c r="BT330" i="11" s="1"/>
  <c r="BP331" i="11"/>
  <c r="BQ331" i="11" s="1"/>
  <c r="BR331" i="11" s="1"/>
  <c r="BT331" i="11" s="1"/>
  <c r="BP291" i="11"/>
  <c r="BQ291" i="11" s="1"/>
  <c r="BR291" i="11" s="1"/>
  <c r="BT291" i="11" s="1"/>
  <c r="BP292" i="11"/>
  <c r="BQ292" i="11" s="1"/>
  <c r="BR292" i="11" s="1"/>
  <c r="BT292" i="11" s="1"/>
  <c r="BP253" i="11"/>
  <c r="BQ253" i="11" s="1"/>
  <c r="BR253" i="11" s="1"/>
  <c r="BT253" i="11" s="1"/>
  <c r="BP248" i="11"/>
  <c r="BQ248" i="11" s="1"/>
  <c r="BR248" i="11" s="1"/>
  <c r="BT248" i="11" s="1"/>
  <c r="BP238" i="11"/>
  <c r="BQ238" i="11" s="1"/>
  <c r="BR238" i="11" s="1"/>
  <c r="BT238" i="11" s="1"/>
  <c r="BP223" i="11"/>
  <c r="BQ223" i="11" s="1"/>
  <c r="BR223" i="11" s="1"/>
  <c r="BT223" i="11" s="1"/>
  <c r="BP149" i="11"/>
  <c r="BQ149" i="11" s="1"/>
  <c r="BR149" i="11" s="1"/>
  <c r="BT149" i="11" s="1"/>
  <c r="BP141" i="11"/>
  <c r="BQ141" i="11" s="1"/>
  <c r="BR141" i="11" s="1"/>
  <c r="BT141" i="11" s="1"/>
  <c r="BP131" i="11"/>
  <c r="BQ131" i="11" s="1"/>
  <c r="BR131" i="11" s="1"/>
  <c r="BT131" i="11" s="1"/>
  <c r="BP117" i="11"/>
  <c r="BQ117" i="11" s="1"/>
  <c r="BR117" i="11" s="1"/>
  <c r="BT117" i="11" s="1"/>
  <c r="BP85" i="11"/>
  <c r="BQ85" i="11" s="1"/>
  <c r="BR85" i="11" s="1"/>
  <c r="BT85" i="11" s="1"/>
  <c r="BP76" i="11"/>
  <c r="BQ76" i="11" s="1"/>
  <c r="BR76" i="11" s="1"/>
  <c r="BT76" i="11" s="1"/>
  <c r="BP349" i="11"/>
  <c r="BQ349" i="11" s="1"/>
  <c r="BP346" i="11"/>
  <c r="BQ346" i="11" s="1"/>
  <c r="BR346" i="11" s="1"/>
  <c r="BT346" i="11" s="1"/>
  <c r="BP322" i="11"/>
  <c r="BQ322" i="11" s="1"/>
  <c r="BR322" i="11" s="1"/>
  <c r="BT322" i="11" s="1"/>
  <c r="BP290" i="11"/>
  <c r="BQ290" i="11" s="1"/>
  <c r="BR290" i="11" s="1"/>
  <c r="BT290" i="11" s="1"/>
  <c r="BP214" i="11"/>
  <c r="BQ214" i="11" s="1"/>
  <c r="BR214" i="11" s="1"/>
  <c r="BT214" i="11" s="1"/>
  <c r="BP311" i="11"/>
  <c r="BQ311" i="11" s="1"/>
  <c r="BR311" i="11" s="1"/>
  <c r="BT311" i="11" s="1"/>
  <c r="BP280" i="11"/>
  <c r="BQ280" i="11" s="1"/>
  <c r="BR280" i="11" s="1"/>
  <c r="BT280" i="11" s="1"/>
  <c r="BP205" i="11"/>
  <c r="BQ205" i="11" s="1"/>
  <c r="BR205" i="11" s="1"/>
  <c r="BT205" i="11" s="1"/>
  <c r="BP192" i="11"/>
  <c r="BQ192" i="11" s="1"/>
  <c r="BR192" i="11" s="1"/>
  <c r="BT192" i="11" s="1"/>
  <c r="BP337" i="11"/>
  <c r="BQ337" i="11" s="1"/>
  <c r="BR337" i="11" s="1"/>
  <c r="BT337" i="11" s="1"/>
  <c r="BP93" i="11"/>
  <c r="BQ93" i="11" s="1"/>
  <c r="BR93" i="11" s="1"/>
  <c r="BT93" i="11" s="1"/>
  <c r="BP264" i="11"/>
  <c r="BQ264" i="11" s="1"/>
  <c r="BR264" i="11" s="1"/>
  <c r="BT264" i="11" s="1"/>
  <c r="BP180" i="11"/>
  <c r="BQ180" i="11" s="1"/>
  <c r="BR180" i="11" s="1"/>
  <c r="BT180" i="11" s="1"/>
  <c r="BP164" i="11"/>
  <c r="BQ164" i="11" s="1"/>
  <c r="BR164" i="11" s="1"/>
  <c r="BT164" i="11" s="1"/>
  <c r="BP104" i="11"/>
  <c r="BQ104" i="11" s="1"/>
  <c r="BR104" i="11" s="1"/>
  <c r="BT104" i="11" s="1"/>
  <c r="BP56" i="11"/>
  <c r="BQ56" i="11" s="1"/>
  <c r="BR56" i="11" s="1"/>
  <c r="BT56" i="11" s="1"/>
  <c r="BP178" i="11"/>
  <c r="BQ178" i="11" s="1"/>
  <c r="BR178" i="11" s="1"/>
  <c r="BT178" i="11" s="1"/>
  <c r="BP3" i="11"/>
  <c r="BQ3" i="11" s="1"/>
  <c r="BR3" i="11" s="1"/>
  <c r="BT3" i="11" s="1"/>
  <c r="BP156" i="11"/>
  <c r="BQ156" i="11" s="1"/>
  <c r="BR156" i="11" s="1"/>
  <c r="BT156" i="11" s="1"/>
  <c r="BS283" i="11"/>
  <c r="BO283" i="11"/>
  <c r="AP283" i="11"/>
  <c r="J59" i="27"/>
  <c r="I9" i="27"/>
  <c r="J9" i="27" s="1"/>
  <c r="I7" i="27"/>
  <c r="I19" i="27"/>
  <c r="L21" i="27" s="1"/>
  <c r="I22" i="27"/>
  <c r="J23" i="27" s="1"/>
  <c r="J53" i="27"/>
  <c r="J51" i="27"/>
  <c r="J49" i="27"/>
  <c r="J48" i="27"/>
  <c r="J46" i="27"/>
  <c r="J64" i="27"/>
  <c r="J57" i="27"/>
  <c r="J62" i="27"/>
  <c r="J58" i="27"/>
  <c r="J56" i="27"/>
  <c r="J54" i="27"/>
  <c r="K55" i="27" s="1"/>
  <c r="J52" i="27"/>
  <c r="J50" i="27"/>
  <c r="I16" i="27"/>
  <c r="L18" i="27" s="1"/>
  <c r="I24" i="27"/>
  <c r="I13" i="27"/>
  <c r="I21" i="27"/>
  <c r="J21" i="27" s="1"/>
  <c r="I4" i="27"/>
  <c r="I6" i="27"/>
  <c r="J6" i="27" s="1"/>
  <c r="AO283" i="11"/>
  <c r="B45" i="19"/>
  <c r="D45" i="19"/>
  <c r="B40" i="19"/>
  <c r="V375" i="11"/>
  <c r="V374" i="11"/>
  <c r="V373" i="11"/>
  <c r="H37" i="13"/>
  <c r="C37" i="13"/>
  <c r="C59" i="13" l="1"/>
  <c r="L44" i="13"/>
  <c r="I12" i="27"/>
  <c r="J12" i="27" s="1"/>
  <c r="F24" i="31"/>
  <c r="L55" i="13"/>
  <c r="I47" i="13"/>
  <c r="F47" i="13"/>
  <c r="L47" i="13"/>
  <c r="I55" i="13"/>
  <c r="AQ283" i="11"/>
  <c r="F28" i="31"/>
  <c r="D47" i="13"/>
  <c r="F55" i="13"/>
  <c r="D55" i="13"/>
  <c r="C61" i="13"/>
  <c r="F27" i="31"/>
  <c r="F15" i="27"/>
  <c r="I15" i="27" s="1"/>
  <c r="L24" i="27"/>
  <c r="K29" i="27" s="1"/>
  <c r="I33" i="27"/>
  <c r="I37" i="27"/>
  <c r="I39" i="27"/>
  <c r="BT283" i="11"/>
  <c r="K65" i="27"/>
  <c r="K51" i="27"/>
  <c r="K49" i="27"/>
  <c r="K47" i="27"/>
  <c r="K53" i="27"/>
  <c r="K57" i="27"/>
  <c r="K59" i="27"/>
  <c r="I25" i="27"/>
  <c r="J37" i="13"/>
  <c r="I34" i="27" l="1"/>
  <c r="J34" i="27" s="1"/>
  <c r="I36" i="27"/>
  <c r="I35" i="27"/>
  <c r="I41" i="27" s="1"/>
  <c r="I40" i="27"/>
  <c r="J40" i="27" s="1"/>
  <c r="AU361" i="11"/>
  <c r="AT361" i="11" s="1"/>
  <c r="AU366" i="11"/>
  <c r="AT366" i="11" s="1"/>
  <c r="AU367" i="11"/>
  <c r="AT367" i="11" s="1"/>
  <c r="AU368" i="11"/>
  <c r="AT368" i="11" s="1"/>
  <c r="AU364" i="11"/>
  <c r="AT364" i="11" s="1"/>
  <c r="AU369" i="11"/>
  <c r="AT369" i="11" s="1"/>
  <c r="AU370" i="11"/>
  <c r="AT370" i="11" s="1"/>
  <c r="AU371" i="11"/>
  <c r="AT371" i="11" s="1"/>
  <c r="AU363" i="11"/>
  <c r="AT363" i="11" s="1"/>
  <c r="AU365" i="11"/>
  <c r="AT365" i="11" s="1"/>
  <c r="AU362" i="11"/>
  <c r="AT362" i="11" s="1"/>
  <c r="J36" i="27" l="1"/>
  <c r="V366" i="11"/>
  <c r="V367" i="11"/>
  <c r="V364" i="11"/>
  <c r="V369" i="11"/>
  <c r="V370" i="11"/>
  <c r="V371" i="11"/>
  <c r="V363" i="11"/>
  <c r="V365" i="11"/>
  <c r="V362" i="11"/>
  <c r="L2" i="16" l="1"/>
  <c r="L3" i="16"/>
  <c r="L4" i="16"/>
  <c r="L5" i="16"/>
  <c r="L6" i="16"/>
  <c r="L7" i="16"/>
  <c r="L8" i="16"/>
  <c r="L9" i="16"/>
  <c r="L10" i="16"/>
  <c r="L11" i="16"/>
  <c r="L12" i="16"/>
  <c r="L13" i="16"/>
  <c r="L14" i="16"/>
  <c r="L15" i="16"/>
  <c r="L16" i="16"/>
  <c r="L17" i="16"/>
  <c r="L18" i="16"/>
  <c r="L19" i="16"/>
  <c r="L20" i="16"/>
  <c r="L21" i="16"/>
  <c r="L22" i="16"/>
  <c r="L23"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1" i="16"/>
  <c r="L92" i="16"/>
  <c r="L93" i="16"/>
  <c r="L94" i="16"/>
  <c r="L95" i="16"/>
  <c r="L96" i="16"/>
  <c r="L97" i="16"/>
  <c r="L98" i="16"/>
  <c r="L99" i="16"/>
  <c r="L100" i="16"/>
  <c r="L101" i="16"/>
  <c r="L102" i="16"/>
  <c r="L103" i="16"/>
  <c r="L104" i="16"/>
  <c r="L105" i="16"/>
  <c r="L106" i="16"/>
  <c r="L107" i="16"/>
  <c r="L108" i="16"/>
  <c r="L109" i="16"/>
  <c r="L110" i="16"/>
  <c r="L111" i="16"/>
  <c r="L112" i="16"/>
  <c r="L113" i="16"/>
  <c r="L114" i="16"/>
  <c r="L115" i="16"/>
  <c r="L116" i="16"/>
  <c r="L117" i="16"/>
  <c r="L118" i="16"/>
  <c r="L119" i="16"/>
  <c r="L120" i="16"/>
  <c r="L121" i="16"/>
  <c r="L122" i="16"/>
  <c r="L123" i="16"/>
  <c r="L124" i="16"/>
  <c r="L125" i="16"/>
  <c r="L126" i="16"/>
  <c r="L127" i="16"/>
  <c r="L128" i="16"/>
  <c r="L129" i="16"/>
  <c r="L130" i="16"/>
  <c r="L131" i="16"/>
  <c r="L132" i="16"/>
  <c r="L133" i="16"/>
  <c r="L134" i="16"/>
  <c r="L135" i="16"/>
  <c r="L136" i="16"/>
  <c r="L137" i="16"/>
  <c r="L138" i="16"/>
  <c r="L139" i="16"/>
  <c r="L140" i="16"/>
  <c r="L141" i="16"/>
  <c r="L142" i="16"/>
  <c r="L143" i="16"/>
  <c r="L144" i="16"/>
  <c r="L145" i="16"/>
  <c r="L146" i="16"/>
  <c r="L147" i="16"/>
  <c r="L148" i="16"/>
  <c r="L149" i="16"/>
  <c r="L150" i="16"/>
  <c r="L151" i="16"/>
  <c r="L152" i="16"/>
  <c r="L153" i="16"/>
  <c r="L154" i="16"/>
  <c r="L155" i="16"/>
  <c r="L156" i="16"/>
  <c r="L157" i="16"/>
  <c r="L158" i="16"/>
  <c r="L159" i="16"/>
  <c r="L160" i="16"/>
  <c r="L161" i="16"/>
  <c r="L162" i="16"/>
  <c r="L163" i="16"/>
  <c r="L164" i="16"/>
  <c r="L165" i="16"/>
  <c r="L166" i="16"/>
  <c r="L167" i="16"/>
  <c r="L168" i="16"/>
  <c r="L169" i="16"/>
  <c r="L170" i="16"/>
  <c r="L171" i="16"/>
  <c r="L172" i="16"/>
  <c r="L173" i="16"/>
  <c r="L174" i="16"/>
  <c r="L175" i="16"/>
  <c r="L176" i="16"/>
  <c r="L177" i="16"/>
  <c r="L178" i="16"/>
  <c r="L179" i="16"/>
  <c r="L180" i="16"/>
  <c r="L181" i="16"/>
  <c r="L182" i="16"/>
  <c r="L183" i="16"/>
  <c r="L184" i="16"/>
  <c r="L185" i="16"/>
  <c r="L186" i="16"/>
  <c r="L187" i="16"/>
  <c r="L188" i="16"/>
  <c r="L189" i="16"/>
  <c r="L190" i="16"/>
  <c r="L191" i="16"/>
  <c r="L192" i="16"/>
  <c r="L193" i="16"/>
  <c r="L194" i="16"/>
  <c r="L195" i="16"/>
  <c r="L196" i="16"/>
  <c r="L197" i="16"/>
  <c r="L198" i="16"/>
  <c r="L199" i="16"/>
  <c r="L200" i="16"/>
  <c r="L201" i="16"/>
  <c r="L202" i="16"/>
  <c r="L203" i="16"/>
  <c r="L204" i="16"/>
  <c r="L205" i="16"/>
  <c r="L206" i="16"/>
  <c r="L207" i="16"/>
  <c r="L208" i="16"/>
  <c r="L209" i="16"/>
  <c r="L210" i="16"/>
  <c r="L211" i="16"/>
  <c r="L212" i="16"/>
  <c r="L213" i="16"/>
  <c r="L214" i="16"/>
  <c r="L215" i="16"/>
  <c r="L216" i="16"/>
  <c r="L217" i="16"/>
  <c r="L218" i="16"/>
  <c r="L219" i="16"/>
  <c r="L220" i="16"/>
  <c r="L221" i="16"/>
  <c r="L222" i="16"/>
  <c r="L223" i="16"/>
  <c r="L224" i="16"/>
  <c r="L225" i="16"/>
  <c r="L226" i="16"/>
  <c r="L227" i="16"/>
  <c r="L228" i="16"/>
  <c r="L229" i="16"/>
  <c r="L230" i="16"/>
  <c r="L231" i="16"/>
  <c r="L232" i="16"/>
  <c r="L233" i="16"/>
  <c r="L234" i="16"/>
  <c r="L235" i="16"/>
  <c r="L236" i="16"/>
  <c r="L237" i="16"/>
  <c r="L238" i="16"/>
  <c r="L239" i="16"/>
  <c r="L240" i="16"/>
  <c r="L241" i="16"/>
  <c r="L242" i="16"/>
  <c r="L243" i="16"/>
  <c r="L244" i="16"/>
  <c r="L245" i="16"/>
  <c r="L246" i="16"/>
  <c r="L247" i="16"/>
  <c r="L248" i="16"/>
  <c r="L249" i="16"/>
  <c r="L250" i="16"/>
  <c r="L251" i="16"/>
  <c r="L252" i="16"/>
  <c r="L253" i="16"/>
  <c r="L254" i="16"/>
  <c r="L255" i="16"/>
  <c r="L256" i="16"/>
  <c r="L257" i="16"/>
  <c r="L258" i="16"/>
  <c r="L259" i="16"/>
  <c r="L260" i="16"/>
  <c r="L261" i="16"/>
  <c r="L262" i="16"/>
  <c r="L263" i="16"/>
  <c r="L264" i="16"/>
  <c r="L265" i="16"/>
  <c r="L266" i="16"/>
  <c r="L267" i="16"/>
  <c r="L268" i="16"/>
  <c r="L269" i="16"/>
  <c r="L270" i="16"/>
  <c r="L271" i="16"/>
  <c r="L272" i="16"/>
  <c r="L273" i="16"/>
  <c r="L274" i="16"/>
  <c r="L275" i="16"/>
  <c r="L276" i="16"/>
  <c r="L277" i="16"/>
  <c r="L278" i="16"/>
  <c r="L279" i="16"/>
  <c r="L280" i="16"/>
  <c r="L281" i="16"/>
  <c r="L282" i="16"/>
  <c r="L283" i="16"/>
  <c r="L284" i="16"/>
  <c r="L285" i="16"/>
  <c r="L286" i="16"/>
  <c r="L287" i="16"/>
  <c r="L288" i="16"/>
  <c r="L289" i="16"/>
  <c r="L290" i="16"/>
  <c r="L291" i="16"/>
  <c r="L292" i="16"/>
  <c r="L293" i="16"/>
  <c r="L294" i="16"/>
  <c r="L295" i="16"/>
  <c r="L296" i="16"/>
  <c r="L297" i="16"/>
  <c r="L298" i="16"/>
  <c r="L299" i="16"/>
  <c r="L300" i="16"/>
  <c r="L301" i="16"/>
  <c r="L302" i="16"/>
  <c r="L303" i="16"/>
  <c r="L304" i="16"/>
  <c r="L305" i="16"/>
  <c r="L306" i="16"/>
  <c r="L307" i="16"/>
  <c r="L308" i="16"/>
  <c r="L309" i="16"/>
  <c r="L310" i="16"/>
  <c r="L311" i="16"/>
  <c r="L312" i="16"/>
  <c r="L313" i="16"/>
  <c r="L314" i="16"/>
  <c r="L315" i="16"/>
  <c r="L316" i="16"/>
  <c r="L317" i="16"/>
  <c r="L318" i="16"/>
  <c r="L319" i="16"/>
  <c r="L320" i="16"/>
  <c r="L321" i="16"/>
  <c r="L322" i="16"/>
  <c r="L323" i="16"/>
  <c r="L324" i="16"/>
  <c r="L325" i="16"/>
  <c r="L326" i="16"/>
  <c r="L327" i="16"/>
  <c r="L328" i="16"/>
  <c r="L329" i="16"/>
  <c r="L330" i="16"/>
  <c r="L331" i="16"/>
  <c r="L332" i="16"/>
  <c r="L333" i="16"/>
  <c r="L334" i="16"/>
  <c r="L335" i="16"/>
  <c r="L336" i="16"/>
  <c r="L337" i="16"/>
  <c r="L338" i="16"/>
  <c r="L339" i="16"/>
  <c r="L340" i="16"/>
  <c r="L341" i="16"/>
  <c r="L342" i="16"/>
  <c r="L343" i="16"/>
  <c r="L344" i="16"/>
  <c r="L345" i="16"/>
  <c r="L346" i="16"/>
  <c r="L347" i="16"/>
  <c r="L348" i="16"/>
  <c r="L349" i="16"/>
  <c r="L350" i="16"/>
  <c r="L351" i="16"/>
  <c r="L352" i="16"/>
  <c r="L353" i="16"/>
  <c r="L354" i="16"/>
  <c r="L355" i="16"/>
  <c r="L356" i="16"/>
  <c r="L357" i="16"/>
  <c r="L358" i="16"/>
  <c r="L359" i="16"/>
  <c r="L360" i="16"/>
  <c r="L2" i="15"/>
  <c r="L3" i="15"/>
  <c r="L4" i="15"/>
  <c r="L5" i="15"/>
  <c r="L6" i="15"/>
  <c r="L7" i="15"/>
  <c r="L8" i="15"/>
  <c r="L9" i="15"/>
  <c r="L10" i="15"/>
  <c r="L11" i="15"/>
  <c r="L12" i="15"/>
  <c r="L13" i="15"/>
  <c r="L14" i="15"/>
  <c r="L15" i="15"/>
  <c r="L16" i="15"/>
  <c r="L17" i="15"/>
  <c r="L18" i="15"/>
  <c r="L19" i="15"/>
  <c r="L20" i="15"/>
  <c r="L21" i="15"/>
  <c r="L22" i="15"/>
  <c r="L23" i="15"/>
  <c r="L24" i="15"/>
  <c r="L25" i="15"/>
  <c r="L26" i="15"/>
  <c r="L27" i="15"/>
  <c r="L28" i="15"/>
  <c r="L29" i="15"/>
  <c r="L30" i="15"/>
  <c r="L31" i="15"/>
  <c r="L32" i="15"/>
  <c r="L33" i="15"/>
  <c r="L34" i="15"/>
  <c r="L35" i="15"/>
  <c r="L36" i="15"/>
  <c r="L37" i="15"/>
  <c r="L38" i="15"/>
  <c r="L39" i="15"/>
  <c r="L40" i="15"/>
  <c r="L41" i="15"/>
  <c r="L42" i="15"/>
  <c r="L43" i="15"/>
  <c r="L44" i="15"/>
  <c r="L45" i="15"/>
  <c r="L46" i="15"/>
  <c r="L47" i="15"/>
  <c r="L48" i="15"/>
  <c r="L49" i="15"/>
  <c r="L50" i="15"/>
  <c r="L51" i="15"/>
  <c r="L52" i="15"/>
  <c r="L53" i="15"/>
  <c r="L54" i="15"/>
  <c r="L55" i="15"/>
  <c r="L56" i="15"/>
  <c r="L57" i="15"/>
  <c r="L58" i="15"/>
  <c r="L59" i="15"/>
  <c r="L60" i="15"/>
  <c r="L61" i="15"/>
  <c r="L62" i="15"/>
  <c r="L63" i="15"/>
  <c r="L64" i="15"/>
  <c r="L65" i="15"/>
  <c r="L66" i="15"/>
  <c r="L67" i="15"/>
  <c r="L68" i="15"/>
  <c r="L69" i="15"/>
  <c r="L70" i="15"/>
  <c r="L71" i="15"/>
  <c r="L72" i="15"/>
  <c r="L73" i="15"/>
  <c r="L74" i="15"/>
  <c r="L75" i="15"/>
  <c r="L76" i="15"/>
  <c r="L77" i="15"/>
  <c r="L78" i="15"/>
  <c r="L79" i="15"/>
  <c r="L80" i="15"/>
  <c r="L81" i="15"/>
  <c r="L82" i="15"/>
  <c r="L83" i="15"/>
  <c r="L84" i="15"/>
  <c r="L85" i="15"/>
  <c r="L86" i="15"/>
  <c r="L87" i="15"/>
  <c r="L88" i="15"/>
  <c r="L89" i="15"/>
  <c r="L90" i="15"/>
  <c r="L91" i="15"/>
  <c r="L92" i="15"/>
  <c r="L93" i="15"/>
  <c r="L94" i="15"/>
  <c r="L95" i="15"/>
  <c r="L96" i="15"/>
  <c r="L97" i="15"/>
  <c r="L98" i="15"/>
  <c r="L99" i="15"/>
  <c r="L100" i="15"/>
  <c r="L101" i="15"/>
  <c r="L102" i="15"/>
  <c r="L103" i="15"/>
  <c r="L104" i="15"/>
  <c r="L105" i="15"/>
  <c r="L106" i="15"/>
  <c r="L107" i="15"/>
  <c r="L108" i="15"/>
  <c r="L109" i="15"/>
  <c r="L110" i="15"/>
  <c r="L111" i="15"/>
  <c r="L112" i="15"/>
  <c r="L113" i="15"/>
  <c r="L114" i="15"/>
  <c r="L115" i="15"/>
  <c r="L116" i="15"/>
  <c r="L117" i="15"/>
  <c r="L118" i="15"/>
  <c r="L119" i="15"/>
  <c r="L120" i="15"/>
  <c r="L121" i="15"/>
  <c r="L122" i="15"/>
  <c r="L123" i="15"/>
  <c r="L124" i="15"/>
  <c r="L125" i="15"/>
  <c r="L126" i="15"/>
  <c r="L127" i="15"/>
  <c r="L128" i="15"/>
  <c r="L129" i="15"/>
  <c r="L130" i="15"/>
  <c r="L131" i="15"/>
  <c r="L132" i="15"/>
  <c r="L133" i="15"/>
  <c r="L134" i="15"/>
  <c r="L135" i="15"/>
  <c r="L136" i="15"/>
  <c r="L137" i="15"/>
  <c r="L138" i="15"/>
  <c r="L139" i="15"/>
  <c r="L140" i="15"/>
  <c r="L141" i="15"/>
  <c r="L142" i="15"/>
  <c r="L143" i="15"/>
  <c r="L144" i="15"/>
  <c r="L145" i="15"/>
  <c r="L146" i="15"/>
  <c r="L147" i="15"/>
  <c r="L148" i="15"/>
  <c r="L149" i="15"/>
  <c r="L150" i="15"/>
  <c r="L151" i="15"/>
  <c r="L152" i="15"/>
  <c r="L153" i="15"/>
  <c r="L154" i="15"/>
  <c r="L155" i="15"/>
  <c r="L156" i="15"/>
  <c r="L157" i="15"/>
  <c r="L158" i="15"/>
  <c r="L159" i="15"/>
  <c r="L160" i="15"/>
  <c r="L161" i="15"/>
  <c r="L162" i="15"/>
  <c r="L163" i="15"/>
  <c r="L164" i="15"/>
  <c r="L165" i="15"/>
  <c r="L166" i="15"/>
  <c r="L167" i="15"/>
  <c r="L168" i="15"/>
  <c r="L169" i="15"/>
  <c r="L170" i="15"/>
  <c r="L171" i="15"/>
  <c r="L172" i="15"/>
  <c r="L173" i="15"/>
  <c r="L174" i="15"/>
  <c r="L175" i="15"/>
  <c r="L176" i="15"/>
  <c r="L177" i="15"/>
  <c r="L178" i="15"/>
  <c r="L179" i="15"/>
  <c r="L180" i="15"/>
  <c r="L181" i="15"/>
  <c r="L182" i="15"/>
  <c r="L183" i="15"/>
  <c r="L184" i="15"/>
  <c r="L185" i="15"/>
  <c r="L186" i="15"/>
  <c r="L187" i="15"/>
  <c r="L188" i="15"/>
  <c r="L189" i="15"/>
  <c r="L190" i="15"/>
  <c r="L191" i="15"/>
  <c r="L192" i="15"/>
  <c r="L193" i="15"/>
  <c r="L194" i="15"/>
  <c r="L195" i="15"/>
  <c r="L196" i="15"/>
  <c r="L197" i="15"/>
  <c r="L198" i="15"/>
  <c r="L199" i="15"/>
  <c r="L200" i="15"/>
  <c r="L201" i="15"/>
  <c r="L202" i="15"/>
  <c r="L203" i="15"/>
  <c r="L204" i="15"/>
  <c r="L205" i="15"/>
  <c r="L206" i="15"/>
  <c r="L207" i="15"/>
  <c r="L208" i="15"/>
  <c r="L209" i="15"/>
  <c r="L210" i="15"/>
  <c r="L211" i="15"/>
  <c r="L212" i="15"/>
  <c r="L213" i="15"/>
  <c r="L214" i="15"/>
  <c r="L215" i="15"/>
  <c r="L216" i="15"/>
  <c r="L217" i="15"/>
  <c r="L218" i="15"/>
  <c r="L219" i="15"/>
  <c r="L220" i="15"/>
  <c r="L221" i="15"/>
  <c r="L222" i="15"/>
  <c r="L223" i="15"/>
  <c r="L224" i="15"/>
  <c r="L225" i="15"/>
  <c r="L226" i="15"/>
  <c r="L227" i="15"/>
  <c r="L228" i="15"/>
  <c r="L229" i="15"/>
  <c r="L230" i="15"/>
  <c r="L231" i="15"/>
  <c r="L232" i="15"/>
  <c r="L233" i="15"/>
  <c r="L234" i="15"/>
  <c r="L235" i="15"/>
  <c r="L236" i="15"/>
  <c r="L237" i="15"/>
  <c r="L238" i="15"/>
  <c r="L239" i="15"/>
  <c r="L240" i="15"/>
  <c r="L241" i="15"/>
  <c r="L242" i="15"/>
  <c r="L243" i="15"/>
  <c r="L244" i="15"/>
  <c r="L245" i="15"/>
  <c r="L246" i="15"/>
  <c r="L247" i="15"/>
  <c r="L248" i="15"/>
  <c r="L249" i="15"/>
  <c r="L250" i="15"/>
  <c r="L251" i="15"/>
  <c r="L252" i="15"/>
  <c r="L253" i="15"/>
  <c r="L254" i="15"/>
  <c r="L255" i="15"/>
  <c r="L256" i="15"/>
  <c r="L257" i="15"/>
  <c r="L258" i="15"/>
  <c r="L259" i="15"/>
  <c r="L260" i="15"/>
  <c r="L261" i="15"/>
  <c r="L262" i="15"/>
  <c r="L263" i="15"/>
  <c r="L264" i="15"/>
  <c r="L265" i="15"/>
  <c r="L266" i="15"/>
  <c r="L267" i="15"/>
  <c r="L268" i="15"/>
  <c r="L269" i="15"/>
  <c r="L270" i="15"/>
  <c r="L271" i="15"/>
  <c r="L272" i="15"/>
  <c r="L273" i="15"/>
  <c r="L274" i="15"/>
  <c r="L275" i="15"/>
  <c r="L276" i="15"/>
  <c r="L277" i="15"/>
  <c r="L278" i="15"/>
  <c r="L279" i="15"/>
  <c r="L280" i="15"/>
  <c r="L281" i="15"/>
  <c r="L282" i="15"/>
  <c r="L283" i="15"/>
  <c r="L284" i="15"/>
  <c r="L285" i="15"/>
  <c r="L286" i="15"/>
  <c r="L287" i="15"/>
  <c r="L288" i="15"/>
  <c r="L289" i="15"/>
  <c r="L290" i="15"/>
  <c r="L291" i="15"/>
  <c r="L292" i="15"/>
  <c r="L293" i="15"/>
  <c r="L294" i="15"/>
  <c r="L295" i="15"/>
  <c r="L296" i="15"/>
  <c r="L297" i="15"/>
  <c r="L298" i="15"/>
  <c r="L299" i="15"/>
  <c r="L300" i="15"/>
  <c r="L301" i="15"/>
  <c r="L302" i="15"/>
  <c r="L303" i="15"/>
  <c r="L304" i="15"/>
  <c r="L305" i="15"/>
  <c r="L306" i="15"/>
  <c r="L307" i="15"/>
  <c r="L308" i="15"/>
  <c r="L309" i="15"/>
  <c r="L310" i="15"/>
  <c r="L311" i="15"/>
  <c r="L312" i="15"/>
  <c r="L313" i="15"/>
  <c r="L314" i="15"/>
  <c r="L315" i="15"/>
  <c r="L316" i="15"/>
  <c r="L317" i="15"/>
  <c r="L318" i="15"/>
  <c r="L319" i="15"/>
  <c r="L320" i="15"/>
  <c r="L321" i="15"/>
  <c r="L322" i="15"/>
  <c r="L323" i="15"/>
  <c r="L324" i="15"/>
  <c r="L325" i="15"/>
  <c r="L326" i="15"/>
  <c r="L327" i="15"/>
  <c r="L328" i="15"/>
  <c r="L329" i="15"/>
  <c r="L330" i="15"/>
  <c r="L331" i="15"/>
  <c r="L332" i="15"/>
  <c r="L333" i="15"/>
  <c r="L334" i="15"/>
  <c r="L335" i="15"/>
  <c r="L336" i="15"/>
  <c r="L337" i="15"/>
  <c r="L338" i="15"/>
  <c r="L339" i="15"/>
  <c r="L340" i="15"/>
  <c r="L341" i="15"/>
  <c r="L342" i="15"/>
  <c r="L343" i="15"/>
  <c r="L344" i="15"/>
  <c r="L345" i="15"/>
  <c r="L346" i="15"/>
  <c r="L347" i="15"/>
  <c r="L348" i="15"/>
  <c r="L349" i="15"/>
  <c r="L350" i="15"/>
  <c r="L351" i="15"/>
  <c r="L352" i="15"/>
  <c r="L353" i="15"/>
  <c r="L354" i="15"/>
  <c r="L355" i="15"/>
  <c r="L356" i="15"/>
  <c r="L357" i="15"/>
  <c r="L358" i="15"/>
  <c r="L359" i="15"/>
  <c r="L360" i="15"/>
  <c r="M2" i="14"/>
  <c r="M3" i="14"/>
  <c r="M4" i="14"/>
  <c r="M5" i="14"/>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101" i="14"/>
  <c r="M102" i="14"/>
  <c r="M103" i="14"/>
  <c r="M104" i="14"/>
  <c r="M105" i="14"/>
  <c r="M106" i="14"/>
  <c r="M107" i="14"/>
  <c r="M108" i="14"/>
  <c r="M109" i="14"/>
  <c r="M110" i="14"/>
  <c r="M111" i="14"/>
  <c r="M112" i="14"/>
  <c r="M113" i="14"/>
  <c r="M114" i="14"/>
  <c r="M115" i="14"/>
  <c r="M116" i="14"/>
  <c r="M117" i="14"/>
  <c r="M118" i="14"/>
  <c r="M119" i="14"/>
  <c r="M120" i="14"/>
  <c r="M121" i="14"/>
  <c r="M122" i="14"/>
  <c r="M123" i="14"/>
  <c r="M124" i="14"/>
  <c r="M125" i="14"/>
  <c r="M126" i="14"/>
  <c r="M127" i="14"/>
  <c r="M128" i="14"/>
  <c r="M129" i="14"/>
  <c r="M130" i="14"/>
  <c r="M131" i="14"/>
  <c r="M132" i="14"/>
  <c r="M133" i="14"/>
  <c r="M134" i="14"/>
  <c r="M135" i="14"/>
  <c r="M136" i="14"/>
  <c r="M137" i="14"/>
  <c r="M138" i="14"/>
  <c r="M139" i="14"/>
  <c r="M140" i="14"/>
  <c r="M141" i="14"/>
  <c r="M142" i="14"/>
  <c r="M143" i="14"/>
  <c r="M144" i="14"/>
  <c r="M145" i="14"/>
  <c r="M146" i="14"/>
  <c r="M147" i="14"/>
  <c r="M148" i="14"/>
  <c r="M149" i="14"/>
  <c r="M150" i="14"/>
  <c r="M151" i="14"/>
  <c r="M152" i="14"/>
  <c r="M153" i="14"/>
  <c r="M154" i="14"/>
  <c r="M155" i="14"/>
  <c r="M156" i="14"/>
  <c r="M157" i="14"/>
  <c r="M158" i="14"/>
  <c r="M159" i="14"/>
  <c r="M160" i="14"/>
  <c r="M161" i="14"/>
  <c r="M162" i="14"/>
  <c r="M163" i="14"/>
  <c r="M164" i="14"/>
  <c r="M165" i="14"/>
  <c r="M166" i="14"/>
  <c r="M167" i="14"/>
  <c r="M168" i="14"/>
  <c r="M169" i="14"/>
  <c r="M170" i="14"/>
  <c r="M171" i="14"/>
  <c r="M172" i="14"/>
  <c r="M173" i="14"/>
  <c r="M174" i="14"/>
  <c r="M175" i="14"/>
  <c r="M176" i="14"/>
  <c r="M177" i="14"/>
  <c r="M178" i="14"/>
  <c r="M179" i="14"/>
  <c r="M180" i="14"/>
  <c r="M181" i="14"/>
  <c r="M182" i="14"/>
  <c r="M183" i="14"/>
  <c r="M184" i="14"/>
  <c r="M185" i="14"/>
  <c r="M186" i="14"/>
  <c r="M187" i="14"/>
  <c r="M188" i="14"/>
  <c r="M189" i="14"/>
  <c r="M190" i="14"/>
  <c r="M191" i="14"/>
  <c r="M192" i="14"/>
  <c r="M193" i="14"/>
  <c r="M194" i="14"/>
  <c r="M195" i="14"/>
  <c r="M196" i="14"/>
  <c r="M197" i="14"/>
  <c r="M198" i="14"/>
  <c r="M199" i="14"/>
  <c r="M200" i="14"/>
  <c r="M201" i="14"/>
  <c r="M202" i="14"/>
  <c r="M203" i="14"/>
  <c r="M204" i="14"/>
  <c r="M205" i="14"/>
  <c r="M206" i="14"/>
  <c r="M207" i="14"/>
  <c r="M208" i="14"/>
  <c r="M209" i="14"/>
  <c r="M210" i="14"/>
  <c r="M211" i="14"/>
  <c r="M212" i="14"/>
  <c r="M213" i="14"/>
  <c r="M214" i="14"/>
  <c r="M215" i="14"/>
  <c r="M216" i="14"/>
  <c r="M217" i="14"/>
  <c r="M218" i="14"/>
  <c r="M219" i="14"/>
  <c r="M220" i="14"/>
  <c r="M221" i="14"/>
  <c r="M222" i="14"/>
  <c r="M223" i="14"/>
  <c r="M224" i="14"/>
  <c r="M225" i="14"/>
  <c r="M226" i="14"/>
  <c r="M227" i="14"/>
  <c r="M228" i="14"/>
  <c r="M229" i="14"/>
  <c r="M230" i="14"/>
  <c r="M231" i="14"/>
  <c r="M232" i="14"/>
  <c r="M233" i="14"/>
  <c r="M234" i="14"/>
  <c r="M235" i="14"/>
  <c r="M236" i="14"/>
  <c r="M237" i="14"/>
  <c r="M238" i="14"/>
  <c r="M239" i="14"/>
  <c r="M240" i="14"/>
  <c r="M241" i="14"/>
  <c r="M242" i="14"/>
  <c r="M243" i="14"/>
  <c r="M244" i="14"/>
  <c r="M245" i="14"/>
  <c r="M246" i="14"/>
  <c r="M247" i="14"/>
  <c r="M248" i="14"/>
  <c r="M249" i="14"/>
  <c r="M250" i="14"/>
  <c r="M251" i="14"/>
  <c r="M252" i="14"/>
  <c r="M253" i="14"/>
  <c r="M254" i="14"/>
  <c r="M255" i="14"/>
  <c r="M256" i="14"/>
  <c r="M257" i="14"/>
  <c r="M258" i="14"/>
  <c r="M259" i="14"/>
  <c r="M260" i="14"/>
  <c r="M261" i="14"/>
  <c r="M262" i="14"/>
  <c r="M263" i="14"/>
  <c r="M264" i="14"/>
  <c r="M265" i="14"/>
  <c r="M266" i="14"/>
  <c r="M267" i="14"/>
  <c r="M268" i="14"/>
  <c r="M269" i="14"/>
  <c r="M270" i="14"/>
  <c r="M271" i="14"/>
  <c r="M272" i="14"/>
  <c r="M273" i="14"/>
  <c r="M274" i="14"/>
  <c r="M275" i="14"/>
  <c r="M276" i="14"/>
  <c r="M277" i="14"/>
  <c r="M278" i="14"/>
  <c r="M279" i="14"/>
  <c r="M280" i="14"/>
  <c r="M281" i="14"/>
  <c r="M282" i="14"/>
  <c r="M283" i="14"/>
  <c r="M284" i="14"/>
  <c r="M285" i="14"/>
  <c r="M286" i="14"/>
  <c r="M287" i="14"/>
  <c r="M288" i="14"/>
  <c r="M289" i="14"/>
  <c r="M290" i="14"/>
  <c r="M291" i="14"/>
  <c r="M292" i="14"/>
  <c r="M293" i="14"/>
  <c r="M294" i="14"/>
  <c r="M295" i="14"/>
  <c r="M296" i="14"/>
  <c r="M297" i="14"/>
  <c r="M298" i="14"/>
  <c r="M299" i="14"/>
  <c r="M300" i="14"/>
  <c r="M301" i="14"/>
  <c r="M302" i="14"/>
  <c r="M303" i="14"/>
  <c r="M304" i="14"/>
  <c r="M305" i="14"/>
  <c r="M306" i="14"/>
  <c r="M307" i="14"/>
  <c r="M308" i="14"/>
  <c r="M309" i="14"/>
  <c r="M310" i="14"/>
  <c r="M311" i="14"/>
  <c r="M312" i="14"/>
  <c r="M313" i="14"/>
  <c r="M314" i="14"/>
  <c r="M315" i="14"/>
  <c r="M316" i="14"/>
  <c r="M317" i="14"/>
  <c r="M318" i="14"/>
  <c r="M319" i="14"/>
  <c r="M320" i="14"/>
  <c r="M321" i="14"/>
  <c r="M322" i="14"/>
  <c r="M323" i="14"/>
  <c r="M324" i="14"/>
  <c r="M325" i="14"/>
  <c r="M326" i="14"/>
  <c r="M327" i="14"/>
  <c r="M328" i="14"/>
  <c r="M329" i="14"/>
  <c r="M330" i="14"/>
  <c r="M331" i="14"/>
  <c r="M332" i="14"/>
  <c r="M333" i="14"/>
  <c r="M334" i="14"/>
  <c r="M335" i="14"/>
  <c r="M336" i="14"/>
  <c r="M337" i="14"/>
  <c r="M338" i="14"/>
  <c r="M339" i="14"/>
  <c r="M340" i="14"/>
  <c r="M341" i="14"/>
  <c r="M342" i="14"/>
  <c r="M343" i="14"/>
  <c r="M344" i="14"/>
  <c r="M345" i="14"/>
  <c r="M346" i="14"/>
  <c r="M347" i="14"/>
  <c r="M348" i="14"/>
  <c r="M349" i="14"/>
  <c r="M350" i="14"/>
  <c r="M351" i="14"/>
  <c r="M352" i="14"/>
  <c r="M353" i="14"/>
  <c r="M354" i="14"/>
  <c r="M355" i="14"/>
  <c r="M356" i="14"/>
  <c r="M357" i="14"/>
  <c r="M358" i="14"/>
  <c r="M359" i="14"/>
  <c r="M360" i="14"/>
  <c r="L2" i="14"/>
  <c r="L3" i="14"/>
  <c r="L4" i="14"/>
  <c r="L5" i="14"/>
  <c r="L6" i="14"/>
  <c r="L7" i="14"/>
  <c r="L8" i="14"/>
  <c r="L9" i="14"/>
  <c r="L10" i="14"/>
  <c r="L11" i="14"/>
  <c r="L12" i="14"/>
  <c r="L13" i="14"/>
  <c r="L14" i="14"/>
  <c r="L15" i="1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L121" i="14"/>
  <c r="L122" i="14"/>
  <c r="L123" i="14"/>
  <c r="L124" i="14"/>
  <c r="L125" i="14"/>
  <c r="L126" i="14"/>
  <c r="L127" i="14"/>
  <c r="L128" i="14"/>
  <c r="L129" i="14"/>
  <c r="L130" i="14"/>
  <c r="L131" i="14"/>
  <c r="L132" i="14"/>
  <c r="L133" i="14"/>
  <c r="L134" i="14"/>
  <c r="L135" i="14"/>
  <c r="L136" i="14"/>
  <c r="L137" i="14"/>
  <c r="L138" i="14"/>
  <c r="L139" i="14"/>
  <c r="L140" i="14"/>
  <c r="L141" i="14"/>
  <c r="L142" i="14"/>
  <c r="L143" i="14"/>
  <c r="L144" i="14"/>
  <c r="L145" i="14"/>
  <c r="L146" i="14"/>
  <c r="L147" i="14"/>
  <c r="L148" i="14"/>
  <c r="L149" i="14"/>
  <c r="L150" i="14"/>
  <c r="L151" i="14"/>
  <c r="L152" i="14"/>
  <c r="L153" i="14"/>
  <c r="L154" i="14"/>
  <c r="L155" i="14"/>
  <c r="L156" i="14"/>
  <c r="L157" i="14"/>
  <c r="L158" i="14"/>
  <c r="L159" i="14"/>
  <c r="L160" i="14"/>
  <c r="L161" i="14"/>
  <c r="L162" i="14"/>
  <c r="L163" i="14"/>
  <c r="L164" i="14"/>
  <c r="L165" i="14"/>
  <c r="L166" i="14"/>
  <c r="L167" i="14"/>
  <c r="L168" i="14"/>
  <c r="L169" i="14"/>
  <c r="L170" i="14"/>
  <c r="L171" i="14"/>
  <c r="L172" i="14"/>
  <c r="L173" i="14"/>
  <c r="L174" i="14"/>
  <c r="L175" i="14"/>
  <c r="L176" i="14"/>
  <c r="L177" i="14"/>
  <c r="L178" i="14"/>
  <c r="L179" i="14"/>
  <c r="L180" i="14"/>
  <c r="L181" i="14"/>
  <c r="L182" i="14"/>
  <c r="L183" i="14"/>
  <c r="L184" i="14"/>
  <c r="L185" i="14"/>
  <c r="L186" i="14"/>
  <c r="L187" i="14"/>
  <c r="L188" i="14"/>
  <c r="L189" i="14"/>
  <c r="L190" i="14"/>
  <c r="L191" i="14"/>
  <c r="L192" i="14"/>
  <c r="L193" i="14"/>
  <c r="L194" i="14"/>
  <c r="L195" i="14"/>
  <c r="L196" i="14"/>
  <c r="L197" i="14"/>
  <c r="L198" i="14"/>
  <c r="L199" i="14"/>
  <c r="L200" i="14"/>
  <c r="L201" i="14"/>
  <c r="L202" i="14"/>
  <c r="L203" i="14"/>
  <c r="L204" i="14"/>
  <c r="L205" i="14"/>
  <c r="L206" i="14"/>
  <c r="L207" i="14"/>
  <c r="L208" i="14"/>
  <c r="L209" i="14"/>
  <c r="L210" i="14"/>
  <c r="L211" i="14"/>
  <c r="L212" i="14"/>
  <c r="L213" i="14"/>
  <c r="L214" i="14"/>
  <c r="L215" i="14"/>
  <c r="L216" i="14"/>
  <c r="L217" i="14"/>
  <c r="L218" i="14"/>
  <c r="L219" i="14"/>
  <c r="L220" i="14"/>
  <c r="L221" i="14"/>
  <c r="L222" i="14"/>
  <c r="L223" i="14"/>
  <c r="L224" i="14"/>
  <c r="L225" i="14"/>
  <c r="L226" i="14"/>
  <c r="L227" i="14"/>
  <c r="L228" i="14"/>
  <c r="L229" i="14"/>
  <c r="L230" i="14"/>
  <c r="L231" i="14"/>
  <c r="L232" i="14"/>
  <c r="L233" i="14"/>
  <c r="L234" i="14"/>
  <c r="L235" i="14"/>
  <c r="L236" i="14"/>
  <c r="L237" i="14"/>
  <c r="L238" i="14"/>
  <c r="L239" i="14"/>
  <c r="L240" i="14"/>
  <c r="L241" i="14"/>
  <c r="L242" i="14"/>
  <c r="L243" i="14"/>
  <c r="L244" i="14"/>
  <c r="L245" i="14"/>
  <c r="L246" i="14"/>
  <c r="L247" i="14"/>
  <c r="L248" i="14"/>
  <c r="L249" i="14"/>
  <c r="L250" i="14"/>
  <c r="L251" i="14"/>
  <c r="L252" i="14"/>
  <c r="L253" i="14"/>
  <c r="L254" i="14"/>
  <c r="L255" i="14"/>
  <c r="L256" i="14"/>
  <c r="L257" i="14"/>
  <c r="L258" i="14"/>
  <c r="L259" i="14"/>
  <c r="L260" i="14"/>
  <c r="L261" i="14"/>
  <c r="L262" i="14"/>
  <c r="L263" i="14"/>
  <c r="L264" i="14"/>
  <c r="L265" i="14"/>
  <c r="L266" i="14"/>
  <c r="L267" i="14"/>
  <c r="L268" i="14"/>
  <c r="L269" i="14"/>
  <c r="L270" i="14"/>
  <c r="L271" i="14"/>
  <c r="L272" i="14"/>
  <c r="L273" i="14"/>
  <c r="L274" i="14"/>
  <c r="L275" i="14"/>
  <c r="L276" i="14"/>
  <c r="L277" i="14"/>
  <c r="L278" i="14"/>
  <c r="L279" i="14"/>
  <c r="L280" i="14"/>
  <c r="L281" i="14"/>
  <c r="L282" i="14"/>
  <c r="L283" i="14"/>
  <c r="L284" i="14"/>
  <c r="L285" i="14"/>
  <c r="L286" i="14"/>
  <c r="L287" i="14"/>
  <c r="L288" i="14"/>
  <c r="L289" i="14"/>
  <c r="L290" i="14"/>
  <c r="L291" i="14"/>
  <c r="L292" i="14"/>
  <c r="L293" i="14"/>
  <c r="L294" i="14"/>
  <c r="L295" i="14"/>
  <c r="L296" i="14"/>
  <c r="L297" i="14"/>
  <c r="L298" i="14"/>
  <c r="L299" i="14"/>
  <c r="L300" i="14"/>
  <c r="L301" i="14"/>
  <c r="L302" i="14"/>
  <c r="L303" i="14"/>
  <c r="L304" i="14"/>
  <c r="L305" i="14"/>
  <c r="L306" i="14"/>
  <c r="L307" i="14"/>
  <c r="L308" i="14"/>
  <c r="L309" i="14"/>
  <c r="L310" i="14"/>
  <c r="L311" i="14"/>
  <c r="L312" i="14"/>
  <c r="L313" i="14"/>
  <c r="L314" i="14"/>
  <c r="L315" i="14"/>
  <c r="L316" i="14"/>
  <c r="L317" i="14"/>
  <c r="L318" i="14"/>
  <c r="L319" i="14"/>
  <c r="L320" i="14"/>
  <c r="L321" i="14"/>
  <c r="L322" i="14"/>
  <c r="L323" i="14"/>
  <c r="L324" i="14"/>
  <c r="L325" i="14"/>
  <c r="L326" i="14"/>
  <c r="L327" i="14"/>
  <c r="L328" i="14"/>
  <c r="L329" i="14"/>
  <c r="L330" i="14"/>
  <c r="L331" i="14"/>
  <c r="L332" i="14"/>
  <c r="L333" i="14"/>
  <c r="L334" i="14"/>
  <c r="L335" i="14"/>
  <c r="L336" i="14"/>
  <c r="L337" i="14"/>
  <c r="L338" i="14"/>
  <c r="L339" i="14"/>
  <c r="L340" i="14"/>
  <c r="L341" i="14"/>
  <c r="L342" i="14"/>
  <c r="L343" i="14"/>
  <c r="L344" i="14"/>
  <c r="L345" i="14"/>
  <c r="L346" i="14"/>
  <c r="L347" i="14"/>
  <c r="L348" i="14"/>
  <c r="L349" i="14"/>
  <c r="L350" i="14"/>
  <c r="L351" i="14"/>
  <c r="L352" i="14"/>
  <c r="L353" i="14"/>
  <c r="L354" i="14"/>
  <c r="L355" i="14"/>
  <c r="L356" i="14"/>
  <c r="L357" i="14"/>
  <c r="L358" i="14"/>
  <c r="L359" i="14"/>
  <c r="L360" i="14"/>
  <c r="AU17" i="11"/>
  <c r="AT17" i="11" s="1"/>
  <c r="AU18" i="11"/>
  <c r="AT18" i="11" s="1"/>
  <c r="AU19" i="11"/>
  <c r="AT19" i="11" s="1"/>
  <c r="AU20" i="11"/>
  <c r="AT20" i="11" s="1"/>
  <c r="AU21" i="11"/>
  <c r="AT21" i="11" s="1"/>
  <c r="AU22" i="11"/>
  <c r="AT22" i="11" s="1"/>
  <c r="AU35" i="11"/>
  <c r="AT35" i="11" s="1"/>
  <c r="AU36" i="11"/>
  <c r="AT36" i="11" s="1"/>
  <c r="AU37" i="11"/>
  <c r="AT37" i="11" s="1"/>
  <c r="AU38" i="11"/>
  <c r="AT38" i="11" s="1"/>
  <c r="AU39" i="11"/>
  <c r="AT39" i="11" s="1"/>
  <c r="AU40" i="11"/>
  <c r="AT40" i="11" s="1"/>
  <c r="AU48" i="11"/>
  <c r="AT48" i="11" s="1"/>
  <c r="AU34" i="11"/>
  <c r="AT34" i="11" s="1"/>
  <c r="AU41" i="11"/>
  <c r="AT41" i="11" s="1"/>
  <c r="AU42" i="11"/>
  <c r="AT42" i="11" s="1"/>
  <c r="AU43" i="11"/>
  <c r="AT43" i="11" s="1"/>
  <c r="AU44" i="11"/>
  <c r="AT44" i="11" s="1"/>
  <c r="AU45" i="11"/>
  <c r="AT45" i="11" s="1"/>
  <c r="AU46" i="11"/>
  <c r="AT46" i="11" s="1"/>
  <c r="AU47" i="11"/>
  <c r="AT47" i="11" s="1"/>
  <c r="AU64" i="11"/>
  <c r="AT64" i="11" s="1"/>
  <c r="AU65" i="11"/>
  <c r="AT65" i="11" s="1"/>
  <c r="AU61" i="11"/>
  <c r="AT61" i="11" s="1"/>
  <c r="AU62" i="11"/>
  <c r="AT62" i="11" s="1"/>
  <c r="AU66" i="11"/>
  <c r="AT66" i="11" s="1"/>
  <c r="AU67" i="11"/>
  <c r="AT67" i="11" s="1"/>
  <c r="AU68" i="11"/>
  <c r="AT68" i="11" s="1"/>
  <c r="AU69" i="11"/>
  <c r="AT69" i="11" s="1"/>
  <c r="AU63" i="11"/>
  <c r="AT63" i="11" s="1"/>
  <c r="AU70" i="11"/>
  <c r="AT70" i="11" s="1"/>
  <c r="AU71" i="11"/>
  <c r="AT71" i="11" s="1"/>
  <c r="AU72" i="11"/>
  <c r="AT72" i="11" s="1"/>
  <c r="AU155" i="11"/>
  <c r="AT155" i="11" s="1"/>
  <c r="AU156" i="11"/>
  <c r="AT156" i="11" s="1"/>
  <c r="AU157" i="11"/>
  <c r="AT157" i="11" s="1"/>
  <c r="AU158" i="11"/>
  <c r="AT158" i="11" s="1"/>
  <c r="AU159" i="11"/>
  <c r="AT159" i="11" s="1"/>
  <c r="AU160" i="11"/>
  <c r="AT160" i="11" s="1"/>
  <c r="AU161" i="11"/>
  <c r="AT161" i="11" s="1"/>
  <c r="AU162" i="11"/>
  <c r="AT162" i="11" s="1"/>
  <c r="AU163" i="11"/>
  <c r="AT163" i="11" s="1"/>
  <c r="AU164" i="11"/>
  <c r="AT164" i="11" s="1"/>
  <c r="AU165" i="11"/>
  <c r="AT165" i="11" s="1"/>
  <c r="AU166" i="11"/>
  <c r="AT166" i="11" s="1"/>
  <c r="AU167" i="11"/>
  <c r="AT167" i="11" s="1"/>
  <c r="AU168" i="11"/>
  <c r="AT168" i="11" s="1"/>
  <c r="AU169" i="11"/>
  <c r="AT169" i="11" s="1"/>
  <c r="AU170" i="11"/>
  <c r="AT170" i="11" s="1"/>
  <c r="AU171" i="11"/>
  <c r="AT171" i="11" s="1"/>
  <c r="AU172" i="11"/>
  <c r="AT172" i="11" s="1"/>
  <c r="AU173" i="11"/>
  <c r="AT173" i="11" s="1"/>
  <c r="AU174" i="11"/>
  <c r="AT174" i="11" s="1"/>
  <c r="AU175" i="11"/>
  <c r="AT175" i="11" s="1"/>
  <c r="AU176" i="11"/>
  <c r="AT176" i="11" s="1"/>
  <c r="AU177" i="11"/>
  <c r="AT177" i="11" s="1"/>
  <c r="AU178" i="11"/>
  <c r="AT178" i="11" s="1"/>
  <c r="AU179" i="11"/>
  <c r="AT179" i="11" s="1"/>
  <c r="AU180" i="11"/>
  <c r="AT180" i="11" s="1"/>
  <c r="AU154" i="11"/>
  <c r="AT154" i="11" s="1"/>
  <c r="AU181" i="11"/>
  <c r="AT181" i="11" s="1"/>
  <c r="AU182" i="11"/>
  <c r="AT182" i="11" s="1"/>
  <c r="AU183" i="11"/>
  <c r="AT183" i="11" s="1"/>
  <c r="AU184" i="11"/>
  <c r="AT184" i="11" s="1"/>
  <c r="AU185" i="11"/>
  <c r="AT185" i="11" s="1"/>
  <c r="AU186" i="11"/>
  <c r="AT186" i="11" s="1"/>
  <c r="AU187" i="11"/>
  <c r="AT187" i="11" s="1"/>
  <c r="AU188" i="11"/>
  <c r="AT188" i="11" s="1"/>
  <c r="AU262" i="11"/>
  <c r="AT262" i="11" s="1"/>
  <c r="AU261" i="11"/>
  <c r="AT261" i="11" s="1"/>
  <c r="AU263" i="11"/>
  <c r="AT263" i="11" s="1"/>
  <c r="AU264" i="11"/>
  <c r="AT264" i="11" s="1"/>
  <c r="AU265" i="11"/>
  <c r="AT265" i="11" s="1"/>
  <c r="AU266" i="11"/>
  <c r="AT266" i="11" s="1"/>
  <c r="AU267" i="11"/>
  <c r="AT267" i="11" s="1"/>
  <c r="AU268" i="11"/>
  <c r="AT268" i="11" s="1"/>
  <c r="AU269" i="11"/>
  <c r="AT269" i="11" s="1"/>
  <c r="AU23" i="11"/>
  <c r="AT23" i="11" s="1"/>
  <c r="AU94" i="11"/>
  <c r="AT94" i="11" s="1"/>
  <c r="AU95" i="11"/>
  <c r="AT95" i="11" s="1"/>
  <c r="AU96" i="11"/>
  <c r="AT96" i="11" s="1"/>
  <c r="AU93" i="11"/>
  <c r="AT93" i="11" s="1"/>
  <c r="AU97" i="11"/>
  <c r="AT97" i="11" s="1"/>
  <c r="AU92" i="11"/>
  <c r="AT92" i="11" s="1"/>
  <c r="AU98" i="11"/>
  <c r="AT98" i="11" s="1"/>
  <c r="AU99" i="11"/>
  <c r="AT99" i="11" s="1"/>
  <c r="AU100" i="11"/>
  <c r="AT100" i="11" s="1"/>
  <c r="AU101" i="11"/>
  <c r="AT101" i="11" s="1"/>
  <c r="AU102" i="11"/>
  <c r="AT102" i="11" s="1"/>
  <c r="AU103" i="11"/>
  <c r="AT103" i="11" s="1"/>
  <c r="AU270" i="11"/>
  <c r="AT270" i="11" s="1"/>
  <c r="AU24" i="11"/>
  <c r="AT24" i="11" s="1"/>
  <c r="AU25" i="11"/>
  <c r="AT25" i="11" s="1"/>
  <c r="AU26" i="11"/>
  <c r="AT26" i="11" s="1"/>
  <c r="AU27" i="11"/>
  <c r="AT27" i="11" s="1"/>
  <c r="AU308" i="11"/>
  <c r="AT308" i="11" s="1"/>
  <c r="AU309" i="11"/>
  <c r="AT309" i="11" s="1"/>
  <c r="AU310" i="11"/>
  <c r="AT310" i="11" s="1"/>
  <c r="AU337" i="11"/>
  <c r="AT337" i="11" s="1"/>
  <c r="AU338" i="11"/>
  <c r="AT338" i="11" s="1"/>
  <c r="AU339" i="11"/>
  <c r="AT339" i="11" s="1"/>
  <c r="AU340" i="11"/>
  <c r="AT340" i="11" s="1"/>
  <c r="AU341" i="11"/>
  <c r="AT341" i="11" s="1"/>
  <c r="AU342" i="11"/>
  <c r="AT342" i="11" s="1"/>
  <c r="AU104" i="11"/>
  <c r="AT104" i="11" s="1"/>
  <c r="AU105" i="11"/>
  <c r="AT105" i="11" s="1"/>
  <c r="AU106" i="11"/>
  <c r="AT106" i="11" s="1"/>
  <c r="AU107" i="11"/>
  <c r="AT107" i="11" s="1"/>
  <c r="AU108" i="11"/>
  <c r="AT108" i="11" s="1"/>
  <c r="AU109" i="11"/>
  <c r="AT109" i="11" s="1"/>
  <c r="AU110" i="11"/>
  <c r="AT110" i="11" s="1"/>
  <c r="AU111" i="11"/>
  <c r="AT111" i="11" s="1"/>
  <c r="AU112" i="11"/>
  <c r="AT112" i="11" s="1"/>
  <c r="AU113" i="11"/>
  <c r="AT113" i="11" s="1"/>
  <c r="AU114" i="11"/>
  <c r="AT114" i="11" s="1"/>
  <c r="AU190" i="11"/>
  <c r="AT190" i="11" s="1"/>
  <c r="AU191" i="11"/>
  <c r="AT191" i="11" s="1"/>
  <c r="AU192" i="11"/>
  <c r="AT192" i="11" s="1"/>
  <c r="AU193" i="11"/>
  <c r="AT193" i="11" s="1"/>
  <c r="AU194" i="11"/>
  <c r="AT194" i="11" s="1"/>
  <c r="AU195" i="11"/>
  <c r="AT195" i="11" s="1"/>
  <c r="AU197" i="11"/>
  <c r="AT197" i="11" s="1"/>
  <c r="AU198" i="11"/>
  <c r="AT198" i="11" s="1"/>
  <c r="AU199" i="11"/>
  <c r="AT199" i="11" s="1"/>
  <c r="AU189" i="11"/>
  <c r="AT189" i="11" s="1"/>
  <c r="AU200" i="11"/>
  <c r="AT200" i="11" s="1"/>
  <c r="AU201" i="11"/>
  <c r="AT201" i="11" s="1"/>
  <c r="AU277" i="11"/>
  <c r="AT277" i="11" s="1"/>
  <c r="AU202" i="11"/>
  <c r="AT202" i="11" s="1"/>
  <c r="AU203" i="11"/>
  <c r="AT203" i="11" s="1"/>
  <c r="AU204" i="11"/>
  <c r="AT204" i="11" s="1"/>
  <c r="AU205" i="11"/>
  <c r="AT205" i="11" s="1"/>
  <c r="AU274" i="11"/>
  <c r="AT274" i="11" s="1"/>
  <c r="AU271" i="11"/>
  <c r="AT271" i="11" s="1"/>
  <c r="AU279" i="11"/>
  <c r="AT279" i="11" s="1"/>
  <c r="AU313" i="11"/>
  <c r="AT313" i="11" s="1"/>
  <c r="AU344" i="11"/>
  <c r="AT344" i="11" s="1"/>
  <c r="AU275" i="11"/>
  <c r="AT275" i="11" s="1"/>
  <c r="AU276" i="11"/>
  <c r="AT276" i="11" s="1"/>
  <c r="AU280" i="11"/>
  <c r="AT280" i="11" s="1"/>
  <c r="AU281" i="11"/>
  <c r="AT281" i="11" s="1"/>
  <c r="AU282" i="11"/>
  <c r="AT282" i="11" s="1"/>
  <c r="AU283" i="11"/>
  <c r="AT283" i="11" s="1"/>
  <c r="AU272" i="11"/>
  <c r="AT272" i="11" s="1"/>
  <c r="AU278" i="11"/>
  <c r="AT278" i="11" s="1"/>
  <c r="AU273" i="11"/>
  <c r="AT273" i="11" s="1"/>
  <c r="AU314" i="11"/>
  <c r="AT314" i="11" s="1"/>
  <c r="AU311" i="11"/>
  <c r="AT311" i="11" s="1"/>
  <c r="AU312" i="11"/>
  <c r="AT312" i="11" s="1"/>
  <c r="AU343" i="11"/>
  <c r="AT343" i="11" s="1"/>
  <c r="AU345" i="11"/>
  <c r="AT345" i="11" s="1"/>
  <c r="AU115" i="11"/>
  <c r="AT115" i="11" s="1"/>
  <c r="AU116" i="11"/>
  <c r="AT116" i="11" s="1"/>
  <c r="AU284" i="11"/>
  <c r="AT284" i="11" s="1"/>
  <c r="AU206" i="11"/>
  <c r="AT206" i="11" s="1"/>
  <c r="AU207" i="11"/>
  <c r="AT207" i="11" s="1"/>
  <c r="AU208" i="11"/>
  <c r="AT208" i="11" s="1"/>
  <c r="AU209" i="11"/>
  <c r="AT209" i="11" s="1"/>
  <c r="AU210" i="11"/>
  <c r="AT210" i="11" s="1"/>
  <c r="AU285" i="11"/>
  <c r="AT285" i="11" s="1"/>
  <c r="AU211" i="11"/>
  <c r="AT211" i="11" s="1"/>
  <c r="AU212" i="11"/>
  <c r="AT212" i="11" s="1"/>
  <c r="AU213" i="11"/>
  <c r="AT213" i="11" s="1"/>
  <c r="AU214" i="11"/>
  <c r="AT214" i="11" s="1"/>
  <c r="AU215" i="11"/>
  <c r="AT215" i="11" s="1"/>
  <c r="AU216" i="11"/>
  <c r="AT216" i="11" s="1"/>
  <c r="AU217" i="11"/>
  <c r="AT217" i="11" s="1"/>
  <c r="AU218" i="11"/>
  <c r="AT218" i="11" s="1"/>
  <c r="AU219" i="11"/>
  <c r="AT219" i="11" s="1"/>
  <c r="AU220" i="11"/>
  <c r="AT220" i="11" s="1"/>
  <c r="AU221" i="11"/>
  <c r="AT221" i="11" s="1"/>
  <c r="AU286" i="11"/>
  <c r="AT286" i="11" s="1"/>
  <c r="AU287" i="11"/>
  <c r="AT287" i="11" s="1"/>
  <c r="AU288" i="11"/>
  <c r="AT288" i="11" s="1"/>
  <c r="AU289" i="11"/>
  <c r="AT289" i="11" s="1"/>
  <c r="AU290" i="11"/>
  <c r="AT290" i="11" s="1"/>
  <c r="AU315" i="11"/>
  <c r="AT315" i="11" s="1"/>
  <c r="AU316" i="11"/>
  <c r="AT316" i="11" s="1"/>
  <c r="AU317" i="11"/>
  <c r="AT317" i="11" s="1"/>
  <c r="AU318" i="11"/>
  <c r="AT318" i="11" s="1"/>
  <c r="AU319" i="11"/>
  <c r="AT319" i="11" s="1"/>
  <c r="AU320" i="11"/>
  <c r="AT320" i="11" s="1"/>
  <c r="AU321" i="11"/>
  <c r="AT321" i="11" s="1"/>
  <c r="AU322" i="11"/>
  <c r="AT322" i="11" s="1"/>
  <c r="AU323" i="11"/>
  <c r="AT323" i="11" s="1"/>
  <c r="AU324" i="11"/>
  <c r="AT324" i="11" s="1"/>
  <c r="AU325" i="11"/>
  <c r="AT325" i="11" s="1"/>
  <c r="AU326" i="11"/>
  <c r="AT326" i="11" s="1"/>
  <c r="AU350" i="11"/>
  <c r="AT350" i="11" s="1"/>
  <c r="AU351" i="11"/>
  <c r="AT351" i="11" s="1"/>
  <c r="AU352" i="11"/>
  <c r="AT352" i="11" s="1"/>
  <c r="AT353" i="11"/>
  <c r="AU346" i="11"/>
  <c r="AT346" i="11" s="1"/>
  <c r="AU347" i="11"/>
  <c r="AT347" i="11" s="1"/>
  <c r="AU354" i="11"/>
  <c r="AT354" i="11" s="1"/>
  <c r="AT355" i="11"/>
  <c r="AU356" i="11"/>
  <c r="AT356" i="11" s="1"/>
  <c r="AU357" i="11"/>
  <c r="AT357" i="11" s="1"/>
  <c r="AU348" i="11"/>
  <c r="AT348" i="11" s="1"/>
  <c r="AU358" i="11"/>
  <c r="AT358" i="11" s="1"/>
  <c r="AU359" i="11"/>
  <c r="AT359" i="11" s="1"/>
  <c r="AU349" i="11"/>
  <c r="AT349" i="11" s="1"/>
  <c r="AU360" i="11"/>
  <c r="AT360" i="11" s="1"/>
  <c r="AU2" i="11"/>
  <c r="AT2" i="11" s="1"/>
  <c r="AU5" i="11"/>
  <c r="AT5" i="11" s="1"/>
  <c r="AU6" i="11"/>
  <c r="AT6" i="11" s="1"/>
  <c r="AU3" i="11"/>
  <c r="AT3" i="11" s="1"/>
  <c r="AU4" i="11"/>
  <c r="AT4" i="11" s="1"/>
  <c r="AU7" i="11"/>
  <c r="AT7" i="11" s="1"/>
  <c r="AU8" i="11"/>
  <c r="AT8" i="11" s="1"/>
  <c r="AU9" i="11"/>
  <c r="AT9" i="11" s="1"/>
  <c r="AU10" i="11"/>
  <c r="AT10" i="11" s="1"/>
  <c r="AU11" i="11"/>
  <c r="AT11" i="11" s="1"/>
  <c r="AU12" i="11"/>
  <c r="AT12" i="11" s="1"/>
  <c r="AU13" i="11"/>
  <c r="AT13" i="11" s="1"/>
  <c r="AU14" i="11"/>
  <c r="AT14" i="11" s="1"/>
  <c r="AU15" i="11"/>
  <c r="AT15" i="11" s="1"/>
  <c r="AU28" i="11"/>
  <c r="AT28" i="11" s="1"/>
  <c r="AU29" i="11"/>
  <c r="AT29" i="11" s="1"/>
  <c r="AU30" i="11"/>
  <c r="AT30" i="11" s="1"/>
  <c r="AU31" i="11"/>
  <c r="AT31" i="11" s="1"/>
  <c r="AU32" i="11"/>
  <c r="AT32" i="11" s="1"/>
  <c r="AU33" i="11"/>
  <c r="AT33" i="11" s="1"/>
  <c r="AU51" i="11"/>
  <c r="AT51" i="11" s="1"/>
  <c r="AU52" i="11"/>
  <c r="AT52" i="11" s="1"/>
  <c r="AU49" i="11"/>
  <c r="AT49" i="11" s="1"/>
  <c r="AU53" i="11"/>
  <c r="AT53" i="11" s="1"/>
  <c r="AU54" i="11"/>
  <c r="AT54" i="11" s="1"/>
  <c r="AU55" i="11"/>
  <c r="AT55" i="11" s="1"/>
  <c r="AU50" i="11"/>
  <c r="AT50" i="11" s="1"/>
  <c r="AU56" i="11"/>
  <c r="AT56" i="11" s="1"/>
  <c r="AU57" i="11"/>
  <c r="AT57" i="11" s="1"/>
  <c r="AU58" i="11"/>
  <c r="AT58" i="11" s="1"/>
  <c r="AU59" i="11"/>
  <c r="AT59" i="11" s="1"/>
  <c r="AU60" i="11"/>
  <c r="AT60" i="11" s="1"/>
  <c r="AU74" i="11"/>
  <c r="AT74" i="11" s="1"/>
  <c r="AU75" i="11"/>
  <c r="AT75" i="11" s="1"/>
  <c r="AU76" i="11"/>
  <c r="AT76" i="11" s="1"/>
  <c r="AU77" i="11"/>
  <c r="AT77" i="11" s="1"/>
  <c r="AU78" i="11"/>
  <c r="AT78" i="11" s="1"/>
  <c r="AU79" i="11"/>
  <c r="AT79" i="11" s="1"/>
  <c r="AU80" i="11"/>
  <c r="AT80" i="11" s="1"/>
  <c r="AU81" i="11"/>
  <c r="AT81" i="11" s="1"/>
  <c r="AU82" i="11"/>
  <c r="AT82" i="11" s="1"/>
  <c r="AU73" i="11"/>
  <c r="AT73" i="11" s="1"/>
  <c r="AU83" i="11"/>
  <c r="AT83" i="11" s="1"/>
  <c r="AU84" i="11"/>
  <c r="AT84" i="11" s="1"/>
  <c r="AU85" i="11"/>
  <c r="AT85" i="11" s="1"/>
  <c r="AU86" i="11"/>
  <c r="AT86" i="11" s="1"/>
  <c r="AU87" i="11"/>
  <c r="AT87" i="11" s="1"/>
  <c r="AU88" i="11"/>
  <c r="AT88" i="11" s="1"/>
  <c r="AU89" i="11"/>
  <c r="AT89" i="11" s="1"/>
  <c r="AU90" i="11"/>
  <c r="AT90" i="11" s="1"/>
  <c r="AU91" i="11"/>
  <c r="AT91" i="11" s="1"/>
  <c r="AU122" i="11"/>
  <c r="AT122" i="11" s="1"/>
  <c r="AU123" i="11"/>
  <c r="AT123" i="11" s="1"/>
  <c r="AU124" i="11"/>
  <c r="AT124" i="11" s="1"/>
  <c r="AU125" i="11"/>
  <c r="AT125" i="11" s="1"/>
  <c r="AU117" i="11"/>
  <c r="AT117" i="11" s="1"/>
  <c r="AU126" i="11"/>
  <c r="AT126" i="11" s="1"/>
  <c r="AU127" i="11"/>
  <c r="AT127" i="11" s="1"/>
  <c r="AU128" i="11"/>
  <c r="AT128" i="11" s="1"/>
  <c r="AU129" i="11"/>
  <c r="AT129" i="11" s="1"/>
  <c r="AU130" i="11"/>
  <c r="AT130" i="11" s="1"/>
  <c r="AU118" i="11"/>
  <c r="AT118" i="11" s="1"/>
  <c r="AU119" i="11"/>
  <c r="AT119" i="11" s="1"/>
  <c r="AU131" i="11"/>
  <c r="AT131" i="11" s="1"/>
  <c r="AU132" i="11"/>
  <c r="AT132" i="11" s="1"/>
  <c r="AU133" i="11"/>
  <c r="AT133" i="11" s="1"/>
  <c r="AU134" i="11"/>
  <c r="AT134" i="11" s="1"/>
  <c r="AU135" i="11"/>
  <c r="AT135" i="11" s="1"/>
  <c r="AU136" i="11"/>
  <c r="AT136" i="11" s="1"/>
  <c r="AU137" i="11"/>
  <c r="AT137" i="11" s="1"/>
  <c r="AU138" i="11"/>
  <c r="AT138" i="11" s="1"/>
  <c r="AU139" i="11"/>
  <c r="AT139" i="11" s="1"/>
  <c r="AU140" i="11"/>
  <c r="AT140" i="11" s="1"/>
  <c r="AU141" i="11"/>
  <c r="AT141" i="11" s="1"/>
  <c r="AU142" i="11"/>
  <c r="AT142" i="11" s="1"/>
  <c r="AU143" i="11"/>
  <c r="AT143" i="11" s="1"/>
  <c r="AU144" i="11"/>
  <c r="AT144" i="11" s="1"/>
  <c r="AU145" i="11"/>
  <c r="AT145" i="11" s="1"/>
  <c r="AU146" i="11"/>
  <c r="AT146" i="11" s="1"/>
  <c r="AU147" i="11"/>
  <c r="AT147" i="11" s="1"/>
  <c r="AU148" i="11"/>
  <c r="AT148" i="11" s="1"/>
  <c r="AU149" i="11"/>
  <c r="AT149" i="11" s="1"/>
  <c r="AU150" i="11"/>
  <c r="AT150" i="11" s="1"/>
  <c r="AU151" i="11"/>
  <c r="AT151" i="11" s="1"/>
  <c r="AU152" i="11"/>
  <c r="AT152" i="11" s="1"/>
  <c r="AU120" i="11"/>
  <c r="AT120" i="11" s="1"/>
  <c r="AU121" i="11"/>
  <c r="AT121" i="11" s="1"/>
  <c r="AU153" i="11"/>
  <c r="AT153" i="11" s="1"/>
  <c r="AU228" i="11"/>
  <c r="AT228" i="11" s="1"/>
  <c r="AU229" i="11"/>
  <c r="AT229" i="11" s="1"/>
  <c r="AU230" i="11"/>
  <c r="AT230" i="11" s="1"/>
  <c r="AU223" i="11"/>
  <c r="AT223" i="11" s="1"/>
  <c r="AU222" i="11"/>
  <c r="AT222" i="11" s="1"/>
  <c r="AU231" i="11"/>
  <c r="AT231" i="11" s="1"/>
  <c r="AU232" i="11"/>
  <c r="AT232" i="11" s="1"/>
  <c r="AU233" i="11"/>
  <c r="AT233" i="11" s="1"/>
  <c r="AU234" i="11"/>
  <c r="AT234" i="11" s="1"/>
  <c r="AU235" i="11"/>
  <c r="AT235" i="11" s="1"/>
  <c r="AU236" i="11"/>
  <c r="AT236" i="11" s="1"/>
  <c r="AU237" i="11"/>
  <c r="AT237" i="11" s="1"/>
  <c r="AU238" i="11"/>
  <c r="AT238" i="11" s="1"/>
  <c r="AU240" i="11"/>
  <c r="AT240" i="11" s="1"/>
  <c r="AU241" i="11"/>
  <c r="AT241" i="11" s="1"/>
  <c r="AU224" i="11"/>
  <c r="AT224" i="11" s="1"/>
  <c r="AU242" i="11"/>
  <c r="AT242" i="11" s="1"/>
  <c r="AU243" i="11"/>
  <c r="AT243" i="11" s="1"/>
  <c r="AU244" i="11"/>
  <c r="AT244" i="11" s="1"/>
  <c r="AU245" i="11"/>
  <c r="AT245" i="11" s="1"/>
  <c r="AU246" i="11"/>
  <c r="AT246" i="11" s="1"/>
  <c r="AU247" i="11"/>
  <c r="AT247" i="11" s="1"/>
  <c r="AU248" i="11"/>
  <c r="AT248" i="11" s="1"/>
  <c r="AU249" i="11"/>
  <c r="AT249" i="11" s="1"/>
  <c r="AU250" i="11"/>
  <c r="AT250" i="11" s="1"/>
  <c r="AU251" i="11"/>
  <c r="AT251" i="11" s="1"/>
  <c r="AU225" i="11"/>
  <c r="AT225" i="11" s="1"/>
  <c r="AU226" i="11"/>
  <c r="AT226" i="11" s="1"/>
  <c r="AU252" i="11"/>
  <c r="AT252" i="11" s="1"/>
  <c r="AU227" i="11"/>
  <c r="AT227" i="11" s="1"/>
  <c r="AU253" i="11"/>
  <c r="AT253" i="11" s="1"/>
  <c r="AU254" i="11"/>
  <c r="AT254" i="11" s="1"/>
  <c r="AU255" i="11"/>
  <c r="AT255" i="11" s="1"/>
  <c r="AU256" i="11"/>
  <c r="AT256" i="11" s="1"/>
  <c r="AU257" i="11"/>
  <c r="AT257" i="11" s="1"/>
  <c r="AU258" i="11"/>
  <c r="AT258" i="11" s="1"/>
  <c r="AU259" i="11"/>
  <c r="AT259" i="11" s="1"/>
  <c r="AU260" i="11"/>
  <c r="AT260" i="11" s="1"/>
  <c r="AU297" i="11"/>
  <c r="AT297" i="11" s="1"/>
  <c r="AU292" i="11"/>
  <c r="AT292" i="11" s="1"/>
  <c r="AU293" i="11"/>
  <c r="AT293" i="11" s="1"/>
  <c r="AU298" i="11"/>
  <c r="AT298" i="11" s="1"/>
  <c r="AU299" i="11"/>
  <c r="AT299" i="11" s="1"/>
  <c r="AU300" i="11"/>
  <c r="AT300" i="11" s="1"/>
  <c r="AU301" i="11"/>
  <c r="AT301" i="11" s="1"/>
  <c r="AU294" i="11"/>
  <c r="AT294" i="11" s="1"/>
  <c r="AU302" i="11"/>
  <c r="AT302" i="11" s="1"/>
  <c r="AU291" i="11"/>
  <c r="AT291" i="11" s="1"/>
  <c r="AU303" i="11"/>
  <c r="AT303" i="11" s="1"/>
  <c r="AU304" i="11"/>
  <c r="AT304" i="11" s="1"/>
  <c r="AU305" i="11"/>
  <c r="AT305" i="11" s="1"/>
  <c r="AU295" i="11"/>
  <c r="AT295" i="11" s="1"/>
  <c r="AU296" i="11"/>
  <c r="AT296" i="11" s="1"/>
  <c r="AU306" i="11"/>
  <c r="AT306" i="11" s="1"/>
  <c r="AU307" i="11"/>
  <c r="AT307" i="11" s="1"/>
  <c r="AU331" i="11"/>
  <c r="AT331" i="11" s="1"/>
  <c r="AU332" i="11"/>
  <c r="AT332" i="11" s="1"/>
  <c r="AU333" i="11"/>
  <c r="AT333" i="11" s="1"/>
  <c r="AU329" i="11"/>
  <c r="AT329" i="11" s="1"/>
  <c r="AU334" i="11"/>
  <c r="AT334" i="11" s="1"/>
  <c r="AU335" i="11"/>
  <c r="AT335" i="11" s="1"/>
  <c r="AU327" i="11"/>
  <c r="AT327" i="11" s="1"/>
  <c r="AU328" i="11"/>
  <c r="AT328" i="11" s="1"/>
  <c r="AU330" i="11"/>
  <c r="AT330" i="11" s="1"/>
  <c r="AU336" i="11"/>
  <c r="AT336" i="11" s="1"/>
  <c r="AU16" i="11"/>
  <c r="AT16" i="11" s="1"/>
  <c r="AG349" i="11"/>
  <c r="AH349" i="11" s="1"/>
  <c r="AG358" i="11"/>
  <c r="AH358" i="11" s="1"/>
  <c r="AG357" i="11"/>
  <c r="AH357" i="11" s="1"/>
  <c r="AG351" i="11"/>
  <c r="AH351" i="11" s="1"/>
  <c r="A360" i="15"/>
  <c r="B360" i="15"/>
  <c r="C360" i="15"/>
  <c r="D360" i="15"/>
  <c r="E360" i="15"/>
  <c r="F360" i="15"/>
  <c r="G360" i="15"/>
  <c r="H360" i="15"/>
  <c r="I360" i="15"/>
  <c r="J360" i="15"/>
  <c r="K360" i="15"/>
  <c r="S360" i="15"/>
  <c r="T360" i="15"/>
  <c r="U360" i="15"/>
  <c r="V360" i="15"/>
  <c r="W360" i="15"/>
  <c r="X360" i="15"/>
  <c r="M361" i="15"/>
  <c r="A360" i="14"/>
  <c r="B360" i="14"/>
  <c r="C360" i="14"/>
  <c r="D360" i="14"/>
  <c r="E360" i="14"/>
  <c r="F360" i="14"/>
  <c r="G360" i="14"/>
  <c r="H360" i="14"/>
  <c r="I360" i="14"/>
  <c r="J360" i="14"/>
  <c r="K360" i="14"/>
  <c r="S360" i="14"/>
  <c r="T360" i="14"/>
  <c r="U360" i="14"/>
  <c r="V360" i="14"/>
  <c r="W360" i="14"/>
  <c r="X360" i="14"/>
  <c r="AM344" i="11"/>
  <c r="V344" i="11"/>
  <c r="G63" i="27" l="1"/>
  <c r="AN344" i="11"/>
  <c r="BS344" i="11"/>
  <c r="BO344" i="11"/>
  <c r="BR344" i="11"/>
  <c r="AP313" i="11"/>
  <c r="J61" i="27"/>
  <c r="AP344" i="11"/>
  <c r="AO344" i="11"/>
  <c r="AO313" i="11"/>
  <c r="R360" i="15"/>
  <c r="N360" i="15"/>
  <c r="O360" i="15" s="1"/>
  <c r="P360" i="15" s="1"/>
  <c r="N360" i="14"/>
  <c r="O360" i="14" s="1"/>
  <c r="P360" i="14" s="1"/>
  <c r="R360" i="14"/>
  <c r="AM351" i="11"/>
  <c r="AQ344" i="11" l="1"/>
  <c r="AQ313" i="11"/>
  <c r="G25" i="31"/>
  <c r="F18" i="27"/>
  <c r="G79" i="31"/>
  <c r="F38" i="27"/>
  <c r="AN351" i="11"/>
  <c r="BT344" i="11"/>
  <c r="BS351" i="11"/>
  <c r="BO351" i="11"/>
  <c r="BR351" i="11"/>
  <c r="AP351" i="11"/>
  <c r="AO351" i="11"/>
  <c r="AM349" i="11"/>
  <c r="AM358" i="11"/>
  <c r="AN358" i="11" s="1"/>
  <c r="AM357" i="11"/>
  <c r="L191" i="25"/>
  <c r="AN349" i="11" l="1"/>
  <c r="AM425" i="11"/>
  <c r="AQ351" i="11"/>
  <c r="G60" i="27"/>
  <c r="J60" i="27" s="1"/>
  <c r="Z313" i="11"/>
  <c r="AN357" i="11"/>
  <c r="H63" i="27"/>
  <c r="J63" i="27" s="1"/>
  <c r="BT351" i="11"/>
  <c r="AP358" i="11"/>
  <c r="BS358" i="11"/>
  <c r="BO358" i="11"/>
  <c r="BR358" i="11"/>
  <c r="AP349" i="11"/>
  <c r="BO349" i="11"/>
  <c r="BS349" i="11"/>
  <c r="BR349" i="11"/>
  <c r="AP357" i="11"/>
  <c r="BS357" i="11"/>
  <c r="BO357" i="11"/>
  <c r="BR357" i="11"/>
  <c r="AO357" i="11"/>
  <c r="AO358" i="11"/>
  <c r="AO349" i="11"/>
  <c r="AN425" i="11" l="1"/>
  <c r="F22" i="13"/>
  <c r="Z425" i="11"/>
  <c r="AQ357" i="11"/>
  <c r="AQ358" i="11"/>
  <c r="AQ349" i="11"/>
  <c r="L27" i="13"/>
  <c r="L22" i="13"/>
  <c r="G26" i="31"/>
  <c r="G28" i="31"/>
  <c r="G18" i="27"/>
  <c r="I18" i="27" s="1"/>
  <c r="J18" i="27" s="1"/>
  <c r="G80" i="31"/>
  <c r="G82" i="31"/>
  <c r="G83" i="31" s="1"/>
  <c r="F14" i="27"/>
  <c r="I14" i="27" s="1"/>
  <c r="J15" i="27" s="1"/>
  <c r="G70" i="31"/>
  <c r="G73" i="31"/>
  <c r="G74" i="31" s="1"/>
  <c r="G38" i="27"/>
  <c r="I38" i="27" s="1"/>
  <c r="I42" i="27" s="1"/>
  <c r="J42" i="27" s="1"/>
  <c r="BT349" i="11"/>
  <c r="BT357" i="11"/>
  <c r="BT358" i="11"/>
  <c r="J66" i="27"/>
  <c r="K61" i="27"/>
  <c r="K63" i="27"/>
  <c r="J67" i="27"/>
  <c r="C45" i="19"/>
  <c r="D43" i="19"/>
  <c r="C43" i="19"/>
  <c r="B43" i="19"/>
  <c r="D42" i="19"/>
  <c r="C42" i="19"/>
  <c r="B42" i="19"/>
  <c r="D40" i="19"/>
  <c r="C40" i="19"/>
  <c r="D38" i="19"/>
  <c r="C38" i="19"/>
  <c r="B38" i="19"/>
  <c r="D37" i="19"/>
  <c r="C37" i="19"/>
  <c r="B37" i="19"/>
  <c r="D35" i="19"/>
  <c r="C35" i="19"/>
  <c r="B35" i="19"/>
  <c r="D33" i="19"/>
  <c r="C33" i="19"/>
  <c r="B33" i="19"/>
  <c r="D32" i="19"/>
  <c r="C32" i="19"/>
  <c r="B32" i="19"/>
  <c r="D30" i="19"/>
  <c r="C30" i="19"/>
  <c r="B30" i="19"/>
  <c r="D28" i="19"/>
  <c r="C28" i="19"/>
  <c r="B28" i="19"/>
  <c r="D27" i="19"/>
  <c r="C27" i="19"/>
  <c r="B27" i="19"/>
  <c r="D25" i="19"/>
  <c r="C25" i="19"/>
  <c r="B25" i="19"/>
  <c r="D23" i="19"/>
  <c r="C23" i="19"/>
  <c r="B23" i="19"/>
  <c r="D22" i="19"/>
  <c r="C22" i="19"/>
  <c r="B22" i="19"/>
  <c r="D20" i="19"/>
  <c r="C20" i="19"/>
  <c r="B20" i="19"/>
  <c r="D18" i="19"/>
  <c r="C18" i="19"/>
  <c r="B18" i="19"/>
  <c r="D17" i="19"/>
  <c r="C17" i="19"/>
  <c r="B17" i="19"/>
  <c r="D14" i="19"/>
  <c r="C14" i="19"/>
  <c r="B14" i="19"/>
  <c r="D15" i="19"/>
  <c r="C15" i="19"/>
  <c r="B15" i="19"/>
  <c r="D12" i="19"/>
  <c r="C12" i="19"/>
  <c r="B12" i="19"/>
  <c r="D10" i="19"/>
  <c r="C10" i="19"/>
  <c r="B10" i="19"/>
  <c r="D13" i="19"/>
  <c r="C13" i="19"/>
  <c r="B13" i="19"/>
  <c r="D21" i="19"/>
  <c r="C21" i="19"/>
  <c r="B21" i="19"/>
  <c r="D16" i="19"/>
  <c r="C16" i="19"/>
  <c r="B16" i="19"/>
  <c r="D26" i="19"/>
  <c r="C26" i="19"/>
  <c r="B26" i="19"/>
  <c r="D31" i="19"/>
  <c r="C31" i="19"/>
  <c r="B31" i="19"/>
  <c r="D36" i="19"/>
  <c r="B36" i="19"/>
  <c r="C36" i="19"/>
  <c r="D41" i="19"/>
  <c r="C41" i="19"/>
  <c r="B41" i="19"/>
  <c r="D9" i="19"/>
  <c r="C9" i="19"/>
  <c r="B9" i="19"/>
  <c r="D7" i="19"/>
  <c r="C7" i="19"/>
  <c r="B7" i="19"/>
  <c r="D11" i="19"/>
  <c r="C11" i="19"/>
  <c r="B11" i="19"/>
  <c r="D19" i="19"/>
  <c r="C19" i="19"/>
  <c r="B19" i="19"/>
  <c r="D24" i="19"/>
  <c r="C24" i="19"/>
  <c r="B24" i="19"/>
  <c r="D29" i="19"/>
  <c r="C29" i="19"/>
  <c r="B29" i="19"/>
  <c r="D34" i="19"/>
  <c r="C34" i="19"/>
  <c r="B34" i="19"/>
  <c r="D39" i="19"/>
  <c r="B39" i="19"/>
  <c r="C39" i="19"/>
  <c r="D44" i="19"/>
  <c r="C44" i="19"/>
  <c r="B44" i="19"/>
  <c r="D8" i="19"/>
  <c r="C8" i="19"/>
  <c r="B8" i="19"/>
  <c r="D6" i="19"/>
  <c r="C6" i="19"/>
  <c r="B6" i="19"/>
  <c r="D5" i="19"/>
  <c r="C5" i="19"/>
  <c r="B5" i="19"/>
  <c r="F45" i="19"/>
  <c r="F44" i="19"/>
  <c r="F43" i="19"/>
  <c r="F42" i="19"/>
  <c r="F41" i="19"/>
  <c r="F40" i="19"/>
  <c r="F39" i="19"/>
  <c r="F38" i="19"/>
  <c r="F37" i="19"/>
  <c r="F36" i="19"/>
  <c r="F35" i="19"/>
  <c r="F34" i="19"/>
  <c r="F33" i="19"/>
  <c r="F32" i="19"/>
  <c r="F31" i="19"/>
  <c r="F30" i="19"/>
  <c r="F29" i="19"/>
  <c r="F28" i="19"/>
  <c r="F27" i="19"/>
  <c r="F26" i="19"/>
  <c r="F25" i="19"/>
  <c r="F24" i="19"/>
  <c r="F23" i="19"/>
  <c r="F22" i="19"/>
  <c r="F21" i="19"/>
  <c r="F20" i="19"/>
  <c r="F19" i="19"/>
  <c r="F18" i="19"/>
  <c r="F17" i="19"/>
  <c r="F16" i="19"/>
  <c r="F15" i="19"/>
  <c r="F14" i="19"/>
  <c r="F13" i="19"/>
  <c r="F12" i="19"/>
  <c r="F11" i="19"/>
  <c r="F10" i="19"/>
  <c r="F9" i="19"/>
  <c r="F8" i="19"/>
  <c r="F7" i="19"/>
  <c r="F6" i="19"/>
  <c r="F5" i="19"/>
  <c r="I26" i="27" l="1"/>
  <c r="I27" i="27" s="1"/>
  <c r="I28" i="27"/>
  <c r="J38" i="27"/>
  <c r="K67" i="27"/>
  <c r="E44" i="19"/>
  <c r="E24" i="19"/>
  <c r="E26" i="19"/>
  <c r="E17" i="19"/>
  <c r="E23" i="19"/>
  <c r="C46" i="19"/>
  <c r="E29" i="19"/>
  <c r="E31" i="19"/>
  <c r="E22" i="19"/>
  <c r="E28" i="19"/>
  <c r="E35" i="19"/>
  <c r="E36" i="19"/>
  <c r="E30" i="19"/>
  <c r="D46" i="19"/>
  <c r="E34" i="19"/>
  <c r="E20" i="19"/>
  <c r="E27" i="19"/>
  <c r="E33" i="19"/>
  <c r="E39" i="19"/>
  <c r="E19" i="19"/>
  <c r="E41" i="19"/>
  <c r="E16" i="19"/>
  <c r="E18" i="19"/>
  <c r="E25" i="19"/>
  <c r="E32" i="19"/>
  <c r="E38" i="19"/>
  <c r="E21" i="19"/>
  <c r="B46" i="19"/>
  <c r="E37" i="19"/>
  <c r="H43" i="19"/>
  <c r="E45" i="19"/>
  <c r="E43" i="19"/>
  <c r="E42" i="19"/>
  <c r="E40" i="19"/>
  <c r="H38" i="19"/>
  <c r="H45" i="19"/>
  <c r="H39" i="19"/>
  <c r="H41" i="19"/>
  <c r="H44" i="19"/>
  <c r="H40" i="19"/>
  <c r="H42" i="19"/>
  <c r="H37" i="19"/>
  <c r="H36" i="19"/>
  <c r="H24" i="19"/>
  <c r="H14" i="19"/>
  <c r="H11" i="19"/>
  <c r="H19" i="19"/>
  <c r="H21" i="19"/>
  <c r="H25" i="19"/>
  <c r="H10" i="19"/>
  <c r="H29" i="19"/>
  <c r="H9" i="19"/>
  <c r="H12" i="19"/>
  <c r="H16" i="19"/>
  <c r="H18" i="19"/>
  <c r="H15" i="19"/>
  <c r="H31" i="19"/>
  <c r="H33" i="19"/>
  <c r="H35" i="19"/>
  <c r="H13" i="19"/>
  <c r="H23" i="19"/>
  <c r="H26" i="19"/>
  <c r="H32" i="19"/>
  <c r="H20" i="19"/>
  <c r="H28" i="19"/>
  <c r="H30" i="19"/>
  <c r="H7" i="19"/>
  <c r="H27" i="19"/>
  <c r="H34" i="19"/>
  <c r="H8" i="19"/>
  <c r="H17" i="19"/>
  <c r="H22" i="19"/>
  <c r="H6" i="19"/>
  <c r="H5" i="19"/>
  <c r="F46" i="19"/>
  <c r="J28" i="27" l="1"/>
  <c r="H46" i="19"/>
  <c r="V305" i="11" l="1"/>
  <c r="M361" i="14" l="1"/>
  <c r="AX239" i="11"/>
  <c r="AU239" i="11" s="1"/>
  <c r="AT239" i="11" s="1"/>
  <c r="AX196" i="11"/>
  <c r="AU196" i="11" s="1"/>
  <c r="AT196" i="11" s="1"/>
  <c r="V16" i="11"/>
  <c r="V17" i="11"/>
  <c r="V18" i="11"/>
  <c r="V19" i="11"/>
  <c r="V20" i="11"/>
  <c r="V21" i="11"/>
  <c r="V22" i="11"/>
  <c r="V35" i="11"/>
  <c r="V36" i="11"/>
  <c r="V37" i="11"/>
  <c r="V38" i="11"/>
  <c r="V39" i="11"/>
  <c r="V40" i="11"/>
  <c r="V48" i="11"/>
  <c r="V34" i="11"/>
  <c r="V41" i="11"/>
  <c r="V42" i="11"/>
  <c r="V43" i="11"/>
  <c r="V44" i="11"/>
  <c r="V45" i="11"/>
  <c r="V46" i="11"/>
  <c r="V47" i="11"/>
  <c r="V64" i="11"/>
  <c r="V65" i="11"/>
  <c r="V61" i="11"/>
  <c r="V62" i="11"/>
  <c r="V66" i="11"/>
  <c r="V67" i="11"/>
  <c r="V68" i="11"/>
  <c r="V69" i="11"/>
  <c r="V63" i="11"/>
  <c r="V70" i="11"/>
  <c r="V71" i="11"/>
  <c r="V72" i="11"/>
  <c r="V155" i="11"/>
  <c r="V156" i="11"/>
  <c r="V157" i="11"/>
  <c r="V158" i="11"/>
  <c r="V159" i="11"/>
  <c r="V160" i="11"/>
  <c r="V161" i="11"/>
  <c r="V162" i="11"/>
  <c r="V163" i="11"/>
  <c r="V164" i="11"/>
  <c r="V165" i="11"/>
  <c r="V166" i="11"/>
  <c r="V167" i="11"/>
  <c r="V168" i="11"/>
  <c r="V169" i="11"/>
  <c r="V170" i="11"/>
  <c r="V171" i="11"/>
  <c r="V172" i="11"/>
  <c r="V173" i="11"/>
  <c r="V174" i="11"/>
  <c r="V175" i="11"/>
  <c r="V176" i="11"/>
  <c r="V177" i="11"/>
  <c r="V178" i="11"/>
  <c r="V179" i="11"/>
  <c r="V180" i="11"/>
  <c r="V154" i="11"/>
  <c r="V181" i="11"/>
  <c r="V182" i="11"/>
  <c r="V183" i="11"/>
  <c r="V184" i="11"/>
  <c r="V185" i="11"/>
  <c r="V186" i="11"/>
  <c r="V187" i="11"/>
  <c r="V188" i="11"/>
  <c r="V262" i="11"/>
  <c r="V261" i="11"/>
  <c r="V263" i="11"/>
  <c r="V264" i="11"/>
  <c r="V265" i="11"/>
  <c r="V266" i="11"/>
  <c r="V267" i="11"/>
  <c r="V268" i="11"/>
  <c r="V269" i="11"/>
  <c r="V23" i="11"/>
  <c r="V94" i="11"/>
  <c r="V95" i="11"/>
  <c r="V96" i="11"/>
  <c r="V93" i="11"/>
  <c r="V97" i="11"/>
  <c r="V92" i="11"/>
  <c r="V98" i="11"/>
  <c r="V99" i="11"/>
  <c r="V100" i="11"/>
  <c r="V101" i="11"/>
  <c r="V102" i="11"/>
  <c r="V103" i="11"/>
  <c r="V270" i="11"/>
  <c r="V24" i="11"/>
  <c r="V25" i="11"/>
  <c r="V26" i="11"/>
  <c r="V27" i="11"/>
  <c r="V308" i="11"/>
  <c r="V309" i="11"/>
  <c r="V310" i="11"/>
  <c r="V337" i="11"/>
  <c r="V338" i="11"/>
  <c r="V339" i="11"/>
  <c r="V340" i="11"/>
  <c r="V341" i="11"/>
  <c r="V342" i="11"/>
  <c r="V104" i="11"/>
  <c r="V105" i="11"/>
  <c r="V106" i="11"/>
  <c r="V107" i="11"/>
  <c r="V108" i="11"/>
  <c r="V109" i="11"/>
  <c r="V110" i="11"/>
  <c r="V111" i="11"/>
  <c r="V112" i="11"/>
  <c r="V113" i="11"/>
  <c r="V114" i="11"/>
  <c r="V190" i="11"/>
  <c r="V191" i="11"/>
  <c r="V192" i="11"/>
  <c r="V193" i="11"/>
  <c r="V194" i="11"/>
  <c r="V195" i="11"/>
  <c r="V196" i="11"/>
  <c r="V197" i="11"/>
  <c r="V198" i="11"/>
  <c r="V199" i="11"/>
  <c r="V189" i="11"/>
  <c r="V200" i="11"/>
  <c r="V201" i="11"/>
  <c r="V277" i="11"/>
  <c r="V202" i="11"/>
  <c r="V203" i="11"/>
  <c r="V204" i="11"/>
  <c r="V205" i="11"/>
  <c r="V274" i="11"/>
  <c r="V271" i="11"/>
  <c r="V279" i="11"/>
  <c r="V313" i="11"/>
  <c r="V275" i="11"/>
  <c r="V276" i="11"/>
  <c r="V280" i="11"/>
  <c r="V281" i="11"/>
  <c r="V282" i="11"/>
  <c r="V283" i="11"/>
  <c r="V272" i="11"/>
  <c r="V278" i="11"/>
  <c r="V273" i="11"/>
  <c r="V314" i="11"/>
  <c r="V311" i="11"/>
  <c r="V312" i="11"/>
  <c r="V343" i="11"/>
  <c r="V345" i="11"/>
  <c r="V115" i="11"/>
  <c r="V116" i="11"/>
  <c r="V284" i="11"/>
  <c r="V206" i="11"/>
  <c r="V207" i="11"/>
  <c r="V208" i="11"/>
  <c r="V209" i="11"/>
  <c r="V210" i="11"/>
  <c r="V285" i="11"/>
  <c r="V211" i="11"/>
  <c r="V212" i="11"/>
  <c r="V213" i="11"/>
  <c r="V214" i="11"/>
  <c r="V215" i="11"/>
  <c r="V216" i="11"/>
  <c r="V217" i="11"/>
  <c r="V218" i="11"/>
  <c r="V219" i="11"/>
  <c r="V220" i="11"/>
  <c r="V221" i="11"/>
  <c r="V286" i="11"/>
  <c r="V287" i="11"/>
  <c r="V288" i="11"/>
  <c r="V289" i="11"/>
  <c r="V290" i="11"/>
  <c r="V315" i="11"/>
  <c r="V316" i="11"/>
  <c r="V317" i="11"/>
  <c r="V318" i="11"/>
  <c r="V319" i="11"/>
  <c r="V320" i="11"/>
  <c r="V321" i="11"/>
  <c r="V322" i="11"/>
  <c r="V323" i="11"/>
  <c r="V324" i="11"/>
  <c r="V325" i="11"/>
  <c r="V326" i="11"/>
  <c r="V350" i="11"/>
  <c r="V351" i="11"/>
  <c r="V352" i="11"/>
  <c r="V346" i="11"/>
  <c r="V347" i="11"/>
  <c r="V354" i="11"/>
  <c r="V356" i="11"/>
  <c r="V357" i="11"/>
  <c r="V348" i="11"/>
  <c r="V358" i="11"/>
  <c r="V359" i="11"/>
  <c r="V349" i="11"/>
  <c r="V360" i="11"/>
  <c r="V2" i="11"/>
  <c r="V5" i="11"/>
  <c r="V6" i="11"/>
  <c r="V3" i="11"/>
  <c r="V4" i="11"/>
  <c r="V7" i="11"/>
  <c r="V8" i="11"/>
  <c r="V9" i="11"/>
  <c r="V10" i="11"/>
  <c r="V11" i="11"/>
  <c r="V12" i="11"/>
  <c r="V13" i="11"/>
  <c r="V14" i="11"/>
  <c r="V15" i="11"/>
  <c r="V28" i="11"/>
  <c r="V29" i="11"/>
  <c r="V30" i="11"/>
  <c r="V31" i="11"/>
  <c r="V32" i="11"/>
  <c r="V33" i="11"/>
  <c r="V51" i="11"/>
  <c r="V52" i="11"/>
  <c r="V49" i="11"/>
  <c r="V53" i="11"/>
  <c r="V54" i="11"/>
  <c r="V55" i="11"/>
  <c r="V50" i="11"/>
  <c r="V56" i="11"/>
  <c r="V57" i="11"/>
  <c r="V58" i="11"/>
  <c r="V59" i="11"/>
  <c r="V60" i="11"/>
  <c r="V74" i="11"/>
  <c r="V75" i="11"/>
  <c r="V76" i="11"/>
  <c r="V77" i="11"/>
  <c r="V78" i="11"/>
  <c r="V79" i="11"/>
  <c r="V80" i="11"/>
  <c r="V81" i="11"/>
  <c r="V82" i="11"/>
  <c r="V73" i="11"/>
  <c r="V83" i="11"/>
  <c r="V84" i="11"/>
  <c r="V85" i="11"/>
  <c r="V86" i="11"/>
  <c r="V87" i="11"/>
  <c r="V88" i="11"/>
  <c r="V89" i="11"/>
  <c r="V90" i="11"/>
  <c r="V91" i="11"/>
  <c r="V122" i="11"/>
  <c r="V123" i="11"/>
  <c r="V124" i="11"/>
  <c r="V125" i="11"/>
  <c r="V117" i="11"/>
  <c r="V126" i="11"/>
  <c r="V127" i="11"/>
  <c r="V128" i="11"/>
  <c r="V129" i="11"/>
  <c r="V130" i="11"/>
  <c r="V118" i="11"/>
  <c r="V119" i="11"/>
  <c r="V131" i="11"/>
  <c r="V132" i="11"/>
  <c r="V133" i="11"/>
  <c r="V134" i="11"/>
  <c r="V135" i="11"/>
  <c r="V136" i="11"/>
  <c r="V137" i="11"/>
  <c r="V138" i="11"/>
  <c r="V139" i="11"/>
  <c r="V140" i="11"/>
  <c r="V141" i="11"/>
  <c r="V142" i="11"/>
  <c r="V143" i="11"/>
  <c r="V144" i="11"/>
  <c r="V145" i="11"/>
  <c r="V146" i="11"/>
  <c r="V147" i="11"/>
  <c r="V148" i="11"/>
  <c r="V149" i="11"/>
  <c r="V150" i="11"/>
  <c r="V151" i="11"/>
  <c r="V152" i="11"/>
  <c r="V120" i="11"/>
  <c r="V121" i="11"/>
  <c r="V153" i="11"/>
  <c r="V228" i="11"/>
  <c r="V229" i="11"/>
  <c r="V230" i="11"/>
  <c r="V223" i="11"/>
  <c r="V222" i="11"/>
  <c r="V231" i="11"/>
  <c r="V232" i="11"/>
  <c r="V233" i="11"/>
  <c r="V234" i="11"/>
  <c r="V235" i="11"/>
  <c r="V236" i="11"/>
  <c r="V237" i="11"/>
  <c r="V238" i="11"/>
  <c r="V239" i="11"/>
  <c r="V240" i="11"/>
  <c r="V241" i="11"/>
  <c r="V224" i="11"/>
  <c r="V242" i="11"/>
  <c r="V243" i="11"/>
  <c r="V244" i="11"/>
  <c r="V245" i="11"/>
  <c r="V246" i="11"/>
  <c r="V247" i="11"/>
  <c r="V248" i="11"/>
  <c r="V249" i="11"/>
  <c r="V250" i="11"/>
  <c r="V251" i="11"/>
  <c r="V225" i="11"/>
  <c r="V226" i="11"/>
  <c r="V252" i="11"/>
  <c r="V227" i="11"/>
  <c r="V253" i="11"/>
  <c r="V254" i="11"/>
  <c r="V255" i="11"/>
  <c r="V256" i="11"/>
  <c r="V257" i="11"/>
  <c r="V258" i="11"/>
  <c r="V259" i="11"/>
  <c r="V260" i="11"/>
  <c r="V297" i="11"/>
  <c r="V292" i="11"/>
  <c r="V293" i="11"/>
  <c r="V298" i="11"/>
  <c r="V299" i="11"/>
  <c r="V300" i="11"/>
  <c r="V301" i="11"/>
  <c r="V294" i="11"/>
  <c r="V302" i="11"/>
  <c r="V291" i="11"/>
  <c r="V303" i="11"/>
  <c r="V304" i="11"/>
  <c r="V295" i="11"/>
  <c r="V296" i="11"/>
  <c r="V306" i="11"/>
  <c r="V307" i="11"/>
  <c r="V331" i="11"/>
  <c r="V329" i="11"/>
  <c r="V334" i="11"/>
  <c r="V335" i="11"/>
  <c r="V327" i="11"/>
  <c r="V328" i="11"/>
  <c r="V330" i="11"/>
  <c r="V336" i="11"/>
  <c r="Q360" i="15" l="1"/>
  <c r="Q360" i="14"/>
  <c r="L361" i="14"/>
  <c r="A3" i="17"/>
  <c r="C3" i="17" s="1"/>
  <c r="B4" i="17"/>
  <c r="A233" i="16"/>
  <c r="A234" i="16"/>
  <c r="B233" i="16"/>
  <c r="B234" i="16"/>
  <c r="C233" i="16"/>
  <c r="C234" i="16"/>
  <c r="D233" i="16"/>
  <c r="D234" i="16"/>
  <c r="E233" i="16"/>
  <c r="E234" i="16"/>
  <c r="F233" i="16"/>
  <c r="F234" i="16"/>
  <c r="G233" i="16"/>
  <c r="G234" i="16"/>
  <c r="H233" i="16"/>
  <c r="H234" i="16"/>
  <c r="I233" i="16"/>
  <c r="I234" i="16"/>
  <c r="J233" i="16"/>
  <c r="J234" i="16"/>
  <c r="K233" i="16"/>
  <c r="K234" i="16"/>
  <c r="Q233" i="16"/>
  <c r="Q234" i="16"/>
  <c r="S233" i="16"/>
  <c r="S234" i="16"/>
  <c r="T234" i="16"/>
  <c r="T233" i="16"/>
  <c r="U233" i="16"/>
  <c r="U234" i="16"/>
  <c r="V233" i="16"/>
  <c r="V234" i="16"/>
  <c r="W233" i="16"/>
  <c r="W234" i="16"/>
  <c r="X233" i="16"/>
  <c r="X234" i="16"/>
  <c r="A338" i="15"/>
  <c r="A339" i="15"/>
  <c r="B338" i="15"/>
  <c r="B339" i="15"/>
  <c r="C338" i="15"/>
  <c r="C339" i="15"/>
  <c r="D338" i="15"/>
  <c r="D339" i="15"/>
  <c r="E338" i="15"/>
  <c r="E339" i="15"/>
  <c r="F338" i="15"/>
  <c r="F339" i="15"/>
  <c r="G338" i="15"/>
  <c r="G339" i="15"/>
  <c r="H338" i="15"/>
  <c r="H339" i="15"/>
  <c r="I338" i="15"/>
  <c r="I339" i="15"/>
  <c r="J338" i="15"/>
  <c r="J339" i="15"/>
  <c r="K338" i="15"/>
  <c r="K339" i="15"/>
  <c r="Q338" i="15"/>
  <c r="Q339" i="15"/>
  <c r="S338" i="15"/>
  <c r="T338" i="15"/>
  <c r="S339" i="15"/>
  <c r="T339" i="15"/>
  <c r="U338" i="15"/>
  <c r="U339" i="15"/>
  <c r="V338" i="15"/>
  <c r="V339" i="15"/>
  <c r="W338" i="15"/>
  <c r="W339" i="15"/>
  <c r="X338" i="15"/>
  <c r="X339" i="15"/>
  <c r="A360" i="16"/>
  <c r="B360" i="16"/>
  <c r="C360" i="16"/>
  <c r="D360" i="16"/>
  <c r="E360" i="16"/>
  <c r="F360" i="16"/>
  <c r="G360" i="16"/>
  <c r="H360" i="16"/>
  <c r="I360" i="16"/>
  <c r="J360" i="16"/>
  <c r="K360" i="16"/>
  <c r="Q360" i="16"/>
  <c r="S360" i="16"/>
  <c r="T360" i="16"/>
  <c r="U360" i="16"/>
  <c r="V360" i="16"/>
  <c r="W360" i="16"/>
  <c r="X360" i="16"/>
  <c r="A359" i="14"/>
  <c r="B359" i="14"/>
  <c r="C359" i="14"/>
  <c r="D359" i="14"/>
  <c r="E359" i="14"/>
  <c r="F359" i="14"/>
  <c r="G359" i="14"/>
  <c r="H359" i="14"/>
  <c r="I359" i="14"/>
  <c r="J359" i="14"/>
  <c r="K359" i="14"/>
  <c r="Q359" i="14"/>
  <c r="S359" i="14"/>
  <c r="T359" i="14"/>
  <c r="U359" i="14"/>
  <c r="V359" i="14"/>
  <c r="W359" i="14"/>
  <c r="X359" i="14"/>
  <c r="A341" i="14"/>
  <c r="B341" i="14"/>
  <c r="C341" i="14"/>
  <c r="D341" i="14"/>
  <c r="E341" i="14"/>
  <c r="F341" i="14"/>
  <c r="G341" i="14"/>
  <c r="H341" i="14"/>
  <c r="I341" i="14"/>
  <c r="J341" i="14"/>
  <c r="K341" i="14"/>
  <c r="Q341" i="14"/>
  <c r="S341" i="14"/>
  <c r="T341" i="14"/>
  <c r="U341" i="14"/>
  <c r="V341" i="14"/>
  <c r="W341" i="14"/>
  <c r="X341" i="14"/>
  <c r="A337" i="14"/>
  <c r="B337" i="14"/>
  <c r="C337" i="14"/>
  <c r="D337" i="14"/>
  <c r="E337" i="14"/>
  <c r="F337" i="14"/>
  <c r="G337" i="14"/>
  <c r="H337" i="14"/>
  <c r="I337" i="14"/>
  <c r="J337" i="14"/>
  <c r="K337" i="14"/>
  <c r="Q337" i="14"/>
  <c r="S337" i="14"/>
  <c r="T337" i="14"/>
  <c r="U337" i="14"/>
  <c r="V337" i="14"/>
  <c r="W337" i="14"/>
  <c r="X337" i="14"/>
  <c r="A329" i="16"/>
  <c r="A330" i="16"/>
  <c r="A331" i="16"/>
  <c r="A332" i="16"/>
  <c r="A333" i="16"/>
  <c r="A334" i="16"/>
  <c r="A335" i="16"/>
  <c r="A336" i="16"/>
  <c r="A337" i="16"/>
  <c r="A338" i="16"/>
  <c r="A339" i="16"/>
  <c r="A340" i="16"/>
  <c r="A341" i="16"/>
  <c r="A342" i="16"/>
  <c r="A343" i="16"/>
  <c r="A344" i="16"/>
  <c r="A345" i="16"/>
  <c r="A346" i="16"/>
  <c r="A347" i="16"/>
  <c r="B329" i="16"/>
  <c r="B330" i="16"/>
  <c r="B331" i="16"/>
  <c r="B332" i="16"/>
  <c r="B333" i="16"/>
  <c r="B334" i="16"/>
  <c r="B335" i="16"/>
  <c r="B336" i="16"/>
  <c r="B337" i="16"/>
  <c r="B338" i="16"/>
  <c r="B339" i="16"/>
  <c r="B340" i="16"/>
  <c r="B341" i="16"/>
  <c r="B342" i="16"/>
  <c r="B343" i="16"/>
  <c r="B344" i="16"/>
  <c r="B345" i="16"/>
  <c r="B346" i="16"/>
  <c r="B347" i="16"/>
  <c r="C329" i="16"/>
  <c r="C330" i="16"/>
  <c r="C331" i="16"/>
  <c r="C332" i="16"/>
  <c r="C333" i="16"/>
  <c r="C334" i="16"/>
  <c r="C335" i="16"/>
  <c r="C336" i="16"/>
  <c r="C337" i="16"/>
  <c r="C338" i="16"/>
  <c r="C339" i="16"/>
  <c r="C340" i="16"/>
  <c r="C341" i="16"/>
  <c r="C342" i="16"/>
  <c r="C343" i="16"/>
  <c r="C344" i="16"/>
  <c r="C345" i="16"/>
  <c r="C346" i="16"/>
  <c r="C347" i="16"/>
  <c r="D329" i="16"/>
  <c r="D330" i="16"/>
  <c r="D331" i="16"/>
  <c r="D332" i="16"/>
  <c r="D333" i="16"/>
  <c r="D334" i="16"/>
  <c r="D335" i="16"/>
  <c r="D336" i="16"/>
  <c r="D337" i="16"/>
  <c r="D338" i="16"/>
  <c r="D339" i="16"/>
  <c r="D340" i="16"/>
  <c r="D341" i="16"/>
  <c r="D342" i="16"/>
  <c r="D343" i="16"/>
  <c r="D344" i="16"/>
  <c r="D345" i="16"/>
  <c r="D346" i="16"/>
  <c r="D347" i="16"/>
  <c r="E329" i="16"/>
  <c r="E330" i="16"/>
  <c r="E331" i="16"/>
  <c r="E332" i="16"/>
  <c r="E333" i="16"/>
  <c r="E334" i="16"/>
  <c r="E335" i="16"/>
  <c r="E336" i="16"/>
  <c r="E337" i="16"/>
  <c r="E338" i="16"/>
  <c r="E339" i="16"/>
  <c r="E340" i="16"/>
  <c r="E341" i="16"/>
  <c r="E342" i="16"/>
  <c r="E343" i="16"/>
  <c r="E344" i="16"/>
  <c r="E345" i="16"/>
  <c r="E346" i="16"/>
  <c r="E347" i="16"/>
  <c r="F329" i="16"/>
  <c r="F330" i="16"/>
  <c r="F331" i="16"/>
  <c r="F332" i="16"/>
  <c r="F333" i="16"/>
  <c r="F334" i="16"/>
  <c r="F335" i="16"/>
  <c r="F336" i="16"/>
  <c r="F337" i="16"/>
  <c r="F338" i="16"/>
  <c r="F339" i="16"/>
  <c r="F340" i="16"/>
  <c r="F341" i="16"/>
  <c r="F342" i="16"/>
  <c r="F343" i="16"/>
  <c r="F344" i="16"/>
  <c r="F345" i="16"/>
  <c r="F346" i="16"/>
  <c r="F347" i="16"/>
  <c r="G329" i="16"/>
  <c r="G330" i="16"/>
  <c r="G331" i="16"/>
  <c r="G332" i="16"/>
  <c r="G333" i="16"/>
  <c r="G334" i="16"/>
  <c r="G335" i="16"/>
  <c r="G336" i="16"/>
  <c r="G337" i="16"/>
  <c r="G338" i="16"/>
  <c r="G339" i="16"/>
  <c r="G340" i="16"/>
  <c r="G341" i="16"/>
  <c r="G342" i="16"/>
  <c r="G343" i="16"/>
  <c r="G344" i="16"/>
  <c r="G345" i="16"/>
  <c r="G346" i="16"/>
  <c r="G347" i="16"/>
  <c r="H329" i="16"/>
  <c r="H330" i="16"/>
  <c r="H331" i="16"/>
  <c r="H332" i="16"/>
  <c r="H333" i="16"/>
  <c r="H334" i="16"/>
  <c r="H335" i="16"/>
  <c r="H336" i="16"/>
  <c r="H337" i="16"/>
  <c r="H338" i="16"/>
  <c r="H339" i="16"/>
  <c r="H340" i="16"/>
  <c r="H341" i="16"/>
  <c r="H342" i="16"/>
  <c r="H343" i="16"/>
  <c r="H344" i="16"/>
  <c r="H345" i="16"/>
  <c r="H346" i="16"/>
  <c r="H347" i="16"/>
  <c r="I329" i="16"/>
  <c r="I330" i="16"/>
  <c r="I331" i="16"/>
  <c r="I332" i="16"/>
  <c r="I333" i="16"/>
  <c r="I334" i="16"/>
  <c r="I335" i="16"/>
  <c r="I336" i="16"/>
  <c r="I337" i="16"/>
  <c r="I338" i="16"/>
  <c r="I339" i="16"/>
  <c r="I340" i="16"/>
  <c r="I341" i="16"/>
  <c r="I342" i="16"/>
  <c r="I343" i="16"/>
  <c r="I344" i="16"/>
  <c r="I345" i="16"/>
  <c r="I346" i="16"/>
  <c r="I347" i="16"/>
  <c r="J329" i="16"/>
  <c r="J330" i="16"/>
  <c r="J331" i="16"/>
  <c r="J332" i="16"/>
  <c r="J333" i="16"/>
  <c r="J334" i="16"/>
  <c r="J335" i="16"/>
  <c r="J336" i="16"/>
  <c r="J337" i="16"/>
  <c r="J338" i="16"/>
  <c r="J339" i="16"/>
  <c r="J340" i="16"/>
  <c r="J341" i="16"/>
  <c r="J342" i="16"/>
  <c r="J343" i="16"/>
  <c r="J344" i="16"/>
  <c r="J345" i="16"/>
  <c r="J346" i="16"/>
  <c r="J347" i="16"/>
  <c r="K329" i="16"/>
  <c r="K330" i="16"/>
  <c r="K331" i="16"/>
  <c r="K332" i="16"/>
  <c r="K333" i="16"/>
  <c r="K334" i="16"/>
  <c r="K335" i="16"/>
  <c r="K336" i="16"/>
  <c r="K337" i="16"/>
  <c r="K338" i="16"/>
  <c r="K339" i="16"/>
  <c r="K340" i="16"/>
  <c r="K341" i="16"/>
  <c r="K342" i="16"/>
  <c r="K343" i="16"/>
  <c r="K344" i="16"/>
  <c r="K345" i="16"/>
  <c r="K346" i="16"/>
  <c r="K347" i="16"/>
  <c r="Q329" i="16"/>
  <c r="Q330" i="16"/>
  <c r="Q331" i="16"/>
  <c r="Q332" i="16"/>
  <c r="Q333" i="16"/>
  <c r="Q334" i="16"/>
  <c r="Q335" i="16"/>
  <c r="Q336" i="16"/>
  <c r="Q337" i="16"/>
  <c r="Q338" i="16"/>
  <c r="Q339" i="16"/>
  <c r="Q340" i="16"/>
  <c r="Q341" i="16"/>
  <c r="Q342" i="16"/>
  <c r="Q343" i="16"/>
  <c r="Q344" i="16"/>
  <c r="Q345" i="16"/>
  <c r="Q346" i="16"/>
  <c r="Q347" i="16"/>
  <c r="S329" i="16"/>
  <c r="S330" i="16"/>
  <c r="S331" i="16"/>
  <c r="S332" i="16"/>
  <c r="S333" i="16"/>
  <c r="T333" i="16"/>
  <c r="S334" i="16"/>
  <c r="S335" i="16"/>
  <c r="S336" i="16"/>
  <c r="S337" i="16"/>
  <c r="S338" i="16"/>
  <c r="S339" i="16"/>
  <c r="S340" i="16"/>
  <c r="S341" i="16"/>
  <c r="T341" i="16"/>
  <c r="S342" i="16"/>
  <c r="S343" i="16"/>
  <c r="S344" i="16"/>
  <c r="S345" i="16"/>
  <c r="S346" i="16"/>
  <c r="S347" i="16"/>
  <c r="T329" i="16"/>
  <c r="T330" i="16"/>
  <c r="T331" i="16"/>
  <c r="T332" i="16"/>
  <c r="T334" i="16"/>
  <c r="T335" i="16"/>
  <c r="T336" i="16"/>
  <c r="T337" i="16"/>
  <c r="T338" i="16"/>
  <c r="T339" i="16"/>
  <c r="T340" i="16"/>
  <c r="T342" i="16"/>
  <c r="T343" i="16"/>
  <c r="T344" i="16"/>
  <c r="T345" i="16"/>
  <c r="T346" i="16"/>
  <c r="T347" i="16"/>
  <c r="U329" i="16"/>
  <c r="U330" i="16"/>
  <c r="U331" i="16"/>
  <c r="U332" i="16"/>
  <c r="U333" i="16"/>
  <c r="U334" i="16"/>
  <c r="U335" i="16"/>
  <c r="U336" i="16"/>
  <c r="U337" i="16"/>
  <c r="U338" i="16"/>
  <c r="U339" i="16"/>
  <c r="U340" i="16"/>
  <c r="U341" i="16"/>
  <c r="U342" i="16"/>
  <c r="U343" i="16"/>
  <c r="U344" i="16"/>
  <c r="U345" i="16"/>
  <c r="U346" i="16"/>
  <c r="U347" i="16"/>
  <c r="V329" i="16"/>
  <c r="V330" i="16"/>
  <c r="V331" i="16"/>
  <c r="V332" i="16"/>
  <c r="V333" i="16"/>
  <c r="V334" i="16"/>
  <c r="V335" i="16"/>
  <c r="V336" i="16"/>
  <c r="V337" i="16"/>
  <c r="V338" i="16"/>
  <c r="V339" i="16"/>
  <c r="V340" i="16"/>
  <c r="V341" i="16"/>
  <c r="V342" i="16"/>
  <c r="V343" i="16"/>
  <c r="V344" i="16"/>
  <c r="V345" i="16"/>
  <c r="V346" i="16"/>
  <c r="V347" i="16"/>
  <c r="W329" i="16"/>
  <c r="W330" i="16"/>
  <c r="W331" i="16"/>
  <c r="W332" i="16"/>
  <c r="W333" i="16"/>
  <c r="W334" i="16"/>
  <c r="W335" i="16"/>
  <c r="W336" i="16"/>
  <c r="W337" i="16"/>
  <c r="W338" i="16"/>
  <c r="W339" i="16"/>
  <c r="W340" i="16"/>
  <c r="W341" i="16"/>
  <c r="W342" i="16"/>
  <c r="W343" i="16"/>
  <c r="W344" i="16"/>
  <c r="W345" i="16"/>
  <c r="W346" i="16"/>
  <c r="W347" i="16"/>
  <c r="X329" i="16"/>
  <c r="X330" i="16"/>
  <c r="X331" i="16"/>
  <c r="X332" i="16"/>
  <c r="X333" i="16"/>
  <c r="X334" i="16"/>
  <c r="X335" i="16"/>
  <c r="X336" i="16"/>
  <c r="X337" i="16"/>
  <c r="X338" i="16"/>
  <c r="X339" i="16"/>
  <c r="X340" i="16"/>
  <c r="X341" i="16"/>
  <c r="X342" i="16"/>
  <c r="X343" i="16"/>
  <c r="X344" i="16"/>
  <c r="X345" i="16"/>
  <c r="X346" i="16"/>
  <c r="X347" i="16"/>
  <c r="A309" i="16"/>
  <c r="A310" i="16"/>
  <c r="A311" i="16"/>
  <c r="A312" i="16"/>
  <c r="A313" i="16"/>
  <c r="A314" i="16"/>
  <c r="A315" i="16"/>
  <c r="A316" i="16"/>
  <c r="A317" i="16"/>
  <c r="A318" i="16"/>
  <c r="A319" i="16"/>
  <c r="A320" i="16"/>
  <c r="A321" i="16"/>
  <c r="A322" i="16"/>
  <c r="A323" i="16"/>
  <c r="A324" i="16"/>
  <c r="B309" i="16"/>
  <c r="B310" i="16"/>
  <c r="B311" i="16"/>
  <c r="B312" i="16"/>
  <c r="B313" i="16"/>
  <c r="B314" i="16"/>
  <c r="B315" i="16"/>
  <c r="B316" i="16"/>
  <c r="B317" i="16"/>
  <c r="B318" i="16"/>
  <c r="B319" i="16"/>
  <c r="B320" i="16"/>
  <c r="B321" i="16"/>
  <c r="B322" i="16"/>
  <c r="B323" i="16"/>
  <c r="B324" i="16"/>
  <c r="C309" i="16"/>
  <c r="C310" i="16"/>
  <c r="C311" i="16"/>
  <c r="C312" i="16"/>
  <c r="C313" i="16"/>
  <c r="C314" i="16"/>
  <c r="C315" i="16"/>
  <c r="C316" i="16"/>
  <c r="C317" i="16"/>
  <c r="C318" i="16"/>
  <c r="C319" i="16"/>
  <c r="C320" i="16"/>
  <c r="C321" i="16"/>
  <c r="C322" i="16"/>
  <c r="C323" i="16"/>
  <c r="C324" i="16"/>
  <c r="D309" i="16"/>
  <c r="D310" i="16"/>
  <c r="D311" i="16"/>
  <c r="D312" i="16"/>
  <c r="D313" i="16"/>
  <c r="D314" i="16"/>
  <c r="D315" i="16"/>
  <c r="D316" i="16"/>
  <c r="D317" i="16"/>
  <c r="D318" i="16"/>
  <c r="D319" i="16"/>
  <c r="D320" i="16"/>
  <c r="D321" i="16"/>
  <c r="D322" i="16"/>
  <c r="D323" i="16"/>
  <c r="D324" i="16"/>
  <c r="E309" i="16"/>
  <c r="E310" i="16"/>
  <c r="E311" i="16"/>
  <c r="E312" i="16"/>
  <c r="E313" i="16"/>
  <c r="E314" i="16"/>
  <c r="E315" i="16"/>
  <c r="E316" i="16"/>
  <c r="E317" i="16"/>
  <c r="E318" i="16"/>
  <c r="E319" i="16"/>
  <c r="E320" i="16"/>
  <c r="E321" i="16"/>
  <c r="E322" i="16"/>
  <c r="E323" i="16"/>
  <c r="E324" i="16"/>
  <c r="F309" i="16"/>
  <c r="F310" i="16"/>
  <c r="F311" i="16"/>
  <c r="F312" i="16"/>
  <c r="F313" i="16"/>
  <c r="F314" i="16"/>
  <c r="F315" i="16"/>
  <c r="F316" i="16"/>
  <c r="F317" i="16"/>
  <c r="F318" i="16"/>
  <c r="F319" i="16"/>
  <c r="F320" i="16"/>
  <c r="F321" i="16"/>
  <c r="F322" i="16"/>
  <c r="F323" i="16"/>
  <c r="F324" i="16"/>
  <c r="G309" i="16"/>
  <c r="G310" i="16"/>
  <c r="G311" i="16"/>
  <c r="G312" i="16"/>
  <c r="G313" i="16"/>
  <c r="G314" i="16"/>
  <c r="G315" i="16"/>
  <c r="G316" i="16"/>
  <c r="G317" i="16"/>
  <c r="G318" i="16"/>
  <c r="G319" i="16"/>
  <c r="G320" i="16"/>
  <c r="G321" i="16"/>
  <c r="G322" i="16"/>
  <c r="G323" i="16"/>
  <c r="G324" i="16"/>
  <c r="H309" i="16"/>
  <c r="H310" i="16"/>
  <c r="H311" i="16"/>
  <c r="H312" i="16"/>
  <c r="H313" i="16"/>
  <c r="H314" i="16"/>
  <c r="H315" i="16"/>
  <c r="H316" i="16"/>
  <c r="H317" i="16"/>
  <c r="H318" i="16"/>
  <c r="H319" i="16"/>
  <c r="H320" i="16"/>
  <c r="H321" i="16"/>
  <c r="H322" i="16"/>
  <c r="H323" i="16"/>
  <c r="H324" i="16"/>
  <c r="I309" i="16"/>
  <c r="I310" i="16"/>
  <c r="I311" i="16"/>
  <c r="I312" i="16"/>
  <c r="I313" i="16"/>
  <c r="I314" i="16"/>
  <c r="I315" i="16"/>
  <c r="I316" i="16"/>
  <c r="I317" i="16"/>
  <c r="I318" i="16"/>
  <c r="I319" i="16"/>
  <c r="I320" i="16"/>
  <c r="I321" i="16"/>
  <c r="I322" i="16"/>
  <c r="I323" i="16"/>
  <c r="I324" i="16"/>
  <c r="J309" i="16"/>
  <c r="J310" i="16"/>
  <c r="J311" i="16"/>
  <c r="J312" i="16"/>
  <c r="J313" i="16"/>
  <c r="J314" i="16"/>
  <c r="J315" i="16"/>
  <c r="J316" i="16"/>
  <c r="J317" i="16"/>
  <c r="J318" i="16"/>
  <c r="J319" i="16"/>
  <c r="J320" i="16"/>
  <c r="J321" i="16"/>
  <c r="J322" i="16"/>
  <c r="J323" i="16"/>
  <c r="J324" i="16"/>
  <c r="K309" i="16"/>
  <c r="K310" i="16"/>
  <c r="K311" i="16"/>
  <c r="K312" i="16"/>
  <c r="K313" i="16"/>
  <c r="K314" i="16"/>
  <c r="K315" i="16"/>
  <c r="K316" i="16"/>
  <c r="K317" i="16"/>
  <c r="K318" i="16"/>
  <c r="K319" i="16"/>
  <c r="K320" i="16"/>
  <c r="K321" i="16"/>
  <c r="K322" i="16"/>
  <c r="K323" i="16"/>
  <c r="K324" i="16"/>
  <c r="Q309" i="16"/>
  <c r="Q310" i="16"/>
  <c r="Q311" i="16"/>
  <c r="Q312" i="16"/>
  <c r="Q313" i="16"/>
  <c r="Q314" i="16"/>
  <c r="Q315" i="16"/>
  <c r="Q316" i="16"/>
  <c r="Q317" i="16"/>
  <c r="Q318" i="16"/>
  <c r="Q319" i="16"/>
  <c r="Q320" i="16"/>
  <c r="Q321" i="16"/>
  <c r="Q322" i="16"/>
  <c r="Q323" i="16"/>
  <c r="Q324" i="16"/>
  <c r="S309" i="16"/>
  <c r="S310" i="16"/>
  <c r="S311" i="16"/>
  <c r="S312" i="16"/>
  <c r="S313" i="16"/>
  <c r="S314" i="16"/>
  <c r="S315" i="16"/>
  <c r="S316" i="16"/>
  <c r="S317" i="16"/>
  <c r="S318" i="16"/>
  <c r="S319" i="16"/>
  <c r="S320" i="16"/>
  <c r="S321" i="16"/>
  <c r="S322" i="16"/>
  <c r="S323" i="16"/>
  <c r="S324" i="16"/>
  <c r="T309" i="16"/>
  <c r="T310" i="16"/>
  <c r="T311" i="16"/>
  <c r="T312" i="16"/>
  <c r="T313" i="16"/>
  <c r="T314" i="16"/>
  <c r="T315" i="16"/>
  <c r="T316" i="16"/>
  <c r="T317" i="16"/>
  <c r="T318" i="16"/>
  <c r="T319" i="16"/>
  <c r="T320" i="16"/>
  <c r="T321" i="16"/>
  <c r="T322" i="16"/>
  <c r="T323" i="16"/>
  <c r="T324" i="16"/>
  <c r="U309" i="16"/>
  <c r="U310" i="16"/>
  <c r="U311" i="16"/>
  <c r="U312" i="16"/>
  <c r="U313" i="16"/>
  <c r="U314" i="16"/>
  <c r="U315" i="16"/>
  <c r="U316" i="16"/>
  <c r="U317" i="16"/>
  <c r="U318" i="16"/>
  <c r="U319" i="16"/>
  <c r="U320" i="16"/>
  <c r="U321" i="16"/>
  <c r="U322" i="16"/>
  <c r="U323" i="16"/>
  <c r="U324" i="16"/>
  <c r="V309" i="16"/>
  <c r="V310" i="16"/>
  <c r="V311" i="16"/>
  <c r="V312" i="16"/>
  <c r="V313" i="16"/>
  <c r="V314" i="16"/>
  <c r="V315" i="16"/>
  <c r="V316" i="16"/>
  <c r="V317" i="16"/>
  <c r="V318" i="16"/>
  <c r="V319" i="16"/>
  <c r="V320" i="16"/>
  <c r="V321" i="16"/>
  <c r="V322" i="16"/>
  <c r="V323" i="16"/>
  <c r="V324" i="16"/>
  <c r="W309" i="16"/>
  <c r="W310" i="16"/>
  <c r="W311" i="16"/>
  <c r="W312" i="16"/>
  <c r="W313" i="16"/>
  <c r="W314" i="16"/>
  <c r="W315" i="16"/>
  <c r="W316" i="16"/>
  <c r="W317" i="16"/>
  <c r="W318" i="16"/>
  <c r="W319" i="16"/>
  <c r="W320" i="16"/>
  <c r="W321" i="16"/>
  <c r="W322" i="16"/>
  <c r="W323" i="16"/>
  <c r="W324" i="16"/>
  <c r="X309" i="16"/>
  <c r="X310" i="16"/>
  <c r="X311" i="16"/>
  <c r="X312" i="16"/>
  <c r="X313" i="16"/>
  <c r="X314" i="16"/>
  <c r="X315" i="16"/>
  <c r="X316" i="16"/>
  <c r="X317" i="16"/>
  <c r="X318" i="16"/>
  <c r="X319" i="16"/>
  <c r="X320" i="16"/>
  <c r="X321" i="16"/>
  <c r="X322" i="16"/>
  <c r="X323" i="16"/>
  <c r="X324" i="16"/>
  <c r="A340" i="15"/>
  <c r="B340" i="15"/>
  <c r="C340" i="15"/>
  <c r="D340" i="15"/>
  <c r="E340" i="15"/>
  <c r="F340" i="15"/>
  <c r="G340" i="15"/>
  <c r="H340" i="15"/>
  <c r="I340" i="15"/>
  <c r="J340" i="15"/>
  <c r="K340" i="15"/>
  <c r="Q340" i="15"/>
  <c r="S340" i="15"/>
  <c r="T340" i="15"/>
  <c r="U340" i="15"/>
  <c r="V340" i="15"/>
  <c r="W340" i="15"/>
  <c r="X340" i="15"/>
  <c r="A354" i="15"/>
  <c r="B354" i="15"/>
  <c r="C354" i="15"/>
  <c r="D354" i="15"/>
  <c r="E354" i="15"/>
  <c r="F354" i="15"/>
  <c r="G354" i="15"/>
  <c r="H354" i="15"/>
  <c r="I354" i="15"/>
  <c r="J354" i="15"/>
  <c r="K354" i="15"/>
  <c r="Q354" i="15"/>
  <c r="S354" i="15"/>
  <c r="T354" i="15"/>
  <c r="U354" i="15"/>
  <c r="V354" i="15"/>
  <c r="W354" i="15"/>
  <c r="X354" i="15"/>
  <c r="A358" i="14"/>
  <c r="B358" i="14"/>
  <c r="C358" i="14"/>
  <c r="D358" i="14"/>
  <c r="E358" i="14"/>
  <c r="F358" i="14"/>
  <c r="G358" i="14"/>
  <c r="H358" i="14"/>
  <c r="I358" i="14"/>
  <c r="J358" i="14"/>
  <c r="K358" i="14"/>
  <c r="Q358" i="14"/>
  <c r="S358" i="14"/>
  <c r="T358" i="14"/>
  <c r="U358" i="14"/>
  <c r="V358" i="14"/>
  <c r="W358" i="14"/>
  <c r="X358" i="14"/>
  <c r="C348" i="15"/>
  <c r="C349" i="15"/>
  <c r="C351" i="15"/>
  <c r="C352" i="15"/>
  <c r="C299" i="15"/>
  <c r="A348" i="15"/>
  <c r="A349" i="15"/>
  <c r="A350" i="15"/>
  <c r="A301" i="15"/>
  <c r="A351" i="15"/>
  <c r="A352" i="15"/>
  <c r="B348" i="15"/>
  <c r="B349" i="15"/>
  <c r="B350" i="15"/>
  <c r="B301" i="15"/>
  <c r="B351" i="15"/>
  <c r="B352" i="15"/>
  <c r="C350" i="15"/>
  <c r="C301" i="15"/>
  <c r="D348" i="15"/>
  <c r="D349" i="15"/>
  <c r="D350" i="15"/>
  <c r="D301" i="15"/>
  <c r="D351" i="15"/>
  <c r="D352" i="15"/>
  <c r="E348" i="15"/>
  <c r="E349" i="15"/>
  <c r="E350" i="15"/>
  <c r="E301" i="15"/>
  <c r="E351" i="15"/>
  <c r="E352" i="15"/>
  <c r="F348" i="15"/>
  <c r="F349" i="15"/>
  <c r="F350" i="15"/>
  <c r="F301" i="15"/>
  <c r="F351" i="15"/>
  <c r="F352" i="15"/>
  <c r="G348" i="15"/>
  <c r="G349" i="15"/>
  <c r="G350" i="15"/>
  <c r="G301" i="15"/>
  <c r="G351" i="15"/>
  <c r="G352" i="15"/>
  <c r="H348" i="15"/>
  <c r="H349" i="15"/>
  <c r="H350" i="15"/>
  <c r="H301" i="15"/>
  <c r="H351" i="15"/>
  <c r="H352" i="15"/>
  <c r="I348" i="15"/>
  <c r="I349" i="15"/>
  <c r="I350" i="15"/>
  <c r="I301" i="15"/>
  <c r="I351" i="15"/>
  <c r="I352" i="15"/>
  <c r="J348" i="15"/>
  <c r="J349" i="15"/>
  <c r="J350" i="15"/>
  <c r="J301" i="15"/>
  <c r="J351" i="15"/>
  <c r="J352" i="15"/>
  <c r="K348" i="15"/>
  <c r="K349" i="15"/>
  <c r="K350" i="15"/>
  <c r="K301" i="15"/>
  <c r="K351" i="15"/>
  <c r="K352" i="15"/>
  <c r="Q348" i="15"/>
  <c r="Q349" i="15"/>
  <c r="Q350" i="15"/>
  <c r="Q301" i="15"/>
  <c r="Q351" i="15"/>
  <c r="Q352" i="15"/>
  <c r="S348" i="15"/>
  <c r="S349" i="15"/>
  <c r="S350" i="15"/>
  <c r="S301" i="15"/>
  <c r="S351" i="15"/>
  <c r="S352" i="15"/>
  <c r="T348" i="15"/>
  <c r="T349" i="15"/>
  <c r="T350" i="15"/>
  <c r="T301" i="15"/>
  <c r="T351" i="15"/>
  <c r="T352" i="15"/>
  <c r="U348" i="15"/>
  <c r="U349" i="15"/>
  <c r="U350" i="15"/>
  <c r="U301" i="15"/>
  <c r="U351" i="15"/>
  <c r="U352" i="15"/>
  <c r="V348" i="15"/>
  <c r="V349" i="15"/>
  <c r="V350" i="15"/>
  <c r="V301" i="15"/>
  <c r="V351" i="15"/>
  <c r="V352" i="15"/>
  <c r="W348" i="15"/>
  <c r="W349" i="15"/>
  <c r="W350" i="15"/>
  <c r="W301" i="15"/>
  <c r="W351" i="15"/>
  <c r="W352" i="15"/>
  <c r="X348" i="15"/>
  <c r="X349" i="15"/>
  <c r="X350" i="15"/>
  <c r="X301" i="15"/>
  <c r="X351" i="15"/>
  <c r="X352" i="15"/>
  <c r="A346" i="15"/>
  <c r="A332" i="15"/>
  <c r="A333" i="15"/>
  <c r="A334" i="15"/>
  <c r="A335" i="15"/>
  <c r="A336" i="15"/>
  <c r="A358" i="15"/>
  <c r="A337" i="15"/>
  <c r="A341" i="15"/>
  <c r="A359" i="15"/>
  <c r="A299" i="15"/>
  <c r="B346" i="15"/>
  <c r="B332" i="15"/>
  <c r="B333" i="15"/>
  <c r="B334" i="15"/>
  <c r="B335" i="15"/>
  <c r="B336" i="15"/>
  <c r="B358" i="15"/>
  <c r="B337" i="15"/>
  <c r="B341" i="15"/>
  <c r="B359" i="15"/>
  <c r="B299" i="15"/>
  <c r="C346" i="15"/>
  <c r="C332" i="15"/>
  <c r="C333" i="15"/>
  <c r="C334" i="15"/>
  <c r="C335" i="15"/>
  <c r="C336" i="15"/>
  <c r="C358" i="15"/>
  <c r="C337" i="15"/>
  <c r="C341" i="15"/>
  <c r="C359" i="15"/>
  <c r="D346" i="15"/>
  <c r="D332" i="15"/>
  <c r="D333" i="15"/>
  <c r="D334" i="15"/>
  <c r="D335" i="15"/>
  <c r="D336" i="15"/>
  <c r="D358" i="15"/>
  <c r="D337" i="15"/>
  <c r="D341" i="15"/>
  <c r="D359" i="15"/>
  <c r="D299" i="15"/>
  <c r="E346" i="15"/>
  <c r="E332" i="15"/>
  <c r="E333" i="15"/>
  <c r="E334" i="15"/>
  <c r="E335" i="15"/>
  <c r="E336" i="15"/>
  <c r="E358" i="15"/>
  <c r="E337" i="15"/>
  <c r="E341" i="15"/>
  <c r="E359" i="15"/>
  <c r="E299" i="15"/>
  <c r="F346" i="15"/>
  <c r="F332" i="15"/>
  <c r="F333" i="15"/>
  <c r="F334" i="15"/>
  <c r="F335" i="15"/>
  <c r="F336" i="15"/>
  <c r="F358" i="15"/>
  <c r="F337" i="15"/>
  <c r="F341" i="15"/>
  <c r="F359" i="15"/>
  <c r="F299" i="15"/>
  <c r="G346" i="15"/>
  <c r="G332" i="15"/>
  <c r="G333" i="15"/>
  <c r="G334" i="15"/>
  <c r="G335" i="15"/>
  <c r="G336" i="15"/>
  <c r="G358" i="15"/>
  <c r="G337" i="15"/>
  <c r="G341" i="15"/>
  <c r="G359" i="15"/>
  <c r="G299" i="15"/>
  <c r="H346" i="15"/>
  <c r="H332" i="15"/>
  <c r="H333" i="15"/>
  <c r="H334" i="15"/>
  <c r="H335" i="15"/>
  <c r="H336" i="15"/>
  <c r="H358" i="15"/>
  <c r="H337" i="15"/>
  <c r="H341" i="15"/>
  <c r="H359" i="15"/>
  <c r="H299" i="15"/>
  <c r="I346" i="15"/>
  <c r="I332" i="15"/>
  <c r="I333" i="15"/>
  <c r="I334" i="15"/>
  <c r="I335" i="15"/>
  <c r="I336" i="15"/>
  <c r="I358" i="15"/>
  <c r="I337" i="15"/>
  <c r="I341" i="15"/>
  <c r="I359" i="15"/>
  <c r="I299" i="15"/>
  <c r="J346" i="15"/>
  <c r="J332" i="15"/>
  <c r="J333" i="15"/>
  <c r="J334" i="15"/>
  <c r="J335" i="15"/>
  <c r="J336" i="15"/>
  <c r="J358" i="15"/>
  <c r="J337" i="15"/>
  <c r="J341" i="15"/>
  <c r="J359" i="15"/>
  <c r="J299" i="15"/>
  <c r="K346" i="15"/>
  <c r="K332" i="15"/>
  <c r="K333" i="15"/>
  <c r="K334" i="15"/>
  <c r="K335" i="15"/>
  <c r="K336" i="15"/>
  <c r="K358" i="15"/>
  <c r="K337" i="15"/>
  <c r="K341" i="15"/>
  <c r="K359" i="15"/>
  <c r="K299" i="15"/>
  <c r="Q346" i="15"/>
  <c r="Q332" i="15"/>
  <c r="Q333" i="15"/>
  <c r="Q334" i="15"/>
  <c r="Q335" i="15"/>
  <c r="Q336" i="15"/>
  <c r="Q358" i="15"/>
  <c r="Q337" i="15"/>
  <c r="Q341" i="15"/>
  <c r="Q359" i="15"/>
  <c r="Q299" i="15"/>
  <c r="S346" i="15"/>
  <c r="S332" i="15"/>
  <c r="S333" i="15"/>
  <c r="S334" i="15"/>
  <c r="S335" i="15"/>
  <c r="S336" i="15"/>
  <c r="S358" i="15"/>
  <c r="S337" i="15"/>
  <c r="S341" i="15"/>
  <c r="S359" i="15"/>
  <c r="S299" i="15"/>
  <c r="T346" i="15"/>
  <c r="T332" i="15"/>
  <c r="T333" i="15"/>
  <c r="T334" i="15"/>
  <c r="T335" i="15"/>
  <c r="T336" i="15"/>
  <c r="T358" i="15"/>
  <c r="T337" i="15"/>
  <c r="T341" i="15"/>
  <c r="T359" i="15"/>
  <c r="T299" i="15"/>
  <c r="U346" i="15"/>
  <c r="U332" i="15"/>
  <c r="U333" i="15"/>
  <c r="U334" i="15"/>
  <c r="U335" i="15"/>
  <c r="U336" i="15"/>
  <c r="U358" i="15"/>
  <c r="U337" i="15"/>
  <c r="U341" i="15"/>
  <c r="U359" i="15"/>
  <c r="U299" i="15"/>
  <c r="V346" i="15"/>
  <c r="V332" i="15"/>
  <c r="V333" i="15"/>
  <c r="V334" i="15"/>
  <c r="V335" i="15"/>
  <c r="V336" i="15"/>
  <c r="V358" i="15"/>
  <c r="V337" i="15"/>
  <c r="V341" i="15"/>
  <c r="V359" i="15"/>
  <c r="V299" i="15"/>
  <c r="W346" i="15"/>
  <c r="W332" i="15"/>
  <c r="W333" i="15"/>
  <c r="W334" i="15"/>
  <c r="W335" i="15"/>
  <c r="W336" i="15"/>
  <c r="W358" i="15"/>
  <c r="W337" i="15"/>
  <c r="W341" i="15"/>
  <c r="W359" i="15"/>
  <c r="W299" i="15"/>
  <c r="X346" i="15"/>
  <c r="X332" i="15"/>
  <c r="X333" i="15"/>
  <c r="X334" i="15"/>
  <c r="X335" i="15"/>
  <c r="X336" i="15"/>
  <c r="X358" i="15"/>
  <c r="X337" i="15"/>
  <c r="X341" i="15"/>
  <c r="X359" i="15"/>
  <c r="X299" i="15"/>
  <c r="A323" i="15"/>
  <c r="A324" i="15"/>
  <c r="A325" i="15"/>
  <c r="A326" i="15"/>
  <c r="A327" i="15"/>
  <c r="A328" i="15"/>
  <c r="A329" i="15"/>
  <c r="A330" i="15"/>
  <c r="A331" i="15"/>
  <c r="A268" i="15"/>
  <c r="A269" i="15"/>
  <c r="A342" i="15"/>
  <c r="A343" i="15"/>
  <c r="B323" i="15"/>
  <c r="B324" i="15"/>
  <c r="B325" i="15"/>
  <c r="B326" i="15"/>
  <c r="B327" i="15"/>
  <c r="B328" i="15"/>
  <c r="B329" i="15"/>
  <c r="B330" i="15"/>
  <c r="B331" i="15"/>
  <c r="B268" i="15"/>
  <c r="B269" i="15"/>
  <c r="B342" i="15"/>
  <c r="B343" i="15"/>
  <c r="C323" i="15"/>
  <c r="C324" i="15"/>
  <c r="C325" i="15"/>
  <c r="C326" i="15"/>
  <c r="C327" i="15"/>
  <c r="C328" i="15"/>
  <c r="C329" i="15"/>
  <c r="C330" i="15"/>
  <c r="C331" i="15"/>
  <c r="C268" i="15"/>
  <c r="C269" i="15"/>
  <c r="C342" i="15"/>
  <c r="C343" i="15"/>
  <c r="D323" i="15"/>
  <c r="D324" i="15"/>
  <c r="D325" i="15"/>
  <c r="D326" i="15"/>
  <c r="D327" i="15"/>
  <c r="D328" i="15"/>
  <c r="D329" i="15"/>
  <c r="D330" i="15"/>
  <c r="D331" i="15"/>
  <c r="D268" i="15"/>
  <c r="D269" i="15"/>
  <c r="D342" i="15"/>
  <c r="D343" i="15"/>
  <c r="E323" i="15"/>
  <c r="E324" i="15"/>
  <c r="E325" i="15"/>
  <c r="E326" i="15"/>
  <c r="E327" i="15"/>
  <c r="E328" i="15"/>
  <c r="E329" i="15"/>
  <c r="E330" i="15"/>
  <c r="E331" i="15"/>
  <c r="E268" i="15"/>
  <c r="E269" i="15"/>
  <c r="E342" i="15"/>
  <c r="E343" i="15"/>
  <c r="F323" i="15"/>
  <c r="F324" i="15"/>
  <c r="F325" i="15"/>
  <c r="F326" i="15"/>
  <c r="F327" i="15"/>
  <c r="F328" i="15"/>
  <c r="F329" i="15"/>
  <c r="F330" i="15"/>
  <c r="F331" i="15"/>
  <c r="F268" i="15"/>
  <c r="F269" i="15"/>
  <c r="F342" i="15"/>
  <c r="F343" i="15"/>
  <c r="G323" i="15"/>
  <c r="G324" i="15"/>
  <c r="G325" i="15"/>
  <c r="G326" i="15"/>
  <c r="G327" i="15"/>
  <c r="G328" i="15"/>
  <c r="G329" i="15"/>
  <c r="G330" i="15"/>
  <c r="G331" i="15"/>
  <c r="G268" i="15"/>
  <c r="G269" i="15"/>
  <c r="G342" i="15"/>
  <c r="G343" i="15"/>
  <c r="H323" i="15"/>
  <c r="H324" i="15"/>
  <c r="H325" i="15"/>
  <c r="H326" i="15"/>
  <c r="H327" i="15"/>
  <c r="H328" i="15"/>
  <c r="H329" i="15"/>
  <c r="H330" i="15"/>
  <c r="H331" i="15"/>
  <c r="H268" i="15"/>
  <c r="H269" i="15"/>
  <c r="H342" i="15"/>
  <c r="H343" i="15"/>
  <c r="I323" i="15"/>
  <c r="I324" i="15"/>
  <c r="I325" i="15"/>
  <c r="I326" i="15"/>
  <c r="I327" i="15"/>
  <c r="I328" i="15"/>
  <c r="I329" i="15"/>
  <c r="I330" i="15"/>
  <c r="I331" i="15"/>
  <c r="I268" i="15"/>
  <c r="I269" i="15"/>
  <c r="I342" i="15"/>
  <c r="I343" i="15"/>
  <c r="J323" i="15"/>
  <c r="J324" i="15"/>
  <c r="J325" i="15"/>
  <c r="J326" i="15"/>
  <c r="J327" i="15"/>
  <c r="J328" i="15"/>
  <c r="J329" i="15"/>
  <c r="J330" i="15"/>
  <c r="J331" i="15"/>
  <c r="J268" i="15"/>
  <c r="J269" i="15"/>
  <c r="J342" i="15"/>
  <c r="J343" i="15"/>
  <c r="K323" i="15"/>
  <c r="K324" i="15"/>
  <c r="K325" i="15"/>
  <c r="K326" i="15"/>
  <c r="K327" i="15"/>
  <c r="K328" i="15"/>
  <c r="K329" i="15"/>
  <c r="K330" i="15"/>
  <c r="K331" i="15"/>
  <c r="K268" i="15"/>
  <c r="K269" i="15"/>
  <c r="K342" i="15"/>
  <c r="K343" i="15"/>
  <c r="Q323" i="15"/>
  <c r="Q324" i="15"/>
  <c r="Q325" i="15"/>
  <c r="Q326" i="15"/>
  <c r="Q327" i="15"/>
  <c r="Q328" i="15"/>
  <c r="Q329" i="15"/>
  <c r="Q330" i="15"/>
  <c r="Q331" i="15"/>
  <c r="Q268" i="15"/>
  <c r="Q269" i="15"/>
  <c r="Q342" i="15"/>
  <c r="Q343" i="15"/>
  <c r="S323" i="15"/>
  <c r="S324" i="15"/>
  <c r="S325" i="15"/>
  <c r="S326" i="15"/>
  <c r="S327" i="15"/>
  <c r="S328" i="15"/>
  <c r="S329" i="15"/>
  <c r="S330" i="15"/>
  <c r="S331" i="15"/>
  <c r="S268" i="15"/>
  <c r="S269" i="15"/>
  <c r="S342" i="15"/>
  <c r="S343" i="15"/>
  <c r="T323" i="15"/>
  <c r="T324" i="15"/>
  <c r="T325" i="15"/>
  <c r="T326" i="15"/>
  <c r="T327" i="15"/>
  <c r="T328" i="15"/>
  <c r="T329" i="15"/>
  <c r="T330" i="15"/>
  <c r="T331" i="15"/>
  <c r="T268" i="15"/>
  <c r="T269" i="15"/>
  <c r="T342" i="15"/>
  <c r="T343" i="15"/>
  <c r="U323" i="15"/>
  <c r="U324" i="15"/>
  <c r="U325" i="15"/>
  <c r="U326" i="15"/>
  <c r="U327" i="15"/>
  <c r="U328" i="15"/>
  <c r="U329" i="15"/>
  <c r="U330" i="15"/>
  <c r="U331" i="15"/>
  <c r="U268" i="15"/>
  <c r="U269" i="15"/>
  <c r="U342" i="15"/>
  <c r="U343" i="15"/>
  <c r="V323" i="15"/>
  <c r="V324" i="15"/>
  <c r="V325" i="15"/>
  <c r="V326" i="15"/>
  <c r="V327" i="15"/>
  <c r="V328" i="15"/>
  <c r="V329" i="15"/>
  <c r="V330" i="15"/>
  <c r="V331" i="15"/>
  <c r="V268" i="15"/>
  <c r="V269" i="15"/>
  <c r="V342" i="15"/>
  <c r="V343" i="15"/>
  <c r="W323" i="15"/>
  <c r="W324" i="15"/>
  <c r="W325" i="15"/>
  <c r="W326" i="15"/>
  <c r="W327" i="15"/>
  <c r="W328" i="15"/>
  <c r="W329" i="15"/>
  <c r="W330" i="15"/>
  <c r="W331" i="15"/>
  <c r="W268" i="15"/>
  <c r="W269" i="15"/>
  <c r="W342" i="15"/>
  <c r="W343" i="15"/>
  <c r="X323" i="15"/>
  <c r="X324" i="15"/>
  <c r="X325" i="15"/>
  <c r="X326" i="15"/>
  <c r="X327" i="15"/>
  <c r="X328" i="15"/>
  <c r="X329" i="15"/>
  <c r="X330" i="15"/>
  <c r="X331" i="15"/>
  <c r="X268" i="15"/>
  <c r="X269" i="15"/>
  <c r="X342" i="15"/>
  <c r="X343" i="15"/>
  <c r="A253" i="14"/>
  <c r="A254" i="14"/>
  <c r="A317" i="14"/>
  <c r="A318" i="14"/>
  <c r="A319" i="14"/>
  <c r="A320" i="14"/>
  <c r="A321" i="14"/>
  <c r="A322" i="14"/>
  <c r="A323" i="14"/>
  <c r="A324" i="14"/>
  <c r="A325" i="14"/>
  <c r="A326" i="14"/>
  <c r="A327" i="14"/>
  <c r="B253" i="14"/>
  <c r="B254" i="14"/>
  <c r="B317" i="14"/>
  <c r="B318" i="14"/>
  <c r="B319" i="14"/>
  <c r="B320" i="14"/>
  <c r="B321" i="14"/>
  <c r="B322" i="14"/>
  <c r="B323" i="14"/>
  <c r="B324" i="14"/>
  <c r="B325" i="14"/>
  <c r="B326" i="14"/>
  <c r="B327" i="14"/>
  <c r="C253" i="14"/>
  <c r="C254" i="14"/>
  <c r="C317" i="14"/>
  <c r="C318" i="14"/>
  <c r="C319" i="14"/>
  <c r="C320" i="14"/>
  <c r="C321" i="14"/>
  <c r="C322" i="14"/>
  <c r="C323" i="14"/>
  <c r="C324" i="14"/>
  <c r="C325" i="14"/>
  <c r="C326" i="14"/>
  <c r="C327" i="14"/>
  <c r="D253" i="14"/>
  <c r="D254" i="14"/>
  <c r="D317" i="14"/>
  <c r="D318" i="14"/>
  <c r="D319" i="14"/>
  <c r="D320" i="14"/>
  <c r="D321" i="14"/>
  <c r="D322" i="14"/>
  <c r="D323" i="14"/>
  <c r="D324" i="14"/>
  <c r="D325" i="14"/>
  <c r="D326" i="14"/>
  <c r="D327" i="14"/>
  <c r="E253" i="14"/>
  <c r="E254" i="14"/>
  <c r="E317" i="14"/>
  <c r="E318" i="14"/>
  <c r="E319" i="14"/>
  <c r="E320" i="14"/>
  <c r="E321" i="14"/>
  <c r="E322" i="14"/>
  <c r="E323" i="14"/>
  <c r="E324" i="14"/>
  <c r="E325" i="14"/>
  <c r="E326" i="14"/>
  <c r="E327" i="14"/>
  <c r="F253" i="14"/>
  <c r="F254" i="14"/>
  <c r="F317" i="14"/>
  <c r="F318" i="14"/>
  <c r="F319" i="14"/>
  <c r="F320" i="14"/>
  <c r="F321" i="14"/>
  <c r="F322" i="14"/>
  <c r="F323" i="14"/>
  <c r="F324" i="14"/>
  <c r="F325" i="14"/>
  <c r="F326" i="14"/>
  <c r="F327" i="14"/>
  <c r="G253" i="14"/>
  <c r="G254" i="14"/>
  <c r="G317" i="14"/>
  <c r="G318" i="14"/>
  <c r="G319" i="14"/>
  <c r="G320" i="14"/>
  <c r="G321" i="14"/>
  <c r="G322" i="14"/>
  <c r="G323" i="14"/>
  <c r="G324" i="14"/>
  <c r="G325" i="14"/>
  <c r="G326" i="14"/>
  <c r="G327" i="14"/>
  <c r="H253" i="14"/>
  <c r="H254" i="14"/>
  <c r="H317" i="14"/>
  <c r="H318" i="14"/>
  <c r="H319" i="14"/>
  <c r="H320" i="14"/>
  <c r="H321" i="14"/>
  <c r="H322" i="14"/>
  <c r="H323" i="14"/>
  <c r="H324" i="14"/>
  <c r="H325" i="14"/>
  <c r="H326" i="14"/>
  <c r="H327" i="14"/>
  <c r="I253" i="14"/>
  <c r="I254" i="14"/>
  <c r="I317" i="14"/>
  <c r="I318" i="14"/>
  <c r="I319" i="14"/>
  <c r="I320" i="14"/>
  <c r="I321" i="14"/>
  <c r="I322" i="14"/>
  <c r="I323" i="14"/>
  <c r="I324" i="14"/>
  <c r="I325" i="14"/>
  <c r="I326" i="14"/>
  <c r="I327" i="14"/>
  <c r="J253" i="14"/>
  <c r="J254" i="14"/>
  <c r="J317" i="14"/>
  <c r="J318" i="14"/>
  <c r="J319" i="14"/>
  <c r="J320" i="14"/>
  <c r="J321" i="14"/>
  <c r="J322" i="14"/>
  <c r="J323" i="14"/>
  <c r="J324" i="14"/>
  <c r="J325" i="14"/>
  <c r="J326" i="14"/>
  <c r="J327" i="14"/>
  <c r="K253" i="14"/>
  <c r="K254" i="14"/>
  <c r="K317" i="14"/>
  <c r="K318" i="14"/>
  <c r="K319" i="14"/>
  <c r="K320" i="14"/>
  <c r="K321" i="14"/>
  <c r="K322" i="14"/>
  <c r="K323" i="14"/>
  <c r="K324" i="14"/>
  <c r="K325" i="14"/>
  <c r="K326" i="14"/>
  <c r="K327" i="14"/>
  <c r="Q253" i="14"/>
  <c r="Q254" i="14"/>
  <c r="Q317" i="14"/>
  <c r="Q318" i="14"/>
  <c r="Q319" i="14"/>
  <c r="Q320" i="14"/>
  <c r="Q321" i="14"/>
  <c r="Q322" i="14"/>
  <c r="Q323" i="14"/>
  <c r="Q324" i="14"/>
  <c r="Q325" i="14"/>
  <c r="Q326" i="14"/>
  <c r="Q327" i="14"/>
  <c r="S253" i="14"/>
  <c r="S254" i="14"/>
  <c r="S317" i="14"/>
  <c r="S318" i="14"/>
  <c r="S319" i="14"/>
  <c r="S320" i="14"/>
  <c r="S321" i="14"/>
  <c r="S322" i="14"/>
  <c r="S323" i="14"/>
  <c r="S324" i="14"/>
  <c r="S325" i="14"/>
  <c r="S326" i="14"/>
  <c r="S327" i="14"/>
  <c r="T253" i="14"/>
  <c r="T254" i="14"/>
  <c r="T317" i="14"/>
  <c r="T318" i="14"/>
  <c r="T319" i="14"/>
  <c r="T320" i="14"/>
  <c r="T321" i="14"/>
  <c r="T322" i="14"/>
  <c r="T323" i="14"/>
  <c r="T324" i="14"/>
  <c r="T325" i="14"/>
  <c r="T326" i="14"/>
  <c r="T327" i="14"/>
  <c r="U253" i="14"/>
  <c r="U254" i="14"/>
  <c r="U317" i="14"/>
  <c r="U318" i="14"/>
  <c r="U319" i="14"/>
  <c r="U320" i="14"/>
  <c r="U321" i="14"/>
  <c r="U322" i="14"/>
  <c r="U323" i="14"/>
  <c r="U324" i="14"/>
  <c r="U325" i="14"/>
  <c r="U326" i="14"/>
  <c r="U327" i="14"/>
  <c r="V253" i="14"/>
  <c r="V254" i="14"/>
  <c r="V317" i="14"/>
  <c r="V318" i="14"/>
  <c r="V319" i="14"/>
  <c r="V320" i="14"/>
  <c r="V321" i="14"/>
  <c r="V322" i="14"/>
  <c r="V323" i="14"/>
  <c r="V324" i="14"/>
  <c r="V325" i="14"/>
  <c r="V326" i="14"/>
  <c r="V327" i="14"/>
  <c r="W253" i="14"/>
  <c r="W254" i="14"/>
  <c r="W317" i="14"/>
  <c r="W318" i="14"/>
  <c r="W319" i="14"/>
  <c r="W320" i="14"/>
  <c r="W321" i="14"/>
  <c r="W322" i="14"/>
  <c r="W323" i="14"/>
  <c r="W324" i="14"/>
  <c r="W325" i="14"/>
  <c r="W326" i="14"/>
  <c r="W327" i="14"/>
  <c r="X253" i="14"/>
  <c r="X254" i="14"/>
  <c r="X317" i="14"/>
  <c r="X318" i="14"/>
  <c r="X319" i="14"/>
  <c r="X320" i="14"/>
  <c r="X321" i="14"/>
  <c r="X322" i="14"/>
  <c r="X323" i="14"/>
  <c r="X324" i="14"/>
  <c r="X325" i="14"/>
  <c r="X326" i="14"/>
  <c r="X327" i="14"/>
  <c r="P15" i="13"/>
  <c r="B56" i="13"/>
  <c r="B39" i="13"/>
  <c r="H32" i="13"/>
  <c r="H53" i="13"/>
  <c r="H52" i="13"/>
  <c r="H51" i="13"/>
  <c r="H54" i="13"/>
  <c r="H49" i="13"/>
  <c r="H48" i="13"/>
  <c r="H46" i="13"/>
  <c r="H45" i="13"/>
  <c r="J44" i="13"/>
  <c r="H43" i="13"/>
  <c r="C43" i="13"/>
  <c r="H42" i="13"/>
  <c r="X2" i="16"/>
  <c r="X3" i="16"/>
  <c r="X4" i="16"/>
  <c r="X5" i="16"/>
  <c r="X6" i="16"/>
  <c r="X7" i="16"/>
  <c r="X8" i="16"/>
  <c r="X9" i="16"/>
  <c r="X10" i="16"/>
  <c r="X11" i="16"/>
  <c r="X12" i="16"/>
  <c r="X13" i="16"/>
  <c r="X14" i="16"/>
  <c r="X15" i="16"/>
  <c r="X16" i="16"/>
  <c r="X17" i="16"/>
  <c r="X18" i="16"/>
  <c r="X19" i="16"/>
  <c r="X20" i="16"/>
  <c r="X21" i="16"/>
  <c r="X22" i="16"/>
  <c r="X23" i="16"/>
  <c r="X24" i="16"/>
  <c r="X25" i="16"/>
  <c r="X26" i="16"/>
  <c r="X27" i="16"/>
  <c r="X28" i="16"/>
  <c r="X29" i="16"/>
  <c r="X30" i="16"/>
  <c r="X31" i="16"/>
  <c r="X32" i="16"/>
  <c r="X33" i="16"/>
  <c r="X34" i="16"/>
  <c r="X35" i="16"/>
  <c r="X36" i="16"/>
  <c r="X37" i="16"/>
  <c r="X38" i="16"/>
  <c r="X39" i="16"/>
  <c r="X40" i="16"/>
  <c r="X41" i="16"/>
  <c r="X42" i="16"/>
  <c r="X43" i="16"/>
  <c r="X44" i="16"/>
  <c r="X45" i="16"/>
  <c r="X46" i="16"/>
  <c r="X47" i="16"/>
  <c r="X48" i="16"/>
  <c r="X49" i="16"/>
  <c r="X50" i="16"/>
  <c r="X51" i="16"/>
  <c r="X52" i="16"/>
  <c r="X53" i="16"/>
  <c r="X54" i="16"/>
  <c r="X55" i="16"/>
  <c r="X56" i="16"/>
  <c r="X57" i="16"/>
  <c r="X58" i="16"/>
  <c r="X59" i="16"/>
  <c r="X60" i="16"/>
  <c r="X61" i="16"/>
  <c r="X62" i="16"/>
  <c r="X63" i="16"/>
  <c r="X64" i="16"/>
  <c r="X65" i="16"/>
  <c r="X66" i="16"/>
  <c r="X67" i="16"/>
  <c r="X68" i="16"/>
  <c r="X69" i="16"/>
  <c r="X70" i="16"/>
  <c r="X71" i="16"/>
  <c r="X72" i="16"/>
  <c r="X73" i="16"/>
  <c r="X74" i="16"/>
  <c r="X75" i="16"/>
  <c r="X76" i="16"/>
  <c r="X77" i="16"/>
  <c r="X78" i="16"/>
  <c r="X79" i="16"/>
  <c r="X80" i="16"/>
  <c r="X81" i="16"/>
  <c r="X82" i="16"/>
  <c r="X83" i="16"/>
  <c r="X84" i="16"/>
  <c r="X85" i="16"/>
  <c r="X86" i="16"/>
  <c r="X87" i="16"/>
  <c r="X88" i="16"/>
  <c r="X89" i="16"/>
  <c r="X90" i="16"/>
  <c r="X91" i="16"/>
  <c r="X92" i="16"/>
  <c r="X93" i="16"/>
  <c r="X94" i="16"/>
  <c r="X95" i="16"/>
  <c r="X96" i="16"/>
  <c r="X97" i="16"/>
  <c r="X98" i="16"/>
  <c r="X99" i="16"/>
  <c r="X100" i="16"/>
  <c r="X101" i="16"/>
  <c r="X102" i="16"/>
  <c r="X103" i="16"/>
  <c r="X104" i="16"/>
  <c r="X105" i="16"/>
  <c r="X106" i="16"/>
  <c r="X107" i="16"/>
  <c r="X108" i="16"/>
  <c r="X109" i="16"/>
  <c r="X110" i="16"/>
  <c r="X111" i="16"/>
  <c r="X112" i="16"/>
  <c r="X113" i="16"/>
  <c r="X114" i="16"/>
  <c r="X115" i="16"/>
  <c r="X116" i="16"/>
  <c r="X117" i="16"/>
  <c r="X118" i="16"/>
  <c r="X119" i="16"/>
  <c r="X120" i="16"/>
  <c r="X121" i="16"/>
  <c r="X122" i="16"/>
  <c r="X123" i="16"/>
  <c r="X124" i="16"/>
  <c r="X125" i="16"/>
  <c r="X126" i="16"/>
  <c r="X127" i="16"/>
  <c r="X128" i="16"/>
  <c r="X129" i="16"/>
  <c r="X130" i="16"/>
  <c r="X131" i="16"/>
  <c r="X132" i="16"/>
  <c r="X133" i="16"/>
  <c r="X134" i="16"/>
  <c r="X135" i="16"/>
  <c r="X136" i="16"/>
  <c r="X137" i="16"/>
  <c r="X138" i="16"/>
  <c r="X139" i="16"/>
  <c r="X140" i="16"/>
  <c r="X141" i="16"/>
  <c r="X142" i="16"/>
  <c r="X143" i="16"/>
  <c r="X144" i="16"/>
  <c r="X145" i="16"/>
  <c r="X146" i="16"/>
  <c r="X147" i="16"/>
  <c r="X148" i="16"/>
  <c r="X149" i="16"/>
  <c r="X150" i="16"/>
  <c r="X151" i="16"/>
  <c r="X152" i="16"/>
  <c r="X153" i="16"/>
  <c r="X154" i="16"/>
  <c r="X155" i="16"/>
  <c r="X156" i="16"/>
  <c r="X157" i="16"/>
  <c r="X158" i="16"/>
  <c r="X159" i="16"/>
  <c r="X160" i="16"/>
  <c r="X161" i="16"/>
  <c r="X162" i="16"/>
  <c r="X163" i="16"/>
  <c r="X164" i="16"/>
  <c r="X165" i="16"/>
  <c r="X166" i="16"/>
  <c r="X167" i="16"/>
  <c r="X168" i="16"/>
  <c r="X169" i="16"/>
  <c r="X170" i="16"/>
  <c r="X171" i="16"/>
  <c r="X172" i="16"/>
  <c r="X173" i="16"/>
  <c r="X174" i="16"/>
  <c r="X175" i="16"/>
  <c r="X176" i="16"/>
  <c r="X177" i="16"/>
  <c r="X178" i="16"/>
  <c r="X179" i="16"/>
  <c r="X180" i="16"/>
  <c r="X181" i="16"/>
  <c r="X182" i="16"/>
  <c r="X183" i="16"/>
  <c r="X184" i="16"/>
  <c r="X185" i="16"/>
  <c r="X186" i="16"/>
  <c r="X187" i="16"/>
  <c r="X188" i="16"/>
  <c r="X189" i="16"/>
  <c r="X190" i="16"/>
  <c r="X191" i="16"/>
  <c r="X192" i="16"/>
  <c r="X193" i="16"/>
  <c r="X194" i="16"/>
  <c r="X195" i="16"/>
  <c r="X196" i="16"/>
  <c r="X197" i="16"/>
  <c r="X198" i="16"/>
  <c r="X199" i="16"/>
  <c r="X200" i="16"/>
  <c r="X201" i="16"/>
  <c r="X202" i="16"/>
  <c r="X203" i="16"/>
  <c r="X204" i="16"/>
  <c r="X205" i="16"/>
  <c r="X206" i="16"/>
  <c r="X207" i="16"/>
  <c r="X208" i="16"/>
  <c r="X209" i="16"/>
  <c r="X210" i="16"/>
  <c r="X211" i="16"/>
  <c r="X212" i="16"/>
  <c r="X213" i="16"/>
  <c r="X214" i="16"/>
  <c r="X215" i="16"/>
  <c r="X216" i="16"/>
  <c r="X217" i="16"/>
  <c r="X218" i="16"/>
  <c r="X219" i="16"/>
  <c r="X220" i="16"/>
  <c r="X221" i="16"/>
  <c r="X222" i="16"/>
  <c r="X223" i="16"/>
  <c r="X224" i="16"/>
  <c r="X225" i="16"/>
  <c r="X226" i="16"/>
  <c r="X227" i="16"/>
  <c r="X228" i="16"/>
  <c r="X229" i="16"/>
  <c r="X230" i="16"/>
  <c r="X231" i="16"/>
  <c r="X232" i="16"/>
  <c r="X235" i="16"/>
  <c r="X236" i="16"/>
  <c r="X237" i="16"/>
  <c r="X238" i="16"/>
  <c r="X239" i="16"/>
  <c r="X240" i="16"/>
  <c r="X241" i="16"/>
  <c r="X242" i="16"/>
  <c r="X243" i="16"/>
  <c r="X244" i="16"/>
  <c r="X245" i="16"/>
  <c r="X246" i="16"/>
  <c r="X247" i="16"/>
  <c r="X248" i="16"/>
  <c r="X249" i="16"/>
  <c r="X250" i="16"/>
  <c r="X251" i="16"/>
  <c r="X252" i="16"/>
  <c r="X253" i="16"/>
  <c r="X254" i="16"/>
  <c r="X255" i="16"/>
  <c r="X256" i="16"/>
  <c r="X257" i="16"/>
  <c r="X258" i="16"/>
  <c r="X259" i="16"/>
  <c r="X260" i="16"/>
  <c r="X261" i="16"/>
  <c r="X262" i="16"/>
  <c r="X263" i="16"/>
  <c r="X264" i="16"/>
  <c r="X265" i="16"/>
  <c r="X266" i="16"/>
  <c r="X267" i="16"/>
  <c r="X268" i="16"/>
  <c r="X269" i="16"/>
  <c r="X270" i="16"/>
  <c r="X271" i="16"/>
  <c r="X272" i="16"/>
  <c r="X273" i="16"/>
  <c r="X274" i="16"/>
  <c r="X275" i="16"/>
  <c r="X276" i="16"/>
  <c r="X277" i="16"/>
  <c r="X278" i="16"/>
  <c r="X279" i="16"/>
  <c r="X280" i="16"/>
  <c r="X281" i="16"/>
  <c r="X282" i="16"/>
  <c r="X283" i="16"/>
  <c r="X284" i="16"/>
  <c r="X285" i="16"/>
  <c r="X286" i="16"/>
  <c r="X287" i="16"/>
  <c r="X288" i="16"/>
  <c r="X289" i="16"/>
  <c r="X290" i="16"/>
  <c r="X291" i="16"/>
  <c r="X292" i="16"/>
  <c r="X293" i="16"/>
  <c r="X294" i="16"/>
  <c r="X295" i="16"/>
  <c r="X296" i="16"/>
  <c r="X297" i="16"/>
  <c r="X298" i="16"/>
  <c r="X299" i="16"/>
  <c r="X300" i="16"/>
  <c r="X301" i="16"/>
  <c r="X302" i="16"/>
  <c r="X303" i="16"/>
  <c r="X304" i="16"/>
  <c r="X305" i="16"/>
  <c r="X306" i="16"/>
  <c r="X307" i="16"/>
  <c r="X308" i="16"/>
  <c r="X325" i="16"/>
  <c r="X326" i="16"/>
  <c r="X327" i="16"/>
  <c r="X328" i="16"/>
  <c r="X348" i="16"/>
  <c r="X349" i="16"/>
  <c r="X350" i="16"/>
  <c r="X351" i="16"/>
  <c r="X352" i="16"/>
  <c r="X353" i="16"/>
  <c r="X354" i="16"/>
  <c r="X355" i="16"/>
  <c r="X356" i="16"/>
  <c r="X357" i="16"/>
  <c r="X358" i="16"/>
  <c r="X359" i="16"/>
  <c r="X2" i="15"/>
  <c r="X3" i="15"/>
  <c r="X4" i="15"/>
  <c r="X5" i="15"/>
  <c r="X6" i="15"/>
  <c r="X7" i="15"/>
  <c r="X8" i="15"/>
  <c r="X14" i="15"/>
  <c r="X16" i="15"/>
  <c r="X54" i="15"/>
  <c r="X18" i="15"/>
  <c r="X20" i="15"/>
  <c r="X23" i="15"/>
  <c r="X9" i="15"/>
  <c r="X10" i="15"/>
  <c r="X11" i="15"/>
  <c r="X12" i="15"/>
  <c r="X13" i="15"/>
  <c r="X303" i="15"/>
  <c r="X357" i="15"/>
  <c r="X17" i="15"/>
  <c r="X19" i="15"/>
  <c r="X21" i="15"/>
  <c r="X22" i="15"/>
  <c r="X15" i="15"/>
  <c r="X27" i="15"/>
  <c r="X29" i="15"/>
  <c r="X30" i="15"/>
  <c r="X31" i="15"/>
  <c r="X33" i="15"/>
  <c r="X34" i="15"/>
  <c r="X35" i="15"/>
  <c r="X36" i="15"/>
  <c r="X37" i="15"/>
  <c r="X38" i="15"/>
  <c r="X39" i="15"/>
  <c r="X40" i="15"/>
  <c r="X41" i="15"/>
  <c r="X28" i="15"/>
  <c r="X32" i="15"/>
  <c r="X55" i="15"/>
  <c r="X24" i="15"/>
  <c r="X25" i="15"/>
  <c r="X26" i="15"/>
  <c r="X56" i="15"/>
  <c r="X57" i="15"/>
  <c r="X42" i="15"/>
  <c r="X44" i="15"/>
  <c r="X46" i="15"/>
  <c r="X50" i="15"/>
  <c r="X51" i="15"/>
  <c r="X52" i="15"/>
  <c r="X53" i="15"/>
  <c r="X43" i="15"/>
  <c r="X45" i="15"/>
  <c r="X47" i="15"/>
  <c r="X48" i="15"/>
  <c r="X49" i="15"/>
  <c r="X59" i="15"/>
  <c r="X60" i="15"/>
  <c r="X61" i="15"/>
  <c r="X62" i="15"/>
  <c r="X64" i="15"/>
  <c r="X65" i="15"/>
  <c r="X102" i="15"/>
  <c r="X66" i="15"/>
  <c r="X67" i="15"/>
  <c r="X68" i="15"/>
  <c r="X58" i="15"/>
  <c r="X63" i="15"/>
  <c r="X109" i="15"/>
  <c r="X74" i="15"/>
  <c r="X75" i="15"/>
  <c r="X76" i="15"/>
  <c r="X77" i="15"/>
  <c r="X78" i="15"/>
  <c r="X79" i="15"/>
  <c r="X80" i="15"/>
  <c r="X81" i="15"/>
  <c r="X82" i="15"/>
  <c r="X83" i="15"/>
  <c r="X85" i="15"/>
  <c r="X90" i="15"/>
  <c r="X91" i="15"/>
  <c r="X93" i="15"/>
  <c r="X95" i="15"/>
  <c r="X70" i="15"/>
  <c r="X71" i="15"/>
  <c r="X73" i="15"/>
  <c r="X104" i="15"/>
  <c r="X105" i="15"/>
  <c r="X106" i="15"/>
  <c r="X107" i="15"/>
  <c r="X108" i="15"/>
  <c r="X110" i="15"/>
  <c r="X72" i="15"/>
  <c r="X112" i="15"/>
  <c r="X113" i="15"/>
  <c r="X115" i="15"/>
  <c r="X84" i="15"/>
  <c r="X116" i="15"/>
  <c r="X117" i="15"/>
  <c r="X86" i="15"/>
  <c r="X87" i="15"/>
  <c r="X88" i="15"/>
  <c r="X89" i="15"/>
  <c r="X92" i="15"/>
  <c r="X94" i="15"/>
  <c r="X96" i="15"/>
  <c r="X97" i="15"/>
  <c r="X69" i="15"/>
  <c r="X103" i="15"/>
  <c r="X111" i="15"/>
  <c r="X114" i="15"/>
  <c r="X100" i="15"/>
  <c r="X101" i="15"/>
  <c r="X195" i="15"/>
  <c r="X98" i="15"/>
  <c r="X99" i="15"/>
  <c r="X125" i="15"/>
  <c r="X128" i="15"/>
  <c r="X130" i="15"/>
  <c r="X141" i="15"/>
  <c r="X122" i="15"/>
  <c r="X123" i="15"/>
  <c r="X124" i="15"/>
  <c r="X126" i="15"/>
  <c r="X127" i="15"/>
  <c r="X129" i="15"/>
  <c r="X131" i="15"/>
  <c r="X132" i="15"/>
  <c r="X133" i="15"/>
  <c r="X134" i="15"/>
  <c r="X135" i="15"/>
  <c r="X136" i="15"/>
  <c r="X137" i="15"/>
  <c r="X138" i="15"/>
  <c r="X139" i="15"/>
  <c r="X160" i="15"/>
  <c r="X140" i="15"/>
  <c r="X162" i="15"/>
  <c r="X142" i="15"/>
  <c r="X164" i="15"/>
  <c r="X165" i="15"/>
  <c r="X143" i="15"/>
  <c r="X167" i="15"/>
  <c r="X144" i="15"/>
  <c r="X145" i="15"/>
  <c r="X146" i="15"/>
  <c r="X147" i="15"/>
  <c r="X172" i="15"/>
  <c r="X148" i="15"/>
  <c r="X149" i="15"/>
  <c r="X150" i="15"/>
  <c r="X151" i="15"/>
  <c r="X152" i="15"/>
  <c r="X153" i="15"/>
  <c r="X154" i="15"/>
  <c r="X155" i="15"/>
  <c r="X156" i="15"/>
  <c r="X157" i="15"/>
  <c r="X158" i="15"/>
  <c r="X159" i="15"/>
  <c r="X161" i="15"/>
  <c r="X163" i="15"/>
  <c r="X166" i="15"/>
  <c r="X168" i="15"/>
  <c r="X169" i="15"/>
  <c r="X171" i="15"/>
  <c r="X173" i="15"/>
  <c r="X174" i="15"/>
  <c r="X183" i="15"/>
  <c r="X184" i="15"/>
  <c r="X185" i="15"/>
  <c r="X186" i="15"/>
  <c r="X187" i="15"/>
  <c r="X191" i="15"/>
  <c r="X192" i="15"/>
  <c r="X193" i="15"/>
  <c r="X182" i="15"/>
  <c r="X188" i="15"/>
  <c r="X189" i="15"/>
  <c r="X190" i="15"/>
  <c r="X118" i="15"/>
  <c r="X120" i="15"/>
  <c r="X194" i="15"/>
  <c r="X196" i="15"/>
  <c r="X197" i="15"/>
  <c r="X121" i="15"/>
  <c r="X198" i="15"/>
  <c r="X199" i="15"/>
  <c r="X200" i="15"/>
  <c r="X201" i="15"/>
  <c r="X202" i="15"/>
  <c r="X203" i="15"/>
  <c r="X205" i="15"/>
  <c r="X206" i="15"/>
  <c r="X207" i="15"/>
  <c r="X208" i="15"/>
  <c r="X209" i="15"/>
  <c r="X210" i="15"/>
  <c r="X211" i="15"/>
  <c r="X212" i="15"/>
  <c r="X213" i="15"/>
  <c r="X214" i="15"/>
  <c r="X215" i="15"/>
  <c r="X216" i="15"/>
  <c r="X217" i="15"/>
  <c r="X218" i="15"/>
  <c r="X219" i="15"/>
  <c r="X220" i="15"/>
  <c r="X221" i="15"/>
  <c r="X222" i="15"/>
  <c r="X223" i="15"/>
  <c r="X224" i="15"/>
  <c r="X225" i="15"/>
  <c r="X226" i="15"/>
  <c r="X119" i="15"/>
  <c r="X204" i="15"/>
  <c r="X170" i="15"/>
  <c r="X175" i="15"/>
  <c r="X176" i="15"/>
  <c r="X177" i="15"/>
  <c r="X178" i="15"/>
  <c r="X179" i="15"/>
  <c r="X180" i="15"/>
  <c r="X181" i="15"/>
  <c r="X228" i="15"/>
  <c r="X229" i="15"/>
  <c r="X304" i="15"/>
  <c r="X231" i="15"/>
  <c r="X232" i="15"/>
  <c r="X233" i="15"/>
  <c r="X234" i="15"/>
  <c r="X235" i="15"/>
  <c r="X238" i="15"/>
  <c r="X305" i="15"/>
  <c r="X306" i="15"/>
  <c r="X307" i="15"/>
  <c r="X308" i="15"/>
  <c r="X309" i="15"/>
  <c r="X312" i="15"/>
  <c r="X313" i="15"/>
  <c r="X246" i="15"/>
  <c r="X315" i="15"/>
  <c r="X316" i="15"/>
  <c r="X248" i="15"/>
  <c r="X249" i="15"/>
  <c r="X250" i="15"/>
  <c r="X251" i="15"/>
  <c r="X230" i="15"/>
  <c r="X247" i="15"/>
  <c r="X256" i="15"/>
  <c r="X255" i="15"/>
  <c r="X257" i="15"/>
  <c r="X258" i="15"/>
  <c r="X259" i="15"/>
  <c r="X260" i="15"/>
  <c r="X261" i="15"/>
  <c r="X262" i="15"/>
  <c r="X263" i="15"/>
  <c r="X264" i="15"/>
  <c r="X271" i="15"/>
  <c r="X272" i="15"/>
  <c r="X274" i="15"/>
  <c r="X275" i="15"/>
  <c r="X276" i="15"/>
  <c r="X277" i="15"/>
  <c r="X281" i="15"/>
  <c r="X282" i="15"/>
  <c r="X283" i="15"/>
  <c r="X284" i="15"/>
  <c r="X285" i="15"/>
  <c r="X286" i="15"/>
  <c r="X227" i="15"/>
  <c r="X236" i="15"/>
  <c r="X237" i="15"/>
  <c r="X239" i="15"/>
  <c r="X240" i="15"/>
  <c r="X241" i="15"/>
  <c r="X242" i="15"/>
  <c r="X243" i="15"/>
  <c r="X244" i="15"/>
  <c r="X310" i="15"/>
  <c r="X311" i="15"/>
  <c r="X314" i="15"/>
  <c r="X245" i="15"/>
  <c r="X252" i="15"/>
  <c r="X265" i="15"/>
  <c r="X266" i="15"/>
  <c r="X267" i="15"/>
  <c r="X273" i="15"/>
  <c r="X278" i="15"/>
  <c r="X279" i="15"/>
  <c r="X280" i="15"/>
  <c r="X287" i="15"/>
  <c r="X288" i="15"/>
  <c r="X289" i="15"/>
  <c r="X290" i="15"/>
  <c r="X291" i="15"/>
  <c r="X292" i="15"/>
  <c r="X293" i="15"/>
  <c r="X294" i="15"/>
  <c r="X295" i="15"/>
  <c r="X296" i="15"/>
  <c r="X297" i="15"/>
  <c r="X298" i="15"/>
  <c r="X253" i="15"/>
  <c r="X254" i="15"/>
  <c r="X317" i="15"/>
  <c r="X318" i="15"/>
  <c r="X319" i="15"/>
  <c r="X320" i="15"/>
  <c r="X321" i="15"/>
  <c r="X322" i="15"/>
  <c r="X344" i="15"/>
  <c r="X270" i="15"/>
  <c r="X345" i="15"/>
  <c r="X347" i="15"/>
  <c r="X300" i="15"/>
  <c r="X353" i="15"/>
  <c r="X355" i="15"/>
  <c r="X302" i="15"/>
  <c r="X356" i="15"/>
  <c r="C42" i="13"/>
  <c r="H36" i="13"/>
  <c r="H35" i="13"/>
  <c r="H34" i="13"/>
  <c r="H33" i="13"/>
  <c r="C36" i="13"/>
  <c r="C35" i="13"/>
  <c r="C34" i="13"/>
  <c r="C33" i="13"/>
  <c r="H31" i="13"/>
  <c r="H30" i="13"/>
  <c r="H29" i="13"/>
  <c r="H28" i="13"/>
  <c r="C31" i="13"/>
  <c r="C30" i="13"/>
  <c r="C29" i="13"/>
  <c r="C28" i="13"/>
  <c r="H26" i="13"/>
  <c r="H25" i="13"/>
  <c r="H24" i="13"/>
  <c r="H23" i="13"/>
  <c r="C25" i="13"/>
  <c r="C26" i="13"/>
  <c r="C24" i="13"/>
  <c r="C23" i="13"/>
  <c r="H21" i="13"/>
  <c r="H20" i="13"/>
  <c r="H19" i="13"/>
  <c r="H18" i="13"/>
  <c r="C21" i="13"/>
  <c r="C20" i="13"/>
  <c r="C19" i="13"/>
  <c r="C18" i="13"/>
  <c r="H16" i="13"/>
  <c r="H15" i="13"/>
  <c r="H14" i="13"/>
  <c r="H13" i="13"/>
  <c r="C38" i="13"/>
  <c r="H38" i="13"/>
  <c r="H22" i="13"/>
  <c r="H17" i="13"/>
  <c r="H12" i="13"/>
  <c r="C16" i="13"/>
  <c r="C15" i="13"/>
  <c r="C14" i="13"/>
  <c r="C13" i="13"/>
  <c r="H11" i="13"/>
  <c r="H10" i="13"/>
  <c r="H9" i="13"/>
  <c r="H8" i="13"/>
  <c r="H6" i="13"/>
  <c r="C6" i="13"/>
  <c r="H5" i="13"/>
  <c r="C5" i="13"/>
  <c r="H7" i="13"/>
  <c r="A338" i="14"/>
  <c r="B338" i="14"/>
  <c r="C338" i="14"/>
  <c r="D338" i="14"/>
  <c r="E338" i="14"/>
  <c r="F338" i="14"/>
  <c r="G338" i="14"/>
  <c r="H338" i="14"/>
  <c r="I338" i="14"/>
  <c r="J338" i="14"/>
  <c r="K338" i="14"/>
  <c r="Q338" i="14"/>
  <c r="S338" i="14"/>
  <c r="T338" i="14"/>
  <c r="U338" i="14"/>
  <c r="V338" i="14"/>
  <c r="W338" i="14"/>
  <c r="X338" i="14"/>
  <c r="A249" i="14"/>
  <c r="A250" i="14"/>
  <c r="A251" i="14"/>
  <c r="A252" i="14"/>
  <c r="B249" i="14"/>
  <c r="B250" i="14"/>
  <c r="B251" i="14"/>
  <c r="B252" i="14"/>
  <c r="C249" i="14"/>
  <c r="C250" i="14"/>
  <c r="C251" i="14"/>
  <c r="C252" i="14"/>
  <c r="D249" i="14"/>
  <c r="D250" i="14"/>
  <c r="D251" i="14"/>
  <c r="D252" i="14"/>
  <c r="E249" i="14"/>
  <c r="E250" i="14"/>
  <c r="E251" i="14"/>
  <c r="E252" i="14"/>
  <c r="F249" i="14"/>
  <c r="F250" i="14"/>
  <c r="F251" i="14"/>
  <c r="F252" i="14"/>
  <c r="G249" i="14"/>
  <c r="G250" i="14"/>
  <c r="G251" i="14"/>
  <c r="G252" i="14"/>
  <c r="H249" i="14"/>
  <c r="H250" i="14"/>
  <c r="H251" i="14"/>
  <c r="H252" i="14"/>
  <c r="I249" i="14"/>
  <c r="I250" i="14"/>
  <c r="I251" i="14"/>
  <c r="I252" i="14"/>
  <c r="J249" i="14"/>
  <c r="J250" i="14"/>
  <c r="J251" i="14"/>
  <c r="J252" i="14"/>
  <c r="K249" i="14"/>
  <c r="K250" i="14"/>
  <c r="K251" i="14"/>
  <c r="K252" i="14"/>
  <c r="Q249" i="14"/>
  <c r="Q250" i="14"/>
  <c r="Q251" i="14"/>
  <c r="Q252" i="14"/>
  <c r="S249" i="14"/>
  <c r="S250" i="14"/>
  <c r="S251" i="14"/>
  <c r="S252" i="14"/>
  <c r="T249" i="14"/>
  <c r="T250" i="14"/>
  <c r="T251" i="14"/>
  <c r="T252" i="14"/>
  <c r="U249" i="14"/>
  <c r="U250" i="14"/>
  <c r="U251" i="14"/>
  <c r="U252" i="14"/>
  <c r="V249" i="14"/>
  <c r="V250" i="14"/>
  <c r="V251" i="14"/>
  <c r="V252" i="14"/>
  <c r="W249" i="14"/>
  <c r="W250" i="14"/>
  <c r="W251" i="14"/>
  <c r="W252" i="14"/>
  <c r="X249" i="14"/>
  <c r="X250" i="14"/>
  <c r="X251" i="14"/>
  <c r="X252" i="14"/>
  <c r="A328" i="14"/>
  <c r="A329" i="14"/>
  <c r="A330" i="14"/>
  <c r="A331" i="14"/>
  <c r="B328" i="14"/>
  <c r="B329" i="14"/>
  <c r="B330" i="14"/>
  <c r="B331" i="14"/>
  <c r="C328" i="14"/>
  <c r="C329" i="14"/>
  <c r="C330" i="14"/>
  <c r="C331" i="14"/>
  <c r="D328" i="14"/>
  <c r="D329" i="14"/>
  <c r="D330" i="14"/>
  <c r="D331" i="14"/>
  <c r="E328" i="14"/>
  <c r="E329" i="14"/>
  <c r="E330" i="14"/>
  <c r="E331" i="14"/>
  <c r="F328" i="14"/>
  <c r="F329" i="14"/>
  <c r="F330" i="14"/>
  <c r="F331" i="14"/>
  <c r="G328" i="14"/>
  <c r="G329" i="14"/>
  <c r="G330" i="14"/>
  <c r="G331" i="14"/>
  <c r="H328" i="14"/>
  <c r="H329" i="14"/>
  <c r="H330" i="14"/>
  <c r="H331" i="14"/>
  <c r="I328" i="14"/>
  <c r="I329" i="14"/>
  <c r="I330" i="14"/>
  <c r="I331" i="14"/>
  <c r="J328" i="14"/>
  <c r="J329" i="14"/>
  <c r="J330" i="14"/>
  <c r="J331" i="14"/>
  <c r="K328" i="14"/>
  <c r="K329" i="14"/>
  <c r="K330" i="14"/>
  <c r="K331" i="14"/>
  <c r="Q328" i="14"/>
  <c r="Q329" i="14"/>
  <c r="Q330" i="14"/>
  <c r="Q331" i="14"/>
  <c r="S328" i="14"/>
  <c r="S329" i="14"/>
  <c r="S330" i="14"/>
  <c r="S331" i="14"/>
  <c r="T328" i="14"/>
  <c r="T329" i="14"/>
  <c r="T330" i="14"/>
  <c r="T331" i="14"/>
  <c r="U328" i="14"/>
  <c r="U329" i="14"/>
  <c r="U330" i="14"/>
  <c r="U331" i="14"/>
  <c r="V328" i="14"/>
  <c r="V329" i="14"/>
  <c r="V330" i="14"/>
  <c r="V331" i="14"/>
  <c r="W328" i="14"/>
  <c r="W329" i="14"/>
  <c r="W330" i="14"/>
  <c r="W331" i="14"/>
  <c r="X328" i="14"/>
  <c r="X329" i="14"/>
  <c r="X330" i="14"/>
  <c r="X331" i="14"/>
  <c r="A335" i="14"/>
  <c r="B335" i="14"/>
  <c r="C335" i="14"/>
  <c r="D335" i="14"/>
  <c r="E335" i="14"/>
  <c r="F335" i="14"/>
  <c r="G335" i="14"/>
  <c r="H335" i="14"/>
  <c r="I335" i="14"/>
  <c r="J335" i="14"/>
  <c r="K335" i="14"/>
  <c r="Q335" i="14"/>
  <c r="S335" i="14"/>
  <c r="T335" i="14"/>
  <c r="U335" i="14"/>
  <c r="V335" i="14"/>
  <c r="W335" i="14"/>
  <c r="X335" i="14"/>
  <c r="A336" i="14"/>
  <c r="B336" i="14"/>
  <c r="C336" i="14"/>
  <c r="D336" i="14"/>
  <c r="E336" i="14"/>
  <c r="F336" i="14"/>
  <c r="G336" i="14"/>
  <c r="H336" i="14"/>
  <c r="I336" i="14"/>
  <c r="J336" i="14"/>
  <c r="K336" i="14"/>
  <c r="Q336" i="14"/>
  <c r="S336" i="14"/>
  <c r="T336" i="14"/>
  <c r="U336" i="14"/>
  <c r="V336" i="14"/>
  <c r="W336" i="14"/>
  <c r="X336" i="14"/>
  <c r="A339" i="14"/>
  <c r="B339" i="14"/>
  <c r="C339" i="14"/>
  <c r="D339" i="14"/>
  <c r="E339" i="14"/>
  <c r="F339" i="14"/>
  <c r="G339" i="14"/>
  <c r="H339" i="14"/>
  <c r="I339" i="14"/>
  <c r="J339" i="14"/>
  <c r="K339" i="14"/>
  <c r="Q339" i="14"/>
  <c r="S339" i="14"/>
  <c r="T339" i="14"/>
  <c r="U339" i="14"/>
  <c r="V339" i="14"/>
  <c r="W339" i="14"/>
  <c r="X339" i="14"/>
  <c r="A340" i="14"/>
  <c r="B340" i="14"/>
  <c r="C340" i="14"/>
  <c r="D340" i="14"/>
  <c r="E340" i="14"/>
  <c r="F340" i="14"/>
  <c r="G340" i="14"/>
  <c r="H340" i="14"/>
  <c r="I340" i="14"/>
  <c r="J340" i="14"/>
  <c r="K340" i="14"/>
  <c r="Q340" i="14"/>
  <c r="S340" i="14"/>
  <c r="T340" i="14"/>
  <c r="U340" i="14"/>
  <c r="V340" i="14"/>
  <c r="W340" i="14"/>
  <c r="X340" i="14"/>
  <c r="A334" i="14"/>
  <c r="B334" i="14"/>
  <c r="C334" i="14"/>
  <c r="D334" i="14"/>
  <c r="E334" i="14"/>
  <c r="F334" i="14"/>
  <c r="G334" i="14"/>
  <c r="H334" i="14"/>
  <c r="I334" i="14"/>
  <c r="J334" i="14"/>
  <c r="K334" i="14"/>
  <c r="Q334" i="14"/>
  <c r="S334" i="14"/>
  <c r="T334" i="14"/>
  <c r="U334" i="14"/>
  <c r="V334" i="14"/>
  <c r="W334" i="14"/>
  <c r="X334" i="14"/>
  <c r="J2" i="16"/>
  <c r="J3" i="16"/>
  <c r="J4" i="16"/>
  <c r="J5" i="16"/>
  <c r="J6" i="16"/>
  <c r="J7" i="16"/>
  <c r="J8" i="16"/>
  <c r="J9" i="16"/>
  <c r="J10" i="16"/>
  <c r="J11"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99" i="16"/>
  <c r="J100" i="16"/>
  <c r="J101" i="16"/>
  <c r="J102" i="16"/>
  <c r="J103" i="16"/>
  <c r="J104" i="16"/>
  <c r="J105" i="16"/>
  <c r="J106" i="16"/>
  <c r="J107" i="16"/>
  <c r="J108" i="16"/>
  <c r="J109" i="16"/>
  <c r="J110" i="16"/>
  <c r="J111" i="16"/>
  <c r="J112" i="16"/>
  <c r="J113" i="16"/>
  <c r="J114" i="16"/>
  <c r="J115" i="16"/>
  <c r="J116" i="16"/>
  <c r="J117" i="16"/>
  <c r="J118" i="16"/>
  <c r="J119" i="16"/>
  <c r="J120" i="16"/>
  <c r="J121" i="16"/>
  <c r="J122" i="16"/>
  <c r="J123" i="16"/>
  <c r="J124" i="16"/>
  <c r="J125" i="16"/>
  <c r="J126" i="16"/>
  <c r="J127" i="16"/>
  <c r="J128" i="16"/>
  <c r="J129" i="16"/>
  <c r="J130" i="16"/>
  <c r="J131" i="16"/>
  <c r="J132" i="16"/>
  <c r="J133" i="16"/>
  <c r="J134" i="16"/>
  <c r="J135" i="16"/>
  <c r="J136" i="16"/>
  <c r="J137" i="16"/>
  <c r="J138" i="16"/>
  <c r="J139" i="16"/>
  <c r="J140" i="16"/>
  <c r="J141" i="16"/>
  <c r="J142" i="16"/>
  <c r="J143" i="16"/>
  <c r="J144" i="16"/>
  <c r="J145" i="16"/>
  <c r="J146" i="16"/>
  <c r="J147" i="16"/>
  <c r="J148" i="16"/>
  <c r="J149" i="16"/>
  <c r="J150" i="16"/>
  <c r="J151" i="16"/>
  <c r="J152" i="16"/>
  <c r="J153" i="16"/>
  <c r="J154" i="16"/>
  <c r="J155" i="16"/>
  <c r="J156" i="16"/>
  <c r="J157" i="16"/>
  <c r="J158" i="16"/>
  <c r="J159" i="16"/>
  <c r="J160" i="16"/>
  <c r="J161" i="16"/>
  <c r="J162" i="16"/>
  <c r="J163" i="16"/>
  <c r="J164" i="16"/>
  <c r="J165" i="16"/>
  <c r="J166" i="16"/>
  <c r="J167" i="16"/>
  <c r="J168"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221" i="16"/>
  <c r="J222" i="16"/>
  <c r="J223" i="16"/>
  <c r="J224" i="16"/>
  <c r="J225" i="16"/>
  <c r="J226" i="16"/>
  <c r="J227" i="16"/>
  <c r="J228" i="16"/>
  <c r="J229" i="16"/>
  <c r="J230" i="16"/>
  <c r="J231" i="16"/>
  <c r="J232" i="16"/>
  <c r="J235" i="16"/>
  <c r="J236" i="16"/>
  <c r="J237" i="16"/>
  <c r="J238" i="16"/>
  <c r="J239" i="16"/>
  <c r="J240" i="16"/>
  <c r="J241" i="16"/>
  <c r="J242" i="16"/>
  <c r="J243" i="16"/>
  <c r="J244" i="16"/>
  <c r="J245" i="16"/>
  <c r="J246" i="16"/>
  <c r="J247" i="16"/>
  <c r="J248" i="16"/>
  <c r="J249" i="16"/>
  <c r="J250" i="16"/>
  <c r="J251" i="16"/>
  <c r="J252" i="16"/>
  <c r="J253" i="16"/>
  <c r="J254" i="16"/>
  <c r="J255" i="16"/>
  <c r="J256" i="16"/>
  <c r="J257" i="16"/>
  <c r="J258" i="16"/>
  <c r="J259" i="16"/>
  <c r="J260" i="16"/>
  <c r="J261" i="16"/>
  <c r="J262" i="16"/>
  <c r="J263" i="16"/>
  <c r="J264" i="16"/>
  <c r="J265" i="16"/>
  <c r="J266" i="16"/>
  <c r="J267" i="16"/>
  <c r="J268" i="16"/>
  <c r="J269" i="16"/>
  <c r="J270" i="16"/>
  <c r="J271" i="16"/>
  <c r="J272" i="16"/>
  <c r="J273" i="16"/>
  <c r="J274" i="16"/>
  <c r="J275" i="16"/>
  <c r="J276" i="16"/>
  <c r="J277" i="16"/>
  <c r="J278" i="16"/>
  <c r="J279" i="16"/>
  <c r="J280" i="16"/>
  <c r="J281" i="16"/>
  <c r="J282" i="16"/>
  <c r="J283" i="16"/>
  <c r="J284" i="16"/>
  <c r="J285" i="16"/>
  <c r="J286" i="16"/>
  <c r="J287" i="16"/>
  <c r="J288" i="16"/>
  <c r="J289" i="16"/>
  <c r="J290" i="16"/>
  <c r="J291" i="16"/>
  <c r="J292" i="16"/>
  <c r="J293" i="16"/>
  <c r="J294" i="16"/>
  <c r="J295" i="16"/>
  <c r="J296" i="16"/>
  <c r="J297" i="16"/>
  <c r="J298" i="16"/>
  <c r="J299" i="16"/>
  <c r="J300" i="16"/>
  <c r="J301" i="16"/>
  <c r="J302" i="16"/>
  <c r="J303" i="16"/>
  <c r="J304" i="16"/>
  <c r="J305" i="16"/>
  <c r="J306" i="16"/>
  <c r="J307" i="16"/>
  <c r="J308" i="16"/>
  <c r="J325" i="16"/>
  <c r="J326" i="16"/>
  <c r="J327" i="16"/>
  <c r="J328" i="16"/>
  <c r="J348" i="16"/>
  <c r="J349" i="16"/>
  <c r="J350" i="16"/>
  <c r="J351" i="16"/>
  <c r="J352" i="16"/>
  <c r="J353" i="16"/>
  <c r="J354" i="16"/>
  <c r="J355" i="16"/>
  <c r="J356" i="16"/>
  <c r="J357" i="16"/>
  <c r="J358" i="16"/>
  <c r="J359" i="16"/>
  <c r="M361" i="16"/>
  <c r="T2" i="16"/>
  <c r="T3" i="16"/>
  <c r="T4" i="16"/>
  <c r="T5" i="16"/>
  <c r="T6" i="16"/>
  <c r="T7" i="16"/>
  <c r="T8" i="16"/>
  <c r="T9" i="16"/>
  <c r="T10" i="16"/>
  <c r="T11" i="16"/>
  <c r="T12" i="16"/>
  <c r="T13" i="16"/>
  <c r="T14" i="16"/>
  <c r="T15" i="16"/>
  <c r="T16" i="16"/>
  <c r="T17" i="16"/>
  <c r="T18" i="16"/>
  <c r="T19" i="16"/>
  <c r="T20" i="16"/>
  <c r="T21" i="16"/>
  <c r="T22" i="16"/>
  <c r="T23" i="16"/>
  <c r="T24" i="16"/>
  <c r="T25" i="16"/>
  <c r="T26" i="16"/>
  <c r="T27" i="16"/>
  <c r="T28" i="16"/>
  <c r="T29" i="16"/>
  <c r="T30" i="16"/>
  <c r="T31" i="16"/>
  <c r="T32" i="16"/>
  <c r="T33" i="16"/>
  <c r="T34" i="16"/>
  <c r="T35" i="16"/>
  <c r="T36" i="16"/>
  <c r="T37" i="16"/>
  <c r="T38" i="16"/>
  <c r="T39" i="16"/>
  <c r="T40" i="16"/>
  <c r="T41" i="16"/>
  <c r="T42" i="16"/>
  <c r="T43" i="16"/>
  <c r="T44" i="16"/>
  <c r="T45" i="16"/>
  <c r="T46" i="16"/>
  <c r="T47" i="16"/>
  <c r="T48" i="16"/>
  <c r="T49" i="16"/>
  <c r="T50" i="16"/>
  <c r="T51" i="16"/>
  <c r="T52" i="16"/>
  <c r="T53" i="16"/>
  <c r="T54" i="16"/>
  <c r="T55" i="16"/>
  <c r="T56" i="16"/>
  <c r="T57" i="16"/>
  <c r="T58" i="16"/>
  <c r="T59" i="16"/>
  <c r="T60" i="16"/>
  <c r="T61" i="16"/>
  <c r="T62" i="16"/>
  <c r="T63" i="16"/>
  <c r="T64" i="16"/>
  <c r="T65" i="16"/>
  <c r="T66" i="16"/>
  <c r="T67" i="16"/>
  <c r="T68" i="16"/>
  <c r="T69" i="16"/>
  <c r="T70" i="16"/>
  <c r="T71" i="16"/>
  <c r="T72" i="16"/>
  <c r="T73" i="16"/>
  <c r="T74" i="16"/>
  <c r="T75" i="16"/>
  <c r="T76" i="16"/>
  <c r="T77" i="16"/>
  <c r="T78" i="16"/>
  <c r="T79" i="16"/>
  <c r="T80" i="16"/>
  <c r="T81" i="16"/>
  <c r="T82" i="16"/>
  <c r="T83" i="16"/>
  <c r="T84" i="16"/>
  <c r="T85" i="16"/>
  <c r="T86" i="16"/>
  <c r="T87" i="16"/>
  <c r="T88" i="16"/>
  <c r="T89" i="16"/>
  <c r="T90" i="16"/>
  <c r="T91" i="16"/>
  <c r="T92" i="16"/>
  <c r="T93" i="16"/>
  <c r="T94" i="16"/>
  <c r="T95" i="16"/>
  <c r="T96" i="16"/>
  <c r="T97" i="16"/>
  <c r="T98" i="16"/>
  <c r="T99" i="16"/>
  <c r="T100" i="16"/>
  <c r="T101" i="16"/>
  <c r="T102" i="16"/>
  <c r="T103" i="16"/>
  <c r="T104" i="16"/>
  <c r="T105" i="16"/>
  <c r="T106" i="16"/>
  <c r="T107" i="16"/>
  <c r="T108" i="16"/>
  <c r="T109" i="16"/>
  <c r="T110" i="16"/>
  <c r="T111" i="16"/>
  <c r="T112" i="16"/>
  <c r="T113" i="16"/>
  <c r="T114" i="16"/>
  <c r="T115" i="16"/>
  <c r="T116" i="16"/>
  <c r="T117" i="16"/>
  <c r="T118" i="16"/>
  <c r="T119" i="16"/>
  <c r="T120" i="16"/>
  <c r="T121" i="16"/>
  <c r="T122" i="16"/>
  <c r="T123" i="16"/>
  <c r="T124" i="16"/>
  <c r="T125" i="16"/>
  <c r="T126" i="16"/>
  <c r="T127" i="16"/>
  <c r="T128" i="16"/>
  <c r="T129" i="16"/>
  <c r="T130" i="16"/>
  <c r="T131" i="16"/>
  <c r="T132" i="16"/>
  <c r="T133" i="16"/>
  <c r="T134" i="16"/>
  <c r="T135" i="16"/>
  <c r="T136" i="16"/>
  <c r="T137" i="16"/>
  <c r="T138" i="16"/>
  <c r="T139" i="16"/>
  <c r="T140" i="16"/>
  <c r="T141" i="16"/>
  <c r="T142" i="16"/>
  <c r="T143" i="16"/>
  <c r="T144" i="16"/>
  <c r="T145" i="16"/>
  <c r="T146" i="16"/>
  <c r="T147" i="16"/>
  <c r="T148" i="16"/>
  <c r="T149" i="16"/>
  <c r="T150" i="16"/>
  <c r="T151" i="16"/>
  <c r="T152" i="16"/>
  <c r="T153" i="16"/>
  <c r="T154" i="16"/>
  <c r="T155" i="16"/>
  <c r="T156" i="16"/>
  <c r="T157" i="16"/>
  <c r="T158" i="16"/>
  <c r="T159" i="16"/>
  <c r="T160" i="16"/>
  <c r="T161" i="16"/>
  <c r="T162" i="16"/>
  <c r="T163" i="16"/>
  <c r="T164" i="16"/>
  <c r="T165" i="16"/>
  <c r="T166" i="16"/>
  <c r="T167" i="16"/>
  <c r="T168" i="16"/>
  <c r="T169" i="16"/>
  <c r="T170" i="16"/>
  <c r="T171" i="16"/>
  <c r="T172" i="16"/>
  <c r="T173" i="16"/>
  <c r="T174" i="16"/>
  <c r="T175" i="16"/>
  <c r="T176" i="16"/>
  <c r="T177" i="16"/>
  <c r="T178" i="16"/>
  <c r="T179" i="16"/>
  <c r="T180" i="16"/>
  <c r="T181" i="16"/>
  <c r="T182" i="16"/>
  <c r="T183" i="16"/>
  <c r="T184" i="16"/>
  <c r="T185" i="16"/>
  <c r="T186" i="16"/>
  <c r="T187" i="16"/>
  <c r="T188" i="16"/>
  <c r="T189" i="16"/>
  <c r="T190" i="16"/>
  <c r="T191" i="16"/>
  <c r="T192" i="16"/>
  <c r="T193" i="16"/>
  <c r="T194" i="16"/>
  <c r="T195" i="16"/>
  <c r="T196" i="16"/>
  <c r="T197" i="16"/>
  <c r="T198" i="16"/>
  <c r="T199" i="16"/>
  <c r="T200" i="16"/>
  <c r="T201" i="16"/>
  <c r="T202" i="16"/>
  <c r="T203" i="16"/>
  <c r="T204" i="16"/>
  <c r="T205" i="16"/>
  <c r="T206" i="16"/>
  <c r="T207" i="16"/>
  <c r="T208" i="16"/>
  <c r="T209" i="16"/>
  <c r="T210" i="16"/>
  <c r="T211" i="16"/>
  <c r="T212" i="16"/>
  <c r="T213" i="16"/>
  <c r="T214" i="16"/>
  <c r="T215" i="16"/>
  <c r="T216" i="16"/>
  <c r="T217" i="16"/>
  <c r="T218" i="16"/>
  <c r="T219" i="16"/>
  <c r="T220" i="16"/>
  <c r="T221" i="16"/>
  <c r="T222" i="16"/>
  <c r="T223" i="16"/>
  <c r="T224" i="16"/>
  <c r="T225" i="16"/>
  <c r="T226" i="16"/>
  <c r="T227" i="16"/>
  <c r="T228" i="16"/>
  <c r="T229" i="16"/>
  <c r="T230" i="16"/>
  <c r="T231" i="16"/>
  <c r="T232" i="16"/>
  <c r="T235" i="16"/>
  <c r="T236" i="16"/>
  <c r="T237" i="16"/>
  <c r="T238" i="16"/>
  <c r="T239" i="16"/>
  <c r="T240" i="16"/>
  <c r="T241" i="16"/>
  <c r="T242" i="16"/>
  <c r="T243" i="16"/>
  <c r="T244" i="16"/>
  <c r="T245" i="16"/>
  <c r="T246" i="16"/>
  <c r="T247" i="16"/>
  <c r="T248" i="16"/>
  <c r="T249" i="16"/>
  <c r="T250" i="16"/>
  <c r="T251" i="16"/>
  <c r="T252" i="16"/>
  <c r="T253" i="16"/>
  <c r="T254" i="16"/>
  <c r="T255" i="16"/>
  <c r="T256" i="16"/>
  <c r="T257" i="16"/>
  <c r="T258" i="16"/>
  <c r="T259" i="16"/>
  <c r="T260" i="16"/>
  <c r="T261" i="16"/>
  <c r="T262" i="16"/>
  <c r="T263" i="16"/>
  <c r="T264" i="16"/>
  <c r="T265" i="16"/>
  <c r="T266" i="16"/>
  <c r="T267" i="16"/>
  <c r="T268" i="16"/>
  <c r="T269" i="16"/>
  <c r="T270" i="16"/>
  <c r="T271" i="16"/>
  <c r="T272" i="16"/>
  <c r="T273" i="16"/>
  <c r="T274" i="16"/>
  <c r="T275" i="16"/>
  <c r="T276" i="16"/>
  <c r="T277" i="16"/>
  <c r="T278" i="16"/>
  <c r="T279" i="16"/>
  <c r="T280" i="16"/>
  <c r="T281" i="16"/>
  <c r="T282" i="16"/>
  <c r="T283" i="16"/>
  <c r="T284" i="16"/>
  <c r="T285" i="16"/>
  <c r="T286" i="16"/>
  <c r="T287" i="16"/>
  <c r="T288" i="16"/>
  <c r="T289" i="16"/>
  <c r="T290" i="16"/>
  <c r="T291" i="16"/>
  <c r="T292" i="16"/>
  <c r="T293" i="16"/>
  <c r="T294" i="16"/>
  <c r="T295" i="16"/>
  <c r="T296" i="16"/>
  <c r="T297" i="16"/>
  <c r="T298" i="16"/>
  <c r="T299" i="16"/>
  <c r="T300" i="16"/>
  <c r="T301" i="16"/>
  <c r="T302" i="16"/>
  <c r="T303" i="16"/>
  <c r="T304" i="16"/>
  <c r="T305" i="16"/>
  <c r="T306" i="16"/>
  <c r="T307" i="16"/>
  <c r="T308" i="16"/>
  <c r="T325" i="16"/>
  <c r="T326" i="16"/>
  <c r="T327" i="16"/>
  <c r="T328" i="16"/>
  <c r="T348" i="16"/>
  <c r="T349" i="16"/>
  <c r="T350" i="16"/>
  <c r="T351" i="16"/>
  <c r="T352" i="16"/>
  <c r="T353" i="16"/>
  <c r="T354" i="16"/>
  <c r="T355" i="16"/>
  <c r="T356" i="16"/>
  <c r="T357" i="16"/>
  <c r="T358" i="16"/>
  <c r="T359" i="16"/>
  <c r="A2" i="16"/>
  <c r="A3" i="16"/>
  <c r="A4" i="16"/>
  <c r="A5" i="16"/>
  <c r="A6" i="16"/>
  <c r="A7" i="16"/>
  <c r="A8" i="16"/>
  <c r="A9" i="16"/>
  <c r="A10" i="16"/>
  <c r="A11" i="16"/>
  <c r="A12" i="16"/>
  <c r="A13" i="16"/>
  <c r="A14" i="16"/>
  <c r="A15" i="16"/>
  <c r="A16" i="16"/>
  <c r="A17" i="16"/>
  <c r="A18" i="16"/>
  <c r="A19" i="16"/>
  <c r="A20" i="16"/>
  <c r="A21" i="16"/>
  <c r="A22" i="16"/>
  <c r="A23" i="16"/>
  <c r="A24" i="16"/>
  <c r="A25" i="16"/>
  <c r="A26" i="16"/>
  <c r="A27" i="16"/>
  <c r="A28" i="16"/>
  <c r="A29" i="16"/>
  <c r="A30" i="16"/>
  <c r="A31" i="16"/>
  <c r="A32" i="16"/>
  <c r="A33" i="16"/>
  <c r="A34" i="16"/>
  <c r="A35" i="16"/>
  <c r="A36" i="16"/>
  <c r="A37" i="16"/>
  <c r="A38" i="16"/>
  <c r="A39" i="16"/>
  <c r="A40" i="16"/>
  <c r="A41" i="16"/>
  <c r="A42" i="16"/>
  <c r="A43" i="16"/>
  <c r="A44" i="16"/>
  <c r="A45" i="16"/>
  <c r="A46" i="16"/>
  <c r="A47" i="16"/>
  <c r="A48" i="16"/>
  <c r="A49" i="16"/>
  <c r="A50" i="16"/>
  <c r="A51" i="16"/>
  <c r="A52" i="16"/>
  <c r="A53" i="16"/>
  <c r="A54" i="16"/>
  <c r="A55" i="16"/>
  <c r="A56" i="16"/>
  <c r="A57" i="16"/>
  <c r="A58" i="16"/>
  <c r="A59" i="16"/>
  <c r="A60" i="16"/>
  <c r="A61" i="16"/>
  <c r="A62" i="16"/>
  <c r="A63" i="16"/>
  <c r="A64" i="16"/>
  <c r="A65" i="16"/>
  <c r="A66" i="16"/>
  <c r="A67" i="16"/>
  <c r="A68" i="16"/>
  <c r="A69" i="16"/>
  <c r="A70" i="16"/>
  <c r="A71" i="16"/>
  <c r="A72" i="16"/>
  <c r="A73" i="16"/>
  <c r="A74" i="16"/>
  <c r="A75" i="16"/>
  <c r="A76" i="16"/>
  <c r="A77" i="16"/>
  <c r="A78" i="16"/>
  <c r="A79" i="16"/>
  <c r="A80" i="16"/>
  <c r="A81" i="16"/>
  <c r="A82" i="16"/>
  <c r="A83" i="16"/>
  <c r="A84" i="16"/>
  <c r="A85" i="16"/>
  <c r="A86" i="16"/>
  <c r="A87" i="16"/>
  <c r="A88" i="16"/>
  <c r="A89" i="16"/>
  <c r="A90" i="16"/>
  <c r="A91" i="16"/>
  <c r="A92" i="16"/>
  <c r="A93" i="16"/>
  <c r="A94" i="16"/>
  <c r="A95" i="16"/>
  <c r="A96" i="16"/>
  <c r="A97" i="16"/>
  <c r="A98" i="16"/>
  <c r="A99" i="16"/>
  <c r="A100" i="16"/>
  <c r="A101" i="16"/>
  <c r="A102" i="16"/>
  <c r="A103" i="16"/>
  <c r="A104" i="16"/>
  <c r="A105" i="16"/>
  <c r="A106" i="16"/>
  <c r="A107" i="16"/>
  <c r="A108" i="16"/>
  <c r="A109" i="16"/>
  <c r="A110" i="16"/>
  <c r="A111" i="16"/>
  <c r="A112" i="16"/>
  <c r="A113" i="16"/>
  <c r="A114" i="16"/>
  <c r="A115" i="16"/>
  <c r="A116" i="16"/>
  <c r="A117" i="16"/>
  <c r="A118" i="16"/>
  <c r="A119" i="16"/>
  <c r="A120" i="16"/>
  <c r="A121" i="16"/>
  <c r="A122" i="16"/>
  <c r="A123" i="16"/>
  <c r="A124" i="16"/>
  <c r="A125" i="16"/>
  <c r="A126" i="16"/>
  <c r="A127" i="16"/>
  <c r="A128" i="16"/>
  <c r="A129" i="16"/>
  <c r="A130" i="16"/>
  <c r="A131" i="16"/>
  <c r="A132" i="16"/>
  <c r="A133" i="16"/>
  <c r="A134" i="16"/>
  <c r="A135" i="16"/>
  <c r="A136" i="16"/>
  <c r="A137" i="16"/>
  <c r="A138" i="16"/>
  <c r="A139" i="16"/>
  <c r="A140" i="16"/>
  <c r="A141" i="16"/>
  <c r="A142" i="16"/>
  <c r="A143" i="16"/>
  <c r="A144" i="16"/>
  <c r="A145" i="16"/>
  <c r="A146" i="16"/>
  <c r="A147" i="16"/>
  <c r="A148" i="16"/>
  <c r="A149" i="16"/>
  <c r="A150" i="16"/>
  <c r="A151" i="16"/>
  <c r="A152" i="16"/>
  <c r="A153" i="16"/>
  <c r="A154" i="16"/>
  <c r="A155" i="16"/>
  <c r="A156" i="16"/>
  <c r="A157" i="16"/>
  <c r="A158" i="16"/>
  <c r="A159" i="16"/>
  <c r="A160" i="16"/>
  <c r="A161" i="16"/>
  <c r="A162" i="16"/>
  <c r="A163" i="16"/>
  <c r="A164" i="16"/>
  <c r="A165" i="16"/>
  <c r="A166" i="16"/>
  <c r="A167" i="16"/>
  <c r="A168" i="16"/>
  <c r="A169" i="16"/>
  <c r="A170" i="16"/>
  <c r="A171" i="16"/>
  <c r="A172" i="16"/>
  <c r="A173" i="16"/>
  <c r="A174" i="16"/>
  <c r="A175" i="16"/>
  <c r="A176" i="16"/>
  <c r="A177" i="16"/>
  <c r="A178" i="16"/>
  <c r="A179" i="16"/>
  <c r="A180" i="16"/>
  <c r="A181" i="16"/>
  <c r="A182" i="16"/>
  <c r="A183" i="16"/>
  <c r="A184" i="16"/>
  <c r="A185" i="16"/>
  <c r="A186" i="16"/>
  <c r="A187" i="16"/>
  <c r="A188" i="16"/>
  <c r="A189" i="16"/>
  <c r="A190" i="16"/>
  <c r="A191" i="16"/>
  <c r="A192" i="16"/>
  <c r="A193" i="16"/>
  <c r="A194" i="16"/>
  <c r="A195" i="16"/>
  <c r="A196" i="16"/>
  <c r="A197" i="16"/>
  <c r="A198" i="16"/>
  <c r="A199" i="16"/>
  <c r="A200" i="16"/>
  <c r="A201" i="16"/>
  <c r="A202" i="16"/>
  <c r="A203" i="16"/>
  <c r="A204" i="16"/>
  <c r="A205" i="16"/>
  <c r="A206" i="16"/>
  <c r="A207" i="16"/>
  <c r="A208" i="16"/>
  <c r="A209" i="16"/>
  <c r="A210" i="16"/>
  <c r="A211" i="16"/>
  <c r="A212" i="16"/>
  <c r="A213" i="16"/>
  <c r="A214" i="16"/>
  <c r="A215" i="16"/>
  <c r="A216" i="16"/>
  <c r="A217" i="16"/>
  <c r="A218" i="16"/>
  <c r="A219" i="16"/>
  <c r="A220" i="16"/>
  <c r="A221" i="16"/>
  <c r="A222" i="16"/>
  <c r="A223" i="16"/>
  <c r="A224" i="16"/>
  <c r="A225" i="16"/>
  <c r="A226" i="16"/>
  <c r="A227" i="16"/>
  <c r="A228" i="16"/>
  <c r="A229" i="16"/>
  <c r="A230" i="16"/>
  <c r="A231" i="16"/>
  <c r="A232" i="16"/>
  <c r="A235" i="16"/>
  <c r="A236" i="16"/>
  <c r="A237" i="16"/>
  <c r="A238" i="16"/>
  <c r="A239" i="16"/>
  <c r="A240" i="16"/>
  <c r="A241" i="16"/>
  <c r="A242" i="16"/>
  <c r="A243" i="16"/>
  <c r="A244" i="16"/>
  <c r="A245" i="16"/>
  <c r="A246" i="16"/>
  <c r="A247" i="16"/>
  <c r="A248" i="16"/>
  <c r="A249" i="16"/>
  <c r="A250" i="16"/>
  <c r="A251" i="16"/>
  <c r="A252" i="16"/>
  <c r="A253" i="16"/>
  <c r="A254" i="16"/>
  <c r="A255" i="16"/>
  <c r="A256" i="16"/>
  <c r="A257" i="16"/>
  <c r="A258" i="16"/>
  <c r="A259" i="16"/>
  <c r="A260" i="16"/>
  <c r="A261" i="16"/>
  <c r="A262" i="16"/>
  <c r="A263" i="16"/>
  <c r="A264" i="16"/>
  <c r="A265" i="16"/>
  <c r="A266" i="16"/>
  <c r="A267" i="16"/>
  <c r="A268" i="16"/>
  <c r="A269" i="16"/>
  <c r="A270" i="16"/>
  <c r="A271" i="16"/>
  <c r="A272" i="16"/>
  <c r="A273" i="16"/>
  <c r="A274" i="16"/>
  <c r="A275" i="16"/>
  <c r="A276" i="16"/>
  <c r="A277" i="16"/>
  <c r="A278" i="16"/>
  <c r="A279" i="16"/>
  <c r="A280" i="16"/>
  <c r="A281" i="16"/>
  <c r="A282" i="16"/>
  <c r="A283" i="16"/>
  <c r="A284" i="16"/>
  <c r="A285" i="16"/>
  <c r="A286" i="16"/>
  <c r="A287" i="16"/>
  <c r="A288" i="16"/>
  <c r="A289" i="16"/>
  <c r="A290" i="16"/>
  <c r="A291" i="16"/>
  <c r="A292" i="16"/>
  <c r="A293" i="16"/>
  <c r="A294" i="16"/>
  <c r="A295" i="16"/>
  <c r="A296" i="16"/>
  <c r="A297" i="16"/>
  <c r="A298" i="16"/>
  <c r="A299" i="16"/>
  <c r="A300" i="16"/>
  <c r="A301" i="16"/>
  <c r="A302" i="16"/>
  <c r="A303" i="16"/>
  <c r="A304" i="16"/>
  <c r="A305" i="16"/>
  <c r="A306" i="16"/>
  <c r="A307" i="16"/>
  <c r="A308" i="16"/>
  <c r="A325" i="16"/>
  <c r="A326" i="16"/>
  <c r="A327" i="16"/>
  <c r="A328" i="16"/>
  <c r="A348" i="16"/>
  <c r="A349" i="16"/>
  <c r="A350" i="16"/>
  <c r="A351" i="16"/>
  <c r="A352" i="16"/>
  <c r="A353" i="16"/>
  <c r="A354" i="16"/>
  <c r="A355" i="16"/>
  <c r="A356" i="16"/>
  <c r="A357" i="16"/>
  <c r="A358" i="16"/>
  <c r="A359" i="16"/>
  <c r="C2" i="16"/>
  <c r="C3" i="16"/>
  <c r="C4" i="16"/>
  <c r="C5" i="16"/>
  <c r="C6"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114" i="16"/>
  <c r="C115" i="16"/>
  <c r="C116" i="16"/>
  <c r="C117" i="16"/>
  <c r="C118" i="16"/>
  <c r="C119" i="16"/>
  <c r="C120" i="16"/>
  <c r="C121" i="16"/>
  <c r="C122" i="16"/>
  <c r="C123" i="16"/>
  <c r="C124" i="16"/>
  <c r="C125" i="16"/>
  <c r="C126" i="16"/>
  <c r="C127" i="16"/>
  <c r="C128" i="16"/>
  <c r="C129" i="16"/>
  <c r="C130" i="16"/>
  <c r="C131" i="16"/>
  <c r="C132" i="16"/>
  <c r="C133" i="16"/>
  <c r="C134" i="16"/>
  <c r="C135" i="16"/>
  <c r="C136" i="16"/>
  <c r="C137" i="16"/>
  <c r="C138" i="16"/>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C207" i="16"/>
  <c r="C208" i="16"/>
  <c r="C209" i="16"/>
  <c r="C210" i="16"/>
  <c r="C211" i="16"/>
  <c r="C212" i="16"/>
  <c r="C213" i="16"/>
  <c r="C214" i="16"/>
  <c r="C215" i="16"/>
  <c r="C216" i="16"/>
  <c r="C217" i="16"/>
  <c r="C218" i="16"/>
  <c r="C219" i="16"/>
  <c r="C220" i="16"/>
  <c r="C221" i="16"/>
  <c r="C222" i="16"/>
  <c r="C223" i="16"/>
  <c r="C224" i="16"/>
  <c r="C225" i="16"/>
  <c r="C226" i="16"/>
  <c r="C227" i="16"/>
  <c r="C228" i="16"/>
  <c r="C229" i="16"/>
  <c r="C230" i="16"/>
  <c r="C231" i="16"/>
  <c r="C232" i="16"/>
  <c r="C235" i="16"/>
  <c r="C236" i="16"/>
  <c r="C237" i="16"/>
  <c r="C238" i="16"/>
  <c r="C239" i="16"/>
  <c r="C240" i="16"/>
  <c r="C241" i="16"/>
  <c r="C242" i="16"/>
  <c r="C243" i="16"/>
  <c r="C244" i="16"/>
  <c r="C245" i="16"/>
  <c r="C246" i="16"/>
  <c r="C247" i="16"/>
  <c r="C248" i="16"/>
  <c r="C249" i="16"/>
  <c r="C250" i="16"/>
  <c r="C251" i="16"/>
  <c r="C252" i="16"/>
  <c r="C253" i="16"/>
  <c r="C254" i="16"/>
  <c r="C255" i="16"/>
  <c r="C256" i="16"/>
  <c r="C257" i="16"/>
  <c r="C258" i="16"/>
  <c r="C259" i="16"/>
  <c r="C260" i="16"/>
  <c r="C261" i="16"/>
  <c r="C262" i="16"/>
  <c r="C263" i="16"/>
  <c r="C264" i="16"/>
  <c r="C265" i="16"/>
  <c r="C266" i="16"/>
  <c r="C267" i="16"/>
  <c r="C268" i="16"/>
  <c r="C269" i="16"/>
  <c r="C270" i="16"/>
  <c r="C271" i="16"/>
  <c r="C272" i="16"/>
  <c r="C273" i="16"/>
  <c r="C274" i="16"/>
  <c r="C275" i="16"/>
  <c r="C276" i="16"/>
  <c r="C277" i="16"/>
  <c r="C278" i="16"/>
  <c r="C279" i="16"/>
  <c r="C280" i="16"/>
  <c r="C281" i="16"/>
  <c r="C282" i="16"/>
  <c r="C283" i="16"/>
  <c r="C284" i="16"/>
  <c r="C285" i="16"/>
  <c r="C286" i="16"/>
  <c r="C287" i="16"/>
  <c r="C288" i="16"/>
  <c r="C289" i="16"/>
  <c r="C290" i="16"/>
  <c r="C291" i="16"/>
  <c r="C292" i="16"/>
  <c r="C293" i="16"/>
  <c r="C294" i="16"/>
  <c r="C295" i="16"/>
  <c r="C296" i="16"/>
  <c r="C297" i="16"/>
  <c r="C298" i="16"/>
  <c r="C299" i="16"/>
  <c r="C300" i="16"/>
  <c r="C301" i="16"/>
  <c r="C302" i="16"/>
  <c r="C303" i="16"/>
  <c r="C304" i="16"/>
  <c r="C305" i="16"/>
  <c r="C306" i="16"/>
  <c r="C307" i="16"/>
  <c r="C308" i="16"/>
  <c r="C325" i="16"/>
  <c r="C326" i="16"/>
  <c r="C327" i="16"/>
  <c r="C328" i="16"/>
  <c r="C348" i="16"/>
  <c r="C349" i="16"/>
  <c r="C350" i="16"/>
  <c r="C351" i="16"/>
  <c r="C352" i="16"/>
  <c r="C353" i="16"/>
  <c r="C354" i="16"/>
  <c r="C355" i="16"/>
  <c r="C356" i="16"/>
  <c r="C357" i="16"/>
  <c r="C358" i="16"/>
  <c r="C359" i="16"/>
  <c r="B2" i="16"/>
  <c r="B3" i="16"/>
  <c r="B4" i="16"/>
  <c r="B5" i="16"/>
  <c r="B6" i="16"/>
  <c r="B7" i="16"/>
  <c r="B8" i="16"/>
  <c r="B9" i="16"/>
  <c r="B10" i="16"/>
  <c r="B11" i="16"/>
  <c r="B12" i="16"/>
  <c r="B13" i="16"/>
  <c r="B14" i="16"/>
  <c r="B15" i="16"/>
  <c r="B16" i="16"/>
  <c r="B17" i="16"/>
  <c r="B18" i="16"/>
  <c r="B19" i="16"/>
  <c r="B20" i="16"/>
  <c r="B21" i="16"/>
  <c r="B22" i="16"/>
  <c r="B23" i="16"/>
  <c r="B24" i="16"/>
  <c r="B25" i="16"/>
  <c r="B26" i="16"/>
  <c r="B27" i="16"/>
  <c r="B28" i="16"/>
  <c r="B29" i="16"/>
  <c r="B30" i="16"/>
  <c r="B31" i="16"/>
  <c r="B32" i="16"/>
  <c r="B33" i="16"/>
  <c r="B34" i="16"/>
  <c r="B35" i="16"/>
  <c r="B36" i="16"/>
  <c r="B37" i="16"/>
  <c r="B38" i="16"/>
  <c r="B39" i="16"/>
  <c r="B40" i="16"/>
  <c r="B41" i="16"/>
  <c r="B42" i="16"/>
  <c r="B43" i="16"/>
  <c r="B44" i="16"/>
  <c r="B45" i="16"/>
  <c r="B46" i="16"/>
  <c r="B47" i="16"/>
  <c r="B48" i="16"/>
  <c r="B49" i="16"/>
  <c r="B50" i="16"/>
  <c r="B51" i="16"/>
  <c r="B52" i="16"/>
  <c r="B53" i="16"/>
  <c r="B54" i="16"/>
  <c r="B55" i="16"/>
  <c r="B56" i="16"/>
  <c r="B57" i="16"/>
  <c r="B58" i="16"/>
  <c r="B59" i="16"/>
  <c r="B60" i="16"/>
  <c r="B61" i="16"/>
  <c r="B62" i="16"/>
  <c r="B63" i="16"/>
  <c r="B64" i="16"/>
  <c r="B65" i="16"/>
  <c r="B66" i="16"/>
  <c r="B67" i="16"/>
  <c r="B68" i="16"/>
  <c r="B69" i="16"/>
  <c r="B70" i="16"/>
  <c r="B71" i="16"/>
  <c r="B72" i="16"/>
  <c r="B73" i="16"/>
  <c r="B74" i="16"/>
  <c r="B75" i="16"/>
  <c r="B76" i="16"/>
  <c r="B77" i="16"/>
  <c r="B78" i="16"/>
  <c r="B79" i="16"/>
  <c r="B80" i="16"/>
  <c r="B81" i="16"/>
  <c r="B82" i="16"/>
  <c r="B83" i="16"/>
  <c r="B84" i="16"/>
  <c r="B85" i="16"/>
  <c r="B86" i="16"/>
  <c r="B87" i="16"/>
  <c r="B88" i="16"/>
  <c r="B89" i="16"/>
  <c r="B90" i="16"/>
  <c r="B91" i="16"/>
  <c r="B92" i="16"/>
  <c r="B93" i="16"/>
  <c r="B94" i="16"/>
  <c r="B95" i="16"/>
  <c r="B96" i="16"/>
  <c r="B97" i="16"/>
  <c r="B98" i="16"/>
  <c r="B99" i="16"/>
  <c r="B100" i="16"/>
  <c r="B101" i="16"/>
  <c r="B102" i="16"/>
  <c r="B103" i="16"/>
  <c r="B104" i="16"/>
  <c r="B105" i="16"/>
  <c r="B106" i="16"/>
  <c r="B107" i="16"/>
  <c r="B108" i="16"/>
  <c r="B109" i="16"/>
  <c r="B110" i="16"/>
  <c r="B111" i="16"/>
  <c r="B112" i="16"/>
  <c r="B113" i="16"/>
  <c r="B114" i="16"/>
  <c r="B115" i="16"/>
  <c r="B116" i="16"/>
  <c r="B117" i="16"/>
  <c r="B118" i="16"/>
  <c r="B119" i="16"/>
  <c r="B120" i="16"/>
  <c r="B121" i="16"/>
  <c r="B122" i="16"/>
  <c r="B123" i="16"/>
  <c r="B124" i="16"/>
  <c r="B125" i="16"/>
  <c r="B126" i="16"/>
  <c r="B127" i="16"/>
  <c r="B128" i="16"/>
  <c r="B129" i="16"/>
  <c r="B130" i="16"/>
  <c r="B131" i="16"/>
  <c r="B132" i="16"/>
  <c r="B133" i="16"/>
  <c r="B134" i="16"/>
  <c r="B135" i="16"/>
  <c r="B136" i="16"/>
  <c r="B137" i="16"/>
  <c r="B138" i="16"/>
  <c r="B139" i="16"/>
  <c r="B140" i="16"/>
  <c r="B141" i="16"/>
  <c r="B142" i="16"/>
  <c r="B143" i="16"/>
  <c r="B144" i="16"/>
  <c r="B145" i="16"/>
  <c r="B146" i="16"/>
  <c r="B147" i="16"/>
  <c r="B148" i="16"/>
  <c r="B149" i="16"/>
  <c r="B150" i="16"/>
  <c r="B151" i="16"/>
  <c r="B152" i="16"/>
  <c r="B153" i="16"/>
  <c r="B154" i="16"/>
  <c r="B155" i="16"/>
  <c r="B156" i="16"/>
  <c r="B157" i="16"/>
  <c r="B158" i="16"/>
  <c r="B159" i="16"/>
  <c r="B160" i="16"/>
  <c r="B161" i="16"/>
  <c r="B162" i="16"/>
  <c r="B163" i="16"/>
  <c r="B164" i="16"/>
  <c r="B165" i="16"/>
  <c r="B166" i="16"/>
  <c r="B167" i="16"/>
  <c r="B168" i="16"/>
  <c r="B169" i="16"/>
  <c r="B170" i="16"/>
  <c r="B171" i="16"/>
  <c r="B172" i="16"/>
  <c r="B173" i="16"/>
  <c r="B174" i="16"/>
  <c r="B175" i="16"/>
  <c r="B176" i="16"/>
  <c r="B177" i="16"/>
  <c r="B178" i="16"/>
  <c r="B179" i="16"/>
  <c r="B180" i="16"/>
  <c r="B181" i="16"/>
  <c r="B182" i="16"/>
  <c r="B183" i="16"/>
  <c r="B184" i="16"/>
  <c r="B185" i="16"/>
  <c r="B186" i="16"/>
  <c r="B187" i="16"/>
  <c r="B188" i="16"/>
  <c r="B189" i="16"/>
  <c r="B190" i="16"/>
  <c r="B191" i="16"/>
  <c r="B192" i="16"/>
  <c r="B193" i="16"/>
  <c r="B194" i="16"/>
  <c r="B195" i="16"/>
  <c r="B196" i="16"/>
  <c r="B197" i="16"/>
  <c r="B198" i="16"/>
  <c r="B199" i="16"/>
  <c r="B200" i="16"/>
  <c r="B201" i="16"/>
  <c r="B202" i="16"/>
  <c r="B203" i="16"/>
  <c r="B204" i="16"/>
  <c r="B205" i="16"/>
  <c r="B206" i="16"/>
  <c r="B207" i="16"/>
  <c r="B208" i="16"/>
  <c r="B209" i="16"/>
  <c r="B210" i="16"/>
  <c r="B211" i="16"/>
  <c r="B212" i="16"/>
  <c r="B213" i="16"/>
  <c r="B214" i="16"/>
  <c r="B215" i="16"/>
  <c r="B216" i="16"/>
  <c r="B217" i="16"/>
  <c r="B218" i="16"/>
  <c r="B219" i="16"/>
  <c r="B220" i="16"/>
  <c r="B221" i="16"/>
  <c r="B222" i="16"/>
  <c r="B223" i="16"/>
  <c r="B224" i="16"/>
  <c r="B225" i="16"/>
  <c r="B226" i="16"/>
  <c r="B227" i="16"/>
  <c r="B228" i="16"/>
  <c r="B229" i="16"/>
  <c r="B230" i="16"/>
  <c r="B231" i="16"/>
  <c r="B232" i="16"/>
  <c r="B235" i="16"/>
  <c r="B236" i="16"/>
  <c r="B237" i="16"/>
  <c r="B238" i="16"/>
  <c r="B239" i="16"/>
  <c r="B240" i="16"/>
  <c r="B241" i="16"/>
  <c r="B242" i="16"/>
  <c r="B243" i="16"/>
  <c r="B244" i="16"/>
  <c r="B245" i="16"/>
  <c r="B246" i="16"/>
  <c r="B247" i="16"/>
  <c r="B248" i="16"/>
  <c r="B249" i="16"/>
  <c r="B250" i="16"/>
  <c r="B251" i="16"/>
  <c r="B252" i="16"/>
  <c r="B253" i="16"/>
  <c r="B254" i="16"/>
  <c r="B255" i="16"/>
  <c r="B256" i="16"/>
  <c r="B257" i="16"/>
  <c r="B258" i="16"/>
  <c r="B259" i="16"/>
  <c r="B260" i="16"/>
  <c r="B261" i="16"/>
  <c r="B262" i="16"/>
  <c r="B263" i="16"/>
  <c r="B264" i="16"/>
  <c r="B265" i="16"/>
  <c r="B266" i="16"/>
  <c r="B267" i="16"/>
  <c r="B268" i="16"/>
  <c r="B269" i="16"/>
  <c r="B270" i="16"/>
  <c r="B271" i="16"/>
  <c r="B272" i="16"/>
  <c r="B273" i="16"/>
  <c r="B274" i="16"/>
  <c r="B275" i="16"/>
  <c r="B276" i="16"/>
  <c r="B277" i="16"/>
  <c r="B278" i="16"/>
  <c r="B279" i="16"/>
  <c r="B280" i="16"/>
  <c r="B281" i="16"/>
  <c r="B282" i="16"/>
  <c r="B283" i="16"/>
  <c r="B284" i="16"/>
  <c r="B285" i="16"/>
  <c r="B286" i="16"/>
  <c r="B287" i="16"/>
  <c r="B288" i="16"/>
  <c r="B289" i="16"/>
  <c r="B290" i="16"/>
  <c r="B291" i="16"/>
  <c r="B292" i="16"/>
  <c r="B293" i="16"/>
  <c r="B294" i="16"/>
  <c r="B295" i="16"/>
  <c r="B296" i="16"/>
  <c r="B297" i="16"/>
  <c r="B298" i="16"/>
  <c r="B299" i="16"/>
  <c r="B300" i="16"/>
  <c r="B301" i="16"/>
  <c r="B302" i="16"/>
  <c r="B303" i="16"/>
  <c r="B304" i="16"/>
  <c r="B305" i="16"/>
  <c r="B306" i="16"/>
  <c r="B307" i="16"/>
  <c r="B308" i="16"/>
  <c r="B325" i="16"/>
  <c r="B326" i="16"/>
  <c r="B327" i="16"/>
  <c r="B328" i="16"/>
  <c r="B348" i="16"/>
  <c r="B349" i="16"/>
  <c r="B350" i="16"/>
  <c r="B351" i="16"/>
  <c r="B352" i="16"/>
  <c r="B353" i="16"/>
  <c r="B354" i="16"/>
  <c r="B355" i="16"/>
  <c r="B356" i="16"/>
  <c r="B357" i="16"/>
  <c r="B358" i="16"/>
  <c r="B359" i="16"/>
  <c r="D2" i="16"/>
  <c r="D3" i="16"/>
  <c r="D4" i="16"/>
  <c r="D5" i="16"/>
  <c r="D6" i="16"/>
  <c r="D7" i="16"/>
  <c r="D8" i="16"/>
  <c r="D9" i="16"/>
  <c r="D10" i="16"/>
  <c r="D11" i="16"/>
  <c r="D12" i="16"/>
  <c r="D13" i="16"/>
  <c r="D14" i="16"/>
  <c r="D15" i="16"/>
  <c r="D16" i="16"/>
  <c r="D17" i="16"/>
  <c r="D18" i="16"/>
  <c r="D19" i="16"/>
  <c r="D20" i="16"/>
  <c r="D21" i="16"/>
  <c r="D22" i="16"/>
  <c r="D23" i="16"/>
  <c r="D24" i="16"/>
  <c r="D25" i="16"/>
  <c r="D26" i="16"/>
  <c r="D27" i="16"/>
  <c r="D28" i="16"/>
  <c r="D29" i="16"/>
  <c r="D30" i="16"/>
  <c r="D31" i="16"/>
  <c r="D32" i="16"/>
  <c r="D33" i="16"/>
  <c r="D34" i="16"/>
  <c r="D35" i="16"/>
  <c r="D36" i="16"/>
  <c r="D37" i="16"/>
  <c r="D38" i="16"/>
  <c r="D39" i="16"/>
  <c r="D40" i="16"/>
  <c r="D41" i="16"/>
  <c r="D42" i="16"/>
  <c r="D43" i="16"/>
  <c r="D44" i="16"/>
  <c r="D45" i="16"/>
  <c r="D46" i="16"/>
  <c r="D47" i="16"/>
  <c r="D48" i="16"/>
  <c r="D49" i="16"/>
  <c r="D50" i="16"/>
  <c r="D51" i="16"/>
  <c r="D52" i="16"/>
  <c r="D53" i="16"/>
  <c r="D54" i="16"/>
  <c r="D55" i="16"/>
  <c r="D56" i="16"/>
  <c r="D57" i="16"/>
  <c r="D58" i="16"/>
  <c r="D59" i="16"/>
  <c r="D60" i="16"/>
  <c r="D61" i="16"/>
  <c r="D62" i="16"/>
  <c r="D63" i="16"/>
  <c r="D64" i="16"/>
  <c r="D65" i="16"/>
  <c r="D66" i="16"/>
  <c r="D67" i="16"/>
  <c r="D68" i="16"/>
  <c r="D69" i="16"/>
  <c r="D70" i="16"/>
  <c r="D71" i="16"/>
  <c r="D72" i="16"/>
  <c r="D73" i="16"/>
  <c r="D74" i="16"/>
  <c r="D75" i="16"/>
  <c r="D76" i="16"/>
  <c r="D77" i="16"/>
  <c r="D78" i="16"/>
  <c r="D79" i="16"/>
  <c r="D80" i="16"/>
  <c r="D81" i="16"/>
  <c r="D82" i="16"/>
  <c r="D83" i="16"/>
  <c r="D84" i="16"/>
  <c r="D85" i="16"/>
  <c r="D86" i="16"/>
  <c r="D87" i="16"/>
  <c r="D88" i="16"/>
  <c r="D89" i="16"/>
  <c r="D90" i="16"/>
  <c r="D91" i="16"/>
  <c r="D92" i="16"/>
  <c r="D93" i="16"/>
  <c r="D94" i="16"/>
  <c r="D95" i="16"/>
  <c r="D96" i="16"/>
  <c r="D97" i="16"/>
  <c r="D98" i="16"/>
  <c r="D99" i="16"/>
  <c r="D100" i="16"/>
  <c r="D101" i="16"/>
  <c r="D102" i="16"/>
  <c r="D103" i="16"/>
  <c r="D104" i="16"/>
  <c r="D105" i="16"/>
  <c r="D106" i="16"/>
  <c r="D107" i="16"/>
  <c r="D108" i="16"/>
  <c r="D109" i="16"/>
  <c r="D110" i="16"/>
  <c r="D111" i="16"/>
  <c r="D112" i="16"/>
  <c r="D113" i="16"/>
  <c r="D114" i="16"/>
  <c r="D115" i="16"/>
  <c r="D116" i="16"/>
  <c r="D117" i="16"/>
  <c r="D118" i="16"/>
  <c r="D119" i="16"/>
  <c r="D120" i="16"/>
  <c r="D121" i="16"/>
  <c r="D122" i="16"/>
  <c r="D123" i="16"/>
  <c r="D124" i="16"/>
  <c r="D125" i="16"/>
  <c r="D126" i="16"/>
  <c r="D127" i="16"/>
  <c r="D128" i="16"/>
  <c r="D129" i="16"/>
  <c r="D130" i="16"/>
  <c r="D131" i="16"/>
  <c r="D132" i="16"/>
  <c r="D133" i="16"/>
  <c r="D134" i="16"/>
  <c r="D135" i="16"/>
  <c r="D136" i="16"/>
  <c r="D137" i="16"/>
  <c r="D138" i="16"/>
  <c r="D139" i="16"/>
  <c r="D140" i="16"/>
  <c r="D141" i="16"/>
  <c r="D142" i="16"/>
  <c r="D143" i="16"/>
  <c r="D144" i="16"/>
  <c r="D145" i="16"/>
  <c r="D146" i="16"/>
  <c r="D147" i="16"/>
  <c r="D148" i="16"/>
  <c r="D149" i="16"/>
  <c r="D150" i="16"/>
  <c r="D151" i="16"/>
  <c r="D152" i="16"/>
  <c r="D153" i="16"/>
  <c r="D154" i="16"/>
  <c r="D155" i="16"/>
  <c r="D156" i="16"/>
  <c r="D157" i="16"/>
  <c r="D158" i="16"/>
  <c r="D159" i="16"/>
  <c r="D160" i="16"/>
  <c r="D161" i="16"/>
  <c r="D162" i="16"/>
  <c r="D163" i="16"/>
  <c r="D164" i="16"/>
  <c r="D165" i="16"/>
  <c r="D166" i="16"/>
  <c r="D167" i="16"/>
  <c r="D168" i="16"/>
  <c r="D169" i="16"/>
  <c r="D170" i="16"/>
  <c r="D171" i="16"/>
  <c r="D172" i="16"/>
  <c r="D173" i="16"/>
  <c r="D174" i="16"/>
  <c r="D175" i="16"/>
  <c r="D176" i="16"/>
  <c r="D177" i="16"/>
  <c r="D178" i="16"/>
  <c r="D179" i="16"/>
  <c r="D180" i="16"/>
  <c r="D181" i="16"/>
  <c r="D182" i="16"/>
  <c r="D183" i="16"/>
  <c r="D184" i="16"/>
  <c r="D185" i="16"/>
  <c r="D186" i="16"/>
  <c r="D187" i="16"/>
  <c r="D188" i="16"/>
  <c r="D189" i="16"/>
  <c r="D190" i="16"/>
  <c r="D191" i="16"/>
  <c r="D192" i="16"/>
  <c r="D193" i="16"/>
  <c r="D194" i="16"/>
  <c r="D195" i="16"/>
  <c r="D196" i="16"/>
  <c r="D197" i="16"/>
  <c r="D198" i="16"/>
  <c r="D199" i="16"/>
  <c r="D200" i="16"/>
  <c r="D201" i="16"/>
  <c r="D202" i="16"/>
  <c r="D203" i="16"/>
  <c r="D204" i="16"/>
  <c r="D205" i="16"/>
  <c r="D206" i="16"/>
  <c r="D207" i="16"/>
  <c r="D208" i="16"/>
  <c r="D209" i="16"/>
  <c r="D210" i="16"/>
  <c r="D211" i="16"/>
  <c r="D212" i="16"/>
  <c r="D213" i="16"/>
  <c r="D214" i="16"/>
  <c r="D215" i="16"/>
  <c r="D216" i="16"/>
  <c r="D217" i="16"/>
  <c r="D218" i="16"/>
  <c r="D219" i="16"/>
  <c r="D220" i="16"/>
  <c r="D221" i="16"/>
  <c r="D222" i="16"/>
  <c r="D223" i="16"/>
  <c r="D224" i="16"/>
  <c r="D225" i="16"/>
  <c r="D226" i="16"/>
  <c r="D227" i="16"/>
  <c r="D228" i="16"/>
  <c r="D229" i="16"/>
  <c r="D230" i="16"/>
  <c r="D231" i="16"/>
  <c r="D232" i="16"/>
  <c r="D235" i="16"/>
  <c r="D236" i="16"/>
  <c r="D237" i="16"/>
  <c r="D238" i="16"/>
  <c r="D239" i="16"/>
  <c r="D240" i="16"/>
  <c r="D241" i="16"/>
  <c r="D242" i="16"/>
  <c r="D243" i="16"/>
  <c r="D244" i="16"/>
  <c r="D245" i="16"/>
  <c r="D246" i="16"/>
  <c r="D247" i="16"/>
  <c r="D248" i="16"/>
  <c r="D249" i="16"/>
  <c r="D250" i="16"/>
  <c r="D251" i="16"/>
  <c r="D252" i="16"/>
  <c r="D253" i="16"/>
  <c r="D254" i="16"/>
  <c r="D255" i="16"/>
  <c r="D256" i="16"/>
  <c r="D257" i="16"/>
  <c r="D258" i="16"/>
  <c r="D259" i="16"/>
  <c r="D260" i="16"/>
  <c r="D261" i="16"/>
  <c r="D262" i="16"/>
  <c r="D263" i="16"/>
  <c r="D264" i="16"/>
  <c r="D265" i="16"/>
  <c r="D266" i="16"/>
  <c r="D267" i="16"/>
  <c r="D268" i="16"/>
  <c r="D269" i="16"/>
  <c r="D270" i="16"/>
  <c r="D271" i="16"/>
  <c r="D272" i="16"/>
  <c r="D273" i="16"/>
  <c r="D274" i="16"/>
  <c r="D275" i="16"/>
  <c r="D276" i="16"/>
  <c r="D277" i="16"/>
  <c r="D278" i="16"/>
  <c r="D279" i="16"/>
  <c r="D280" i="16"/>
  <c r="D281" i="16"/>
  <c r="D282" i="16"/>
  <c r="D283" i="16"/>
  <c r="D284" i="16"/>
  <c r="D285" i="16"/>
  <c r="D286" i="16"/>
  <c r="D287" i="16"/>
  <c r="D288" i="16"/>
  <c r="D289" i="16"/>
  <c r="D290" i="16"/>
  <c r="D291" i="16"/>
  <c r="D292" i="16"/>
  <c r="D293" i="16"/>
  <c r="D294" i="16"/>
  <c r="D295" i="16"/>
  <c r="D296" i="16"/>
  <c r="D297" i="16"/>
  <c r="D298" i="16"/>
  <c r="D299" i="16"/>
  <c r="D300" i="16"/>
  <c r="D301" i="16"/>
  <c r="D302" i="16"/>
  <c r="D303" i="16"/>
  <c r="D304" i="16"/>
  <c r="D305" i="16"/>
  <c r="D306" i="16"/>
  <c r="D307" i="16"/>
  <c r="D308" i="16"/>
  <c r="D325" i="16"/>
  <c r="D326" i="16"/>
  <c r="D327" i="16"/>
  <c r="D328" i="16"/>
  <c r="D348" i="16"/>
  <c r="D349" i="16"/>
  <c r="D350" i="16"/>
  <c r="D351" i="16"/>
  <c r="D352" i="16"/>
  <c r="D353" i="16"/>
  <c r="D354" i="16"/>
  <c r="D355" i="16"/>
  <c r="D356" i="16"/>
  <c r="D357" i="16"/>
  <c r="D358" i="16"/>
  <c r="D359" i="16"/>
  <c r="E2" i="16"/>
  <c r="E3" i="16"/>
  <c r="E4" i="16"/>
  <c r="E5" i="16"/>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E158" i="16"/>
  <c r="E159" i="16"/>
  <c r="E160"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5" i="16"/>
  <c r="E236" i="16"/>
  <c r="E237" i="16"/>
  <c r="E238" i="16"/>
  <c r="E239" i="16"/>
  <c r="E240" i="16"/>
  <c r="E241" i="16"/>
  <c r="E242" i="16"/>
  <c r="E243" i="16"/>
  <c r="E244" i="16"/>
  <c r="E245" i="16"/>
  <c r="E246" i="16"/>
  <c r="E247" i="16"/>
  <c r="E248" i="16"/>
  <c r="E249" i="16"/>
  <c r="E250" i="16"/>
  <c r="E251" i="16"/>
  <c r="E252" i="16"/>
  <c r="E253" i="16"/>
  <c r="E254" i="16"/>
  <c r="E255" i="16"/>
  <c r="E256" i="16"/>
  <c r="E257" i="16"/>
  <c r="E258" i="16"/>
  <c r="E259" i="16"/>
  <c r="E260" i="16"/>
  <c r="E261" i="16"/>
  <c r="E262" i="16"/>
  <c r="E263" i="16"/>
  <c r="E264" i="16"/>
  <c r="E265" i="16"/>
  <c r="E266" i="16"/>
  <c r="E267" i="16"/>
  <c r="E268" i="16"/>
  <c r="E269" i="16"/>
  <c r="E270" i="16"/>
  <c r="E271" i="16"/>
  <c r="E272" i="16"/>
  <c r="E273" i="16"/>
  <c r="E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306" i="16"/>
  <c r="E307" i="16"/>
  <c r="E308" i="16"/>
  <c r="E325" i="16"/>
  <c r="E326" i="16"/>
  <c r="E327" i="16"/>
  <c r="E328" i="16"/>
  <c r="E348" i="16"/>
  <c r="E349" i="16"/>
  <c r="E350" i="16"/>
  <c r="E351" i="16"/>
  <c r="E352" i="16"/>
  <c r="E353" i="16"/>
  <c r="E354" i="16"/>
  <c r="E355" i="16"/>
  <c r="E356" i="16"/>
  <c r="E357" i="16"/>
  <c r="E358" i="16"/>
  <c r="E359" i="16"/>
  <c r="F2" i="16"/>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93" i="16"/>
  <c r="F94" i="16"/>
  <c r="F95" i="16"/>
  <c r="F96" i="16"/>
  <c r="F97" i="16"/>
  <c r="F98" i="16"/>
  <c r="F99" i="16"/>
  <c r="F100" i="16"/>
  <c r="F101" i="16"/>
  <c r="F102" i="16"/>
  <c r="F103" i="16"/>
  <c r="F104" i="16"/>
  <c r="F105" i="16"/>
  <c r="F106" i="16"/>
  <c r="F107" i="16"/>
  <c r="F108" i="16"/>
  <c r="F109" i="16"/>
  <c r="F110" i="16"/>
  <c r="F111" i="16"/>
  <c r="F112" i="16"/>
  <c r="F113" i="16"/>
  <c r="F114" i="16"/>
  <c r="F115" i="16"/>
  <c r="F116" i="16"/>
  <c r="F117" i="16"/>
  <c r="F118" i="16"/>
  <c r="F119" i="16"/>
  <c r="F120" i="16"/>
  <c r="F121" i="16"/>
  <c r="F122" i="16"/>
  <c r="F123" i="16"/>
  <c r="F124" i="16"/>
  <c r="F125" i="16"/>
  <c r="F126" i="16"/>
  <c r="F127" i="16"/>
  <c r="F128" i="16"/>
  <c r="F129" i="16"/>
  <c r="F130" i="16"/>
  <c r="F131" i="16"/>
  <c r="F132" i="16"/>
  <c r="F133" i="16"/>
  <c r="F134" i="16"/>
  <c r="F135" i="16"/>
  <c r="F136" i="16"/>
  <c r="F137" i="16"/>
  <c r="F138" i="16"/>
  <c r="F139" i="16"/>
  <c r="F140" i="16"/>
  <c r="F141" i="16"/>
  <c r="F142" i="16"/>
  <c r="F143" i="16"/>
  <c r="F144" i="16"/>
  <c r="F145" i="16"/>
  <c r="F146" i="16"/>
  <c r="F147" i="16"/>
  <c r="F148" i="16"/>
  <c r="F149" i="16"/>
  <c r="F150" i="16"/>
  <c r="F151" i="16"/>
  <c r="F152" i="16"/>
  <c r="F153" i="16"/>
  <c r="F154" i="16"/>
  <c r="F155" i="16"/>
  <c r="F156" i="16"/>
  <c r="F157" i="16"/>
  <c r="F158" i="16"/>
  <c r="F159" i="16"/>
  <c r="F160" i="16"/>
  <c r="F161" i="16"/>
  <c r="F162" i="16"/>
  <c r="F163" i="16"/>
  <c r="F164" i="16"/>
  <c r="F165" i="16"/>
  <c r="F166" i="16"/>
  <c r="F167" i="16"/>
  <c r="F168" i="16"/>
  <c r="F169" i="16"/>
  <c r="F170" i="16"/>
  <c r="F171" i="16"/>
  <c r="F172" i="16"/>
  <c r="F173" i="16"/>
  <c r="F174" i="16"/>
  <c r="F175" i="16"/>
  <c r="F176" i="16"/>
  <c r="F177" i="16"/>
  <c r="F178" i="16"/>
  <c r="F179" i="16"/>
  <c r="F180" i="16"/>
  <c r="F181" i="16"/>
  <c r="F182" i="16"/>
  <c r="F183" i="16"/>
  <c r="F184" i="16"/>
  <c r="F185" i="16"/>
  <c r="F186" i="16"/>
  <c r="F187" i="16"/>
  <c r="F188" i="16"/>
  <c r="F189" i="16"/>
  <c r="F190" i="16"/>
  <c r="F191" i="16"/>
  <c r="F192" i="16"/>
  <c r="F193" i="16"/>
  <c r="F194" i="16"/>
  <c r="F195" i="16"/>
  <c r="F196" i="16"/>
  <c r="F197" i="16"/>
  <c r="F198" i="16"/>
  <c r="F199" i="16"/>
  <c r="F200" i="16"/>
  <c r="F201" i="16"/>
  <c r="F202" i="16"/>
  <c r="F203" i="16"/>
  <c r="F204" i="16"/>
  <c r="F205" i="16"/>
  <c r="F206" i="16"/>
  <c r="F207" i="16"/>
  <c r="F208" i="16"/>
  <c r="F209" i="16"/>
  <c r="F210" i="16"/>
  <c r="F211" i="16"/>
  <c r="F212" i="16"/>
  <c r="F213" i="16"/>
  <c r="F214" i="16"/>
  <c r="F215" i="16"/>
  <c r="F216" i="16"/>
  <c r="F217" i="16"/>
  <c r="F218" i="16"/>
  <c r="F219" i="16"/>
  <c r="F220" i="16"/>
  <c r="F221" i="16"/>
  <c r="F222" i="16"/>
  <c r="F223" i="16"/>
  <c r="F224" i="16"/>
  <c r="F225" i="16"/>
  <c r="F226" i="16"/>
  <c r="F227" i="16"/>
  <c r="F228" i="16"/>
  <c r="F229" i="16"/>
  <c r="F230" i="16"/>
  <c r="F231" i="16"/>
  <c r="F232" i="16"/>
  <c r="F235" i="16"/>
  <c r="F236" i="16"/>
  <c r="F237" i="16"/>
  <c r="F238" i="16"/>
  <c r="F239" i="16"/>
  <c r="F240" i="16"/>
  <c r="F241" i="16"/>
  <c r="F242" i="16"/>
  <c r="F243" i="16"/>
  <c r="F244" i="16"/>
  <c r="F245" i="16"/>
  <c r="F246" i="16"/>
  <c r="F247" i="16"/>
  <c r="F248" i="16"/>
  <c r="F249" i="16"/>
  <c r="F250" i="16"/>
  <c r="F251" i="16"/>
  <c r="F252" i="16"/>
  <c r="F253" i="16"/>
  <c r="F254" i="16"/>
  <c r="F255" i="16"/>
  <c r="F256" i="16"/>
  <c r="F257" i="16"/>
  <c r="F258" i="16"/>
  <c r="F259" i="16"/>
  <c r="F260" i="16"/>
  <c r="F261" i="16"/>
  <c r="F262" i="16"/>
  <c r="F263" i="16"/>
  <c r="F264" i="16"/>
  <c r="F265" i="16"/>
  <c r="F266" i="16"/>
  <c r="F267" i="16"/>
  <c r="F268" i="16"/>
  <c r="F269" i="16"/>
  <c r="F270" i="16"/>
  <c r="F271" i="16"/>
  <c r="F272" i="16"/>
  <c r="F273" i="16"/>
  <c r="F274" i="16"/>
  <c r="F275" i="16"/>
  <c r="F276" i="16"/>
  <c r="F277" i="16"/>
  <c r="F278" i="16"/>
  <c r="F279" i="16"/>
  <c r="F280" i="16"/>
  <c r="F281" i="16"/>
  <c r="F282" i="16"/>
  <c r="F283" i="16"/>
  <c r="F284" i="16"/>
  <c r="F285" i="16"/>
  <c r="F286" i="16"/>
  <c r="F287" i="16"/>
  <c r="F288" i="16"/>
  <c r="F289" i="16"/>
  <c r="F290" i="16"/>
  <c r="F291" i="16"/>
  <c r="F292" i="16"/>
  <c r="F293" i="16"/>
  <c r="F294" i="16"/>
  <c r="F295" i="16"/>
  <c r="F296" i="16"/>
  <c r="F297" i="16"/>
  <c r="F298" i="16"/>
  <c r="F299" i="16"/>
  <c r="F300" i="16"/>
  <c r="F301" i="16"/>
  <c r="F302" i="16"/>
  <c r="F303" i="16"/>
  <c r="F304" i="16"/>
  <c r="F305" i="16"/>
  <c r="F306" i="16"/>
  <c r="F307" i="16"/>
  <c r="F308" i="16"/>
  <c r="F325" i="16"/>
  <c r="F326" i="16"/>
  <c r="F327" i="16"/>
  <c r="F328" i="16"/>
  <c r="F348" i="16"/>
  <c r="F349" i="16"/>
  <c r="F350" i="16"/>
  <c r="F351" i="16"/>
  <c r="F352" i="16"/>
  <c r="F353" i="16"/>
  <c r="F354" i="16"/>
  <c r="F355" i="16"/>
  <c r="F356" i="16"/>
  <c r="F357" i="16"/>
  <c r="F358" i="16"/>
  <c r="F359" i="16"/>
  <c r="G2"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G225" i="16"/>
  <c r="G226" i="16"/>
  <c r="G227" i="16"/>
  <c r="G228" i="16"/>
  <c r="G229" i="16"/>
  <c r="G230" i="16"/>
  <c r="G231" i="16"/>
  <c r="G232" i="16"/>
  <c r="G235" i="16"/>
  <c r="G236" i="16"/>
  <c r="G237" i="16"/>
  <c r="G238" i="16"/>
  <c r="G239" i="16"/>
  <c r="G240" i="16"/>
  <c r="G241" i="16"/>
  <c r="G242" i="16"/>
  <c r="G243" i="16"/>
  <c r="G244" i="16"/>
  <c r="G245" i="16"/>
  <c r="G246" i="16"/>
  <c r="G247" i="16"/>
  <c r="G248" i="16"/>
  <c r="G249" i="16"/>
  <c r="G250" i="16"/>
  <c r="G251" i="16"/>
  <c r="G252" i="16"/>
  <c r="G253" i="16"/>
  <c r="G254" i="16"/>
  <c r="G255" i="16"/>
  <c r="G256" i="16"/>
  <c r="G257" i="16"/>
  <c r="G258" i="16"/>
  <c r="G259" i="16"/>
  <c r="G260" i="16"/>
  <c r="G261" i="16"/>
  <c r="G262" i="16"/>
  <c r="G263" i="16"/>
  <c r="G264" i="16"/>
  <c r="G265" i="16"/>
  <c r="G266" i="16"/>
  <c r="G267" i="16"/>
  <c r="G268" i="16"/>
  <c r="G269" i="16"/>
  <c r="G270" i="16"/>
  <c r="G271" i="16"/>
  <c r="G272" i="16"/>
  <c r="G273" i="16"/>
  <c r="G274" i="16"/>
  <c r="G275" i="16"/>
  <c r="G276" i="16"/>
  <c r="G277" i="16"/>
  <c r="G278" i="16"/>
  <c r="G279" i="16"/>
  <c r="G280" i="16"/>
  <c r="G281" i="16"/>
  <c r="G282" i="16"/>
  <c r="G283" i="16"/>
  <c r="G284" i="16"/>
  <c r="G285" i="16"/>
  <c r="G286" i="16"/>
  <c r="G287" i="16"/>
  <c r="G288" i="16"/>
  <c r="G289" i="16"/>
  <c r="G290" i="16"/>
  <c r="G291" i="16"/>
  <c r="G292" i="16"/>
  <c r="G293" i="16"/>
  <c r="G294" i="16"/>
  <c r="G295" i="16"/>
  <c r="G296" i="16"/>
  <c r="G297" i="16"/>
  <c r="G298" i="16"/>
  <c r="G299" i="16"/>
  <c r="G300" i="16"/>
  <c r="G301" i="16"/>
  <c r="G302" i="16"/>
  <c r="G303" i="16"/>
  <c r="G304" i="16"/>
  <c r="G305" i="16"/>
  <c r="G306" i="16"/>
  <c r="G307" i="16"/>
  <c r="G308" i="16"/>
  <c r="G325" i="16"/>
  <c r="G326" i="16"/>
  <c r="G327" i="16"/>
  <c r="G328" i="16"/>
  <c r="G348" i="16"/>
  <c r="G349" i="16"/>
  <c r="G350" i="16"/>
  <c r="G351" i="16"/>
  <c r="G352" i="16"/>
  <c r="G353" i="16"/>
  <c r="G354" i="16"/>
  <c r="G355" i="16"/>
  <c r="G356" i="16"/>
  <c r="G357" i="16"/>
  <c r="G358" i="16"/>
  <c r="G359" i="16"/>
  <c r="H2" i="16"/>
  <c r="H3" i="16"/>
  <c r="H4" i="16"/>
  <c r="H5" i="16"/>
  <c r="H6" i="16"/>
  <c r="H7" i="16"/>
  <c r="H8" i="16"/>
  <c r="H9" i="16"/>
  <c r="H10" i="16"/>
  <c r="H11" i="16"/>
  <c r="H12" i="16"/>
  <c r="H13" i="16"/>
  <c r="H14" i="16"/>
  <c r="H15" i="16"/>
  <c r="H16" i="16"/>
  <c r="H17" i="16"/>
  <c r="H18" i="16"/>
  <c r="H19" i="16"/>
  <c r="H20" i="16"/>
  <c r="H21" i="16"/>
  <c r="H22" i="16"/>
  <c r="H23" i="16"/>
  <c r="H24" i="16"/>
  <c r="H25" i="16"/>
  <c r="H26" i="16"/>
  <c r="H27" i="16"/>
  <c r="H28" i="16"/>
  <c r="H29" i="16"/>
  <c r="H30" i="16"/>
  <c r="H31" i="16"/>
  <c r="H32" i="16"/>
  <c r="H33" i="16"/>
  <c r="H34" i="16"/>
  <c r="H35" i="16"/>
  <c r="H36" i="16"/>
  <c r="H37" i="16"/>
  <c r="H38" i="16"/>
  <c r="H39" i="16"/>
  <c r="H40" i="16"/>
  <c r="H41" i="16"/>
  <c r="H42" i="16"/>
  <c r="H43" i="16"/>
  <c r="H44" i="16"/>
  <c r="H45" i="16"/>
  <c r="H46" i="16"/>
  <c r="H47" i="16"/>
  <c r="H48" i="16"/>
  <c r="H49" i="16"/>
  <c r="H50" i="16"/>
  <c r="H51" i="16"/>
  <c r="H52" i="16"/>
  <c r="H53" i="16"/>
  <c r="H54" i="16"/>
  <c r="H55" i="16"/>
  <c r="H56" i="16"/>
  <c r="H57" i="16"/>
  <c r="H58" i="16"/>
  <c r="H59" i="16"/>
  <c r="H60" i="16"/>
  <c r="H61" i="16"/>
  <c r="H62" i="16"/>
  <c r="H63" i="16"/>
  <c r="H64" i="16"/>
  <c r="H65" i="16"/>
  <c r="H66" i="16"/>
  <c r="H67" i="16"/>
  <c r="H68" i="16"/>
  <c r="H69" i="16"/>
  <c r="H70" i="16"/>
  <c r="H71" i="16"/>
  <c r="H72" i="16"/>
  <c r="H73" i="16"/>
  <c r="H74" i="16"/>
  <c r="H75" i="16"/>
  <c r="H76" i="16"/>
  <c r="H77" i="16"/>
  <c r="H78" i="16"/>
  <c r="H79" i="16"/>
  <c r="H80" i="16"/>
  <c r="H81" i="16"/>
  <c r="H82" i="16"/>
  <c r="H83" i="16"/>
  <c r="H84" i="16"/>
  <c r="H85" i="16"/>
  <c r="H86" i="16"/>
  <c r="H87" i="16"/>
  <c r="H88" i="16"/>
  <c r="H89" i="16"/>
  <c r="H90" i="16"/>
  <c r="H91" i="16"/>
  <c r="H92" i="16"/>
  <c r="H93" i="16"/>
  <c r="H94" i="16"/>
  <c r="H95" i="16"/>
  <c r="H96" i="16"/>
  <c r="H97" i="16"/>
  <c r="H98" i="16"/>
  <c r="H99" i="16"/>
  <c r="H100" i="16"/>
  <c r="H101" i="16"/>
  <c r="H102" i="16"/>
  <c r="H103" i="16"/>
  <c r="H104" i="16"/>
  <c r="H105" i="16"/>
  <c r="H106" i="16"/>
  <c r="H107" i="16"/>
  <c r="H108" i="16"/>
  <c r="H109" i="16"/>
  <c r="H110" i="16"/>
  <c r="H111" i="16"/>
  <c r="H112" i="16"/>
  <c r="H113" i="16"/>
  <c r="H114" i="16"/>
  <c r="H115" i="16"/>
  <c r="H116" i="16"/>
  <c r="H117" i="16"/>
  <c r="H118" i="16"/>
  <c r="H119" i="16"/>
  <c r="H120" i="16"/>
  <c r="H121" i="16"/>
  <c r="H122" i="16"/>
  <c r="H123" i="16"/>
  <c r="H124" i="16"/>
  <c r="H125" i="16"/>
  <c r="H126" i="16"/>
  <c r="H127" i="16"/>
  <c r="H128" i="16"/>
  <c r="H129" i="16"/>
  <c r="H130" i="16"/>
  <c r="H131" i="16"/>
  <c r="H132" i="16"/>
  <c r="H133" i="16"/>
  <c r="H134" i="16"/>
  <c r="H135" i="16"/>
  <c r="H136" i="16"/>
  <c r="H137" i="16"/>
  <c r="H138" i="16"/>
  <c r="H139" i="16"/>
  <c r="H140" i="16"/>
  <c r="H141" i="16"/>
  <c r="H142" i="16"/>
  <c r="H143" i="16"/>
  <c r="H144" i="16"/>
  <c r="H145" i="16"/>
  <c r="H146" i="16"/>
  <c r="H147" i="16"/>
  <c r="H148" i="16"/>
  <c r="H149" i="16"/>
  <c r="H150" i="16"/>
  <c r="H151" i="16"/>
  <c r="H152" i="16"/>
  <c r="H153" i="16"/>
  <c r="H154" i="16"/>
  <c r="H155" i="16"/>
  <c r="H156" i="16"/>
  <c r="H157" i="16"/>
  <c r="H158" i="16"/>
  <c r="H159" i="16"/>
  <c r="H160" i="16"/>
  <c r="H161" i="16"/>
  <c r="H162" i="16"/>
  <c r="H163" i="16"/>
  <c r="H164" i="16"/>
  <c r="H165" i="16"/>
  <c r="H166" i="16"/>
  <c r="H167" i="16"/>
  <c r="H168" i="16"/>
  <c r="H169" i="16"/>
  <c r="H170" i="16"/>
  <c r="H171" i="16"/>
  <c r="H172" i="16"/>
  <c r="H173" i="16"/>
  <c r="H174" i="16"/>
  <c r="H175" i="16"/>
  <c r="H176" i="16"/>
  <c r="H177" i="16"/>
  <c r="H178" i="16"/>
  <c r="H179" i="16"/>
  <c r="H180" i="16"/>
  <c r="H181" i="16"/>
  <c r="H182" i="16"/>
  <c r="H183" i="16"/>
  <c r="H184" i="16"/>
  <c r="H185" i="16"/>
  <c r="H186" i="16"/>
  <c r="H187" i="16"/>
  <c r="H188" i="16"/>
  <c r="H189" i="16"/>
  <c r="H190" i="16"/>
  <c r="H191" i="16"/>
  <c r="H192" i="16"/>
  <c r="H193" i="16"/>
  <c r="H194" i="16"/>
  <c r="H195" i="16"/>
  <c r="H196" i="16"/>
  <c r="H197" i="16"/>
  <c r="H198" i="16"/>
  <c r="H199" i="16"/>
  <c r="H200" i="16"/>
  <c r="H201" i="16"/>
  <c r="H202" i="16"/>
  <c r="H203" i="16"/>
  <c r="H204" i="16"/>
  <c r="H205" i="16"/>
  <c r="H206" i="16"/>
  <c r="H207" i="16"/>
  <c r="H208" i="16"/>
  <c r="H209" i="16"/>
  <c r="H210" i="16"/>
  <c r="H211" i="16"/>
  <c r="H212" i="16"/>
  <c r="H213" i="16"/>
  <c r="H214" i="16"/>
  <c r="H215" i="16"/>
  <c r="H216" i="16"/>
  <c r="H217" i="16"/>
  <c r="H218" i="16"/>
  <c r="H219" i="16"/>
  <c r="H220" i="16"/>
  <c r="H221" i="16"/>
  <c r="H222" i="16"/>
  <c r="H223" i="16"/>
  <c r="H224" i="16"/>
  <c r="H225" i="16"/>
  <c r="H226" i="16"/>
  <c r="H227" i="16"/>
  <c r="H228" i="16"/>
  <c r="H229" i="16"/>
  <c r="H230" i="16"/>
  <c r="H231" i="16"/>
  <c r="H232" i="16"/>
  <c r="H235" i="16"/>
  <c r="H236" i="16"/>
  <c r="H237" i="16"/>
  <c r="H238" i="16"/>
  <c r="H239" i="16"/>
  <c r="H240" i="16"/>
  <c r="H241" i="16"/>
  <c r="H242" i="16"/>
  <c r="H243" i="16"/>
  <c r="H244" i="16"/>
  <c r="H245" i="16"/>
  <c r="H246" i="16"/>
  <c r="H247" i="16"/>
  <c r="H248" i="16"/>
  <c r="H249" i="16"/>
  <c r="H250" i="16"/>
  <c r="H251" i="16"/>
  <c r="H252" i="16"/>
  <c r="H253" i="16"/>
  <c r="H254" i="16"/>
  <c r="H255" i="16"/>
  <c r="H256" i="16"/>
  <c r="H257" i="16"/>
  <c r="H258" i="16"/>
  <c r="H259" i="16"/>
  <c r="H260" i="16"/>
  <c r="H261" i="16"/>
  <c r="H262" i="16"/>
  <c r="H263" i="16"/>
  <c r="H264" i="16"/>
  <c r="H265" i="16"/>
  <c r="H266" i="16"/>
  <c r="H267" i="16"/>
  <c r="H268" i="16"/>
  <c r="H269" i="16"/>
  <c r="H270" i="16"/>
  <c r="H271" i="16"/>
  <c r="H272" i="16"/>
  <c r="H273" i="16"/>
  <c r="H274" i="16"/>
  <c r="H275" i="16"/>
  <c r="H276" i="16"/>
  <c r="H277" i="16"/>
  <c r="H278" i="16"/>
  <c r="H279" i="16"/>
  <c r="H280" i="16"/>
  <c r="H281" i="16"/>
  <c r="H282" i="16"/>
  <c r="H283" i="16"/>
  <c r="H284" i="16"/>
  <c r="H285" i="16"/>
  <c r="H286" i="16"/>
  <c r="H287" i="16"/>
  <c r="H288" i="16"/>
  <c r="H289" i="16"/>
  <c r="H290" i="16"/>
  <c r="H291" i="16"/>
  <c r="H292" i="16"/>
  <c r="H293" i="16"/>
  <c r="H294" i="16"/>
  <c r="H295" i="16"/>
  <c r="H296" i="16"/>
  <c r="H297" i="16"/>
  <c r="H298" i="16"/>
  <c r="H299" i="16"/>
  <c r="H300" i="16"/>
  <c r="H301" i="16"/>
  <c r="H302" i="16"/>
  <c r="H303" i="16"/>
  <c r="H304" i="16"/>
  <c r="H305" i="16"/>
  <c r="H306" i="16"/>
  <c r="H307" i="16"/>
  <c r="H308" i="16"/>
  <c r="H325" i="16"/>
  <c r="H326" i="16"/>
  <c r="H327" i="16"/>
  <c r="H328" i="16"/>
  <c r="H348" i="16"/>
  <c r="H349" i="16"/>
  <c r="H350" i="16"/>
  <c r="H351" i="16"/>
  <c r="H352" i="16"/>
  <c r="H353" i="16"/>
  <c r="H354" i="16"/>
  <c r="H355" i="16"/>
  <c r="H356" i="16"/>
  <c r="H357" i="16"/>
  <c r="H358" i="16"/>
  <c r="H359" i="16"/>
  <c r="I2" i="16"/>
  <c r="I3" i="16"/>
  <c r="I4" i="16"/>
  <c r="I5" i="16"/>
  <c r="I6" i="16"/>
  <c r="I7" i="16"/>
  <c r="I8" i="16"/>
  <c r="I9" i="16"/>
  <c r="I10" i="16"/>
  <c r="I11" i="16"/>
  <c r="I12" i="16"/>
  <c r="I13" i="16"/>
  <c r="I14" i="16"/>
  <c r="I15" i="16"/>
  <c r="I16" i="16"/>
  <c r="I17" i="16"/>
  <c r="I18" i="16"/>
  <c r="I19" i="16"/>
  <c r="I20" i="16"/>
  <c r="I21" i="16"/>
  <c r="I22" i="16"/>
  <c r="I23" i="16"/>
  <c r="I24" i="16"/>
  <c r="I25" i="16"/>
  <c r="I26" i="16"/>
  <c r="I27" i="16"/>
  <c r="I28" i="16"/>
  <c r="I29" i="16"/>
  <c r="I30" i="16"/>
  <c r="I31" i="16"/>
  <c r="I32" i="16"/>
  <c r="I33" i="16"/>
  <c r="I34" i="16"/>
  <c r="I35" i="16"/>
  <c r="I36" i="16"/>
  <c r="I37" i="16"/>
  <c r="I38" i="16"/>
  <c r="I39" i="16"/>
  <c r="I40" i="16"/>
  <c r="I41" i="16"/>
  <c r="I42" i="16"/>
  <c r="I43" i="16"/>
  <c r="I44" i="16"/>
  <c r="I45" i="16"/>
  <c r="I46" i="16"/>
  <c r="I47" i="16"/>
  <c r="I48" i="16"/>
  <c r="I49" i="16"/>
  <c r="I50" i="16"/>
  <c r="I51" i="16"/>
  <c r="I52" i="16"/>
  <c r="I53" i="16"/>
  <c r="I54" i="16"/>
  <c r="I55" i="16"/>
  <c r="I56" i="16"/>
  <c r="I57" i="16"/>
  <c r="I58" i="16"/>
  <c r="I59" i="16"/>
  <c r="I60" i="16"/>
  <c r="I61" i="16"/>
  <c r="I62" i="16"/>
  <c r="I63" i="16"/>
  <c r="I64" i="16"/>
  <c r="I65" i="16"/>
  <c r="I66" i="16"/>
  <c r="I67" i="16"/>
  <c r="I68" i="16"/>
  <c r="I69" i="16"/>
  <c r="I70" i="16"/>
  <c r="I71" i="16"/>
  <c r="I72" i="16"/>
  <c r="I73" i="16"/>
  <c r="I74" i="16"/>
  <c r="I75" i="16"/>
  <c r="I76" i="16"/>
  <c r="I77" i="16"/>
  <c r="I78" i="16"/>
  <c r="I79" i="16"/>
  <c r="I80" i="16"/>
  <c r="I81" i="16"/>
  <c r="I82" i="16"/>
  <c r="I83" i="16"/>
  <c r="I84" i="16"/>
  <c r="I85" i="16"/>
  <c r="I86" i="16"/>
  <c r="I87" i="16"/>
  <c r="I88" i="16"/>
  <c r="I89" i="16"/>
  <c r="I90" i="16"/>
  <c r="I91" i="16"/>
  <c r="I92" i="16"/>
  <c r="I93" i="16"/>
  <c r="I94" i="16"/>
  <c r="I95" i="16"/>
  <c r="I96" i="16"/>
  <c r="I97" i="16"/>
  <c r="I98" i="16"/>
  <c r="I99" i="16"/>
  <c r="I100" i="16"/>
  <c r="I101" i="16"/>
  <c r="I102" i="16"/>
  <c r="I103" i="16"/>
  <c r="I104" i="16"/>
  <c r="I105" i="16"/>
  <c r="I106" i="16"/>
  <c r="I107" i="16"/>
  <c r="I108" i="16"/>
  <c r="I109" i="16"/>
  <c r="I110" i="16"/>
  <c r="I111" i="16"/>
  <c r="I112" i="16"/>
  <c r="I113" i="16"/>
  <c r="I114" i="16"/>
  <c r="I115" i="16"/>
  <c r="I116" i="16"/>
  <c r="I117" i="16"/>
  <c r="I118" i="16"/>
  <c r="I119" i="16"/>
  <c r="I120" i="16"/>
  <c r="I121" i="16"/>
  <c r="I122" i="16"/>
  <c r="I123" i="16"/>
  <c r="I124" i="16"/>
  <c r="I125" i="16"/>
  <c r="I126" i="16"/>
  <c r="I127" i="16"/>
  <c r="I128" i="16"/>
  <c r="I129" i="16"/>
  <c r="I130" i="16"/>
  <c r="I131" i="16"/>
  <c r="I132" i="16"/>
  <c r="I133" i="16"/>
  <c r="I134" i="16"/>
  <c r="I135" i="16"/>
  <c r="I136" i="16"/>
  <c r="I137" i="16"/>
  <c r="I138" i="16"/>
  <c r="I139" i="16"/>
  <c r="I140" i="16"/>
  <c r="I141" i="16"/>
  <c r="I142" i="16"/>
  <c r="I143" i="16"/>
  <c r="I144" i="16"/>
  <c r="I145" i="16"/>
  <c r="I146" i="16"/>
  <c r="I147" i="16"/>
  <c r="I148" i="16"/>
  <c r="I149" i="16"/>
  <c r="I150" i="16"/>
  <c r="I151" i="16"/>
  <c r="I152" i="16"/>
  <c r="I153" i="16"/>
  <c r="I154" i="16"/>
  <c r="I155" i="16"/>
  <c r="I156" i="16"/>
  <c r="I157" i="16"/>
  <c r="I158" i="16"/>
  <c r="I159" i="16"/>
  <c r="I160" i="16"/>
  <c r="I161" i="16"/>
  <c r="I162" i="16"/>
  <c r="I163" i="16"/>
  <c r="I164" i="16"/>
  <c r="I165" i="16"/>
  <c r="I166" i="16"/>
  <c r="I167" i="16"/>
  <c r="I168" i="16"/>
  <c r="I169" i="16"/>
  <c r="I170" i="16"/>
  <c r="I171" i="16"/>
  <c r="I172" i="16"/>
  <c r="I173" i="16"/>
  <c r="I174" i="16"/>
  <c r="I175" i="16"/>
  <c r="I176" i="16"/>
  <c r="I177" i="16"/>
  <c r="I178" i="16"/>
  <c r="I179" i="16"/>
  <c r="I180" i="16"/>
  <c r="I181" i="16"/>
  <c r="I182" i="16"/>
  <c r="I183" i="16"/>
  <c r="I184" i="16"/>
  <c r="I185" i="16"/>
  <c r="I186" i="16"/>
  <c r="I187" i="16"/>
  <c r="I188" i="16"/>
  <c r="I189" i="16"/>
  <c r="I190" i="16"/>
  <c r="I191" i="16"/>
  <c r="I192" i="16"/>
  <c r="I193" i="16"/>
  <c r="I194" i="16"/>
  <c r="I195" i="16"/>
  <c r="I196" i="16"/>
  <c r="I197" i="16"/>
  <c r="I198" i="16"/>
  <c r="I199" i="16"/>
  <c r="I200" i="16"/>
  <c r="I201" i="16"/>
  <c r="I202" i="16"/>
  <c r="I203" i="16"/>
  <c r="I204" i="16"/>
  <c r="I205" i="16"/>
  <c r="I206" i="16"/>
  <c r="I207" i="16"/>
  <c r="I208" i="16"/>
  <c r="I209" i="16"/>
  <c r="I210" i="16"/>
  <c r="I211" i="16"/>
  <c r="I212" i="16"/>
  <c r="I213" i="16"/>
  <c r="I214" i="16"/>
  <c r="I215" i="16"/>
  <c r="I216" i="16"/>
  <c r="I217" i="16"/>
  <c r="I218" i="16"/>
  <c r="I219" i="16"/>
  <c r="I220" i="16"/>
  <c r="I221" i="16"/>
  <c r="I222" i="16"/>
  <c r="I223" i="16"/>
  <c r="I224" i="16"/>
  <c r="I225" i="16"/>
  <c r="I226" i="16"/>
  <c r="I227" i="16"/>
  <c r="I228" i="16"/>
  <c r="I229" i="16"/>
  <c r="I230" i="16"/>
  <c r="I231" i="16"/>
  <c r="I232" i="16"/>
  <c r="I235" i="16"/>
  <c r="I236" i="16"/>
  <c r="I237" i="16"/>
  <c r="I238" i="16"/>
  <c r="I239" i="16"/>
  <c r="I240" i="16"/>
  <c r="I241" i="16"/>
  <c r="I242" i="16"/>
  <c r="I243" i="16"/>
  <c r="I244" i="16"/>
  <c r="I245" i="16"/>
  <c r="I246" i="16"/>
  <c r="I247" i="16"/>
  <c r="I248" i="16"/>
  <c r="I249" i="16"/>
  <c r="I250" i="16"/>
  <c r="I251" i="16"/>
  <c r="I252" i="16"/>
  <c r="I253" i="16"/>
  <c r="I254" i="16"/>
  <c r="I255" i="16"/>
  <c r="I256" i="16"/>
  <c r="I257" i="16"/>
  <c r="I258" i="16"/>
  <c r="I259" i="16"/>
  <c r="I260" i="16"/>
  <c r="I261" i="16"/>
  <c r="I262" i="16"/>
  <c r="I263" i="16"/>
  <c r="I264" i="16"/>
  <c r="I265" i="16"/>
  <c r="I266" i="16"/>
  <c r="I267" i="16"/>
  <c r="I268" i="16"/>
  <c r="I269" i="16"/>
  <c r="I270" i="16"/>
  <c r="I271" i="16"/>
  <c r="I272" i="16"/>
  <c r="I273" i="16"/>
  <c r="I274" i="16"/>
  <c r="I275" i="16"/>
  <c r="I276" i="16"/>
  <c r="I277" i="16"/>
  <c r="I278" i="16"/>
  <c r="I279" i="16"/>
  <c r="I280" i="16"/>
  <c r="I281" i="16"/>
  <c r="I282" i="16"/>
  <c r="I283" i="16"/>
  <c r="I284" i="16"/>
  <c r="I285" i="16"/>
  <c r="I286" i="16"/>
  <c r="I287" i="16"/>
  <c r="I288" i="16"/>
  <c r="I289" i="16"/>
  <c r="I290" i="16"/>
  <c r="I291" i="16"/>
  <c r="I292" i="16"/>
  <c r="I293" i="16"/>
  <c r="I294" i="16"/>
  <c r="I295" i="16"/>
  <c r="I296" i="16"/>
  <c r="I297" i="16"/>
  <c r="I298" i="16"/>
  <c r="I299" i="16"/>
  <c r="I300" i="16"/>
  <c r="I301" i="16"/>
  <c r="I302" i="16"/>
  <c r="I303" i="16"/>
  <c r="I304" i="16"/>
  <c r="I305" i="16"/>
  <c r="I306" i="16"/>
  <c r="I307" i="16"/>
  <c r="I308" i="16"/>
  <c r="I325" i="16"/>
  <c r="I326" i="16"/>
  <c r="I327" i="16"/>
  <c r="I328" i="16"/>
  <c r="I348" i="16"/>
  <c r="I349" i="16"/>
  <c r="I350" i="16"/>
  <c r="I351" i="16"/>
  <c r="I352" i="16"/>
  <c r="I353" i="16"/>
  <c r="I354" i="16"/>
  <c r="I355" i="16"/>
  <c r="I356" i="16"/>
  <c r="I357" i="16"/>
  <c r="I358" i="16"/>
  <c r="I359" i="16"/>
  <c r="K2" i="16"/>
  <c r="K3" i="16"/>
  <c r="K4" i="16"/>
  <c r="K5" i="16"/>
  <c r="K6" i="16"/>
  <c r="K7" i="16"/>
  <c r="K8" i="16"/>
  <c r="K9" i="16"/>
  <c r="K10" i="16"/>
  <c r="K11" i="16"/>
  <c r="K12" i="16"/>
  <c r="K13" i="16"/>
  <c r="K14" i="16"/>
  <c r="K15" i="16"/>
  <c r="K16" i="16"/>
  <c r="K17" i="16"/>
  <c r="K18" i="16"/>
  <c r="K19" i="16"/>
  <c r="K20" i="16"/>
  <c r="K21" i="16"/>
  <c r="K22" i="16"/>
  <c r="K23" i="16"/>
  <c r="K24" i="16"/>
  <c r="K25" i="16"/>
  <c r="K26" i="16"/>
  <c r="K27" i="16"/>
  <c r="K28" i="16"/>
  <c r="K29" i="16"/>
  <c r="K30" i="16"/>
  <c r="K31" i="16"/>
  <c r="K32" i="16"/>
  <c r="K33" i="16"/>
  <c r="K34" i="16"/>
  <c r="K35" i="16"/>
  <c r="K36" i="16"/>
  <c r="K37" i="16"/>
  <c r="K38" i="16"/>
  <c r="K39" i="16"/>
  <c r="K40" i="16"/>
  <c r="K41" i="16"/>
  <c r="K42" i="16"/>
  <c r="K43" i="16"/>
  <c r="K44" i="16"/>
  <c r="K45" i="16"/>
  <c r="K46" i="16"/>
  <c r="K47" i="16"/>
  <c r="K48" i="16"/>
  <c r="K49" i="16"/>
  <c r="K50" i="16"/>
  <c r="K51" i="16"/>
  <c r="K52" i="16"/>
  <c r="K53" i="16"/>
  <c r="K54" i="16"/>
  <c r="K55" i="16"/>
  <c r="K56" i="16"/>
  <c r="K57" i="16"/>
  <c r="K58" i="16"/>
  <c r="K59" i="16"/>
  <c r="K60" i="16"/>
  <c r="K61" i="16"/>
  <c r="K62" i="16"/>
  <c r="K63" i="16"/>
  <c r="K64" i="16"/>
  <c r="K65" i="16"/>
  <c r="K66" i="16"/>
  <c r="K67" i="16"/>
  <c r="K68" i="16"/>
  <c r="K69" i="16"/>
  <c r="K70" i="16"/>
  <c r="K71" i="16"/>
  <c r="K72" i="16"/>
  <c r="K73" i="16"/>
  <c r="K74" i="16"/>
  <c r="K75" i="16"/>
  <c r="K76" i="16"/>
  <c r="K77" i="16"/>
  <c r="K78" i="16"/>
  <c r="K79" i="16"/>
  <c r="K80" i="16"/>
  <c r="K81" i="16"/>
  <c r="K82" i="16"/>
  <c r="K83" i="16"/>
  <c r="K84" i="16"/>
  <c r="K85" i="16"/>
  <c r="K86" i="16"/>
  <c r="K87" i="16"/>
  <c r="K88" i="16"/>
  <c r="K89" i="16"/>
  <c r="K90" i="16"/>
  <c r="K91" i="16"/>
  <c r="K92" i="16"/>
  <c r="K93" i="16"/>
  <c r="K94" i="16"/>
  <c r="K95" i="16"/>
  <c r="K96" i="16"/>
  <c r="K97" i="16"/>
  <c r="K98" i="16"/>
  <c r="K99" i="16"/>
  <c r="K100" i="16"/>
  <c r="K101" i="16"/>
  <c r="K102" i="16"/>
  <c r="K103" i="16"/>
  <c r="K104" i="16"/>
  <c r="K105" i="16"/>
  <c r="K106" i="16"/>
  <c r="K107" i="16"/>
  <c r="K108" i="16"/>
  <c r="K109" i="16"/>
  <c r="K110" i="16"/>
  <c r="K111" i="16"/>
  <c r="K112" i="16"/>
  <c r="K113" i="16"/>
  <c r="K114" i="16"/>
  <c r="K115" i="16"/>
  <c r="K116" i="16"/>
  <c r="K117" i="16"/>
  <c r="K118" i="16"/>
  <c r="K119" i="16"/>
  <c r="K120" i="16"/>
  <c r="K121" i="16"/>
  <c r="K122" i="16"/>
  <c r="K123" i="16"/>
  <c r="K124" i="16"/>
  <c r="K125" i="16"/>
  <c r="K126" i="16"/>
  <c r="K127" i="16"/>
  <c r="K128" i="16"/>
  <c r="K129" i="16"/>
  <c r="K130" i="16"/>
  <c r="K131" i="16"/>
  <c r="K132" i="16"/>
  <c r="K133" i="16"/>
  <c r="K134" i="16"/>
  <c r="K135" i="16"/>
  <c r="K136" i="16"/>
  <c r="K137" i="16"/>
  <c r="K138" i="16"/>
  <c r="K139" i="16"/>
  <c r="K140" i="16"/>
  <c r="K141" i="16"/>
  <c r="K142" i="16"/>
  <c r="K143" i="16"/>
  <c r="K144" i="16"/>
  <c r="K145" i="16"/>
  <c r="K146" i="16"/>
  <c r="K147" i="16"/>
  <c r="K148" i="16"/>
  <c r="K149" i="16"/>
  <c r="K150" i="16"/>
  <c r="K151" i="16"/>
  <c r="K152" i="16"/>
  <c r="K153" i="16"/>
  <c r="K154" i="16"/>
  <c r="K155" i="16"/>
  <c r="K156" i="16"/>
  <c r="K157" i="16"/>
  <c r="K158" i="16"/>
  <c r="K159" i="16"/>
  <c r="K160" i="16"/>
  <c r="K161" i="16"/>
  <c r="K162" i="16"/>
  <c r="K163" i="16"/>
  <c r="K164" i="16"/>
  <c r="K165" i="16"/>
  <c r="K166" i="16"/>
  <c r="K167" i="16"/>
  <c r="K168" i="16"/>
  <c r="K169" i="16"/>
  <c r="K170" i="16"/>
  <c r="K171" i="16"/>
  <c r="K172" i="16"/>
  <c r="K173" i="16"/>
  <c r="K174" i="16"/>
  <c r="K175" i="16"/>
  <c r="K176" i="16"/>
  <c r="K177" i="16"/>
  <c r="K178" i="16"/>
  <c r="K179" i="16"/>
  <c r="K180" i="16"/>
  <c r="K181" i="16"/>
  <c r="K182" i="16"/>
  <c r="K183" i="16"/>
  <c r="K184" i="16"/>
  <c r="K185" i="16"/>
  <c r="K186" i="16"/>
  <c r="K187" i="16"/>
  <c r="K188" i="16"/>
  <c r="K189" i="16"/>
  <c r="K190" i="16"/>
  <c r="K191" i="16"/>
  <c r="K192" i="16"/>
  <c r="K193" i="16"/>
  <c r="K194" i="16"/>
  <c r="K195" i="16"/>
  <c r="K196" i="16"/>
  <c r="K197" i="16"/>
  <c r="K198" i="16"/>
  <c r="K199" i="16"/>
  <c r="K200" i="16"/>
  <c r="K201" i="16"/>
  <c r="K202" i="16"/>
  <c r="K203" i="16"/>
  <c r="K204" i="16"/>
  <c r="K205" i="16"/>
  <c r="K206" i="16"/>
  <c r="K207" i="16"/>
  <c r="K208" i="16"/>
  <c r="K209" i="16"/>
  <c r="K210" i="16"/>
  <c r="K211" i="16"/>
  <c r="K212" i="16"/>
  <c r="K213" i="16"/>
  <c r="K214" i="16"/>
  <c r="K215" i="16"/>
  <c r="K216" i="16"/>
  <c r="K217" i="16"/>
  <c r="K218" i="16"/>
  <c r="K219" i="16"/>
  <c r="K220" i="16"/>
  <c r="K221" i="16"/>
  <c r="K222" i="16"/>
  <c r="K223" i="16"/>
  <c r="K224" i="16"/>
  <c r="K225" i="16"/>
  <c r="K226" i="16"/>
  <c r="K227" i="16"/>
  <c r="K228" i="16"/>
  <c r="K229" i="16"/>
  <c r="K230" i="16"/>
  <c r="K231" i="16"/>
  <c r="K232" i="16"/>
  <c r="K235" i="16"/>
  <c r="K236" i="16"/>
  <c r="K237" i="16"/>
  <c r="K238" i="16"/>
  <c r="K239" i="16"/>
  <c r="K240" i="16"/>
  <c r="K241" i="16"/>
  <c r="K242" i="16"/>
  <c r="K243" i="16"/>
  <c r="K244" i="16"/>
  <c r="K245" i="16"/>
  <c r="K246" i="16"/>
  <c r="K247" i="16"/>
  <c r="K248" i="16"/>
  <c r="K249" i="16"/>
  <c r="K250" i="16"/>
  <c r="K251" i="16"/>
  <c r="K252" i="16"/>
  <c r="K253" i="16"/>
  <c r="K254" i="16"/>
  <c r="K255" i="16"/>
  <c r="K256" i="16"/>
  <c r="K257" i="16"/>
  <c r="K258" i="16"/>
  <c r="K259" i="16"/>
  <c r="K260" i="16"/>
  <c r="K261" i="16"/>
  <c r="K262" i="16"/>
  <c r="K263" i="16"/>
  <c r="K264" i="16"/>
  <c r="K265" i="16"/>
  <c r="K266" i="16"/>
  <c r="K267" i="16"/>
  <c r="K268" i="16"/>
  <c r="K269" i="16"/>
  <c r="K270" i="16"/>
  <c r="K271" i="16"/>
  <c r="K272" i="16"/>
  <c r="K273" i="16"/>
  <c r="K274" i="16"/>
  <c r="K275" i="16"/>
  <c r="K276" i="16"/>
  <c r="K277" i="16"/>
  <c r="K278" i="16"/>
  <c r="K279" i="16"/>
  <c r="K280" i="16"/>
  <c r="K281" i="16"/>
  <c r="K282" i="16"/>
  <c r="K283" i="16"/>
  <c r="K284" i="16"/>
  <c r="K285" i="16"/>
  <c r="K286" i="16"/>
  <c r="K287" i="16"/>
  <c r="K288" i="16"/>
  <c r="K289" i="16"/>
  <c r="K290" i="16"/>
  <c r="K291" i="16"/>
  <c r="K292" i="16"/>
  <c r="K293" i="16"/>
  <c r="K294" i="16"/>
  <c r="K295" i="16"/>
  <c r="K296" i="16"/>
  <c r="K297" i="16"/>
  <c r="K298" i="16"/>
  <c r="K299" i="16"/>
  <c r="K300" i="16"/>
  <c r="K301" i="16"/>
  <c r="K302" i="16"/>
  <c r="K303" i="16"/>
  <c r="K304" i="16"/>
  <c r="K305" i="16"/>
  <c r="K306" i="16"/>
  <c r="K307" i="16"/>
  <c r="K308" i="16"/>
  <c r="K325" i="16"/>
  <c r="K326" i="16"/>
  <c r="K327" i="16"/>
  <c r="K328" i="16"/>
  <c r="K348" i="16"/>
  <c r="K349" i="16"/>
  <c r="K350" i="16"/>
  <c r="K351" i="16"/>
  <c r="K352" i="16"/>
  <c r="K353" i="16"/>
  <c r="K354" i="16"/>
  <c r="K355" i="16"/>
  <c r="K356" i="16"/>
  <c r="K357" i="16"/>
  <c r="K358" i="16"/>
  <c r="K359" i="16"/>
  <c r="Q2" i="16"/>
  <c r="Q3" i="16"/>
  <c r="Q4" i="16"/>
  <c r="Q5" i="16"/>
  <c r="Q6" i="16"/>
  <c r="Q7" i="16"/>
  <c r="Q8" i="16"/>
  <c r="Q9" i="16"/>
  <c r="Q10" i="16"/>
  <c r="Q11" i="16"/>
  <c r="Q12" i="16"/>
  <c r="Q13" i="16"/>
  <c r="Q14" i="16"/>
  <c r="Q15" i="16"/>
  <c r="Q16" i="16"/>
  <c r="Q17" i="16"/>
  <c r="Q18" i="16"/>
  <c r="Q19" i="16"/>
  <c r="Q20" i="16"/>
  <c r="Q21" i="16"/>
  <c r="Q22" i="16"/>
  <c r="Q23" i="16"/>
  <c r="Q24" i="16"/>
  <c r="Q25" i="16"/>
  <c r="Q26" i="16"/>
  <c r="Q27" i="16"/>
  <c r="Q28" i="16"/>
  <c r="Q29" i="16"/>
  <c r="Q30" i="16"/>
  <c r="Q31" i="16"/>
  <c r="Q32" i="16"/>
  <c r="Q33" i="16"/>
  <c r="Q34" i="16"/>
  <c r="Q35" i="16"/>
  <c r="Q36" i="16"/>
  <c r="Q37" i="16"/>
  <c r="Q38" i="16"/>
  <c r="Q39" i="16"/>
  <c r="Q40" i="16"/>
  <c r="Q41" i="16"/>
  <c r="Q42" i="16"/>
  <c r="Q43" i="16"/>
  <c r="Q44" i="16"/>
  <c r="Q45" i="16"/>
  <c r="Q46" i="16"/>
  <c r="Q47" i="16"/>
  <c r="Q48" i="16"/>
  <c r="Q49" i="16"/>
  <c r="Q50" i="16"/>
  <c r="Q51" i="16"/>
  <c r="Q52" i="16"/>
  <c r="Q53" i="16"/>
  <c r="Q54" i="16"/>
  <c r="Q55" i="16"/>
  <c r="Q56" i="16"/>
  <c r="Q57" i="16"/>
  <c r="Q58" i="16"/>
  <c r="Q59" i="16"/>
  <c r="Q60" i="16"/>
  <c r="Q61" i="16"/>
  <c r="Q62" i="16"/>
  <c r="Q63" i="16"/>
  <c r="Q64" i="16"/>
  <c r="Q65" i="16"/>
  <c r="Q66" i="16"/>
  <c r="Q67" i="16"/>
  <c r="Q68" i="16"/>
  <c r="Q69" i="16"/>
  <c r="Q70" i="16"/>
  <c r="Q71" i="16"/>
  <c r="Q72" i="16"/>
  <c r="Q73" i="16"/>
  <c r="Q74" i="16"/>
  <c r="Q75" i="16"/>
  <c r="Q76" i="16"/>
  <c r="Q77" i="16"/>
  <c r="Q78" i="16"/>
  <c r="Q79" i="16"/>
  <c r="Q80" i="16"/>
  <c r="Q81" i="16"/>
  <c r="Q82" i="16"/>
  <c r="Q83" i="16"/>
  <c r="Q84" i="16"/>
  <c r="Q85" i="16"/>
  <c r="Q86" i="16"/>
  <c r="Q87" i="16"/>
  <c r="Q88" i="16"/>
  <c r="Q89" i="16"/>
  <c r="Q90" i="16"/>
  <c r="Q91" i="16"/>
  <c r="Q92" i="16"/>
  <c r="Q93" i="16"/>
  <c r="Q94" i="16"/>
  <c r="Q95" i="16"/>
  <c r="Q96" i="16"/>
  <c r="Q97" i="16"/>
  <c r="Q98" i="16"/>
  <c r="Q99" i="16"/>
  <c r="Q100" i="16"/>
  <c r="Q101" i="16"/>
  <c r="Q102" i="16"/>
  <c r="Q103" i="16"/>
  <c r="Q104" i="16"/>
  <c r="Q105" i="16"/>
  <c r="Q106" i="16"/>
  <c r="Q107" i="16"/>
  <c r="Q108" i="16"/>
  <c r="Q109" i="16"/>
  <c r="Q110" i="16"/>
  <c r="Q111" i="16"/>
  <c r="Q112" i="16"/>
  <c r="Q113" i="16"/>
  <c r="Q114" i="16"/>
  <c r="Q115" i="16"/>
  <c r="Q116" i="16"/>
  <c r="Q117" i="16"/>
  <c r="Q118" i="16"/>
  <c r="Q119" i="16"/>
  <c r="Q120" i="16"/>
  <c r="Q121" i="16"/>
  <c r="Q122" i="16"/>
  <c r="Q123" i="16"/>
  <c r="Q124" i="16"/>
  <c r="Q125" i="16"/>
  <c r="Q126" i="16"/>
  <c r="Q127" i="16"/>
  <c r="Q128" i="16"/>
  <c r="Q129" i="16"/>
  <c r="Q130" i="16"/>
  <c r="Q131" i="16"/>
  <c r="Q132" i="16"/>
  <c r="Q133" i="16"/>
  <c r="Q134" i="16"/>
  <c r="Q135" i="16"/>
  <c r="Q136" i="16"/>
  <c r="Q137" i="16"/>
  <c r="Q138" i="16"/>
  <c r="Q139" i="16"/>
  <c r="Q140" i="16"/>
  <c r="Q141" i="16"/>
  <c r="Q142" i="16"/>
  <c r="Q143" i="16"/>
  <c r="Q144" i="16"/>
  <c r="Q145" i="16"/>
  <c r="Q146" i="16"/>
  <c r="Q147" i="16"/>
  <c r="Q148" i="16"/>
  <c r="Q149" i="16"/>
  <c r="Q150" i="16"/>
  <c r="Q151" i="16"/>
  <c r="Q152" i="16"/>
  <c r="Q153" i="16"/>
  <c r="Q154" i="16"/>
  <c r="Q155" i="16"/>
  <c r="Q156" i="16"/>
  <c r="Q157" i="16"/>
  <c r="Q158" i="16"/>
  <c r="Q159" i="16"/>
  <c r="Q160" i="16"/>
  <c r="Q161" i="16"/>
  <c r="Q162" i="16"/>
  <c r="Q163" i="16"/>
  <c r="Q164" i="16"/>
  <c r="Q165" i="16"/>
  <c r="Q166" i="16"/>
  <c r="Q167" i="16"/>
  <c r="Q168" i="16"/>
  <c r="Q169" i="16"/>
  <c r="Q170" i="16"/>
  <c r="Q171" i="16"/>
  <c r="Q172" i="16"/>
  <c r="Q173" i="16"/>
  <c r="Q174" i="16"/>
  <c r="Q175" i="16"/>
  <c r="Q176" i="16"/>
  <c r="Q177" i="16"/>
  <c r="Q178" i="16"/>
  <c r="Q179" i="16"/>
  <c r="Q180" i="16"/>
  <c r="Q181" i="16"/>
  <c r="Q182" i="16"/>
  <c r="Q183" i="16"/>
  <c r="Q184" i="16"/>
  <c r="Q185" i="16"/>
  <c r="Q186" i="16"/>
  <c r="Q187" i="16"/>
  <c r="Q188" i="16"/>
  <c r="Q189" i="16"/>
  <c r="Q190" i="16"/>
  <c r="Q191" i="16"/>
  <c r="Q192" i="16"/>
  <c r="Q193" i="16"/>
  <c r="Q194" i="16"/>
  <c r="Q195" i="16"/>
  <c r="Q196" i="16"/>
  <c r="Q197" i="16"/>
  <c r="Q198" i="16"/>
  <c r="Q199" i="16"/>
  <c r="Q200" i="16"/>
  <c r="Q201" i="16"/>
  <c r="Q202" i="16"/>
  <c r="Q203" i="16"/>
  <c r="Q204" i="16"/>
  <c r="Q205" i="16"/>
  <c r="Q206" i="16"/>
  <c r="Q207" i="16"/>
  <c r="Q208" i="16"/>
  <c r="Q209" i="16"/>
  <c r="Q210" i="16"/>
  <c r="Q211" i="16"/>
  <c r="Q212" i="16"/>
  <c r="Q213" i="16"/>
  <c r="Q214" i="16"/>
  <c r="Q215" i="16"/>
  <c r="Q216" i="16"/>
  <c r="Q217" i="16"/>
  <c r="Q218" i="16"/>
  <c r="Q219" i="16"/>
  <c r="Q220" i="16"/>
  <c r="Q221" i="16"/>
  <c r="Q222" i="16"/>
  <c r="Q223" i="16"/>
  <c r="Q224" i="16"/>
  <c r="Q225" i="16"/>
  <c r="Q226" i="16"/>
  <c r="Q227" i="16"/>
  <c r="Q228" i="16"/>
  <c r="Q229" i="16"/>
  <c r="Q230" i="16"/>
  <c r="Q231" i="16"/>
  <c r="Q232" i="16"/>
  <c r="Q235" i="16"/>
  <c r="Q236" i="16"/>
  <c r="Q237" i="16"/>
  <c r="Q238" i="16"/>
  <c r="Q239" i="16"/>
  <c r="Q240" i="16"/>
  <c r="Q241" i="16"/>
  <c r="Q242" i="16"/>
  <c r="Q243" i="16"/>
  <c r="Q244" i="16"/>
  <c r="Q245" i="16"/>
  <c r="Q246" i="16"/>
  <c r="Q247" i="16"/>
  <c r="Q248" i="16"/>
  <c r="Q249" i="16"/>
  <c r="Q250" i="16"/>
  <c r="Q251" i="16"/>
  <c r="Q252" i="16"/>
  <c r="Q253" i="16"/>
  <c r="Q254" i="16"/>
  <c r="Q255" i="16"/>
  <c r="Q256" i="16"/>
  <c r="Q257" i="16"/>
  <c r="Q258" i="16"/>
  <c r="Q259" i="16"/>
  <c r="Q260" i="16"/>
  <c r="Q261" i="16"/>
  <c r="Q262" i="16"/>
  <c r="Q263" i="16"/>
  <c r="Q264" i="16"/>
  <c r="Q265" i="16"/>
  <c r="Q266" i="16"/>
  <c r="Q267" i="16"/>
  <c r="Q268" i="16"/>
  <c r="Q269" i="16"/>
  <c r="Q270" i="16"/>
  <c r="Q271" i="16"/>
  <c r="Q272" i="16"/>
  <c r="Q273" i="16"/>
  <c r="Q274" i="16"/>
  <c r="Q275" i="16"/>
  <c r="Q276" i="16"/>
  <c r="Q277" i="16"/>
  <c r="Q278" i="16"/>
  <c r="Q279" i="16"/>
  <c r="Q280" i="16"/>
  <c r="Q281" i="16"/>
  <c r="Q282" i="16"/>
  <c r="Q283" i="16"/>
  <c r="Q284" i="16"/>
  <c r="Q285" i="16"/>
  <c r="Q286" i="16"/>
  <c r="Q287" i="16"/>
  <c r="Q288" i="16"/>
  <c r="Q289" i="16"/>
  <c r="Q290" i="16"/>
  <c r="Q291" i="16"/>
  <c r="Q292" i="16"/>
  <c r="Q293" i="16"/>
  <c r="Q294" i="16"/>
  <c r="Q295" i="16"/>
  <c r="Q296" i="16"/>
  <c r="Q297" i="16"/>
  <c r="Q298" i="16"/>
  <c r="Q299" i="16"/>
  <c r="Q300" i="16"/>
  <c r="Q301" i="16"/>
  <c r="Q302" i="16"/>
  <c r="Q303" i="16"/>
  <c r="Q304" i="16"/>
  <c r="Q305" i="16"/>
  <c r="Q306" i="16"/>
  <c r="Q307" i="16"/>
  <c r="Q308" i="16"/>
  <c r="Q325" i="16"/>
  <c r="Q326" i="16"/>
  <c r="Q327" i="16"/>
  <c r="Q328" i="16"/>
  <c r="Q348" i="16"/>
  <c r="Q349" i="16"/>
  <c r="Q350" i="16"/>
  <c r="Q351" i="16"/>
  <c r="Q352" i="16"/>
  <c r="Q353" i="16"/>
  <c r="Q354" i="16"/>
  <c r="Q355" i="16"/>
  <c r="Q356" i="16"/>
  <c r="Q357" i="16"/>
  <c r="Q358" i="16"/>
  <c r="Q359" i="16"/>
  <c r="S2" i="16"/>
  <c r="S3" i="16"/>
  <c r="S4" i="16"/>
  <c r="S5" i="16"/>
  <c r="S6" i="16"/>
  <c r="S7" i="16"/>
  <c r="S8" i="16"/>
  <c r="S9" i="16"/>
  <c r="S10" i="16"/>
  <c r="S11" i="16"/>
  <c r="S12" i="16"/>
  <c r="S13" i="16"/>
  <c r="S14" i="16"/>
  <c r="S15" i="16"/>
  <c r="S16" i="16"/>
  <c r="S17" i="16"/>
  <c r="S18" i="16"/>
  <c r="S19" i="16"/>
  <c r="S20" i="16"/>
  <c r="S21" i="16"/>
  <c r="S22" i="16"/>
  <c r="S23" i="16"/>
  <c r="S24" i="16"/>
  <c r="S25" i="16"/>
  <c r="S26" i="16"/>
  <c r="S27" i="16"/>
  <c r="S28" i="16"/>
  <c r="S29" i="16"/>
  <c r="S30" i="16"/>
  <c r="S31" i="16"/>
  <c r="S32" i="16"/>
  <c r="S33" i="16"/>
  <c r="S34" i="16"/>
  <c r="S35" i="16"/>
  <c r="S36" i="16"/>
  <c r="S37" i="16"/>
  <c r="S38" i="16"/>
  <c r="S39" i="16"/>
  <c r="S40" i="16"/>
  <c r="S41" i="16"/>
  <c r="S42" i="16"/>
  <c r="S43" i="16"/>
  <c r="S44" i="16"/>
  <c r="S45" i="16"/>
  <c r="S46" i="16"/>
  <c r="S47" i="16"/>
  <c r="S48" i="16"/>
  <c r="S49" i="16"/>
  <c r="S50" i="16"/>
  <c r="S51" i="16"/>
  <c r="S52" i="16"/>
  <c r="S53" i="16"/>
  <c r="S54" i="16"/>
  <c r="S55" i="16"/>
  <c r="S56" i="16"/>
  <c r="S57" i="16"/>
  <c r="S58" i="16"/>
  <c r="S59" i="16"/>
  <c r="S60" i="16"/>
  <c r="S61" i="16"/>
  <c r="S62" i="16"/>
  <c r="S63" i="16"/>
  <c r="S64" i="16"/>
  <c r="S65" i="16"/>
  <c r="S66" i="16"/>
  <c r="S67" i="16"/>
  <c r="S68" i="16"/>
  <c r="S69" i="16"/>
  <c r="S70" i="16"/>
  <c r="S71" i="16"/>
  <c r="S72" i="16"/>
  <c r="S73" i="16"/>
  <c r="S74" i="16"/>
  <c r="S75" i="16"/>
  <c r="S76" i="16"/>
  <c r="S77" i="16"/>
  <c r="S78" i="16"/>
  <c r="S79" i="16"/>
  <c r="S80" i="16"/>
  <c r="S81" i="16"/>
  <c r="S82" i="16"/>
  <c r="S83" i="16"/>
  <c r="S84" i="16"/>
  <c r="S85" i="16"/>
  <c r="S86" i="16"/>
  <c r="S87" i="16"/>
  <c r="S88" i="16"/>
  <c r="S89" i="16"/>
  <c r="S90" i="16"/>
  <c r="S91" i="16"/>
  <c r="S92" i="16"/>
  <c r="S93" i="16"/>
  <c r="S94" i="16"/>
  <c r="S95" i="16"/>
  <c r="S96" i="16"/>
  <c r="S97" i="16"/>
  <c r="S98" i="16"/>
  <c r="S99" i="16"/>
  <c r="S100" i="16"/>
  <c r="S101" i="16"/>
  <c r="S102" i="16"/>
  <c r="S103" i="16"/>
  <c r="S104" i="16"/>
  <c r="S105" i="16"/>
  <c r="S106" i="16"/>
  <c r="S107" i="16"/>
  <c r="S108" i="16"/>
  <c r="S109" i="16"/>
  <c r="S110" i="16"/>
  <c r="S111" i="16"/>
  <c r="S112" i="16"/>
  <c r="S113" i="16"/>
  <c r="S114" i="16"/>
  <c r="S115" i="16"/>
  <c r="S116" i="16"/>
  <c r="S117" i="16"/>
  <c r="S118" i="16"/>
  <c r="S119" i="16"/>
  <c r="S120" i="16"/>
  <c r="S121" i="16"/>
  <c r="S122" i="16"/>
  <c r="S123" i="16"/>
  <c r="S124" i="16"/>
  <c r="S125" i="16"/>
  <c r="S126" i="16"/>
  <c r="S127" i="16"/>
  <c r="S128" i="16"/>
  <c r="S129" i="16"/>
  <c r="S130" i="16"/>
  <c r="S131" i="16"/>
  <c r="S132" i="16"/>
  <c r="S133" i="16"/>
  <c r="S134" i="16"/>
  <c r="S135" i="16"/>
  <c r="S136" i="16"/>
  <c r="S137" i="16"/>
  <c r="S138" i="16"/>
  <c r="S139" i="16"/>
  <c r="S140" i="16"/>
  <c r="S141" i="16"/>
  <c r="S142" i="16"/>
  <c r="S143" i="16"/>
  <c r="S144" i="16"/>
  <c r="S145" i="16"/>
  <c r="S146" i="16"/>
  <c r="S147" i="16"/>
  <c r="S148" i="16"/>
  <c r="S149" i="16"/>
  <c r="S150" i="16"/>
  <c r="S151" i="16"/>
  <c r="S152" i="16"/>
  <c r="S153" i="16"/>
  <c r="S154" i="16"/>
  <c r="S155" i="16"/>
  <c r="S156" i="16"/>
  <c r="S157" i="16"/>
  <c r="S158" i="16"/>
  <c r="S159" i="16"/>
  <c r="S160" i="16"/>
  <c r="S161" i="16"/>
  <c r="S162" i="16"/>
  <c r="S163" i="16"/>
  <c r="S164" i="16"/>
  <c r="S165" i="16"/>
  <c r="S166" i="16"/>
  <c r="S167" i="16"/>
  <c r="S168" i="16"/>
  <c r="S169" i="16"/>
  <c r="S170" i="16"/>
  <c r="S171" i="16"/>
  <c r="S172" i="16"/>
  <c r="S173" i="16"/>
  <c r="S174" i="16"/>
  <c r="S175" i="16"/>
  <c r="S176" i="16"/>
  <c r="S177" i="16"/>
  <c r="S178" i="16"/>
  <c r="S179" i="16"/>
  <c r="S180" i="16"/>
  <c r="S181" i="16"/>
  <c r="S182" i="16"/>
  <c r="S183" i="16"/>
  <c r="S184" i="16"/>
  <c r="S185" i="16"/>
  <c r="S186" i="16"/>
  <c r="S187" i="16"/>
  <c r="S188" i="16"/>
  <c r="S189" i="16"/>
  <c r="S190" i="16"/>
  <c r="S191" i="16"/>
  <c r="S192" i="16"/>
  <c r="S193" i="16"/>
  <c r="S194" i="16"/>
  <c r="S195" i="16"/>
  <c r="S196" i="16"/>
  <c r="S197" i="16"/>
  <c r="S198" i="16"/>
  <c r="S199" i="16"/>
  <c r="S200" i="16"/>
  <c r="S201" i="16"/>
  <c r="S202" i="16"/>
  <c r="S203" i="16"/>
  <c r="S204" i="16"/>
  <c r="S205" i="16"/>
  <c r="S206" i="16"/>
  <c r="S207" i="16"/>
  <c r="S208" i="16"/>
  <c r="S209" i="16"/>
  <c r="S210" i="16"/>
  <c r="S211" i="16"/>
  <c r="S212" i="16"/>
  <c r="S213" i="16"/>
  <c r="S214" i="16"/>
  <c r="S215" i="16"/>
  <c r="S216" i="16"/>
  <c r="S217" i="16"/>
  <c r="S218" i="16"/>
  <c r="S219" i="16"/>
  <c r="S220" i="16"/>
  <c r="S221" i="16"/>
  <c r="S222" i="16"/>
  <c r="S223" i="16"/>
  <c r="S224" i="16"/>
  <c r="S225" i="16"/>
  <c r="S226" i="16"/>
  <c r="S227" i="16"/>
  <c r="S228" i="16"/>
  <c r="S229" i="16"/>
  <c r="S230" i="16"/>
  <c r="S231" i="16"/>
  <c r="S232" i="16"/>
  <c r="S235" i="16"/>
  <c r="S236" i="16"/>
  <c r="S237" i="16"/>
  <c r="S238" i="16"/>
  <c r="S239" i="16"/>
  <c r="S240" i="16"/>
  <c r="S241" i="16"/>
  <c r="S242" i="16"/>
  <c r="S243" i="16"/>
  <c r="S244" i="16"/>
  <c r="S245" i="16"/>
  <c r="S246" i="16"/>
  <c r="S247" i="16"/>
  <c r="S248" i="16"/>
  <c r="S249" i="16"/>
  <c r="S250" i="16"/>
  <c r="S251" i="16"/>
  <c r="S252" i="16"/>
  <c r="S253" i="16"/>
  <c r="S254" i="16"/>
  <c r="S255" i="16"/>
  <c r="S256" i="16"/>
  <c r="S257" i="16"/>
  <c r="S258" i="16"/>
  <c r="S259" i="16"/>
  <c r="S260" i="16"/>
  <c r="S261" i="16"/>
  <c r="S262" i="16"/>
  <c r="S263" i="16"/>
  <c r="S264" i="16"/>
  <c r="S265" i="16"/>
  <c r="S266" i="16"/>
  <c r="S267" i="16"/>
  <c r="S268" i="16"/>
  <c r="S269" i="16"/>
  <c r="S270" i="16"/>
  <c r="S271" i="16"/>
  <c r="S272" i="16"/>
  <c r="S273" i="16"/>
  <c r="S274" i="16"/>
  <c r="S275" i="16"/>
  <c r="S276" i="16"/>
  <c r="S277" i="16"/>
  <c r="S278" i="16"/>
  <c r="S279" i="16"/>
  <c r="S280" i="16"/>
  <c r="S281" i="16"/>
  <c r="S282" i="16"/>
  <c r="S283" i="16"/>
  <c r="S284" i="16"/>
  <c r="S285" i="16"/>
  <c r="S286" i="16"/>
  <c r="S287" i="16"/>
  <c r="S288" i="16"/>
  <c r="S289" i="16"/>
  <c r="S290" i="16"/>
  <c r="S291" i="16"/>
  <c r="S292" i="16"/>
  <c r="S293" i="16"/>
  <c r="S294" i="16"/>
  <c r="S295" i="16"/>
  <c r="S296" i="16"/>
  <c r="S297" i="16"/>
  <c r="S298" i="16"/>
  <c r="S299" i="16"/>
  <c r="S300" i="16"/>
  <c r="S301" i="16"/>
  <c r="S302" i="16"/>
  <c r="S303" i="16"/>
  <c r="S304" i="16"/>
  <c r="S305" i="16"/>
  <c r="S306" i="16"/>
  <c r="S307" i="16"/>
  <c r="S308" i="16"/>
  <c r="S325" i="16"/>
  <c r="S326" i="16"/>
  <c r="S327" i="16"/>
  <c r="S328" i="16"/>
  <c r="S348" i="16"/>
  <c r="S349" i="16"/>
  <c r="S350" i="16"/>
  <c r="S351" i="16"/>
  <c r="S352" i="16"/>
  <c r="S353" i="16"/>
  <c r="S354" i="16"/>
  <c r="S355" i="16"/>
  <c r="S356" i="16"/>
  <c r="S357" i="16"/>
  <c r="S358" i="16"/>
  <c r="S359" i="16"/>
  <c r="U2" i="16"/>
  <c r="U3" i="16"/>
  <c r="U4" i="16"/>
  <c r="U5" i="16"/>
  <c r="U6" i="16"/>
  <c r="U7" i="16"/>
  <c r="U8" i="16"/>
  <c r="U9" i="16"/>
  <c r="U10" i="16"/>
  <c r="U11" i="16"/>
  <c r="U12" i="16"/>
  <c r="U13" i="16"/>
  <c r="U14" i="16"/>
  <c r="U15" i="16"/>
  <c r="U16" i="16"/>
  <c r="U17" i="16"/>
  <c r="U18" i="16"/>
  <c r="U19" i="16"/>
  <c r="U20" i="16"/>
  <c r="U21" i="16"/>
  <c r="U22" i="16"/>
  <c r="U23" i="16"/>
  <c r="U24" i="16"/>
  <c r="U25" i="16"/>
  <c r="U26" i="16"/>
  <c r="U27" i="16"/>
  <c r="U28" i="16"/>
  <c r="U29" i="16"/>
  <c r="U30" i="16"/>
  <c r="U31" i="16"/>
  <c r="U32" i="16"/>
  <c r="U33" i="16"/>
  <c r="U34" i="16"/>
  <c r="U35" i="16"/>
  <c r="U36" i="16"/>
  <c r="U37" i="16"/>
  <c r="U38" i="16"/>
  <c r="U39" i="16"/>
  <c r="U40" i="16"/>
  <c r="U41" i="16"/>
  <c r="U42" i="16"/>
  <c r="U43" i="16"/>
  <c r="U44" i="16"/>
  <c r="U45" i="16"/>
  <c r="U46" i="16"/>
  <c r="U47" i="16"/>
  <c r="U48" i="16"/>
  <c r="U49" i="16"/>
  <c r="U50" i="16"/>
  <c r="U51" i="16"/>
  <c r="U52" i="16"/>
  <c r="U53" i="16"/>
  <c r="U54" i="16"/>
  <c r="U55" i="16"/>
  <c r="U56" i="16"/>
  <c r="U57" i="16"/>
  <c r="U58" i="16"/>
  <c r="U59" i="16"/>
  <c r="U60" i="16"/>
  <c r="U61" i="16"/>
  <c r="U62" i="16"/>
  <c r="U63" i="16"/>
  <c r="U64" i="16"/>
  <c r="U65" i="16"/>
  <c r="U66" i="16"/>
  <c r="U67" i="16"/>
  <c r="U68" i="16"/>
  <c r="U69" i="16"/>
  <c r="U70" i="16"/>
  <c r="U71" i="16"/>
  <c r="U72" i="16"/>
  <c r="U73" i="16"/>
  <c r="U74" i="16"/>
  <c r="U75" i="16"/>
  <c r="U76" i="16"/>
  <c r="U77" i="16"/>
  <c r="U78" i="16"/>
  <c r="U79" i="16"/>
  <c r="U80" i="16"/>
  <c r="U81" i="16"/>
  <c r="U82" i="16"/>
  <c r="U83" i="16"/>
  <c r="U84" i="16"/>
  <c r="U85" i="16"/>
  <c r="U86" i="16"/>
  <c r="U87" i="16"/>
  <c r="U88" i="16"/>
  <c r="U89" i="16"/>
  <c r="U90" i="16"/>
  <c r="U91" i="16"/>
  <c r="U92" i="16"/>
  <c r="U93" i="16"/>
  <c r="U94" i="16"/>
  <c r="U95" i="16"/>
  <c r="U96" i="16"/>
  <c r="U97" i="16"/>
  <c r="U98" i="16"/>
  <c r="U99" i="16"/>
  <c r="U100" i="16"/>
  <c r="U101" i="16"/>
  <c r="U102" i="16"/>
  <c r="U103" i="16"/>
  <c r="U104" i="16"/>
  <c r="U105" i="16"/>
  <c r="U106" i="16"/>
  <c r="U107" i="16"/>
  <c r="U108" i="16"/>
  <c r="U109" i="16"/>
  <c r="U110" i="16"/>
  <c r="U111" i="16"/>
  <c r="U112" i="16"/>
  <c r="U113" i="16"/>
  <c r="U114" i="16"/>
  <c r="U115" i="16"/>
  <c r="U116" i="16"/>
  <c r="U117" i="16"/>
  <c r="U118" i="16"/>
  <c r="U119" i="16"/>
  <c r="U120" i="16"/>
  <c r="U121" i="16"/>
  <c r="U122" i="16"/>
  <c r="U123" i="16"/>
  <c r="U124" i="16"/>
  <c r="U125" i="16"/>
  <c r="U126" i="16"/>
  <c r="U127" i="16"/>
  <c r="U128" i="16"/>
  <c r="U129" i="16"/>
  <c r="U130" i="16"/>
  <c r="U131" i="16"/>
  <c r="U132" i="16"/>
  <c r="U133" i="16"/>
  <c r="U134" i="16"/>
  <c r="U135" i="16"/>
  <c r="U136" i="16"/>
  <c r="U137" i="16"/>
  <c r="U138" i="16"/>
  <c r="U139" i="16"/>
  <c r="U140" i="16"/>
  <c r="U141" i="16"/>
  <c r="U142" i="16"/>
  <c r="U143" i="16"/>
  <c r="U144" i="16"/>
  <c r="U145" i="16"/>
  <c r="U146" i="16"/>
  <c r="U147" i="16"/>
  <c r="U148" i="16"/>
  <c r="U149" i="16"/>
  <c r="U150" i="16"/>
  <c r="U151" i="16"/>
  <c r="U152" i="16"/>
  <c r="U153" i="16"/>
  <c r="U154" i="16"/>
  <c r="U155" i="16"/>
  <c r="U156" i="16"/>
  <c r="U157" i="16"/>
  <c r="U158" i="16"/>
  <c r="U159" i="16"/>
  <c r="U160" i="16"/>
  <c r="U161" i="16"/>
  <c r="U162" i="16"/>
  <c r="U163" i="16"/>
  <c r="U164" i="16"/>
  <c r="U165" i="16"/>
  <c r="U166" i="16"/>
  <c r="U167" i="16"/>
  <c r="U168" i="16"/>
  <c r="U169" i="16"/>
  <c r="U170" i="16"/>
  <c r="U171" i="16"/>
  <c r="U172" i="16"/>
  <c r="U173" i="16"/>
  <c r="U174" i="16"/>
  <c r="U175" i="16"/>
  <c r="U176" i="16"/>
  <c r="U177" i="16"/>
  <c r="U178" i="16"/>
  <c r="U179" i="16"/>
  <c r="U180" i="16"/>
  <c r="U181" i="16"/>
  <c r="U182" i="16"/>
  <c r="U183" i="16"/>
  <c r="U184" i="16"/>
  <c r="U185" i="16"/>
  <c r="U186" i="16"/>
  <c r="U187" i="16"/>
  <c r="U188" i="16"/>
  <c r="U189" i="16"/>
  <c r="U190" i="16"/>
  <c r="U191" i="16"/>
  <c r="U192" i="16"/>
  <c r="U193" i="16"/>
  <c r="U194" i="16"/>
  <c r="U195" i="16"/>
  <c r="U196" i="16"/>
  <c r="U197" i="16"/>
  <c r="U198" i="16"/>
  <c r="U199" i="16"/>
  <c r="U200" i="16"/>
  <c r="U201" i="16"/>
  <c r="U202" i="16"/>
  <c r="U203" i="16"/>
  <c r="U204" i="16"/>
  <c r="U205" i="16"/>
  <c r="U206" i="16"/>
  <c r="U207" i="16"/>
  <c r="U208" i="16"/>
  <c r="U209" i="16"/>
  <c r="U210" i="16"/>
  <c r="U211" i="16"/>
  <c r="U212" i="16"/>
  <c r="U213" i="16"/>
  <c r="U214" i="16"/>
  <c r="U215" i="16"/>
  <c r="U216" i="16"/>
  <c r="U217" i="16"/>
  <c r="U218" i="16"/>
  <c r="U219" i="16"/>
  <c r="U220" i="16"/>
  <c r="U221" i="16"/>
  <c r="U222" i="16"/>
  <c r="U223" i="16"/>
  <c r="U224" i="16"/>
  <c r="U225" i="16"/>
  <c r="U226" i="16"/>
  <c r="U227" i="16"/>
  <c r="U228" i="16"/>
  <c r="U229" i="16"/>
  <c r="U230" i="16"/>
  <c r="U231" i="16"/>
  <c r="U232" i="16"/>
  <c r="U235" i="16"/>
  <c r="U236" i="16"/>
  <c r="U237" i="16"/>
  <c r="U238" i="16"/>
  <c r="U239" i="16"/>
  <c r="U240" i="16"/>
  <c r="U241" i="16"/>
  <c r="U242" i="16"/>
  <c r="U243" i="16"/>
  <c r="U244" i="16"/>
  <c r="U245" i="16"/>
  <c r="U246" i="16"/>
  <c r="U247" i="16"/>
  <c r="U248" i="16"/>
  <c r="U249" i="16"/>
  <c r="U250" i="16"/>
  <c r="U251" i="16"/>
  <c r="U252" i="16"/>
  <c r="U253" i="16"/>
  <c r="U254" i="16"/>
  <c r="U255" i="16"/>
  <c r="U256" i="16"/>
  <c r="U257" i="16"/>
  <c r="U258" i="16"/>
  <c r="U259" i="16"/>
  <c r="U260" i="16"/>
  <c r="U261" i="16"/>
  <c r="U262" i="16"/>
  <c r="U263" i="16"/>
  <c r="U264" i="16"/>
  <c r="U265" i="16"/>
  <c r="U266" i="16"/>
  <c r="U267" i="16"/>
  <c r="U268" i="16"/>
  <c r="U269" i="16"/>
  <c r="U270" i="16"/>
  <c r="U271" i="16"/>
  <c r="U272" i="16"/>
  <c r="U273" i="16"/>
  <c r="U274" i="16"/>
  <c r="U275" i="16"/>
  <c r="U276" i="16"/>
  <c r="U277" i="16"/>
  <c r="U278" i="16"/>
  <c r="U279" i="16"/>
  <c r="U280" i="16"/>
  <c r="U281" i="16"/>
  <c r="U282" i="16"/>
  <c r="U283" i="16"/>
  <c r="U284" i="16"/>
  <c r="U285" i="16"/>
  <c r="U286" i="16"/>
  <c r="U287" i="16"/>
  <c r="U288" i="16"/>
  <c r="U289" i="16"/>
  <c r="U290" i="16"/>
  <c r="U291" i="16"/>
  <c r="U292" i="16"/>
  <c r="U293" i="16"/>
  <c r="U294" i="16"/>
  <c r="U295" i="16"/>
  <c r="U296" i="16"/>
  <c r="U297" i="16"/>
  <c r="U298" i="16"/>
  <c r="U299" i="16"/>
  <c r="U300" i="16"/>
  <c r="U301" i="16"/>
  <c r="U302" i="16"/>
  <c r="U303" i="16"/>
  <c r="U304" i="16"/>
  <c r="U305" i="16"/>
  <c r="U306" i="16"/>
  <c r="U307" i="16"/>
  <c r="U308" i="16"/>
  <c r="U325" i="16"/>
  <c r="U326" i="16"/>
  <c r="U327" i="16"/>
  <c r="U328" i="16"/>
  <c r="U348" i="16"/>
  <c r="U349" i="16"/>
  <c r="U350" i="16"/>
  <c r="U351" i="16"/>
  <c r="U352" i="16"/>
  <c r="U353" i="16"/>
  <c r="U354" i="16"/>
  <c r="U355" i="16"/>
  <c r="U356" i="16"/>
  <c r="U357" i="16"/>
  <c r="U358" i="16"/>
  <c r="U359" i="16"/>
  <c r="V2" i="16"/>
  <c r="V3" i="16"/>
  <c r="V4" i="16"/>
  <c r="V5" i="16"/>
  <c r="V6" i="16"/>
  <c r="V7" i="16"/>
  <c r="V8" i="16"/>
  <c r="V9" i="16"/>
  <c r="V10" i="16"/>
  <c r="V11" i="16"/>
  <c r="V12" i="16"/>
  <c r="V13" i="16"/>
  <c r="V14" i="16"/>
  <c r="V15" i="16"/>
  <c r="V16" i="16"/>
  <c r="V17" i="16"/>
  <c r="V18" i="16"/>
  <c r="V19" i="16"/>
  <c r="V20" i="16"/>
  <c r="V21" i="16"/>
  <c r="V22" i="16"/>
  <c r="V23" i="16"/>
  <c r="V24" i="16"/>
  <c r="V25" i="16"/>
  <c r="V26" i="16"/>
  <c r="V27" i="16"/>
  <c r="V28" i="16"/>
  <c r="V29" i="16"/>
  <c r="V30" i="16"/>
  <c r="V31" i="16"/>
  <c r="V32" i="16"/>
  <c r="V33" i="16"/>
  <c r="V34" i="16"/>
  <c r="V35" i="16"/>
  <c r="V36" i="16"/>
  <c r="V37" i="16"/>
  <c r="V38" i="16"/>
  <c r="V39" i="16"/>
  <c r="V40" i="16"/>
  <c r="V41" i="16"/>
  <c r="V42" i="16"/>
  <c r="V43" i="16"/>
  <c r="V44" i="16"/>
  <c r="V45" i="16"/>
  <c r="V46" i="16"/>
  <c r="V47" i="16"/>
  <c r="V48" i="16"/>
  <c r="V49" i="16"/>
  <c r="V50" i="16"/>
  <c r="V51" i="16"/>
  <c r="V52" i="16"/>
  <c r="V53" i="16"/>
  <c r="V54" i="16"/>
  <c r="V55" i="16"/>
  <c r="V56" i="16"/>
  <c r="V57" i="16"/>
  <c r="V58" i="16"/>
  <c r="V59" i="16"/>
  <c r="V60" i="16"/>
  <c r="V61" i="16"/>
  <c r="V62" i="16"/>
  <c r="V63" i="16"/>
  <c r="V64" i="16"/>
  <c r="V65" i="16"/>
  <c r="V66" i="16"/>
  <c r="V67" i="16"/>
  <c r="V68" i="16"/>
  <c r="V69" i="16"/>
  <c r="V70" i="16"/>
  <c r="V71" i="16"/>
  <c r="V72" i="16"/>
  <c r="V73" i="16"/>
  <c r="V74" i="16"/>
  <c r="V75" i="16"/>
  <c r="V76" i="16"/>
  <c r="V77" i="16"/>
  <c r="V78" i="16"/>
  <c r="V79" i="16"/>
  <c r="V80" i="16"/>
  <c r="V81" i="16"/>
  <c r="V82" i="16"/>
  <c r="V83" i="16"/>
  <c r="V84" i="16"/>
  <c r="V85" i="16"/>
  <c r="V86" i="16"/>
  <c r="V87" i="16"/>
  <c r="V88" i="16"/>
  <c r="V89" i="16"/>
  <c r="V90" i="16"/>
  <c r="V91" i="16"/>
  <c r="V92" i="16"/>
  <c r="V93" i="16"/>
  <c r="V94" i="16"/>
  <c r="V95" i="16"/>
  <c r="V96" i="16"/>
  <c r="V97" i="16"/>
  <c r="V98" i="16"/>
  <c r="V99" i="16"/>
  <c r="V100" i="16"/>
  <c r="V101" i="16"/>
  <c r="V102" i="16"/>
  <c r="V103" i="16"/>
  <c r="V104" i="16"/>
  <c r="V105" i="16"/>
  <c r="V106" i="16"/>
  <c r="V107" i="16"/>
  <c r="V108" i="16"/>
  <c r="V109" i="16"/>
  <c r="V110" i="16"/>
  <c r="V111" i="16"/>
  <c r="V112" i="16"/>
  <c r="V113" i="16"/>
  <c r="V114" i="16"/>
  <c r="V115" i="16"/>
  <c r="V116" i="16"/>
  <c r="V117" i="16"/>
  <c r="V118" i="16"/>
  <c r="V119" i="16"/>
  <c r="V120" i="16"/>
  <c r="V121" i="16"/>
  <c r="V122" i="16"/>
  <c r="V123" i="16"/>
  <c r="V124" i="16"/>
  <c r="V125" i="16"/>
  <c r="V126" i="16"/>
  <c r="V127" i="16"/>
  <c r="V128" i="16"/>
  <c r="V129" i="16"/>
  <c r="V130" i="16"/>
  <c r="V131" i="16"/>
  <c r="V132" i="16"/>
  <c r="V133" i="16"/>
  <c r="V134" i="16"/>
  <c r="V135" i="16"/>
  <c r="V136" i="16"/>
  <c r="V137" i="16"/>
  <c r="V138" i="16"/>
  <c r="V139" i="16"/>
  <c r="V140" i="16"/>
  <c r="V141" i="16"/>
  <c r="V142" i="16"/>
  <c r="V143" i="16"/>
  <c r="V144" i="16"/>
  <c r="V145" i="16"/>
  <c r="V146" i="16"/>
  <c r="V147" i="16"/>
  <c r="V148" i="16"/>
  <c r="V149" i="16"/>
  <c r="V150" i="16"/>
  <c r="V151" i="16"/>
  <c r="V152" i="16"/>
  <c r="V153" i="16"/>
  <c r="V154" i="16"/>
  <c r="V155" i="16"/>
  <c r="V156" i="16"/>
  <c r="V157" i="16"/>
  <c r="V158" i="16"/>
  <c r="V159" i="16"/>
  <c r="V160" i="16"/>
  <c r="V161" i="16"/>
  <c r="V162" i="16"/>
  <c r="V163" i="16"/>
  <c r="V164" i="16"/>
  <c r="V165" i="16"/>
  <c r="V166" i="16"/>
  <c r="V167" i="16"/>
  <c r="V168" i="16"/>
  <c r="V169" i="16"/>
  <c r="V170" i="16"/>
  <c r="V171" i="16"/>
  <c r="V172" i="16"/>
  <c r="V173" i="16"/>
  <c r="V174" i="16"/>
  <c r="V175" i="16"/>
  <c r="V176" i="16"/>
  <c r="V177" i="16"/>
  <c r="V178" i="16"/>
  <c r="V179" i="16"/>
  <c r="V180" i="16"/>
  <c r="V181" i="16"/>
  <c r="V182" i="16"/>
  <c r="V183" i="16"/>
  <c r="V184" i="16"/>
  <c r="V185" i="16"/>
  <c r="V186" i="16"/>
  <c r="V187" i="16"/>
  <c r="V188" i="16"/>
  <c r="V189" i="16"/>
  <c r="V190" i="16"/>
  <c r="V191" i="16"/>
  <c r="V192" i="16"/>
  <c r="V193" i="16"/>
  <c r="V194" i="16"/>
  <c r="V195" i="16"/>
  <c r="V196" i="16"/>
  <c r="V197" i="16"/>
  <c r="V198" i="16"/>
  <c r="V199" i="16"/>
  <c r="V200" i="16"/>
  <c r="V201" i="16"/>
  <c r="V202" i="16"/>
  <c r="V203" i="16"/>
  <c r="V204" i="16"/>
  <c r="V205" i="16"/>
  <c r="V206" i="16"/>
  <c r="V207" i="16"/>
  <c r="V208" i="16"/>
  <c r="V209" i="16"/>
  <c r="V210" i="16"/>
  <c r="V211" i="16"/>
  <c r="V212" i="16"/>
  <c r="V213" i="16"/>
  <c r="V214" i="16"/>
  <c r="V215" i="16"/>
  <c r="V216" i="16"/>
  <c r="V217" i="16"/>
  <c r="V218" i="16"/>
  <c r="V219" i="16"/>
  <c r="V220" i="16"/>
  <c r="V221" i="16"/>
  <c r="V222" i="16"/>
  <c r="V223" i="16"/>
  <c r="V224" i="16"/>
  <c r="V225" i="16"/>
  <c r="V226" i="16"/>
  <c r="V227" i="16"/>
  <c r="V228" i="16"/>
  <c r="V229" i="16"/>
  <c r="V230" i="16"/>
  <c r="V231" i="16"/>
  <c r="V232" i="16"/>
  <c r="V235" i="16"/>
  <c r="V236" i="16"/>
  <c r="V237" i="16"/>
  <c r="V238" i="16"/>
  <c r="V239" i="16"/>
  <c r="V240" i="16"/>
  <c r="V241" i="16"/>
  <c r="V242" i="16"/>
  <c r="V243" i="16"/>
  <c r="V244" i="16"/>
  <c r="V245" i="16"/>
  <c r="V246" i="16"/>
  <c r="V247" i="16"/>
  <c r="V248" i="16"/>
  <c r="V249" i="16"/>
  <c r="V250" i="16"/>
  <c r="V251" i="16"/>
  <c r="V252" i="16"/>
  <c r="V253" i="16"/>
  <c r="V254" i="16"/>
  <c r="V255" i="16"/>
  <c r="V256" i="16"/>
  <c r="V257" i="16"/>
  <c r="V258" i="16"/>
  <c r="V259" i="16"/>
  <c r="V260" i="16"/>
  <c r="V261" i="16"/>
  <c r="V262" i="16"/>
  <c r="V263" i="16"/>
  <c r="V264" i="16"/>
  <c r="V265" i="16"/>
  <c r="V266" i="16"/>
  <c r="V267" i="16"/>
  <c r="V268" i="16"/>
  <c r="V269" i="16"/>
  <c r="V270" i="16"/>
  <c r="V271" i="16"/>
  <c r="V272" i="16"/>
  <c r="V273" i="16"/>
  <c r="V274" i="16"/>
  <c r="V275" i="16"/>
  <c r="V276" i="16"/>
  <c r="V277" i="16"/>
  <c r="V278" i="16"/>
  <c r="V279" i="16"/>
  <c r="V280" i="16"/>
  <c r="V281" i="16"/>
  <c r="V282" i="16"/>
  <c r="V283" i="16"/>
  <c r="V284" i="16"/>
  <c r="V285" i="16"/>
  <c r="V286" i="16"/>
  <c r="V287" i="16"/>
  <c r="V288" i="16"/>
  <c r="V289" i="16"/>
  <c r="V290" i="16"/>
  <c r="V291" i="16"/>
  <c r="V292" i="16"/>
  <c r="V293" i="16"/>
  <c r="V294" i="16"/>
  <c r="V295" i="16"/>
  <c r="V296" i="16"/>
  <c r="V297" i="16"/>
  <c r="V298" i="16"/>
  <c r="V299" i="16"/>
  <c r="V300" i="16"/>
  <c r="V301" i="16"/>
  <c r="V302" i="16"/>
  <c r="V303" i="16"/>
  <c r="V304" i="16"/>
  <c r="V305" i="16"/>
  <c r="V306" i="16"/>
  <c r="V307" i="16"/>
  <c r="V308" i="16"/>
  <c r="V325" i="16"/>
  <c r="V326" i="16"/>
  <c r="V327" i="16"/>
  <c r="V328" i="16"/>
  <c r="V348" i="16"/>
  <c r="V349" i="16"/>
  <c r="V350" i="16"/>
  <c r="V351" i="16"/>
  <c r="V352" i="16"/>
  <c r="V353" i="16"/>
  <c r="V354" i="16"/>
  <c r="V355" i="16"/>
  <c r="V356" i="16"/>
  <c r="V357" i="16"/>
  <c r="V358" i="16"/>
  <c r="V359" i="16"/>
  <c r="W2" i="16"/>
  <c r="W3" i="16"/>
  <c r="W4" i="16"/>
  <c r="W5" i="16"/>
  <c r="W6" i="16"/>
  <c r="W7" i="16"/>
  <c r="W8" i="16"/>
  <c r="W9" i="16"/>
  <c r="W10" i="16"/>
  <c r="W11" i="16"/>
  <c r="W12" i="16"/>
  <c r="W13" i="16"/>
  <c r="W14" i="16"/>
  <c r="W15" i="16"/>
  <c r="W16" i="16"/>
  <c r="W17" i="16"/>
  <c r="W18" i="16"/>
  <c r="W19" i="16"/>
  <c r="W20" i="16"/>
  <c r="W21" i="16"/>
  <c r="W22" i="16"/>
  <c r="W23" i="16"/>
  <c r="W24" i="16"/>
  <c r="W25" i="16"/>
  <c r="W26" i="16"/>
  <c r="W27" i="16"/>
  <c r="W28" i="16"/>
  <c r="W29" i="16"/>
  <c r="W30" i="16"/>
  <c r="W31" i="16"/>
  <c r="W32" i="16"/>
  <c r="W33" i="16"/>
  <c r="W34" i="16"/>
  <c r="W35" i="16"/>
  <c r="W36" i="16"/>
  <c r="W37" i="16"/>
  <c r="W38" i="16"/>
  <c r="W39" i="16"/>
  <c r="W40" i="16"/>
  <c r="W41" i="16"/>
  <c r="W42" i="16"/>
  <c r="W43" i="16"/>
  <c r="W44" i="16"/>
  <c r="W45" i="16"/>
  <c r="W46" i="16"/>
  <c r="W47" i="16"/>
  <c r="W48" i="16"/>
  <c r="W49" i="16"/>
  <c r="W50" i="16"/>
  <c r="W51" i="16"/>
  <c r="W52" i="16"/>
  <c r="W53" i="16"/>
  <c r="W54" i="16"/>
  <c r="W55" i="16"/>
  <c r="W56" i="16"/>
  <c r="W57" i="16"/>
  <c r="W58" i="16"/>
  <c r="W59" i="16"/>
  <c r="W60" i="16"/>
  <c r="W61" i="16"/>
  <c r="W62" i="16"/>
  <c r="W63" i="16"/>
  <c r="W64" i="16"/>
  <c r="W65" i="16"/>
  <c r="W66" i="16"/>
  <c r="W67" i="16"/>
  <c r="W68" i="16"/>
  <c r="W69" i="16"/>
  <c r="W70" i="16"/>
  <c r="W71" i="16"/>
  <c r="W72" i="16"/>
  <c r="W73" i="16"/>
  <c r="W74" i="16"/>
  <c r="W75" i="16"/>
  <c r="W76" i="16"/>
  <c r="W77" i="16"/>
  <c r="W78" i="16"/>
  <c r="W79" i="16"/>
  <c r="W80" i="16"/>
  <c r="W81" i="16"/>
  <c r="W82" i="16"/>
  <c r="W83" i="16"/>
  <c r="W84" i="16"/>
  <c r="W85" i="16"/>
  <c r="W86" i="16"/>
  <c r="W87" i="16"/>
  <c r="W88" i="16"/>
  <c r="W89" i="16"/>
  <c r="W90" i="16"/>
  <c r="W91" i="16"/>
  <c r="W92" i="16"/>
  <c r="W93" i="16"/>
  <c r="W94" i="16"/>
  <c r="W95" i="16"/>
  <c r="W96" i="16"/>
  <c r="W97" i="16"/>
  <c r="W98" i="16"/>
  <c r="W99" i="16"/>
  <c r="W100" i="16"/>
  <c r="W101" i="16"/>
  <c r="W102" i="16"/>
  <c r="W103" i="16"/>
  <c r="W104" i="16"/>
  <c r="W105" i="16"/>
  <c r="W106" i="16"/>
  <c r="W107" i="16"/>
  <c r="W108" i="16"/>
  <c r="W109" i="16"/>
  <c r="W110" i="16"/>
  <c r="W111" i="16"/>
  <c r="W112" i="16"/>
  <c r="W113" i="16"/>
  <c r="W114" i="16"/>
  <c r="W115" i="16"/>
  <c r="W116" i="16"/>
  <c r="W117" i="16"/>
  <c r="W118" i="16"/>
  <c r="W119" i="16"/>
  <c r="W120" i="16"/>
  <c r="W121" i="16"/>
  <c r="W122" i="16"/>
  <c r="W123" i="16"/>
  <c r="W124" i="16"/>
  <c r="W125" i="16"/>
  <c r="W126" i="16"/>
  <c r="W127" i="16"/>
  <c r="W128" i="16"/>
  <c r="W129" i="16"/>
  <c r="W130" i="16"/>
  <c r="W131" i="16"/>
  <c r="W132" i="16"/>
  <c r="W133" i="16"/>
  <c r="W134" i="16"/>
  <c r="W135" i="16"/>
  <c r="W136" i="16"/>
  <c r="W137" i="16"/>
  <c r="W138" i="16"/>
  <c r="W139" i="16"/>
  <c r="W140" i="16"/>
  <c r="W141" i="16"/>
  <c r="W142" i="16"/>
  <c r="W143" i="16"/>
  <c r="W144" i="16"/>
  <c r="W145" i="16"/>
  <c r="W146" i="16"/>
  <c r="W147" i="16"/>
  <c r="W148" i="16"/>
  <c r="W149" i="16"/>
  <c r="W150" i="16"/>
  <c r="W151" i="16"/>
  <c r="W152" i="16"/>
  <c r="W153" i="16"/>
  <c r="W154" i="16"/>
  <c r="W155" i="16"/>
  <c r="W156" i="16"/>
  <c r="W157" i="16"/>
  <c r="W158" i="16"/>
  <c r="W159" i="16"/>
  <c r="W160" i="16"/>
  <c r="W161" i="16"/>
  <c r="W162" i="16"/>
  <c r="W163" i="16"/>
  <c r="W164" i="16"/>
  <c r="W165" i="16"/>
  <c r="W166" i="16"/>
  <c r="W167" i="16"/>
  <c r="W168" i="16"/>
  <c r="W169" i="16"/>
  <c r="W170" i="16"/>
  <c r="W171" i="16"/>
  <c r="W172" i="16"/>
  <c r="W173" i="16"/>
  <c r="W174" i="16"/>
  <c r="W175" i="16"/>
  <c r="W176" i="16"/>
  <c r="W177" i="16"/>
  <c r="W178" i="16"/>
  <c r="W179" i="16"/>
  <c r="W180" i="16"/>
  <c r="W181" i="16"/>
  <c r="W182" i="16"/>
  <c r="W183" i="16"/>
  <c r="W184" i="16"/>
  <c r="W185" i="16"/>
  <c r="W186" i="16"/>
  <c r="W187" i="16"/>
  <c r="W188" i="16"/>
  <c r="W189" i="16"/>
  <c r="W190" i="16"/>
  <c r="W191" i="16"/>
  <c r="W192" i="16"/>
  <c r="W193" i="16"/>
  <c r="W194" i="16"/>
  <c r="W195" i="16"/>
  <c r="W196" i="16"/>
  <c r="W197" i="16"/>
  <c r="W198" i="16"/>
  <c r="W199" i="16"/>
  <c r="W200" i="16"/>
  <c r="W201" i="16"/>
  <c r="W202" i="16"/>
  <c r="W203" i="16"/>
  <c r="W204" i="16"/>
  <c r="W205" i="16"/>
  <c r="W206" i="16"/>
  <c r="W207" i="16"/>
  <c r="W208" i="16"/>
  <c r="W209" i="16"/>
  <c r="W210" i="16"/>
  <c r="W211" i="16"/>
  <c r="W212" i="16"/>
  <c r="W213" i="16"/>
  <c r="W214" i="16"/>
  <c r="W215" i="16"/>
  <c r="W216" i="16"/>
  <c r="W217" i="16"/>
  <c r="W218" i="16"/>
  <c r="W219" i="16"/>
  <c r="W220" i="16"/>
  <c r="W221" i="16"/>
  <c r="W222" i="16"/>
  <c r="W223" i="16"/>
  <c r="W224" i="16"/>
  <c r="W225" i="16"/>
  <c r="W226" i="16"/>
  <c r="W227" i="16"/>
  <c r="W228" i="16"/>
  <c r="W229" i="16"/>
  <c r="W230" i="16"/>
  <c r="W231" i="16"/>
  <c r="W232" i="16"/>
  <c r="W235" i="16"/>
  <c r="W236" i="16"/>
  <c r="W237" i="16"/>
  <c r="W238" i="16"/>
  <c r="W239" i="16"/>
  <c r="W240" i="16"/>
  <c r="W241" i="16"/>
  <c r="W242" i="16"/>
  <c r="W243" i="16"/>
  <c r="W244" i="16"/>
  <c r="W245" i="16"/>
  <c r="W246" i="16"/>
  <c r="W247" i="16"/>
  <c r="W248" i="16"/>
  <c r="W249" i="16"/>
  <c r="W250" i="16"/>
  <c r="W251" i="16"/>
  <c r="W252" i="16"/>
  <c r="W253" i="16"/>
  <c r="W254" i="16"/>
  <c r="W255" i="16"/>
  <c r="W256" i="16"/>
  <c r="W257" i="16"/>
  <c r="W258" i="16"/>
  <c r="W259" i="16"/>
  <c r="W260" i="16"/>
  <c r="W261" i="16"/>
  <c r="W262" i="16"/>
  <c r="W263" i="16"/>
  <c r="W264" i="16"/>
  <c r="W265" i="16"/>
  <c r="W266" i="16"/>
  <c r="W267" i="16"/>
  <c r="W268" i="16"/>
  <c r="W269" i="16"/>
  <c r="W270" i="16"/>
  <c r="W271" i="16"/>
  <c r="W272" i="16"/>
  <c r="W273" i="16"/>
  <c r="W274" i="16"/>
  <c r="W275" i="16"/>
  <c r="W276" i="16"/>
  <c r="W277" i="16"/>
  <c r="W278" i="16"/>
  <c r="W279" i="16"/>
  <c r="W280" i="16"/>
  <c r="W281" i="16"/>
  <c r="W282" i="16"/>
  <c r="W283" i="16"/>
  <c r="W284" i="16"/>
  <c r="W285" i="16"/>
  <c r="W286" i="16"/>
  <c r="W287" i="16"/>
  <c r="W288" i="16"/>
  <c r="W289" i="16"/>
  <c r="W290" i="16"/>
  <c r="W291" i="16"/>
  <c r="W292" i="16"/>
  <c r="W293" i="16"/>
  <c r="W294" i="16"/>
  <c r="W295" i="16"/>
  <c r="W296" i="16"/>
  <c r="W297" i="16"/>
  <c r="W298" i="16"/>
  <c r="W299" i="16"/>
  <c r="W300" i="16"/>
  <c r="W301" i="16"/>
  <c r="W302" i="16"/>
  <c r="W303" i="16"/>
  <c r="W304" i="16"/>
  <c r="W305" i="16"/>
  <c r="W306" i="16"/>
  <c r="W307" i="16"/>
  <c r="W308" i="16"/>
  <c r="W325" i="16"/>
  <c r="W326" i="16"/>
  <c r="W327" i="16"/>
  <c r="W328" i="16"/>
  <c r="W348" i="16"/>
  <c r="W349" i="16"/>
  <c r="W350" i="16"/>
  <c r="W351" i="16"/>
  <c r="W352" i="16"/>
  <c r="W353" i="16"/>
  <c r="W354" i="16"/>
  <c r="W355" i="16"/>
  <c r="W356" i="16"/>
  <c r="W357" i="16"/>
  <c r="W358" i="16"/>
  <c r="W359" i="16"/>
  <c r="W2" i="15"/>
  <c r="T2" i="15"/>
  <c r="T3" i="15"/>
  <c r="T4" i="15"/>
  <c r="T5" i="15"/>
  <c r="T6" i="15"/>
  <c r="T7" i="15"/>
  <c r="T8" i="15"/>
  <c r="T14" i="15"/>
  <c r="T16" i="15"/>
  <c r="T54" i="15"/>
  <c r="T18" i="15"/>
  <c r="T20" i="15"/>
  <c r="T23" i="15"/>
  <c r="T9" i="15"/>
  <c r="T10" i="15"/>
  <c r="T11" i="15"/>
  <c r="T12" i="15"/>
  <c r="T13" i="15"/>
  <c r="T303" i="15"/>
  <c r="T357" i="15"/>
  <c r="T17" i="15"/>
  <c r="T19" i="15"/>
  <c r="T21" i="15"/>
  <c r="T22" i="15"/>
  <c r="T15" i="15"/>
  <c r="T27" i="15"/>
  <c r="T29" i="15"/>
  <c r="T30" i="15"/>
  <c r="T31" i="15"/>
  <c r="T33" i="15"/>
  <c r="T34" i="15"/>
  <c r="T35" i="15"/>
  <c r="T36" i="15"/>
  <c r="T37" i="15"/>
  <c r="T38" i="15"/>
  <c r="T39" i="15"/>
  <c r="T40" i="15"/>
  <c r="T41" i="15"/>
  <c r="T28" i="15"/>
  <c r="T32" i="15"/>
  <c r="T55" i="15"/>
  <c r="T24" i="15"/>
  <c r="T25" i="15"/>
  <c r="T26" i="15"/>
  <c r="T56" i="15"/>
  <c r="T57" i="15"/>
  <c r="T42" i="15"/>
  <c r="T44" i="15"/>
  <c r="T46" i="15"/>
  <c r="T50" i="15"/>
  <c r="T51" i="15"/>
  <c r="T52" i="15"/>
  <c r="T53" i="15"/>
  <c r="T43" i="15"/>
  <c r="T45" i="15"/>
  <c r="T47" i="15"/>
  <c r="T48" i="15"/>
  <c r="T49" i="15"/>
  <c r="T59" i="15"/>
  <c r="T60" i="15"/>
  <c r="T61" i="15"/>
  <c r="T62" i="15"/>
  <c r="T64" i="15"/>
  <c r="T65" i="15"/>
  <c r="T102" i="15"/>
  <c r="T66" i="15"/>
  <c r="T67" i="15"/>
  <c r="T68" i="15"/>
  <c r="T58" i="15"/>
  <c r="T63" i="15"/>
  <c r="T109" i="15"/>
  <c r="T74" i="15"/>
  <c r="T75" i="15"/>
  <c r="T76" i="15"/>
  <c r="T77" i="15"/>
  <c r="T78" i="15"/>
  <c r="T79" i="15"/>
  <c r="T80" i="15"/>
  <c r="T81" i="15"/>
  <c r="T82" i="15"/>
  <c r="T83" i="15"/>
  <c r="T85" i="15"/>
  <c r="T90" i="15"/>
  <c r="T91" i="15"/>
  <c r="T93" i="15"/>
  <c r="T95" i="15"/>
  <c r="T70" i="15"/>
  <c r="T71" i="15"/>
  <c r="T73" i="15"/>
  <c r="T104" i="15"/>
  <c r="T105" i="15"/>
  <c r="T106" i="15"/>
  <c r="T107" i="15"/>
  <c r="T108" i="15"/>
  <c r="T110" i="15"/>
  <c r="T72" i="15"/>
  <c r="T112" i="15"/>
  <c r="T113" i="15"/>
  <c r="T115" i="15"/>
  <c r="T84" i="15"/>
  <c r="T116" i="15"/>
  <c r="T117" i="15"/>
  <c r="T86" i="15"/>
  <c r="T87" i="15"/>
  <c r="T88" i="15"/>
  <c r="T89" i="15"/>
  <c r="T92" i="15"/>
  <c r="T94" i="15"/>
  <c r="T96" i="15"/>
  <c r="T97" i="15"/>
  <c r="T69" i="15"/>
  <c r="T103" i="15"/>
  <c r="T111" i="15"/>
  <c r="T114" i="15"/>
  <c r="T100" i="15"/>
  <c r="T101" i="15"/>
  <c r="T195" i="15"/>
  <c r="T98" i="15"/>
  <c r="T99" i="15"/>
  <c r="T125" i="15"/>
  <c r="T128" i="15"/>
  <c r="T130" i="15"/>
  <c r="T141" i="15"/>
  <c r="T122" i="15"/>
  <c r="T123" i="15"/>
  <c r="T124" i="15"/>
  <c r="T126" i="15"/>
  <c r="T127" i="15"/>
  <c r="T129" i="15"/>
  <c r="T131" i="15"/>
  <c r="T132" i="15"/>
  <c r="T133" i="15"/>
  <c r="T134" i="15"/>
  <c r="T135" i="15"/>
  <c r="T136" i="15"/>
  <c r="T137" i="15"/>
  <c r="T138" i="15"/>
  <c r="T139" i="15"/>
  <c r="T160" i="15"/>
  <c r="T140" i="15"/>
  <c r="T162" i="15"/>
  <c r="T142" i="15"/>
  <c r="T164" i="15"/>
  <c r="T165" i="15"/>
  <c r="T143" i="15"/>
  <c r="T167" i="15"/>
  <c r="T144" i="15"/>
  <c r="T145" i="15"/>
  <c r="T146" i="15"/>
  <c r="T147" i="15"/>
  <c r="T172" i="15"/>
  <c r="T148" i="15"/>
  <c r="T149" i="15"/>
  <c r="T150" i="15"/>
  <c r="T151" i="15"/>
  <c r="T152" i="15"/>
  <c r="T153" i="15"/>
  <c r="T154" i="15"/>
  <c r="T155" i="15"/>
  <c r="T156" i="15"/>
  <c r="T157" i="15"/>
  <c r="T158" i="15"/>
  <c r="T159" i="15"/>
  <c r="T161" i="15"/>
  <c r="T163" i="15"/>
  <c r="T166" i="15"/>
  <c r="T168" i="15"/>
  <c r="T169" i="15"/>
  <c r="T171" i="15"/>
  <c r="T173" i="15"/>
  <c r="T174" i="15"/>
  <c r="T183" i="15"/>
  <c r="T184" i="15"/>
  <c r="T185" i="15"/>
  <c r="T186" i="15"/>
  <c r="T187" i="15"/>
  <c r="T191" i="15"/>
  <c r="T192" i="15"/>
  <c r="T193" i="15"/>
  <c r="T182" i="15"/>
  <c r="T188" i="15"/>
  <c r="T189" i="15"/>
  <c r="T190" i="15"/>
  <c r="T118" i="15"/>
  <c r="T120" i="15"/>
  <c r="T194" i="15"/>
  <c r="T196" i="15"/>
  <c r="T197" i="15"/>
  <c r="T121" i="15"/>
  <c r="T198" i="15"/>
  <c r="T199" i="15"/>
  <c r="T200" i="15"/>
  <c r="T201" i="15"/>
  <c r="T202" i="15"/>
  <c r="T203" i="15"/>
  <c r="T205" i="15"/>
  <c r="T206" i="15"/>
  <c r="T207" i="15"/>
  <c r="T208" i="15"/>
  <c r="T209" i="15"/>
  <c r="T210" i="15"/>
  <c r="T211" i="15"/>
  <c r="T212" i="15"/>
  <c r="T213" i="15"/>
  <c r="T214" i="15"/>
  <c r="T215" i="15"/>
  <c r="T216" i="15"/>
  <c r="T217" i="15"/>
  <c r="T218" i="15"/>
  <c r="T219" i="15"/>
  <c r="T220" i="15"/>
  <c r="T221" i="15"/>
  <c r="T222" i="15"/>
  <c r="T223" i="15"/>
  <c r="T224" i="15"/>
  <c r="T225" i="15"/>
  <c r="T226" i="15"/>
  <c r="T119" i="15"/>
  <c r="T204" i="15"/>
  <c r="T170" i="15"/>
  <c r="T175" i="15"/>
  <c r="T176" i="15"/>
  <c r="T177" i="15"/>
  <c r="T178" i="15"/>
  <c r="T179" i="15"/>
  <c r="T180" i="15"/>
  <c r="T181" i="15"/>
  <c r="T228" i="15"/>
  <c r="T229" i="15"/>
  <c r="T304" i="15"/>
  <c r="T231" i="15"/>
  <c r="T232" i="15"/>
  <c r="T233" i="15"/>
  <c r="T234" i="15"/>
  <c r="T235" i="15"/>
  <c r="T238" i="15"/>
  <c r="T305" i="15"/>
  <c r="T306" i="15"/>
  <c r="T307" i="15"/>
  <c r="T308" i="15"/>
  <c r="T309" i="15"/>
  <c r="T312" i="15"/>
  <c r="T313" i="15"/>
  <c r="T246" i="15"/>
  <c r="T315" i="15"/>
  <c r="T316" i="15"/>
  <c r="T248" i="15"/>
  <c r="T249" i="15"/>
  <c r="T250" i="15"/>
  <c r="T251" i="15"/>
  <c r="T230" i="15"/>
  <c r="T247" i="15"/>
  <c r="T256" i="15"/>
  <c r="T255" i="15"/>
  <c r="T257" i="15"/>
  <c r="T258" i="15"/>
  <c r="T259" i="15"/>
  <c r="T260" i="15"/>
  <c r="T261" i="15"/>
  <c r="T262" i="15"/>
  <c r="T263" i="15"/>
  <c r="T264" i="15"/>
  <c r="T271" i="15"/>
  <c r="T272" i="15"/>
  <c r="T274" i="15"/>
  <c r="T275" i="15"/>
  <c r="T276" i="15"/>
  <c r="T277" i="15"/>
  <c r="T281" i="15"/>
  <c r="T282" i="15"/>
  <c r="T283" i="15"/>
  <c r="T284" i="15"/>
  <c r="T285" i="15"/>
  <c r="T286" i="15"/>
  <c r="T227" i="15"/>
  <c r="T236" i="15"/>
  <c r="T237" i="15"/>
  <c r="T239" i="15"/>
  <c r="T240" i="15"/>
  <c r="T241" i="15"/>
  <c r="T242" i="15"/>
  <c r="T243" i="15"/>
  <c r="T244" i="15"/>
  <c r="T310" i="15"/>
  <c r="T311" i="15"/>
  <c r="T314" i="15"/>
  <c r="T245" i="15"/>
  <c r="T252" i="15"/>
  <c r="T265" i="15"/>
  <c r="T266" i="15"/>
  <c r="T267" i="15"/>
  <c r="T273" i="15"/>
  <c r="T278" i="15"/>
  <c r="T279" i="15"/>
  <c r="T280" i="15"/>
  <c r="T287" i="15"/>
  <c r="T288" i="15"/>
  <c r="T289" i="15"/>
  <c r="T290" i="15"/>
  <c r="T291" i="15"/>
  <c r="T292" i="15"/>
  <c r="T293" i="15"/>
  <c r="T294" i="15"/>
  <c r="T295" i="15"/>
  <c r="T296" i="15"/>
  <c r="T297" i="15"/>
  <c r="T298" i="15"/>
  <c r="T253" i="15"/>
  <c r="T254" i="15"/>
  <c r="T317" i="15"/>
  <c r="T318" i="15"/>
  <c r="T319" i="15"/>
  <c r="T320" i="15"/>
  <c r="T321" i="15"/>
  <c r="T322" i="15"/>
  <c r="T344" i="15"/>
  <c r="T270" i="15"/>
  <c r="T345" i="15"/>
  <c r="T347" i="15"/>
  <c r="T300" i="15"/>
  <c r="T353" i="15"/>
  <c r="T355" i="15"/>
  <c r="T302" i="15"/>
  <c r="T356" i="15"/>
  <c r="S2" i="15"/>
  <c r="J2" i="15"/>
  <c r="J3" i="15"/>
  <c r="J4" i="15"/>
  <c r="J5" i="15"/>
  <c r="J6" i="15"/>
  <c r="J7" i="15"/>
  <c r="J8" i="15"/>
  <c r="J14" i="15"/>
  <c r="J16" i="15"/>
  <c r="J54" i="15"/>
  <c r="J18" i="15"/>
  <c r="J20" i="15"/>
  <c r="J23" i="15"/>
  <c r="J9" i="15"/>
  <c r="J10" i="15"/>
  <c r="J11" i="15"/>
  <c r="J12" i="15"/>
  <c r="J13" i="15"/>
  <c r="J303" i="15"/>
  <c r="J357" i="15"/>
  <c r="J17" i="15"/>
  <c r="J19" i="15"/>
  <c r="J21" i="15"/>
  <c r="J22" i="15"/>
  <c r="J15" i="15"/>
  <c r="J27" i="15"/>
  <c r="J29" i="15"/>
  <c r="J30" i="15"/>
  <c r="J31" i="15"/>
  <c r="J33" i="15"/>
  <c r="J34" i="15"/>
  <c r="J35" i="15"/>
  <c r="J36" i="15"/>
  <c r="J37" i="15"/>
  <c r="J38" i="15"/>
  <c r="J39" i="15"/>
  <c r="J40" i="15"/>
  <c r="J41" i="15"/>
  <c r="J28" i="15"/>
  <c r="J32" i="15"/>
  <c r="J55" i="15"/>
  <c r="J24" i="15"/>
  <c r="J25" i="15"/>
  <c r="J26" i="15"/>
  <c r="J56" i="15"/>
  <c r="J57" i="15"/>
  <c r="J42" i="15"/>
  <c r="J44" i="15"/>
  <c r="J46" i="15"/>
  <c r="J50" i="15"/>
  <c r="J51" i="15"/>
  <c r="J52" i="15"/>
  <c r="J53" i="15"/>
  <c r="J43" i="15"/>
  <c r="J45" i="15"/>
  <c r="J47" i="15"/>
  <c r="J48" i="15"/>
  <c r="J49" i="15"/>
  <c r="J59" i="15"/>
  <c r="J60" i="15"/>
  <c r="J61" i="15"/>
  <c r="J62" i="15"/>
  <c r="J64" i="15"/>
  <c r="J65" i="15"/>
  <c r="J102" i="15"/>
  <c r="J66" i="15"/>
  <c r="J67" i="15"/>
  <c r="J68" i="15"/>
  <c r="J58" i="15"/>
  <c r="J63" i="15"/>
  <c r="J109" i="15"/>
  <c r="J74" i="15"/>
  <c r="J75" i="15"/>
  <c r="J76" i="15"/>
  <c r="J77" i="15"/>
  <c r="J78" i="15"/>
  <c r="J79" i="15"/>
  <c r="J80" i="15"/>
  <c r="J81" i="15"/>
  <c r="J82" i="15"/>
  <c r="J83" i="15"/>
  <c r="J85" i="15"/>
  <c r="J90" i="15"/>
  <c r="J91" i="15"/>
  <c r="J93" i="15"/>
  <c r="J95" i="15"/>
  <c r="J70" i="15"/>
  <c r="J71" i="15"/>
  <c r="J73" i="15"/>
  <c r="J104" i="15"/>
  <c r="J105" i="15"/>
  <c r="J106" i="15"/>
  <c r="J107" i="15"/>
  <c r="J108" i="15"/>
  <c r="J110" i="15"/>
  <c r="J72" i="15"/>
  <c r="J112" i="15"/>
  <c r="J113" i="15"/>
  <c r="J115" i="15"/>
  <c r="J84" i="15"/>
  <c r="J116" i="15"/>
  <c r="J117" i="15"/>
  <c r="J86" i="15"/>
  <c r="J87" i="15"/>
  <c r="J88" i="15"/>
  <c r="J89" i="15"/>
  <c r="J92" i="15"/>
  <c r="J94" i="15"/>
  <c r="J96" i="15"/>
  <c r="J97" i="15"/>
  <c r="J69" i="15"/>
  <c r="J103" i="15"/>
  <c r="J111" i="15"/>
  <c r="J114" i="15"/>
  <c r="J100" i="15"/>
  <c r="J101" i="15"/>
  <c r="J195" i="15"/>
  <c r="J98" i="15"/>
  <c r="J99" i="15"/>
  <c r="J125" i="15"/>
  <c r="J128" i="15"/>
  <c r="J130" i="15"/>
  <c r="J141" i="15"/>
  <c r="J122" i="15"/>
  <c r="J123" i="15"/>
  <c r="J124" i="15"/>
  <c r="J126" i="15"/>
  <c r="J127" i="15"/>
  <c r="J129" i="15"/>
  <c r="J131" i="15"/>
  <c r="J132" i="15"/>
  <c r="J133" i="15"/>
  <c r="J134" i="15"/>
  <c r="J135" i="15"/>
  <c r="J136" i="15"/>
  <c r="J137" i="15"/>
  <c r="J138" i="15"/>
  <c r="J139" i="15"/>
  <c r="J160" i="15"/>
  <c r="J140" i="15"/>
  <c r="J162" i="15"/>
  <c r="J142" i="15"/>
  <c r="J164" i="15"/>
  <c r="J165" i="15"/>
  <c r="J143" i="15"/>
  <c r="J167" i="15"/>
  <c r="J144" i="15"/>
  <c r="J145" i="15"/>
  <c r="J146" i="15"/>
  <c r="J147" i="15"/>
  <c r="J172" i="15"/>
  <c r="J148" i="15"/>
  <c r="J149" i="15"/>
  <c r="J150" i="15"/>
  <c r="J151" i="15"/>
  <c r="J152" i="15"/>
  <c r="J153" i="15"/>
  <c r="J154" i="15"/>
  <c r="J155" i="15"/>
  <c r="J156" i="15"/>
  <c r="J157" i="15"/>
  <c r="J158" i="15"/>
  <c r="J159" i="15"/>
  <c r="J161" i="15"/>
  <c r="J163" i="15"/>
  <c r="J166" i="15"/>
  <c r="J168" i="15"/>
  <c r="J169" i="15"/>
  <c r="J171" i="15"/>
  <c r="J173" i="15"/>
  <c r="J174" i="15"/>
  <c r="J183" i="15"/>
  <c r="J184" i="15"/>
  <c r="J185" i="15"/>
  <c r="J186" i="15"/>
  <c r="J187" i="15"/>
  <c r="J191" i="15"/>
  <c r="J192" i="15"/>
  <c r="J193" i="15"/>
  <c r="J182" i="15"/>
  <c r="J188" i="15"/>
  <c r="J189" i="15"/>
  <c r="J190" i="15"/>
  <c r="J118" i="15"/>
  <c r="J120" i="15"/>
  <c r="J194" i="15"/>
  <c r="J196" i="15"/>
  <c r="J197" i="15"/>
  <c r="J121" i="15"/>
  <c r="J198" i="15"/>
  <c r="J199" i="15"/>
  <c r="J200" i="15"/>
  <c r="J201" i="15"/>
  <c r="J202" i="15"/>
  <c r="J203" i="15"/>
  <c r="J205" i="15"/>
  <c r="J206" i="15"/>
  <c r="J207" i="15"/>
  <c r="J208" i="15"/>
  <c r="J209" i="15"/>
  <c r="J210" i="15"/>
  <c r="J211" i="15"/>
  <c r="J212" i="15"/>
  <c r="J213" i="15"/>
  <c r="J214" i="15"/>
  <c r="J215" i="15"/>
  <c r="J216" i="15"/>
  <c r="J217" i="15"/>
  <c r="J218" i="15"/>
  <c r="J219" i="15"/>
  <c r="J220" i="15"/>
  <c r="J221" i="15"/>
  <c r="J222" i="15"/>
  <c r="J223" i="15"/>
  <c r="J224" i="15"/>
  <c r="J225" i="15"/>
  <c r="J226" i="15"/>
  <c r="J119" i="15"/>
  <c r="J204" i="15"/>
  <c r="J170" i="15"/>
  <c r="J175" i="15"/>
  <c r="J176" i="15"/>
  <c r="J177" i="15"/>
  <c r="J178" i="15"/>
  <c r="J179" i="15"/>
  <c r="J180" i="15"/>
  <c r="J181" i="15"/>
  <c r="J228" i="15"/>
  <c r="J229" i="15"/>
  <c r="J304" i="15"/>
  <c r="J231" i="15"/>
  <c r="J232" i="15"/>
  <c r="J233" i="15"/>
  <c r="J234" i="15"/>
  <c r="J235" i="15"/>
  <c r="J238" i="15"/>
  <c r="J305" i="15"/>
  <c r="J306" i="15"/>
  <c r="J307" i="15"/>
  <c r="J308" i="15"/>
  <c r="J309" i="15"/>
  <c r="J312" i="15"/>
  <c r="J313" i="15"/>
  <c r="J246" i="15"/>
  <c r="J315" i="15"/>
  <c r="J316" i="15"/>
  <c r="J248" i="15"/>
  <c r="J249" i="15"/>
  <c r="J250" i="15"/>
  <c r="J251" i="15"/>
  <c r="J230" i="15"/>
  <c r="J247" i="15"/>
  <c r="J256" i="15"/>
  <c r="J255" i="15"/>
  <c r="J257" i="15"/>
  <c r="J258" i="15"/>
  <c r="J259" i="15"/>
  <c r="J260" i="15"/>
  <c r="J261" i="15"/>
  <c r="J262" i="15"/>
  <c r="J263" i="15"/>
  <c r="J264" i="15"/>
  <c r="J271" i="15"/>
  <c r="J272" i="15"/>
  <c r="J274" i="15"/>
  <c r="J275" i="15"/>
  <c r="J276" i="15"/>
  <c r="J277" i="15"/>
  <c r="J281" i="15"/>
  <c r="J282" i="15"/>
  <c r="J283" i="15"/>
  <c r="J284" i="15"/>
  <c r="J285" i="15"/>
  <c r="J286" i="15"/>
  <c r="J227" i="15"/>
  <c r="J236" i="15"/>
  <c r="J237" i="15"/>
  <c r="J239" i="15"/>
  <c r="J240" i="15"/>
  <c r="J241" i="15"/>
  <c r="J242" i="15"/>
  <c r="J243" i="15"/>
  <c r="J244" i="15"/>
  <c r="J310" i="15"/>
  <c r="J311" i="15"/>
  <c r="J314" i="15"/>
  <c r="J245" i="15"/>
  <c r="J252" i="15"/>
  <c r="J265" i="15"/>
  <c r="J266" i="15"/>
  <c r="J267" i="15"/>
  <c r="J273" i="15"/>
  <c r="J278" i="15"/>
  <c r="J279" i="15"/>
  <c r="J280" i="15"/>
  <c r="J287" i="15"/>
  <c r="J288" i="15"/>
  <c r="J289" i="15"/>
  <c r="J290" i="15"/>
  <c r="J291" i="15"/>
  <c r="J292" i="15"/>
  <c r="J293" i="15"/>
  <c r="J294" i="15"/>
  <c r="J295" i="15"/>
  <c r="J296" i="15"/>
  <c r="J297" i="15"/>
  <c r="J298" i="15"/>
  <c r="J253" i="15"/>
  <c r="J254" i="15"/>
  <c r="J317" i="15"/>
  <c r="J318" i="15"/>
  <c r="J319" i="15"/>
  <c r="J320" i="15"/>
  <c r="J321" i="15"/>
  <c r="J322" i="15"/>
  <c r="J344" i="15"/>
  <c r="J270" i="15"/>
  <c r="J345" i="15"/>
  <c r="J347" i="15"/>
  <c r="J300" i="15"/>
  <c r="J353" i="15"/>
  <c r="J355" i="15"/>
  <c r="J302" i="15"/>
  <c r="J356" i="15"/>
  <c r="A2" i="15"/>
  <c r="A3" i="15"/>
  <c r="A4" i="15"/>
  <c r="A5" i="15"/>
  <c r="A6" i="15"/>
  <c r="A7" i="15"/>
  <c r="A8" i="15"/>
  <c r="A14" i="15"/>
  <c r="A16" i="15"/>
  <c r="A54" i="15"/>
  <c r="A18" i="15"/>
  <c r="A20" i="15"/>
  <c r="A23" i="15"/>
  <c r="A9" i="15"/>
  <c r="A10" i="15"/>
  <c r="A11" i="15"/>
  <c r="A12" i="15"/>
  <c r="A13" i="15"/>
  <c r="A303" i="15"/>
  <c r="A357" i="15"/>
  <c r="A17" i="15"/>
  <c r="A19" i="15"/>
  <c r="A21" i="15"/>
  <c r="A22" i="15"/>
  <c r="A15" i="15"/>
  <c r="A27" i="15"/>
  <c r="A29" i="15"/>
  <c r="A30" i="15"/>
  <c r="A31" i="15"/>
  <c r="A33" i="15"/>
  <c r="A34" i="15"/>
  <c r="A35" i="15"/>
  <c r="A36" i="15"/>
  <c r="A37" i="15"/>
  <c r="A38" i="15"/>
  <c r="A39" i="15"/>
  <c r="A40" i="15"/>
  <c r="A41" i="15"/>
  <c r="A28" i="15"/>
  <c r="A32" i="15"/>
  <c r="A55" i="15"/>
  <c r="A24" i="15"/>
  <c r="A25" i="15"/>
  <c r="A26" i="15"/>
  <c r="A56" i="15"/>
  <c r="A57" i="15"/>
  <c r="A42" i="15"/>
  <c r="A44" i="15"/>
  <c r="A46" i="15"/>
  <c r="A50" i="15"/>
  <c r="A51" i="15"/>
  <c r="A52" i="15"/>
  <c r="A53" i="15"/>
  <c r="A43" i="15"/>
  <c r="A45" i="15"/>
  <c r="A47" i="15"/>
  <c r="A48" i="15"/>
  <c r="A49" i="15"/>
  <c r="A59" i="15"/>
  <c r="A60" i="15"/>
  <c r="A61" i="15"/>
  <c r="A62" i="15"/>
  <c r="A64" i="15"/>
  <c r="A65" i="15"/>
  <c r="A102" i="15"/>
  <c r="A66" i="15"/>
  <c r="A67" i="15"/>
  <c r="A68" i="15"/>
  <c r="A58" i="15"/>
  <c r="A63" i="15"/>
  <c r="A109" i="15"/>
  <c r="A74" i="15"/>
  <c r="A75" i="15"/>
  <c r="A76" i="15"/>
  <c r="A77" i="15"/>
  <c r="A78" i="15"/>
  <c r="A79" i="15"/>
  <c r="A80" i="15"/>
  <c r="A81" i="15"/>
  <c r="A82" i="15"/>
  <c r="A83" i="15"/>
  <c r="A85" i="15"/>
  <c r="A90" i="15"/>
  <c r="A91" i="15"/>
  <c r="A93" i="15"/>
  <c r="A95" i="15"/>
  <c r="A70" i="15"/>
  <c r="A71" i="15"/>
  <c r="A73" i="15"/>
  <c r="A104" i="15"/>
  <c r="A105" i="15"/>
  <c r="A106" i="15"/>
  <c r="A107" i="15"/>
  <c r="A108" i="15"/>
  <c r="A110" i="15"/>
  <c r="A72" i="15"/>
  <c r="A112" i="15"/>
  <c r="A113" i="15"/>
  <c r="A115" i="15"/>
  <c r="A84" i="15"/>
  <c r="A116" i="15"/>
  <c r="A117" i="15"/>
  <c r="A86" i="15"/>
  <c r="A87" i="15"/>
  <c r="A88" i="15"/>
  <c r="A89" i="15"/>
  <c r="A92" i="15"/>
  <c r="A94" i="15"/>
  <c r="A96" i="15"/>
  <c r="A97" i="15"/>
  <c r="A69" i="15"/>
  <c r="A103" i="15"/>
  <c r="A111" i="15"/>
  <c r="A114" i="15"/>
  <c r="A100" i="15"/>
  <c r="A101" i="15"/>
  <c r="A195" i="15"/>
  <c r="A98" i="15"/>
  <c r="A99" i="15"/>
  <c r="A125" i="15"/>
  <c r="A128" i="15"/>
  <c r="A130" i="15"/>
  <c r="A141" i="15"/>
  <c r="A122" i="15"/>
  <c r="A123" i="15"/>
  <c r="A124" i="15"/>
  <c r="A126" i="15"/>
  <c r="A127" i="15"/>
  <c r="A129" i="15"/>
  <c r="A131" i="15"/>
  <c r="A132" i="15"/>
  <c r="A133" i="15"/>
  <c r="A134" i="15"/>
  <c r="A135" i="15"/>
  <c r="A136" i="15"/>
  <c r="A137" i="15"/>
  <c r="A138" i="15"/>
  <c r="A139" i="15"/>
  <c r="A160" i="15"/>
  <c r="A140" i="15"/>
  <c r="A162" i="15"/>
  <c r="A142" i="15"/>
  <c r="A164" i="15"/>
  <c r="A165" i="15"/>
  <c r="A143" i="15"/>
  <c r="A167" i="15"/>
  <c r="A144" i="15"/>
  <c r="A145" i="15"/>
  <c r="A146" i="15"/>
  <c r="A147" i="15"/>
  <c r="A172" i="15"/>
  <c r="A148" i="15"/>
  <c r="A149" i="15"/>
  <c r="A150" i="15"/>
  <c r="A151" i="15"/>
  <c r="A152" i="15"/>
  <c r="A153" i="15"/>
  <c r="A154" i="15"/>
  <c r="A155" i="15"/>
  <c r="A156" i="15"/>
  <c r="A157" i="15"/>
  <c r="A158" i="15"/>
  <c r="A159" i="15"/>
  <c r="A161" i="15"/>
  <c r="A163" i="15"/>
  <c r="A166" i="15"/>
  <c r="A168" i="15"/>
  <c r="A169" i="15"/>
  <c r="A171" i="15"/>
  <c r="A173" i="15"/>
  <c r="A174" i="15"/>
  <c r="A183" i="15"/>
  <c r="A184" i="15"/>
  <c r="A185" i="15"/>
  <c r="A186" i="15"/>
  <c r="A187" i="15"/>
  <c r="A191" i="15"/>
  <c r="A192" i="15"/>
  <c r="A193" i="15"/>
  <c r="A182" i="15"/>
  <c r="A188" i="15"/>
  <c r="A189" i="15"/>
  <c r="A190" i="15"/>
  <c r="A118" i="15"/>
  <c r="A120" i="15"/>
  <c r="A194" i="15"/>
  <c r="A196" i="15"/>
  <c r="A197" i="15"/>
  <c r="A121" i="15"/>
  <c r="A198" i="15"/>
  <c r="A199" i="15"/>
  <c r="A200" i="15"/>
  <c r="A201" i="15"/>
  <c r="A202" i="15"/>
  <c r="A203" i="15"/>
  <c r="A205" i="15"/>
  <c r="A206" i="15"/>
  <c r="A207" i="15"/>
  <c r="A208" i="15"/>
  <c r="A209" i="15"/>
  <c r="A210" i="15"/>
  <c r="A211" i="15"/>
  <c r="A212" i="15"/>
  <c r="A213" i="15"/>
  <c r="A214" i="15"/>
  <c r="A215" i="15"/>
  <c r="A216" i="15"/>
  <c r="A217" i="15"/>
  <c r="A218" i="15"/>
  <c r="A219" i="15"/>
  <c r="A220" i="15"/>
  <c r="A221" i="15"/>
  <c r="A222" i="15"/>
  <c r="A223" i="15"/>
  <c r="A224" i="15"/>
  <c r="A225" i="15"/>
  <c r="A226" i="15"/>
  <c r="A119" i="15"/>
  <c r="A204" i="15"/>
  <c r="A170" i="15"/>
  <c r="A175" i="15"/>
  <c r="A176" i="15"/>
  <c r="A177" i="15"/>
  <c r="A178" i="15"/>
  <c r="A179" i="15"/>
  <c r="A180" i="15"/>
  <c r="A181" i="15"/>
  <c r="A228" i="15"/>
  <c r="A229" i="15"/>
  <c r="A304" i="15"/>
  <c r="A231" i="15"/>
  <c r="A232" i="15"/>
  <c r="A233" i="15"/>
  <c r="A234" i="15"/>
  <c r="A235" i="15"/>
  <c r="A238" i="15"/>
  <c r="A305" i="15"/>
  <c r="A306" i="15"/>
  <c r="A307" i="15"/>
  <c r="A308" i="15"/>
  <c r="A309" i="15"/>
  <c r="A312" i="15"/>
  <c r="A313" i="15"/>
  <c r="A246" i="15"/>
  <c r="A315" i="15"/>
  <c r="A316" i="15"/>
  <c r="A248" i="15"/>
  <c r="A249" i="15"/>
  <c r="A250" i="15"/>
  <c r="A251" i="15"/>
  <c r="A230" i="15"/>
  <c r="A247" i="15"/>
  <c r="A256" i="15"/>
  <c r="A255" i="15"/>
  <c r="A257" i="15"/>
  <c r="A258" i="15"/>
  <c r="A259" i="15"/>
  <c r="A260" i="15"/>
  <c r="A261" i="15"/>
  <c r="A262" i="15"/>
  <c r="A263" i="15"/>
  <c r="A264" i="15"/>
  <c r="A271" i="15"/>
  <c r="A272" i="15"/>
  <c r="A274" i="15"/>
  <c r="A275" i="15"/>
  <c r="A276" i="15"/>
  <c r="A277" i="15"/>
  <c r="A281" i="15"/>
  <c r="A282" i="15"/>
  <c r="A283" i="15"/>
  <c r="A284" i="15"/>
  <c r="A285" i="15"/>
  <c r="A286" i="15"/>
  <c r="A227" i="15"/>
  <c r="A236" i="15"/>
  <c r="A237" i="15"/>
  <c r="A239" i="15"/>
  <c r="A240" i="15"/>
  <c r="A241" i="15"/>
  <c r="A242" i="15"/>
  <c r="A243" i="15"/>
  <c r="A244" i="15"/>
  <c r="A310" i="15"/>
  <c r="A311" i="15"/>
  <c r="A314" i="15"/>
  <c r="A245" i="15"/>
  <c r="A252" i="15"/>
  <c r="A265" i="15"/>
  <c r="A266" i="15"/>
  <c r="A267" i="15"/>
  <c r="A273" i="15"/>
  <c r="A278" i="15"/>
  <c r="A279" i="15"/>
  <c r="A280" i="15"/>
  <c r="A287" i="15"/>
  <c r="A288" i="15"/>
  <c r="A289" i="15"/>
  <c r="A290" i="15"/>
  <c r="A291" i="15"/>
  <c r="A292" i="15"/>
  <c r="A293" i="15"/>
  <c r="A294" i="15"/>
  <c r="A295" i="15"/>
  <c r="A296" i="15"/>
  <c r="A297" i="15"/>
  <c r="A298" i="15"/>
  <c r="A253" i="15"/>
  <c r="A254" i="15"/>
  <c r="A317" i="15"/>
  <c r="A318" i="15"/>
  <c r="A319" i="15"/>
  <c r="A320" i="15"/>
  <c r="A321" i="15"/>
  <c r="A322" i="15"/>
  <c r="A344" i="15"/>
  <c r="A270" i="15"/>
  <c r="A345" i="15"/>
  <c r="A347" i="15"/>
  <c r="A300" i="15"/>
  <c r="A353" i="15"/>
  <c r="A355" i="15"/>
  <c r="A302" i="15"/>
  <c r="A356" i="15"/>
  <c r="C2" i="15"/>
  <c r="C3" i="15"/>
  <c r="C4" i="15"/>
  <c r="C5" i="15"/>
  <c r="C6" i="15"/>
  <c r="C7" i="15"/>
  <c r="C8" i="15"/>
  <c r="C14" i="15"/>
  <c r="C16" i="15"/>
  <c r="C54" i="15"/>
  <c r="C18" i="15"/>
  <c r="C20" i="15"/>
  <c r="C23" i="15"/>
  <c r="C9" i="15"/>
  <c r="C10" i="15"/>
  <c r="C11" i="15"/>
  <c r="C12" i="15"/>
  <c r="C13" i="15"/>
  <c r="C303" i="15"/>
  <c r="C357" i="15"/>
  <c r="C17" i="15"/>
  <c r="C19" i="15"/>
  <c r="C21" i="15"/>
  <c r="C22" i="15"/>
  <c r="C15" i="15"/>
  <c r="C27" i="15"/>
  <c r="C29" i="15"/>
  <c r="C30" i="15"/>
  <c r="C31" i="15"/>
  <c r="C33" i="15"/>
  <c r="C34" i="15"/>
  <c r="C35" i="15"/>
  <c r="C36" i="15"/>
  <c r="C37" i="15"/>
  <c r="C38" i="15"/>
  <c r="C39" i="15"/>
  <c r="C40" i="15"/>
  <c r="C41" i="15"/>
  <c r="C28" i="15"/>
  <c r="C32" i="15"/>
  <c r="C55" i="15"/>
  <c r="C24" i="15"/>
  <c r="C25" i="15"/>
  <c r="C26" i="15"/>
  <c r="C56" i="15"/>
  <c r="C57" i="15"/>
  <c r="C42" i="15"/>
  <c r="C44" i="15"/>
  <c r="C46" i="15"/>
  <c r="C50" i="15"/>
  <c r="C51" i="15"/>
  <c r="C52" i="15"/>
  <c r="C53" i="15"/>
  <c r="C43" i="15"/>
  <c r="C45" i="15"/>
  <c r="C47" i="15"/>
  <c r="C48" i="15"/>
  <c r="C49" i="15"/>
  <c r="C59" i="15"/>
  <c r="C60" i="15"/>
  <c r="C61" i="15"/>
  <c r="C62" i="15"/>
  <c r="C64" i="15"/>
  <c r="C65" i="15"/>
  <c r="C102" i="15"/>
  <c r="C66" i="15"/>
  <c r="C67" i="15"/>
  <c r="C68" i="15"/>
  <c r="C58" i="15"/>
  <c r="C63" i="15"/>
  <c r="C109" i="15"/>
  <c r="C74" i="15"/>
  <c r="C75" i="15"/>
  <c r="C76" i="15"/>
  <c r="C77" i="15"/>
  <c r="C78" i="15"/>
  <c r="C79" i="15"/>
  <c r="C80" i="15"/>
  <c r="C81" i="15"/>
  <c r="C82" i="15"/>
  <c r="C83" i="15"/>
  <c r="C85" i="15"/>
  <c r="C90" i="15"/>
  <c r="C91" i="15"/>
  <c r="C93" i="15"/>
  <c r="C95" i="15"/>
  <c r="C70" i="15"/>
  <c r="C71" i="15"/>
  <c r="C73" i="15"/>
  <c r="C104" i="15"/>
  <c r="C105" i="15"/>
  <c r="C106" i="15"/>
  <c r="C107" i="15"/>
  <c r="C108" i="15"/>
  <c r="C110" i="15"/>
  <c r="C72" i="15"/>
  <c r="C112" i="15"/>
  <c r="C113" i="15"/>
  <c r="C115" i="15"/>
  <c r="C84" i="15"/>
  <c r="C116" i="15"/>
  <c r="C117" i="15"/>
  <c r="C86" i="15"/>
  <c r="C87" i="15"/>
  <c r="C88" i="15"/>
  <c r="C89" i="15"/>
  <c r="C92" i="15"/>
  <c r="C94" i="15"/>
  <c r="C96" i="15"/>
  <c r="C97" i="15"/>
  <c r="C69" i="15"/>
  <c r="C103" i="15"/>
  <c r="C111" i="15"/>
  <c r="C114" i="15"/>
  <c r="C100" i="15"/>
  <c r="C101" i="15"/>
  <c r="C195" i="15"/>
  <c r="C98" i="15"/>
  <c r="C99" i="15"/>
  <c r="C125" i="15"/>
  <c r="C128" i="15"/>
  <c r="C130" i="15"/>
  <c r="C141" i="15"/>
  <c r="C122" i="15"/>
  <c r="C123" i="15"/>
  <c r="C124" i="15"/>
  <c r="C126" i="15"/>
  <c r="C127" i="15"/>
  <c r="C129" i="15"/>
  <c r="C131" i="15"/>
  <c r="C132" i="15"/>
  <c r="C133" i="15"/>
  <c r="C134" i="15"/>
  <c r="C135" i="15"/>
  <c r="C136" i="15"/>
  <c r="C137" i="15"/>
  <c r="C138" i="15"/>
  <c r="C139" i="15"/>
  <c r="C160" i="15"/>
  <c r="C140" i="15"/>
  <c r="C162" i="15"/>
  <c r="C142" i="15"/>
  <c r="C164" i="15"/>
  <c r="C165" i="15"/>
  <c r="C143" i="15"/>
  <c r="C167" i="15"/>
  <c r="C144" i="15"/>
  <c r="C145" i="15"/>
  <c r="C146" i="15"/>
  <c r="C147" i="15"/>
  <c r="C172" i="15"/>
  <c r="C148" i="15"/>
  <c r="C149" i="15"/>
  <c r="C150" i="15"/>
  <c r="C151" i="15"/>
  <c r="C152" i="15"/>
  <c r="C153" i="15"/>
  <c r="C154" i="15"/>
  <c r="C155" i="15"/>
  <c r="C156" i="15"/>
  <c r="C157" i="15"/>
  <c r="C158" i="15"/>
  <c r="C159" i="15"/>
  <c r="C161" i="15"/>
  <c r="C163" i="15"/>
  <c r="C166" i="15"/>
  <c r="C168" i="15"/>
  <c r="C169" i="15"/>
  <c r="C171" i="15"/>
  <c r="C173" i="15"/>
  <c r="C174" i="15"/>
  <c r="C183" i="15"/>
  <c r="C184" i="15"/>
  <c r="C185" i="15"/>
  <c r="C186" i="15"/>
  <c r="C187" i="15"/>
  <c r="C191" i="15"/>
  <c r="C192" i="15"/>
  <c r="C193" i="15"/>
  <c r="C182" i="15"/>
  <c r="C188" i="15"/>
  <c r="C189" i="15"/>
  <c r="C190" i="15"/>
  <c r="C118" i="15"/>
  <c r="C120" i="15"/>
  <c r="C194" i="15"/>
  <c r="C196" i="15"/>
  <c r="C197" i="15"/>
  <c r="C121" i="15"/>
  <c r="C198" i="15"/>
  <c r="C199" i="15"/>
  <c r="C200" i="15"/>
  <c r="C201" i="15"/>
  <c r="C202" i="15"/>
  <c r="C203" i="15"/>
  <c r="C205" i="15"/>
  <c r="C206" i="15"/>
  <c r="C207" i="15"/>
  <c r="C208" i="15"/>
  <c r="C209" i="15"/>
  <c r="C210" i="15"/>
  <c r="C211" i="15"/>
  <c r="C212" i="15"/>
  <c r="C213" i="15"/>
  <c r="C214" i="15"/>
  <c r="C215" i="15"/>
  <c r="C216" i="15"/>
  <c r="C217" i="15"/>
  <c r="C218" i="15"/>
  <c r="C219" i="15"/>
  <c r="C220" i="15"/>
  <c r="C221" i="15"/>
  <c r="C222" i="15"/>
  <c r="C223" i="15"/>
  <c r="C224" i="15"/>
  <c r="C225" i="15"/>
  <c r="C226" i="15"/>
  <c r="C119" i="15"/>
  <c r="C204" i="15"/>
  <c r="C170" i="15"/>
  <c r="C175" i="15"/>
  <c r="C176" i="15"/>
  <c r="C177" i="15"/>
  <c r="C178" i="15"/>
  <c r="C179" i="15"/>
  <c r="C180" i="15"/>
  <c r="C181" i="15"/>
  <c r="C228" i="15"/>
  <c r="C229" i="15"/>
  <c r="C304" i="15"/>
  <c r="C231" i="15"/>
  <c r="C232" i="15"/>
  <c r="C233" i="15"/>
  <c r="C234" i="15"/>
  <c r="C235" i="15"/>
  <c r="C238" i="15"/>
  <c r="C305" i="15"/>
  <c r="C306" i="15"/>
  <c r="C307" i="15"/>
  <c r="C308" i="15"/>
  <c r="C309" i="15"/>
  <c r="C312" i="15"/>
  <c r="C313" i="15"/>
  <c r="C246" i="15"/>
  <c r="C315" i="15"/>
  <c r="C316" i="15"/>
  <c r="C248" i="15"/>
  <c r="C249" i="15"/>
  <c r="C250" i="15"/>
  <c r="C251" i="15"/>
  <c r="C230" i="15"/>
  <c r="C247" i="15"/>
  <c r="C256" i="15"/>
  <c r="C255" i="15"/>
  <c r="C257" i="15"/>
  <c r="C258" i="15"/>
  <c r="C259" i="15"/>
  <c r="C260" i="15"/>
  <c r="C261" i="15"/>
  <c r="C262" i="15"/>
  <c r="C263" i="15"/>
  <c r="C264" i="15"/>
  <c r="C271" i="15"/>
  <c r="C272" i="15"/>
  <c r="C274" i="15"/>
  <c r="C275" i="15"/>
  <c r="C276" i="15"/>
  <c r="C277" i="15"/>
  <c r="C281" i="15"/>
  <c r="C282" i="15"/>
  <c r="C283" i="15"/>
  <c r="C284" i="15"/>
  <c r="C285" i="15"/>
  <c r="C286" i="15"/>
  <c r="C227" i="15"/>
  <c r="C236" i="15"/>
  <c r="C237" i="15"/>
  <c r="C239" i="15"/>
  <c r="C240" i="15"/>
  <c r="C241" i="15"/>
  <c r="C242" i="15"/>
  <c r="C243" i="15"/>
  <c r="C244" i="15"/>
  <c r="C310" i="15"/>
  <c r="C311" i="15"/>
  <c r="C314" i="15"/>
  <c r="C245" i="15"/>
  <c r="C252" i="15"/>
  <c r="C265" i="15"/>
  <c r="C266" i="15"/>
  <c r="C267" i="15"/>
  <c r="C273" i="15"/>
  <c r="C278" i="15"/>
  <c r="C279" i="15"/>
  <c r="C280" i="15"/>
  <c r="C287" i="15"/>
  <c r="C288" i="15"/>
  <c r="C289" i="15"/>
  <c r="C290" i="15"/>
  <c r="C291" i="15"/>
  <c r="C292" i="15"/>
  <c r="C293" i="15"/>
  <c r="C294" i="15"/>
  <c r="C295" i="15"/>
  <c r="C296" i="15"/>
  <c r="C297" i="15"/>
  <c r="C298" i="15"/>
  <c r="C253" i="15"/>
  <c r="C254" i="15"/>
  <c r="C317" i="15"/>
  <c r="C318" i="15"/>
  <c r="C319" i="15"/>
  <c r="C320" i="15"/>
  <c r="C321" i="15"/>
  <c r="C322" i="15"/>
  <c r="C344" i="15"/>
  <c r="C270" i="15"/>
  <c r="C345" i="15"/>
  <c r="C347" i="15"/>
  <c r="C300" i="15"/>
  <c r="C353" i="15"/>
  <c r="C355" i="15"/>
  <c r="C302" i="15"/>
  <c r="C356" i="15"/>
  <c r="B2" i="15"/>
  <c r="B3" i="15"/>
  <c r="B4" i="15"/>
  <c r="B5" i="15"/>
  <c r="B6" i="15"/>
  <c r="B7" i="15"/>
  <c r="B8" i="15"/>
  <c r="B14" i="15"/>
  <c r="B16" i="15"/>
  <c r="B54" i="15"/>
  <c r="B18" i="15"/>
  <c r="B20" i="15"/>
  <c r="B23" i="15"/>
  <c r="B9" i="15"/>
  <c r="B10" i="15"/>
  <c r="B11" i="15"/>
  <c r="B12" i="15"/>
  <c r="B13" i="15"/>
  <c r="B303" i="15"/>
  <c r="B357" i="15"/>
  <c r="B17" i="15"/>
  <c r="B19" i="15"/>
  <c r="B21" i="15"/>
  <c r="B22" i="15"/>
  <c r="B15" i="15"/>
  <c r="B27" i="15"/>
  <c r="B29" i="15"/>
  <c r="B30" i="15"/>
  <c r="B31" i="15"/>
  <c r="B33" i="15"/>
  <c r="B34" i="15"/>
  <c r="B35" i="15"/>
  <c r="B36" i="15"/>
  <c r="B37" i="15"/>
  <c r="B38" i="15"/>
  <c r="B39" i="15"/>
  <c r="B40" i="15"/>
  <c r="B41" i="15"/>
  <c r="B28" i="15"/>
  <c r="B32" i="15"/>
  <c r="B55" i="15"/>
  <c r="B24" i="15"/>
  <c r="B25" i="15"/>
  <c r="B26" i="15"/>
  <c r="B56" i="15"/>
  <c r="B57" i="15"/>
  <c r="B42" i="15"/>
  <c r="B44" i="15"/>
  <c r="B46" i="15"/>
  <c r="B50" i="15"/>
  <c r="B51" i="15"/>
  <c r="B52" i="15"/>
  <c r="B53" i="15"/>
  <c r="B43" i="15"/>
  <c r="B45" i="15"/>
  <c r="B47" i="15"/>
  <c r="B48" i="15"/>
  <c r="B49" i="15"/>
  <c r="B59" i="15"/>
  <c r="B60" i="15"/>
  <c r="B61" i="15"/>
  <c r="B62" i="15"/>
  <c r="B64" i="15"/>
  <c r="B65" i="15"/>
  <c r="B102" i="15"/>
  <c r="B66" i="15"/>
  <c r="B67" i="15"/>
  <c r="B68" i="15"/>
  <c r="B58" i="15"/>
  <c r="B63" i="15"/>
  <c r="B109" i="15"/>
  <c r="B74" i="15"/>
  <c r="B75" i="15"/>
  <c r="B76" i="15"/>
  <c r="B77" i="15"/>
  <c r="B78" i="15"/>
  <c r="B79" i="15"/>
  <c r="B80" i="15"/>
  <c r="B81" i="15"/>
  <c r="B82" i="15"/>
  <c r="B83" i="15"/>
  <c r="B85" i="15"/>
  <c r="B90" i="15"/>
  <c r="B91" i="15"/>
  <c r="B93" i="15"/>
  <c r="B95" i="15"/>
  <c r="B70" i="15"/>
  <c r="B71" i="15"/>
  <c r="B73" i="15"/>
  <c r="B104" i="15"/>
  <c r="B105" i="15"/>
  <c r="B106" i="15"/>
  <c r="B107" i="15"/>
  <c r="B108" i="15"/>
  <c r="B110" i="15"/>
  <c r="B72" i="15"/>
  <c r="B112" i="15"/>
  <c r="B113" i="15"/>
  <c r="B115" i="15"/>
  <c r="B84" i="15"/>
  <c r="B116" i="15"/>
  <c r="B117" i="15"/>
  <c r="B86" i="15"/>
  <c r="B87" i="15"/>
  <c r="B88" i="15"/>
  <c r="B89" i="15"/>
  <c r="B92" i="15"/>
  <c r="B94" i="15"/>
  <c r="B96" i="15"/>
  <c r="B97" i="15"/>
  <c r="B69" i="15"/>
  <c r="B103" i="15"/>
  <c r="B111" i="15"/>
  <c r="B114" i="15"/>
  <c r="B100" i="15"/>
  <c r="B101" i="15"/>
  <c r="B195" i="15"/>
  <c r="B98" i="15"/>
  <c r="B99" i="15"/>
  <c r="B125" i="15"/>
  <c r="B128" i="15"/>
  <c r="B130" i="15"/>
  <c r="B141" i="15"/>
  <c r="B122" i="15"/>
  <c r="B123" i="15"/>
  <c r="B124" i="15"/>
  <c r="B126" i="15"/>
  <c r="B127" i="15"/>
  <c r="B129" i="15"/>
  <c r="B131" i="15"/>
  <c r="B132" i="15"/>
  <c r="B133" i="15"/>
  <c r="B134" i="15"/>
  <c r="B135" i="15"/>
  <c r="B136" i="15"/>
  <c r="B137" i="15"/>
  <c r="B138" i="15"/>
  <c r="B139" i="15"/>
  <c r="B160" i="15"/>
  <c r="B140" i="15"/>
  <c r="B162" i="15"/>
  <c r="B142" i="15"/>
  <c r="B164" i="15"/>
  <c r="B165" i="15"/>
  <c r="B143" i="15"/>
  <c r="B167" i="15"/>
  <c r="B144" i="15"/>
  <c r="B145" i="15"/>
  <c r="B146" i="15"/>
  <c r="B147" i="15"/>
  <c r="B172" i="15"/>
  <c r="B148" i="15"/>
  <c r="B149" i="15"/>
  <c r="B150" i="15"/>
  <c r="B151" i="15"/>
  <c r="B152" i="15"/>
  <c r="B153" i="15"/>
  <c r="B154" i="15"/>
  <c r="B155" i="15"/>
  <c r="B156" i="15"/>
  <c r="B157" i="15"/>
  <c r="B158" i="15"/>
  <c r="B159" i="15"/>
  <c r="B161" i="15"/>
  <c r="B163" i="15"/>
  <c r="B166" i="15"/>
  <c r="B168" i="15"/>
  <c r="B169" i="15"/>
  <c r="B171" i="15"/>
  <c r="B173" i="15"/>
  <c r="B174" i="15"/>
  <c r="B183" i="15"/>
  <c r="B184" i="15"/>
  <c r="B185" i="15"/>
  <c r="B186" i="15"/>
  <c r="B187" i="15"/>
  <c r="B191" i="15"/>
  <c r="B192" i="15"/>
  <c r="B193" i="15"/>
  <c r="B182" i="15"/>
  <c r="B188" i="15"/>
  <c r="B189" i="15"/>
  <c r="B190" i="15"/>
  <c r="B118" i="15"/>
  <c r="B120" i="15"/>
  <c r="B194" i="15"/>
  <c r="B196" i="15"/>
  <c r="B197" i="15"/>
  <c r="B121" i="15"/>
  <c r="B198" i="15"/>
  <c r="B199" i="15"/>
  <c r="B200" i="15"/>
  <c r="B201" i="15"/>
  <c r="B202" i="15"/>
  <c r="B203" i="15"/>
  <c r="B205" i="15"/>
  <c r="B206" i="15"/>
  <c r="B207" i="15"/>
  <c r="B208" i="15"/>
  <c r="B209" i="15"/>
  <c r="B210" i="15"/>
  <c r="B211" i="15"/>
  <c r="B212" i="15"/>
  <c r="B213" i="15"/>
  <c r="B214" i="15"/>
  <c r="B215" i="15"/>
  <c r="B216" i="15"/>
  <c r="B217" i="15"/>
  <c r="B218" i="15"/>
  <c r="B219" i="15"/>
  <c r="B220" i="15"/>
  <c r="B221" i="15"/>
  <c r="B222" i="15"/>
  <c r="B223" i="15"/>
  <c r="B224" i="15"/>
  <c r="B225" i="15"/>
  <c r="B226" i="15"/>
  <c r="B119" i="15"/>
  <c r="B204" i="15"/>
  <c r="B170" i="15"/>
  <c r="B175" i="15"/>
  <c r="B176" i="15"/>
  <c r="B177" i="15"/>
  <c r="B178" i="15"/>
  <c r="B179" i="15"/>
  <c r="B180" i="15"/>
  <c r="B181" i="15"/>
  <c r="B228" i="15"/>
  <c r="B229" i="15"/>
  <c r="B304" i="15"/>
  <c r="B231" i="15"/>
  <c r="B232" i="15"/>
  <c r="B233" i="15"/>
  <c r="B234" i="15"/>
  <c r="B235" i="15"/>
  <c r="B238" i="15"/>
  <c r="B305" i="15"/>
  <c r="B306" i="15"/>
  <c r="B307" i="15"/>
  <c r="B308" i="15"/>
  <c r="B309" i="15"/>
  <c r="B312" i="15"/>
  <c r="B313" i="15"/>
  <c r="B246" i="15"/>
  <c r="B315" i="15"/>
  <c r="B316" i="15"/>
  <c r="B248" i="15"/>
  <c r="B249" i="15"/>
  <c r="B250" i="15"/>
  <c r="B251" i="15"/>
  <c r="B230" i="15"/>
  <c r="B247" i="15"/>
  <c r="B256" i="15"/>
  <c r="B255" i="15"/>
  <c r="B257" i="15"/>
  <c r="B258" i="15"/>
  <c r="B259" i="15"/>
  <c r="B260" i="15"/>
  <c r="B261" i="15"/>
  <c r="B262" i="15"/>
  <c r="B263" i="15"/>
  <c r="B264" i="15"/>
  <c r="B271" i="15"/>
  <c r="B272" i="15"/>
  <c r="B274" i="15"/>
  <c r="B275" i="15"/>
  <c r="B276" i="15"/>
  <c r="B277" i="15"/>
  <c r="B281" i="15"/>
  <c r="B282" i="15"/>
  <c r="B283" i="15"/>
  <c r="B284" i="15"/>
  <c r="B285" i="15"/>
  <c r="B286" i="15"/>
  <c r="B227" i="15"/>
  <c r="B236" i="15"/>
  <c r="B237" i="15"/>
  <c r="B239" i="15"/>
  <c r="B240" i="15"/>
  <c r="B241" i="15"/>
  <c r="B242" i="15"/>
  <c r="B243" i="15"/>
  <c r="B244" i="15"/>
  <c r="B310" i="15"/>
  <c r="B311" i="15"/>
  <c r="B314" i="15"/>
  <c r="B245" i="15"/>
  <c r="B252" i="15"/>
  <c r="B265" i="15"/>
  <c r="B266" i="15"/>
  <c r="B267" i="15"/>
  <c r="B273" i="15"/>
  <c r="B278" i="15"/>
  <c r="B279" i="15"/>
  <c r="B280" i="15"/>
  <c r="B287" i="15"/>
  <c r="B288" i="15"/>
  <c r="B289" i="15"/>
  <c r="B290" i="15"/>
  <c r="B291" i="15"/>
  <c r="B292" i="15"/>
  <c r="B293" i="15"/>
  <c r="B294" i="15"/>
  <c r="B295" i="15"/>
  <c r="B296" i="15"/>
  <c r="B297" i="15"/>
  <c r="B298" i="15"/>
  <c r="B253" i="15"/>
  <c r="B254" i="15"/>
  <c r="B317" i="15"/>
  <c r="B318" i="15"/>
  <c r="B319" i="15"/>
  <c r="B320" i="15"/>
  <c r="B321" i="15"/>
  <c r="B322" i="15"/>
  <c r="B344" i="15"/>
  <c r="B270" i="15"/>
  <c r="B345" i="15"/>
  <c r="B347" i="15"/>
  <c r="B300" i="15"/>
  <c r="B353" i="15"/>
  <c r="B355" i="15"/>
  <c r="B302" i="15"/>
  <c r="B356" i="15"/>
  <c r="D2" i="15"/>
  <c r="D3" i="15"/>
  <c r="D4" i="15"/>
  <c r="D5" i="15"/>
  <c r="D6" i="15"/>
  <c r="D7" i="15"/>
  <c r="D8" i="15"/>
  <c r="D14" i="15"/>
  <c r="D16" i="15"/>
  <c r="D54" i="15"/>
  <c r="D18" i="15"/>
  <c r="D20" i="15"/>
  <c r="D23" i="15"/>
  <c r="D9" i="15"/>
  <c r="D10" i="15"/>
  <c r="D11" i="15"/>
  <c r="D12" i="15"/>
  <c r="D13" i="15"/>
  <c r="D303" i="15"/>
  <c r="D357" i="15"/>
  <c r="D17" i="15"/>
  <c r="D19" i="15"/>
  <c r="D21" i="15"/>
  <c r="D22" i="15"/>
  <c r="D15" i="15"/>
  <c r="D27" i="15"/>
  <c r="D29" i="15"/>
  <c r="D30" i="15"/>
  <c r="D31" i="15"/>
  <c r="D33" i="15"/>
  <c r="D34" i="15"/>
  <c r="D35" i="15"/>
  <c r="D36" i="15"/>
  <c r="D37" i="15"/>
  <c r="D38" i="15"/>
  <c r="D39" i="15"/>
  <c r="D40" i="15"/>
  <c r="D41" i="15"/>
  <c r="D28" i="15"/>
  <c r="D32" i="15"/>
  <c r="D55" i="15"/>
  <c r="D24" i="15"/>
  <c r="D25" i="15"/>
  <c r="D26" i="15"/>
  <c r="D56" i="15"/>
  <c r="D57" i="15"/>
  <c r="D42" i="15"/>
  <c r="D44" i="15"/>
  <c r="D46" i="15"/>
  <c r="D50" i="15"/>
  <c r="D51" i="15"/>
  <c r="D52" i="15"/>
  <c r="D53" i="15"/>
  <c r="D43" i="15"/>
  <c r="D45" i="15"/>
  <c r="D47" i="15"/>
  <c r="D48" i="15"/>
  <c r="D49" i="15"/>
  <c r="D59" i="15"/>
  <c r="D60" i="15"/>
  <c r="D61" i="15"/>
  <c r="D62" i="15"/>
  <c r="D64" i="15"/>
  <c r="D65" i="15"/>
  <c r="D102" i="15"/>
  <c r="D66" i="15"/>
  <c r="D67" i="15"/>
  <c r="D68" i="15"/>
  <c r="D58" i="15"/>
  <c r="D63" i="15"/>
  <c r="D109" i="15"/>
  <c r="D74" i="15"/>
  <c r="D75" i="15"/>
  <c r="D76" i="15"/>
  <c r="D77" i="15"/>
  <c r="D78" i="15"/>
  <c r="D79" i="15"/>
  <c r="D80" i="15"/>
  <c r="D81" i="15"/>
  <c r="D82" i="15"/>
  <c r="D83" i="15"/>
  <c r="D85" i="15"/>
  <c r="D90" i="15"/>
  <c r="D91" i="15"/>
  <c r="D93" i="15"/>
  <c r="D95" i="15"/>
  <c r="D70" i="15"/>
  <c r="D71" i="15"/>
  <c r="D73" i="15"/>
  <c r="D104" i="15"/>
  <c r="D105" i="15"/>
  <c r="D106" i="15"/>
  <c r="D107" i="15"/>
  <c r="D108" i="15"/>
  <c r="D110" i="15"/>
  <c r="D72" i="15"/>
  <c r="D112" i="15"/>
  <c r="D113" i="15"/>
  <c r="D115" i="15"/>
  <c r="D84" i="15"/>
  <c r="D116" i="15"/>
  <c r="D117" i="15"/>
  <c r="D86" i="15"/>
  <c r="D87" i="15"/>
  <c r="D88" i="15"/>
  <c r="D89" i="15"/>
  <c r="D92" i="15"/>
  <c r="D94" i="15"/>
  <c r="D96" i="15"/>
  <c r="D97" i="15"/>
  <c r="D69" i="15"/>
  <c r="D103" i="15"/>
  <c r="D111" i="15"/>
  <c r="D114" i="15"/>
  <c r="D100" i="15"/>
  <c r="D101" i="15"/>
  <c r="D195" i="15"/>
  <c r="D98" i="15"/>
  <c r="D99" i="15"/>
  <c r="D125" i="15"/>
  <c r="D128" i="15"/>
  <c r="D130" i="15"/>
  <c r="D141" i="15"/>
  <c r="D122" i="15"/>
  <c r="D123" i="15"/>
  <c r="D124" i="15"/>
  <c r="D126" i="15"/>
  <c r="D127" i="15"/>
  <c r="D129" i="15"/>
  <c r="D131" i="15"/>
  <c r="D132" i="15"/>
  <c r="D133" i="15"/>
  <c r="D134" i="15"/>
  <c r="D135" i="15"/>
  <c r="D136" i="15"/>
  <c r="D137" i="15"/>
  <c r="D138" i="15"/>
  <c r="D139" i="15"/>
  <c r="D160" i="15"/>
  <c r="D140" i="15"/>
  <c r="D162" i="15"/>
  <c r="D142" i="15"/>
  <c r="D164" i="15"/>
  <c r="D165" i="15"/>
  <c r="D143" i="15"/>
  <c r="D167" i="15"/>
  <c r="D144" i="15"/>
  <c r="D145" i="15"/>
  <c r="D146" i="15"/>
  <c r="D147" i="15"/>
  <c r="D172" i="15"/>
  <c r="D148" i="15"/>
  <c r="D149" i="15"/>
  <c r="D150" i="15"/>
  <c r="D151" i="15"/>
  <c r="D152" i="15"/>
  <c r="D153" i="15"/>
  <c r="D154" i="15"/>
  <c r="D155" i="15"/>
  <c r="D156" i="15"/>
  <c r="D157" i="15"/>
  <c r="D158" i="15"/>
  <c r="D159" i="15"/>
  <c r="D161" i="15"/>
  <c r="D163" i="15"/>
  <c r="D166" i="15"/>
  <c r="D168" i="15"/>
  <c r="D169" i="15"/>
  <c r="D171" i="15"/>
  <c r="D173" i="15"/>
  <c r="D174" i="15"/>
  <c r="D183" i="15"/>
  <c r="D184" i="15"/>
  <c r="D185" i="15"/>
  <c r="D186" i="15"/>
  <c r="D187" i="15"/>
  <c r="D191" i="15"/>
  <c r="D192" i="15"/>
  <c r="D193" i="15"/>
  <c r="D182" i="15"/>
  <c r="D188" i="15"/>
  <c r="D189" i="15"/>
  <c r="D190" i="15"/>
  <c r="D118" i="15"/>
  <c r="D120" i="15"/>
  <c r="D194" i="15"/>
  <c r="D196" i="15"/>
  <c r="D197" i="15"/>
  <c r="D121" i="15"/>
  <c r="D198" i="15"/>
  <c r="D199" i="15"/>
  <c r="D200" i="15"/>
  <c r="D201" i="15"/>
  <c r="D202" i="15"/>
  <c r="D203" i="15"/>
  <c r="D205" i="15"/>
  <c r="D206" i="15"/>
  <c r="D207" i="15"/>
  <c r="D208" i="15"/>
  <c r="D209" i="15"/>
  <c r="D210" i="15"/>
  <c r="D211" i="15"/>
  <c r="D212" i="15"/>
  <c r="D213" i="15"/>
  <c r="D214" i="15"/>
  <c r="D215" i="15"/>
  <c r="D216" i="15"/>
  <c r="D217" i="15"/>
  <c r="D218" i="15"/>
  <c r="D219" i="15"/>
  <c r="D220" i="15"/>
  <c r="D221" i="15"/>
  <c r="D222" i="15"/>
  <c r="D223" i="15"/>
  <c r="D224" i="15"/>
  <c r="D225" i="15"/>
  <c r="D226" i="15"/>
  <c r="D119" i="15"/>
  <c r="D204" i="15"/>
  <c r="D170" i="15"/>
  <c r="D175" i="15"/>
  <c r="D176" i="15"/>
  <c r="D177" i="15"/>
  <c r="D178" i="15"/>
  <c r="D179" i="15"/>
  <c r="D180" i="15"/>
  <c r="D181" i="15"/>
  <c r="D228" i="15"/>
  <c r="D229" i="15"/>
  <c r="D304" i="15"/>
  <c r="D231" i="15"/>
  <c r="D232" i="15"/>
  <c r="D233" i="15"/>
  <c r="D234" i="15"/>
  <c r="D235" i="15"/>
  <c r="D238" i="15"/>
  <c r="D305" i="15"/>
  <c r="D306" i="15"/>
  <c r="D307" i="15"/>
  <c r="D308" i="15"/>
  <c r="D309" i="15"/>
  <c r="D312" i="15"/>
  <c r="D313" i="15"/>
  <c r="D246" i="15"/>
  <c r="D315" i="15"/>
  <c r="D316" i="15"/>
  <c r="D248" i="15"/>
  <c r="D249" i="15"/>
  <c r="D250" i="15"/>
  <c r="D251" i="15"/>
  <c r="D230" i="15"/>
  <c r="D247" i="15"/>
  <c r="D256" i="15"/>
  <c r="D255" i="15"/>
  <c r="D257" i="15"/>
  <c r="D258" i="15"/>
  <c r="D259" i="15"/>
  <c r="D260" i="15"/>
  <c r="D261" i="15"/>
  <c r="D262" i="15"/>
  <c r="D263" i="15"/>
  <c r="D264" i="15"/>
  <c r="D271" i="15"/>
  <c r="D272" i="15"/>
  <c r="D274" i="15"/>
  <c r="D275" i="15"/>
  <c r="D276" i="15"/>
  <c r="D277" i="15"/>
  <c r="D281" i="15"/>
  <c r="D282" i="15"/>
  <c r="D283" i="15"/>
  <c r="D284" i="15"/>
  <c r="D285" i="15"/>
  <c r="D286" i="15"/>
  <c r="D227" i="15"/>
  <c r="D236" i="15"/>
  <c r="D237" i="15"/>
  <c r="D239" i="15"/>
  <c r="D240" i="15"/>
  <c r="D241" i="15"/>
  <c r="D242" i="15"/>
  <c r="D243" i="15"/>
  <c r="D244" i="15"/>
  <c r="D310" i="15"/>
  <c r="D311" i="15"/>
  <c r="D314" i="15"/>
  <c r="D245" i="15"/>
  <c r="D252" i="15"/>
  <c r="D265" i="15"/>
  <c r="D266" i="15"/>
  <c r="D267" i="15"/>
  <c r="D273" i="15"/>
  <c r="D278" i="15"/>
  <c r="D279" i="15"/>
  <c r="D280" i="15"/>
  <c r="D287" i="15"/>
  <c r="D288" i="15"/>
  <c r="D289" i="15"/>
  <c r="D290" i="15"/>
  <c r="D291" i="15"/>
  <c r="D292" i="15"/>
  <c r="D293" i="15"/>
  <c r="D294" i="15"/>
  <c r="D295" i="15"/>
  <c r="D296" i="15"/>
  <c r="D297" i="15"/>
  <c r="D298" i="15"/>
  <c r="D253" i="15"/>
  <c r="D254" i="15"/>
  <c r="D317" i="15"/>
  <c r="D318" i="15"/>
  <c r="D319" i="15"/>
  <c r="D320" i="15"/>
  <c r="D321" i="15"/>
  <c r="D322" i="15"/>
  <c r="D344" i="15"/>
  <c r="D270" i="15"/>
  <c r="D345" i="15"/>
  <c r="D347" i="15"/>
  <c r="D300" i="15"/>
  <c r="D353" i="15"/>
  <c r="D355" i="15"/>
  <c r="D302" i="15"/>
  <c r="D356" i="15"/>
  <c r="E2" i="15"/>
  <c r="E3" i="15"/>
  <c r="E4" i="15"/>
  <c r="E5" i="15"/>
  <c r="E6" i="15"/>
  <c r="E7" i="15"/>
  <c r="E8" i="15"/>
  <c r="E14" i="15"/>
  <c r="E16" i="15"/>
  <c r="E54" i="15"/>
  <c r="E18" i="15"/>
  <c r="E20" i="15"/>
  <c r="E23" i="15"/>
  <c r="E9" i="15"/>
  <c r="E10" i="15"/>
  <c r="E11" i="15"/>
  <c r="E12" i="15"/>
  <c r="E13" i="15"/>
  <c r="E303" i="15"/>
  <c r="E357" i="15"/>
  <c r="E17" i="15"/>
  <c r="E19" i="15"/>
  <c r="E21" i="15"/>
  <c r="E22" i="15"/>
  <c r="E15" i="15"/>
  <c r="E27" i="15"/>
  <c r="E29" i="15"/>
  <c r="E30" i="15"/>
  <c r="E31" i="15"/>
  <c r="E33" i="15"/>
  <c r="E34" i="15"/>
  <c r="E35" i="15"/>
  <c r="E36" i="15"/>
  <c r="E37" i="15"/>
  <c r="E38" i="15"/>
  <c r="E39" i="15"/>
  <c r="E40" i="15"/>
  <c r="E41" i="15"/>
  <c r="E28" i="15"/>
  <c r="E32" i="15"/>
  <c r="E55" i="15"/>
  <c r="E24" i="15"/>
  <c r="E25" i="15"/>
  <c r="E26" i="15"/>
  <c r="E56" i="15"/>
  <c r="E57" i="15"/>
  <c r="E42" i="15"/>
  <c r="E44" i="15"/>
  <c r="E46" i="15"/>
  <c r="E50" i="15"/>
  <c r="E51" i="15"/>
  <c r="E52" i="15"/>
  <c r="E53" i="15"/>
  <c r="E43" i="15"/>
  <c r="E45" i="15"/>
  <c r="E47" i="15"/>
  <c r="E48" i="15"/>
  <c r="E49" i="15"/>
  <c r="E59" i="15"/>
  <c r="E60" i="15"/>
  <c r="E61" i="15"/>
  <c r="E62" i="15"/>
  <c r="E64" i="15"/>
  <c r="E65" i="15"/>
  <c r="E102" i="15"/>
  <c r="E66" i="15"/>
  <c r="E67" i="15"/>
  <c r="E68" i="15"/>
  <c r="E58" i="15"/>
  <c r="E63" i="15"/>
  <c r="E109" i="15"/>
  <c r="E74" i="15"/>
  <c r="E75" i="15"/>
  <c r="E76" i="15"/>
  <c r="E77" i="15"/>
  <c r="E78" i="15"/>
  <c r="E79" i="15"/>
  <c r="E80" i="15"/>
  <c r="E81" i="15"/>
  <c r="E82" i="15"/>
  <c r="E83" i="15"/>
  <c r="E85" i="15"/>
  <c r="E90" i="15"/>
  <c r="E91" i="15"/>
  <c r="E93" i="15"/>
  <c r="E95" i="15"/>
  <c r="E70" i="15"/>
  <c r="E71" i="15"/>
  <c r="E73" i="15"/>
  <c r="E104" i="15"/>
  <c r="E105" i="15"/>
  <c r="E106" i="15"/>
  <c r="E107" i="15"/>
  <c r="E108" i="15"/>
  <c r="E110" i="15"/>
  <c r="E72" i="15"/>
  <c r="E112" i="15"/>
  <c r="E113" i="15"/>
  <c r="E115" i="15"/>
  <c r="E84" i="15"/>
  <c r="E116" i="15"/>
  <c r="E117" i="15"/>
  <c r="E86" i="15"/>
  <c r="E87" i="15"/>
  <c r="E88" i="15"/>
  <c r="E89" i="15"/>
  <c r="E92" i="15"/>
  <c r="E94" i="15"/>
  <c r="E96" i="15"/>
  <c r="E97" i="15"/>
  <c r="E69" i="15"/>
  <c r="E103" i="15"/>
  <c r="E111" i="15"/>
  <c r="E114" i="15"/>
  <c r="E100" i="15"/>
  <c r="E101" i="15"/>
  <c r="E195" i="15"/>
  <c r="E98" i="15"/>
  <c r="E99" i="15"/>
  <c r="E125" i="15"/>
  <c r="E128" i="15"/>
  <c r="E130" i="15"/>
  <c r="E141" i="15"/>
  <c r="E122" i="15"/>
  <c r="E123" i="15"/>
  <c r="E124" i="15"/>
  <c r="E126" i="15"/>
  <c r="E127" i="15"/>
  <c r="E129" i="15"/>
  <c r="E131" i="15"/>
  <c r="E132" i="15"/>
  <c r="E133" i="15"/>
  <c r="E134" i="15"/>
  <c r="E135" i="15"/>
  <c r="E136" i="15"/>
  <c r="E137" i="15"/>
  <c r="E138" i="15"/>
  <c r="E139" i="15"/>
  <c r="E160" i="15"/>
  <c r="E140" i="15"/>
  <c r="E162" i="15"/>
  <c r="E142" i="15"/>
  <c r="E164" i="15"/>
  <c r="E165" i="15"/>
  <c r="E143" i="15"/>
  <c r="E167" i="15"/>
  <c r="E144" i="15"/>
  <c r="E145" i="15"/>
  <c r="E146" i="15"/>
  <c r="E147" i="15"/>
  <c r="E172" i="15"/>
  <c r="E148" i="15"/>
  <c r="E149" i="15"/>
  <c r="E150" i="15"/>
  <c r="E151" i="15"/>
  <c r="E152" i="15"/>
  <c r="E153" i="15"/>
  <c r="E154" i="15"/>
  <c r="E155" i="15"/>
  <c r="E156" i="15"/>
  <c r="E157" i="15"/>
  <c r="E158" i="15"/>
  <c r="E159" i="15"/>
  <c r="E161" i="15"/>
  <c r="E163" i="15"/>
  <c r="E166" i="15"/>
  <c r="E168" i="15"/>
  <c r="E169" i="15"/>
  <c r="E171" i="15"/>
  <c r="E173" i="15"/>
  <c r="E174" i="15"/>
  <c r="E183" i="15"/>
  <c r="E184" i="15"/>
  <c r="E185" i="15"/>
  <c r="E186" i="15"/>
  <c r="E187" i="15"/>
  <c r="E191" i="15"/>
  <c r="E192" i="15"/>
  <c r="E193" i="15"/>
  <c r="E182" i="15"/>
  <c r="E188" i="15"/>
  <c r="E189" i="15"/>
  <c r="E190" i="15"/>
  <c r="E118" i="15"/>
  <c r="E120" i="15"/>
  <c r="E194" i="15"/>
  <c r="E196" i="15"/>
  <c r="E197" i="15"/>
  <c r="E121" i="15"/>
  <c r="E198" i="15"/>
  <c r="E199" i="15"/>
  <c r="E200" i="15"/>
  <c r="E201" i="15"/>
  <c r="E202" i="15"/>
  <c r="E203" i="15"/>
  <c r="E205" i="15"/>
  <c r="E206" i="15"/>
  <c r="E207" i="15"/>
  <c r="E208" i="15"/>
  <c r="E209" i="15"/>
  <c r="E210" i="15"/>
  <c r="E211" i="15"/>
  <c r="E212" i="15"/>
  <c r="E213" i="15"/>
  <c r="E214" i="15"/>
  <c r="E215" i="15"/>
  <c r="E216" i="15"/>
  <c r="E217" i="15"/>
  <c r="E218" i="15"/>
  <c r="E219" i="15"/>
  <c r="E220" i="15"/>
  <c r="E221" i="15"/>
  <c r="E222" i="15"/>
  <c r="E223" i="15"/>
  <c r="E224" i="15"/>
  <c r="E225" i="15"/>
  <c r="E226" i="15"/>
  <c r="E119" i="15"/>
  <c r="E204" i="15"/>
  <c r="E170" i="15"/>
  <c r="E175" i="15"/>
  <c r="E176" i="15"/>
  <c r="E177" i="15"/>
  <c r="E178" i="15"/>
  <c r="E179" i="15"/>
  <c r="E180" i="15"/>
  <c r="E181" i="15"/>
  <c r="E228" i="15"/>
  <c r="E229" i="15"/>
  <c r="E304" i="15"/>
  <c r="E231" i="15"/>
  <c r="E232" i="15"/>
  <c r="E233" i="15"/>
  <c r="E234" i="15"/>
  <c r="E235" i="15"/>
  <c r="E238" i="15"/>
  <c r="E305" i="15"/>
  <c r="E306" i="15"/>
  <c r="E307" i="15"/>
  <c r="E308" i="15"/>
  <c r="E309" i="15"/>
  <c r="E312" i="15"/>
  <c r="E313" i="15"/>
  <c r="E246" i="15"/>
  <c r="E315" i="15"/>
  <c r="E316" i="15"/>
  <c r="E248" i="15"/>
  <c r="E249" i="15"/>
  <c r="E250" i="15"/>
  <c r="E251" i="15"/>
  <c r="E230" i="15"/>
  <c r="E247" i="15"/>
  <c r="E256" i="15"/>
  <c r="E255" i="15"/>
  <c r="E257" i="15"/>
  <c r="E258" i="15"/>
  <c r="E259" i="15"/>
  <c r="E260" i="15"/>
  <c r="E261" i="15"/>
  <c r="E262" i="15"/>
  <c r="E263" i="15"/>
  <c r="E264" i="15"/>
  <c r="E271" i="15"/>
  <c r="E272" i="15"/>
  <c r="E274" i="15"/>
  <c r="E275" i="15"/>
  <c r="E276" i="15"/>
  <c r="E277" i="15"/>
  <c r="E281" i="15"/>
  <c r="E282" i="15"/>
  <c r="E283" i="15"/>
  <c r="E284" i="15"/>
  <c r="E285" i="15"/>
  <c r="E286" i="15"/>
  <c r="E227" i="15"/>
  <c r="E236" i="15"/>
  <c r="E237" i="15"/>
  <c r="E239" i="15"/>
  <c r="E240" i="15"/>
  <c r="E241" i="15"/>
  <c r="E242" i="15"/>
  <c r="E243" i="15"/>
  <c r="E244" i="15"/>
  <c r="E310" i="15"/>
  <c r="E311" i="15"/>
  <c r="E314" i="15"/>
  <c r="E245" i="15"/>
  <c r="E252" i="15"/>
  <c r="E265" i="15"/>
  <c r="E266" i="15"/>
  <c r="E267" i="15"/>
  <c r="E273" i="15"/>
  <c r="E278" i="15"/>
  <c r="E279" i="15"/>
  <c r="E280" i="15"/>
  <c r="E287" i="15"/>
  <c r="E288" i="15"/>
  <c r="E289" i="15"/>
  <c r="E290" i="15"/>
  <c r="E291" i="15"/>
  <c r="E292" i="15"/>
  <c r="E293" i="15"/>
  <c r="E294" i="15"/>
  <c r="E295" i="15"/>
  <c r="E296" i="15"/>
  <c r="E297" i="15"/>
  <c r="E298" i="15"/>
  <c r="E253" i="15"/>
  <c r="E254" i="15"/>
  <c r="E317" i="15"/>
  <c r="E318" i="15"/>
  <c r="E319" i="15"/>
  <c r="E320" i="15"/>
  <c r="E321" i="15"/>
  <c r="E322" i="15"/>
  <c r="E344" i="15"/>
  <c r="E270" i="15"/>
  <c r="E345" i="15"/>
  <c r="E347" i="15"/>
  <c r="E300" i="15"/>
  <c r="E353" i="15"/>
  <c r="E355" i="15"/>
  <c r="E302" i="15"/>
  <c r="E356" i="15"/>
  <c r="F2" i="15"/>
  <c r="F3" i="15"/>
  <c r="F4" i="15"/>
  <c r="F5" i="15"/>
  <c r="F6" i="15"/>
  <c r="F7" i="15"/>
  <c r="F8" i="15"/>
  <c r="F14" i="15"/>
  <c r="F16" i="15"/>
  <c r="F54" i="15"/>
  <c r="F18" i="15"/>
  <c r="F20" i="15"/>
  <c r="F23" i="15"/>
  <c r="F9" i="15"/>
  <c r="F10" i="15"/>
  <c r="F11" i="15"/>
  <c r="F12" i="15"/>
  <c r="F13" i="15"/>
  <c r="F303" i="15"/>
  <c r="F357" i="15"/>
  <c r="F17" i="15"/>
  <c r="F19" i="15"/>
  <c r="F21" i="15"/>
  <c r="F22" i="15"/>
  <c r="F15" i="15"/>
  <c r="F27" i="15"/>
  <c r="F29" i="15"/>
  <c r="F30" i="15"/>
  <c r="F31" i="15"/>
  <c r="F33" i="15"/>
  <c r="F34" i="15"/>
  <c r="F35" i="15"/>
  <c r="F36" i="15"/>
  <c r="F37" i="15"/>
  <c r="F38" i="15"/>
  <c r="F39" i="15"/>
  <c r="F40" i="15"/>
  <c r="F41" i="15"/>
  <c r="F28" i="15"/>
  <c r="F32" i="15"/>
  <c r="F55" i="15"/>
  <c r="F24" i="15"/>
  <c r="F25" i="15"/>
  <c r="F26" i="15"/>
  <c r="F56" i="15"/>
  <c r="F57" i="15"/>
  <c r="F42" i="15"/>
  <c r="F44" i="15"/>
  <c r="F46" i="15"/>
  <c r="F50" i="15"/>
  <c r="F51" i="15"/>
  <c r="F52" i="15"/>
  <c r="F53" i="15"/>
  <c r="F43" i="15"/>
  <c r="F45" i="15"/>
  <c r="F47" i="15"/>
  <c r="F48" i="15"/>
  <c r="F49" i="15"/>
  <c r="F59" i="15"/>
  <c r="F60" i="15"/>
  <c r="F61" i="15"/>
  <c r="F62" i="15"/>
  <c r="F64" i="15"/>
  <c r="F65" i="15"/>
  <c r="F102" i="15"/>
  <c r="F66" i="15"/>
  <c r="F67" i="15"/>
  <c r="F68" i="15"/>
  <c r="F58" i="15"/>
  <c r="F63" i="15"/>
  <c r="F109" i="15"/>
  <c r="F74" i="15"/>
  <c r="F75" i="15"/>
  <c r="F76" i="15"/>
  <c r="F77" i="15"/>
  <c r="F78" i="15"/>
  <c r="F79" i="15"/>
  <c r="F80" i="15"/>
  <c r="F81" i="15"/>
  <c r="F82" i="15"/>
  <c r="F83" i="15"/>
  <c r="F85" i="15"/>
  <c r="F90" i="15"/>
  <c r="F91" i="15"/>
  <c r="F93" i="15"/>
  <c r="F95" i="15"/>
  <c r="F70" i="15"/>
  <c r="F71" i="15"/>
  <c r="F73" i="15"/>
  <c r="F104" i="15"/>
  <c r="F105" i="15"/>
  <c r="F106" i="15"/>
  <c r="F107" i="15"/>
  <c r="F108" i="15"/>
  <c r="F110" i="15"/>
  <c r="F72" i="15"/>
  <c r="F112" i="15"/>
  <c r="F113" i="15"/>
  <c r="F115" i="15"/>
  <c r="F84" i="15"/>
  <c r="F116" i="15"/>
  <c r="F117" i="15"/>
  <c r="F86" i="15"/>
  <c r="F87" i="15"/>
  <c r="F88" i="15"/>
  <c r="F89" i="15"/>
  <c r="F92" i="15"/>
  <c r="F94" i="15"/>
  <c r="F96" i="15"/>
  <c r="F97" i="15"/>
  <c r="F69" i="15"/>
  <c r="F103" i="15"/>
  <c r="F111" i="15"/>
  <c r="F114" i="15"/>
  <c r="F100" i="15"/>
  <c r="F101" i="15"/>
  <c r="F195" i="15"/>
  <c r="F98" i="15"/>
  <c r="F99" i="15"/>
  <c r="F125" i="15"/>
  <c r="F128" i="15"/>
  <c r="F130" i="15"/>
  <c r="F141" i="15"/>
  <c r="F122" i="15"/>
  <c r="F123" i="15"/>
  <c r="F124" i="15"/>
  <c r="F126" i="15"/>
  <c r="F127" i="15"/>
  <c r="F129" i="15"/>
  <c r="F131" i="15"/>
  <c r="F132" i="15"/>
  <c r="F133" i="15"/>
  <c r="F134" i="15"/>
  <c r="F135" i="15"/>
  <c r="F136" i="15"/>
  <c r="F137" i="15"/>
  <c r="F138" i="15"/>
  <c r="F139" i="15"/>
  <c r="F160" i="15"/>
  <c r="F140" i="15"/>
  <c r="F162" i="15"/>
  <c r="F142" i="15"/>
  <c r="F164" i="15"/>
  <c r="F165" i="15"/>
  <c r="F143" i="15"/>
  <c r="F167" i="15"/>
  <c r="F144" i="15"/>
  <c r="F145" i="15"/>
  <c r="F146" i="15"/>
  <c r="F147" i="15"/>
  <c r="F172" i="15"/>
  <c r="F148" i="15"/>
  <c r="F149" i="15"/>
  <c r="F150" i="15"/>
  <c r="F151" i="15"/>
  <c r="F152" i="15"/>
  <c r="F153" i="15"/>
  <c r="F154" i="15"/>
  <c r="F155" i="15"/>
  <c r="F156" i="15"/>
  <c r="F157" i="15"/>
  <c r="F158" i="15"/>
  <c r="F159" i="15"/>
  <c r="F161" i="15"/>
  <c r="F163" i="15"/>
  <c r="F166" i="15"/>
  <c r="F168" i="15"/>
  <c r="F169" i="15"/>
  <c r="F171" i="15"/>
  <c r="F173" i="15"/>
  <c r="F174" i="15"/>
  <c r="F183" i="15"/>
  <c r="F184" i="15"/>
  <c r="F185" i="15"/>
  <c r="F186" i="15"/>
  <c r="F187" i="15"/>
  <c r="F191" i="15"/>
  <c r="F192" i="15"/>
  <c r="F193" i="15"/>
  <c r="F182" i="15"/>
  <c r="F188" i="15"/>
  <c r="F189" i="15"/>
  <c r="F190" i="15"/>
  <c r="F118" i="15"/>
  <c r="F120" i="15"/>
  <c r="F194" i="15"/>
  <c r="F196" i="15"/>
  <c r="F197" i="15"/>
  <c r="F121" i="15"/>
  <c r="F198" i="15"/>
  <c r="F199" i="15"/>
  <c r="F200" i="15"/>
  <c r="F201" i="15"/>
  <c r="F202" i="15"/>
  <c r="F203" i="15"/>
  <c r="F205" i="15"/>
  <c r="F206" i="15"/>
  <c r="F207" i="15"/>
  <c r="F208" i="15"/>
  <c r="F209" i="15"/>
  <c r="F210" i="15"/>
  <c r="F211" i="15"/>
  <c r="F212" i="15"/>
  <c r="F213" i="15"/>
  <c r="F214" i="15"/>
  <c r="F215" i="15"/>
  <c r="F216" i="15"/>
  <c r="F217" i="15"/>
  <c r="F218" i="15"/>
  <c r="F219" i="15"/>
  <c r="F220" i="15"/>
  <c r="F221" i="15"/>
  <c r="F222" i="15"/>
  <c r="F223" i="15"/>
  <c r="F224" i="15"/>
  <c r="F225" i="15"/>
  <c r="F226" i="15"/>
  <c r="F119" i="15"/>
  <c r="F204" i="15"/>
  <c r="F170" i="15"/>
  <c r="F175" i="15"/>
  <c r="F176" i="15"/>
  <c r="F177" i="15"/>
  <c r="F178" i="15"/>
  <c r="F179" i="15"/>
  <c r="F180" i="15"/>
  <c r="F181" i="15"/>
  <c r="F228" i="15"/>
  <c r="F229" i="15"/>
  <c r="F304" i="15"/>
  <c r="F231" i="15"/>
  <c r="F232" i="15"/>
  <c r="F233" i="15"/>
  <c r="F234" i="15"/>
  <c r="F235" i="15"/>
  <c r="F238" i="15"/>
  <c r="F305" i="15"/>
  <c r="F306" i="15"/>
  <c r="F307" i="15"/>
  <c r="F308" i="15"/>
  <c r="F309" i="15"/>
  <c r="F312" i="15"/>
  <c r="F313" i="15"/>
  <c r="F246" i="15"/>
  <c r="F315" i="15"/>
  <c r="F316" i="15"/>
  <c r="F248" i="15"/>
  <c r="F249" i="15"/>
  <c r="F250" i="15"/>
  <c r="F251" i="15"/>
  <c r="F230" i="15"/>
  <c r="F247" i="15"/>
  <c r="F256" i="15"/>
  <c r="F255" i="15"/>
  <c r="F257" i="15"/>
  <c r="F258" i="15"/>
  <c r="F259" i="15"/>
  <c r="F260" i="15"/>
  <c r="F261" i="15"/>
  <c r="F262" i="15"/>
  <c r="F263" i="15"/>
  <c r="F264" i="15"/>
  <c r="F271" i="15"/>
  <c r="F272" i="15"/>
  <c r="F274" i="15"/>
  <c r="F275" i="15"/>
  <c r="F276" i="15"/>
  <c r="F277" i="15"/>
  <c r="F281" i="15"/>
  <c r="F282" i="15"/>
  <c r="F283" i="15"/>
  <c r="F284" i="15"/>
  <c r="F285" i="15"/>
  <c r="F286" i="15"/>
  <c r="F227" i="15"/>
  <c r="F236" i="15"/>
  <c r="F237" i="15"/>
  <c r="F239" i="15"/>
  <c r="F240" i="15"/>
  <c r="F241" i="15"/>
  <c r="F242" i="15"/>
  <c r="F243" i="15"/>
  <c r="F244" i="15"/>
  <c r="F310" i="15"/>
  <c r="F311" i="15"/>
  <c r="F314" i="15"/>
  <c r="F245" i="15"/>
  <c r="F252" i="15"/>
  <c r="F265" i="15"/>
  <c r="F266" i="15"/>
  <c r="F267" i="15"/>
  <c r="F273" i="15"/>
  <c r="F278" i="15"/>
  <c r="F279" i="15"/>
  <c r="F280" i="15"/>
  <c r="F287" i="15"/>
  <c r="F288" i="15"/>
  <c r="F289" i="15"/>
  <c r="F290" i="15"/>
  <c r="F291" i="15"/>
  <c r="F292" i="15"/>
  <c r="F293" i="15"/>
  <c r="F294" i="15"/>
  <c r="F295" i="15"/>
  <c r="F296" i="15"/>
  <c r="F297" i="15"/>
  <c r="F298" i="15"/>
  <c r="F253" i="15"/>
  <c r="F254" i="15"/>
  <c r="F317" i="15"/>
  <c r="F318" i="15"/>
  <c r="F319" i="15"/>
  <c r="F320" i="15"/>
  <c r="F321" i="15"/>
  <c r="F322" i="15"/>
  <c r="F344" i="15"/>
  <c r="F270" i="15"/>
  <c r="F345" i="15"/>
  <c r="F347" i="15"/>
  <c r="F300" i="15"/>
  <c r="F353" i="15"/>
  <c r="F355" i="15"/>
  <c r="F302" i="15"/>
  <c r="F356" i="15"/>
  <c r="G2" i="15"/>
  <c r="G3" i="15"/>
  <c r="G4" i="15"/>
  <c r="G5" i="15"/>
  <c r="G6" i="15"/>
  <c r="G7" i="15"/>
  <c r="G8" i="15"/>
  <c r="G14" i="15"/>
  <c r="G16" i="15"/>
  <c r="G54" i="15"/>
  <c r="G18" i="15"/>
  <c r="G20" i="15"/>
  <c r="G23" i="15"/>
  <c r="G9" i="15"/>
  <c r="G10" i="15"/>
  <c r="G11" i="15"/>
  <c r="G12" i="15"/>
  <c r="G13" i="15"/>
  <c r="G303" i="15"/>
  <c r="G357" i="15"/>
  <c r="G17" i="15"/>
  <c r="G19" i="15"/>
  <c r="G21" i="15"/>
  <c r="G22" i="15"/>
  <c r="G15" i="15"/>
  <c r="G27" i="15"/>
  <c r="G29" i="15"/>
  <c r="G30" i="15"/>
  <c r="G31" i="15"/>
  <c r="G33" i="15"/>
  <c r="G34" i="15"/>
  <c r="G35" i="15"/>
  <c r="G36" i="15"/>
  <c r="G37" i="15"/>
  <c r="G38" i="15"/>
  <c r="G39" i="15"/>
  <c r="G40" i="15"/>
  <c r="G41" i="15"/>
  <c r="G28" i="15"/>
  <c r="G32" i="15"/>
  <c r="G55" i="15"/>
  <c r="G24" i="15"/>
  <c r="G25" i="15"/>
  <c r="G26" i="15"/>
  <c r="G56" i="15"/>
  <c r="G57" i="15"/>
  <c r="G42" i="15"/>
  <c r="G44" i="15"/>
  <c r="G46" i="15"/>
  <c r="G50" i="15"/>
  <c r="G51" i="15"/>
  <c r="G52" i="15"/>
  <c r="G53" i="15"/>
  <c r="G43" i="15"/>
  <c r="G45" i="15"/>
  <c r="G47" i="15"/>
  <c r="G48" i="15"/>
  <c r="G49" i="15"/>
  <c r="G59" i="15"/>
  <c r="G60" i="15"/>
  <c r="G61" i="15"/>
  <c r="G62" i="15"/>
  <c r="G64" i="15"/>
  <c r="G65" i="15"/>
  <c r="G102" i="15"/>
  <c r="G66" i="15"/>
  <c r="G67" i="15"/>
  <c r="G68" i="15"/>
  <c r="G58" i="15"/>
  <c r="G63" i="15"/>
  <c r="G109" i="15"/>
  <c r="G74" i="15"/>
  <c r="G75" i="15"/>
  <c r="G76" i="15"/>
  <c r="G77" i="15"/>
  <c r="G78" i="15"/>
  <c r="G79" i="15"/>
  <c r="G80" i="15"/>
  <c r="G81" i="15"/>
  <c r="G82" i="15"/>
  <c r="G83" i="15"/>
  <c r="G85" i="15"/>
  <c r="G90" i="15"/>
  <c r="G91" i="15"/>
  <c r="G93" i="15"/>
  <c r="G95" i="15"/>
  <c r="G70" i="15"/>
  <c r="G71" i="15"/>
  <c r="G73" i="15"/>
  <c r="G104" i="15"/>
  <c r="G105" i="15"/>
  <c r="G106" i="15"/>
  <c r="G107" i="15"/>
  <c r="G108" i="15"/>
  <c r="G110" i="15"/>
  <c r="G72" i="15"/>
  <c r="G112" i="15"/>
  <c r="G113" i="15"/>
  <c r="G115" i="15"/>
  <c r="G84" i="15"/>
  <c r="G116" i="15"/>
  <c r="G117" i="15"/>
  <c r="G86" i="15"/>
  <c r="G87" i="15"/>
  <c r="G88" i="15"/>
  <c r="G89" i="15"/>
  <c r="G92" i="15"/>
  <c r="G94" i="15"/>
  <c r="G96" i="15"/>
  <c r="G97" i="15"/>
  <c r="G69" i="15"/>
  <c r="G103" i="15"/>
  <c r="G111" i="15"/>
  <c r="G114" i="15"/>
  <c r="G100" i="15"/>
  <c r="G101" i="15"/>
  <c r="G195" i="15"/>
  <c r="G98" i="15"/>
  <c r="G99" i="15"/>
  <c r="G125" i="15"/>
  <c r="G128" i="15"/>
  <c r="G130" i="15"/>
  <c r="G141" i="15"/>
  <c r="G122" i="15"/>
  <c r="G123" i="15"/>
  <c r="G124" i="15"/>
  <c r="G126" i="15"/>
  <c r="G127" i="15"/>
  <c r="G129" i="15"/>
  <c r="G131" i="15"/>
  <c r="G132" i="15"/>
  <c r="G133" i="15"/>
  <c r="G134" i="15"/>
  <c r="G135" i="15"/>
  <c r="G136" i="15"/>
  <c r="G137" i="15"/>
  <c r="G138" i="15"/>
  <c r="G139" i="15"/>
  <c r="G160" i="15"/>
  <c r="G140" i="15"/>
  <c r="G162" i="15"/>
  <c r="G142" i="15"/>
  <c r="G164" i="15"/>
  <c r="G165" i="15"/>
  <c r="G143" i="15"/>
  <c r="G167" i="15"/>
  <c r="G144" i="15"/>
  <c r="G145" i="15"/>
  <c r="G146" i="15"/>
  <c r="G147" i="15"/>
  <c r="G172" i="15"/>
  <c r="G148" i="15"/>
  <c r="G149" i="15"/>
  <c r="G150" i="15"/>
  <c r="G151" i="15"/>
  <c r="G152" i="15"/>
  <c r="G153" i="15"/>
  <c r="G154" i="15"/>
  <c r="G155" i="15"/>
  <c r="G156" i="15"/>
  <c r="G157" i="15"/>
  <c r="G158" i="15"/>
  <c r="G159" i="15"/>
  <c r="G161" i="15"/>
  <c r="G163" i="15"/>
  <c r="G166" i="15"/>
  <c r="G168" i="15"/>
  <c r="G169" i="15"/>
  <c r="G171" i="15"/>
  <c r="G173" i="15"/>
  <c r="G174" i="15"/>
  <c r="G183" i="15"/>
  <c r="G184" i="15"/>
  <c r="G185" i="15"/>
  <c r="G186" i="15"/>
  <c r="G187" i="15"/>
  <c r="G191" i="15"/>
  <c r="G192" i="15"/>
  <c r="G193" i="15"/>
  <c r="G182" i="15"/>
  <c r="G188" i="15"/>
  <c r="G189" i="15"/>
  <c r="G190" i="15"/>
  <c r="G118" i="15"/>
  <c r="G120" i="15"/>
  <c r="G194" i="15"/>
  <c r="G196" i="15"/>
  <c r="G197" i="15"/>
  <c r="G121" i="15"/>
  <c r="G198" i="15"/>
  <c r="G199" i="15"/>
  <c r="G200" i="15"/>
  <c r="G201" i="15"/>
  <c r="G202" i="15"/>
  <c r="G203" i="15"/>
  <c r="G205" i="15"/>
  <c r="G206" i="15"/>
  <c r="G207" i="15"/>
  <c r="G208" i="15"/>
  <c r="G209" i="15"/>
  <c r="G210" i="15"/>
  <c r="G211" i="15"/>
  <c r="G212" i="15"/>
  <c r="G213" i="15"/>
  <c r="G214" i="15"/>
  <c r="G215" i="15"/>
  <c r="G216" i="15"/>
  <c r="G217" i="15"/>
  <c r="G218" i="15"/>
  <c r="G219" i="15"/>
  <c r="G220" i="15"/>
  <c r="G221" i="15"/>
  <c r="G222" i="15"/>
  <c r="G223" i="15"/>
  <c r="G224" i="15"/>
  <c r="G225" i="15"/>
  <c r="G226" i="15"/>
  <c r="G119" i="15"/>
  <c r="G204" i="15"/>
  <c r="G170" i="15"/>
  <c r="G175" i="15"/>
  <c r="G176" i="15"/>
  <c r="G177" i="15"/>
  <c r="G178" i="15"/>
  <c r="G179" i="15"/>
  <c r="G180" i="15"/>
  <c r="G181" i="15"/>
  <c r="G228" i="15"/>
  <c r="G229" i="15"/>
  <c r="G304" i="15"/>
  <c r="G231" i="15"/>
  <c r="G232" i="15"/>
  <c r="G233" i="15"/>
  <c r="G234" i="15"/>
  <c r="G235" i="15"/>
  <c r="G238" i="15"/>
  <c r="G305" i="15"/>
  <c r="G306" i="15"/>
  <c r="G307" i="15"/>
  <c r="G308" i="15"/>
  <c r="G309" i="15"/>
  <c r="G312" i="15"/>
  <c r="G313" i="15"/>
  <c r="G246" i="15"/>
  <c r="G315" i="15"/>
  <c r="G316" i="15"/>
  <c r="G248" i="15"/>
  <c r="G249" i="15"/>
  <c r="G250" i="15"/>
  <c r="G251" i="15"/>
  <c r="G230" i="15"/>
  <c r="G247" i="15"/>
  <c r="G256" i="15"/>
  <c r="G255" i="15"/>
  <c r="G257" i="15"/>
  <c r="G258" i="15"/>
  <c r="G259" i="15"/>
  <c r="G260" i="15"/>
  <c r="G261" i="15"/>
  <c r="G262" i="15"/>
  <c r="G263" i="15"/>
  <c r="G264" i="15"/>
  <c r="G271" i="15"/>
  <c r="G272" i="15"/>
  <c r="G274" i="15"/>
  <c r="G275" i="15"/>
  <c r="G276" i="15"/>
  <c r="G277" i="15"/>
  <c r="G281" i="15"/>
  <c r="G282" i="15"/>
  <c r="G283" i="15"/>
  <c r="G284" i="15"/>
  <c r="G285" i="15"/>
  <c r="G286" i="15"/>
  <c r="G227" i="15"/>
  <c r="G236" i="15"/>
  <c r="G237" i="15"/>
  <c r="G239" i="15"/>
  <c r="G240" i="15"/>
  <c r="G241" i="15"/>
  <c r="G242" i="15"/>
  <c r="G243" i="15"/>
  <c r="G244" i="15"/>
  <c r="G310" i="15"/>
  <c r="G311" i="15"/>
  <c r="G314" i="15"/>
  <c r="G245" i="15"/>
  <c r="G252" i="15"/>
  <c r="G265" i="15"/>
  <c r="G266" i="15"/>
  <c r="G267" i="15"/>
  <c r="G273" i="15"/>
  <c r="G278" i="15"/>
  <c r="G279" i="15"/>
  <c r="G280" i="15"/>
  <c r="G287" i="15"/>
  <c r="G288" i="15"/>
  <c r="G289" i="15"/>
  <c r="G290" i="15"/>
  <c r="G291" i="15"/>
  <c r="G292" i="15"/>
  <c r="G293" i="15"/>
  <c r="G294" i="15"/>
  <c r="G295" i="15"/>
  <c r="G296" i="15"/>
  <c r="G297" i="15"/>
  <c r="G298" i="15"/>
  <c r="G253" i="15"/>
  <c r="G254" i="15"/>
  <c r="G317" i="15"/>
  <c r="G318" i="15"/>
  <c r="G319" i="15"/>
  <c r="G320" i="15"/>
  <c r="G321" i="15"/>
  <c r="G322" i="15"/>
  <c r="G344" i="15"/>
  <c r="G270" i="15"/>
  <c r="G345" i="15"/>
  <c r="G347" i="15"/>
  <c r="G300" i="15"/>
  <c r="G353" i="15"/>
  <c r="G355" i="15"/>
  <c r="G302" i="15"/>
  <c r="G356" i="15"/>
  <c r="H2" i="15"/>
  <c r="H3" i="15"/>
  <c r="H4" i="15"/>
  <c r="H5" i="15"/>
  <c r="H6" i="15"/>
  <c r="H7" i="15"/>
  <c r="H8" i="15"/>
  <c r="H14" i="15"/>
  <c r="H16" i="15"/>
  <c r="H54" i="15"/>
  <c r="H18" i="15"/>
  <c r="H20" i="15"/>
  <c r="H23" i="15"/>
  <c r="H9" i="15"/>
  <c r="H10" i="15"/>
  <c r="H11" i="15"/>
  <c r="H12" i="15"/>
  <c r="H13" i="15"/>
  <c r="H303" i="15"/>
  <c r="H357" i="15"/>
  <c r="H17" i="15"/>
  <c r="H19" i="15"/>
  <c r="H21" i="15"/>
  <c r="H22" i="15"/>
  <c r="H15" i="15"/>
  <c r="H27" i="15"/>
  <c r="H29" i="15"/>
  <c r="H30" i="15"/>
  <c r="H31" i="15"/>
  <c r="H33" i="15"/>
  <c r="H34" i="15"/>
  <c r="H35" i="15"/>
  <c r="H36" i="15"/>
  <c r="H37" i="15"/>
  <c r="H38" i="15"/>
  <c r="H39" i="15"/>
  <c r="H40" i="15"/>
  <c r="H41" i="15"/>
  <c r="H28" i="15"/>
  <c r="H32" i="15"/>
  <c r="H55" i="15"/>
  <c r="H24" i="15"/>
  <c r="H25" i="15"/>
  <c r="H26" i="15"/>
  <c r="H56" i="15"/>
  <c r="H57" i="15"/>
  <c r="H42" i="15"/>
  <c r="H44" i="15"/>
  <c r="H46" i="15"/>
  <c r="H50" i="15"/>
  <c r="H51" i="15"/>
  <c r="H52" i="15"/>
  <c r="H53" i="15"/>
  <c r="H43" i="15"/>
  <c r="H45" i="15"/>
  <c r="H47" i="15"/>
  <c r="H48" i="15"/>
  <c r="H49" i="15"/>
  <c r="H59" i="15"/>
  <c r="H60" i="15"/>
  <c r="H61" i="15"/>
  <c r="H62" i="15"/>
  <c r="H64" i="15"/>
  <c r="H65" i="15"/>
  <c r="H102" i="15"/>
  <c r="H66" i="15"/>
  <c r="H67" i="15"/>
  <c r="H68" i="15"/>
  <c r="H58" i="15"/>
  <c r="H63" i="15"/>
  <c r="H109" i="15"/>
  <c r="H74" i="15"/>
  <c r="H75" i="15"/>
  <c r="H76" i="15"/>
  <c r="H77" i="15"/>
  <c r="H78" i="15"/>
  <c r="H79" i="15"/>
  <c r="H80" i="15"/>
  <c r="H81" i="15"/>
  <c r="H82" i="15"/>
  <c r="H83" i="15"/>
  <c r="H85" i="15"/>
  <c r="H90" i="15"/>
  <c r="H91" i="15"/>
  <c r="H93" i="15"/>
  <c r="H95" i="15"/>
  <c r="H70" i="15"/>
  <c r="H71" i="15"/>
  <c r="H73" i="15"/>
  <c r="H104" i="15"/>
  <c r="H105" i="15"/>
  <c r="H106" i="15"/>
  <c r="H107" i="15"/>
  <c r="H108" i="15"/>
  <c r="H110" i="15"/>
  <c r="H72" i="15"/>
  <c r="H112" i="15"/>
  <c r="H113" i="15"/>
  <c r="H115" i="15"/>
  <c r="H84" i="15"/>
  <c r="H116" i="15"/>
  <c r="H117" i="15"/>
  <c r="H86" i="15"/>
  <c r="H87" i="15"/>
  <c r="H88" i="15"/>
  <c r="H89" i="15"/>
  <c r="H92" i="15"/>
  <c r="H94" i="15"/>
  <c r="H96" i="15"/>
  <c r="H97" i="15"/>
  <c r="H69" i="15"/>
  <c r="H103" i="15"/>
  <c r="H111" i="15"/>
  <c r="H114" i="15"/>
  <c r="H100" i="15"/>
  <c r="H101" i="15"/>
  <c r="H195" i="15"/>
  <c r="H98" i="15"/>
  <c r="H99" i="15"/>
  <c r="H125" i="15"/>
  <c r="H128" i="15"/>
  <c r="H130" i="15"/>
  <c r="H141" i="15"/>
  <c r="H122" i="15"/>
  <c r="H123" i="15"/>
  <c r="H124" i="15"/>
  <c r="H126" i="15"/>
  <c r="H127" i="15"/>
  <c r="H129" i="15"/>
  <c r="H131" i="15"/>
  <c r="H132" i="15"/>
  <c r="H133" i="15"/>
  <c r="H134" i="15"/>
  <c r="H135" i="15"/>
  <c r="H136" i="15"/>
  <c r="H137" i="15"/>
  <c r="H138" i="15"/>
  <c r="H139" i="15"/>
  <c r="H160" i="15"/>
  <c r="H140" i="15"/>
  <c r="H162" i="15"/>
  <c r="H142" i="15"/>
  <c r="H164" i="15"/>
  <c r="H165" i="15"/>
  <c r="H143" i="15"/>
  <c r="H167" i="15"/>
  <c r="H144" i="15"/>
  <c r="H145" i="15"/>
  <c r="H146" i="15"/>
  <c r="H147" i="15"/>
  <c r="H172" i="15"/>
  <c r="H148" i="15"/>
  <c r="H149" i="15"/>
  <c r="H150" i="15"/>
  <c r="H151" i="15"/>
  <c r="H152" i="15"/>
  <c r="H153" i="15"/>
  <c r="H154" i="15"/>
  <c r="H155" i="15"/>
  <c r="H156" i="15"/>
  <c r="H157" i="15"/>
  <c r="H158" i="15"/>
  <c r="H159" i="15"/>
  <c r="H161" i="15"/>
  <c r="H163" i="15"/>
  <c r="H166" i="15"/>
  <c r="H168" i="15"/>
  <c r="H169" i="15"/>
  <c r="H171" i="15"/>
  <c r="H173" i="15"/>
  <c r="H174" i="15"/>
  <c r="H183" i="15"/>
  <c r="H184" i="15"/>
  <c r="H185" i="15"/>
  <c r="H186" i="15"/>
  <c r="H187" i="15"/>
  <c r="H191" i="15"/>
  <c r="H192" i="15"/>
  <c r="H193" i="15"/>
  <c r="H182" i="15"/>
  <c r="H188" i="15"/>
  <c r="H189" i="15"/>
  <c r="H190" i="15"/>
  <c r="H118" i="15"/>
  <c r="H120" i="15"/>
  <c r="H194" i="15"/>
  <c r="H196" i="15"/>
  <c r="H197" i="15"/>
  <c r="H121" i="15"/>
  <c r="H198" i="15"/>
  <c r="H199" i="15"/>
  <c r="H200" i="15"/>
  <c r="H201" i="15"/>
  <c r="H202" i="15"/>
  <c r="H203" i="15"/>
  <c r="H205" i="15"/>
  <c r="H206" i="15"/>
  <c r="H207" i="15"/>
  <c r="H208" i="15"/>
  <c r="H209" i="15"/>
  <c r="H210" i="15"/>
  <c r="H211" i="15"/>
  <c r="H212" i="15"/>
  <c r="H213" i="15"/>
  <c r="H214" i="15"/>
  <c r="H215" i="15"/>
  <c r="H216" i="15"/>
  <c r="H217" i="15"/>
  <c r="H218" i="15"/>
  <c r="H219" i="15"/>
  <c r="H220" i="15"/>
  <c r="H221" i="15"/>
  <c r="H222" i="15"/>
  <c r="H223" i="15"/>
  <c r="H224" i="15"/>
  <c r="H225" i="15"/>
  <c r="H226" i="15"/>
  <c r="H119" i="15"/>
  <c r="H204" i="15"/>
  <c r="H170" i="15"/>
  <c r="H175" i="15"/>
  <c r="H176" i="15"/>
  <c r="H177" i="15"/>
  <c r="H178" i="15"/>
  <c r="H179" i="15"/>
  <c r="H180" i="15"/>
  <c r="H181" i="15"/>
  <c r="H228" i="15"/>
  <c r="H229" i="15"/>
  <c r="H304" i="15"/>
  <c r="H231" i="15"/>
  <c r="H232" i="15"/>
  <c r="H233" i="15"/>
  <c r="H234" i="15"/>
  <c r="H235" i="15"/>
  <c r="H238" i="15"/>
  <c r="H305" i="15"/>
  <c r="H306" i="15"/>
  <c r="H307" i="15"/>
  <c r="H308" i="15"/>
  <c r="H309" i="15"/>
  <c r="H312" i="15"/>
  <c r="H313" i="15"/>
  <c r="H246" i="15"/>
  <c r="H315" i="15"/>
  <c r="H316" i="15"/>
  <c r="H248" i="15"/>
  <c r="H249" i="15"/>
  <c r="H250" i="15"/>
  <c r="H251" i="15"/>
  <c r="H230" i="15"/>
  <c r="H247" i="15"/>
  <c r="H256" i="15"/>
  <c r="H255" i="15"/>
  <c r="H257" i="15"/>
  <c r="H258" i="15"/>
  <c r="H259" i="15"/>
  <c r="H260" i="15"/>
  <c r="H261" i="15"/>
  <c r="H262" i="15"/>
  <c r="H263" i="15"/>
  <c r="H264" i="15"/>
  <c r="H271" i="15"/>
  <c r="H272" i="15"/>
  <c r="H274" i="15"/>
  <c r="H275" i="15"/>
  <c r="H276" i="15"/>
  <c r="H277" i="15"/>
  <c r="H281" i="15"/>
  <c r="H282" i="15"/>
  <c r="H283" i="15"/>
  <c r="H284" i="15"/>
  <c r="H285" i="15"/>
  <c r="H286" i="15"/>
  <c r="H227" i="15"/>
  <c r="H236" i="15"/>
  <c r="H237" i="15"/>
  <c r="H239" i="15"/>
  <c r="H240" i="15"/>
  <c r="H241" i="15"/>
  <c r="H242" i="15"/>
  <c r="H243" i="15"/>
  <c r="H244" i="15"/>
  <c r="H310" i="15"/>
  <c r="H311" i="15"/>
  <c r="H314" i="15"/>
  <c r="H245" i="15"/>
  <c r="H252" i="15"/>
  <c r="H265" i="15"/>
  <c r="H266" i="15"/>
  <c r="H267" i="15"/>
  <c r="H273" i="15"/>
  <c r="H278" i="15"/>
  <c r="H279" i="15"/>
  <c r="H280" i="15"/>
  <c r="H287" i="15"/>
  <c r="H288" i="15"/>
  <c r="H289" i="15"/>
  <c r="H290" i="15"/>
  <c r="H291" i="15"/>
  <c r="H292" i="15"/>
  <c r="H293" i="15"/>
  <c r="H294" i="15"/>
  <c r="H295" i="15"/>
  <c r="H296" i="15"/>
  <c r="H297" i="15"/>
  <c r="H298" i="15"/>
  <c r="H253" i="15"/>
  <c r="H254" i="15"/>
  <c r="H317" i="15"/>
  <c r="H318" i="15"/>
  <c r="H319" i="15"/>
  <c r="H320" i="15"/>
  <c r="H321" i="15"/>
  <c r="H322" i="15"/>
  <c r="H344" i="15"/>
  <c r="H270" i="15"/>
  <c r="H345" i="15"/>
  <c r="H347" i="15"/>
  <c r="H300" i="15"/>
  <c r="H353" i="15"/>
  <c r="H355" i="15"/>
  <c r="H302" i="15"/>
  <c r="H356" i="15"/>
  <c r="I2" i="15"/>
  <c r="I3" i="15"/>
  <c r="I4" i="15"/>
  <c r="I5" i="15"/>
  <c r="I6" i="15"/>
  <c r="I7" i="15"/>
  <c r="I8" i="15"/>
  <c r="I14" i="15"/>
  <c r="I16" i="15"/>
  <c r="I54" i="15"/>
  <c r="I18" i="15"/>
  <c r="I20" i="15"/>
  <c r="I23" i="15"/>
  <c r="I9" i="15"/>
  <c r="I10" i="15"/>
  <c r="I11" i="15"/>
  <c r="I12" i="15"/>
  <c r="I13" i="15"/>
  <c r="I303" i="15"/>
  <c r="I357" i="15"/>
  <c r="I17" i="15"/>
  <c r="I19" i="15"/>
  <c r="I21" i="15"/>
  <c r="I22" i="15"/>
  <c r="I15" i="15"/>
  <c r="I27" i="15"/>
  <c r="I29" i="15"/>
  <c r="I30" i="15"/>
  <c r="I31" i="15"/>
  <c r="I33" i="15"/>
  <c r="I34" i="15"/>
  <c r="I35" i="15"/>
  <c r="I36" i="15"/>
  <c r="I37" i="15"/>
  <c r="I38" i="15"/>
  <c r="I39" i="15"/>
  <c r="I40" i="15"/>
  <c r="I41" i="15"/>
  <c r="I28" i="15"/>
  <c r="I32" i="15"/>
  <c r="I55" i="15"/>
  <c r="I24" i="15"/>
  <c r="I25" i="15"/>
  <c r="I26" i="15"/>
  <c r="I56" i="15"/>
  <c r="I57" i="15"/>
  <c r="I42" i="15"/>
  <c r="I44" i="15"/>
  <c r="I46" i="15"/>
  <c r="I50" i="15"/>
  <c r="I51" i="15"/>
  <c r="I52" i="15"/>
  <c r="I53" i="15"/>
  <c r="I43" i="15"/>
  <c r="I45" i="15"/>
  <c r="I47" i="15"/>
  <c r="I48" i="15"/>
  <c r="I49" i="15"/>
  <c r="I59" i="15"/>
  <c r="I60" i="15"/>
  <c r="I61" i="15"/>
  <c r="I62" i="15"/>
  <c r="I64" i="15"/>
  <c r="I65" i="15"/>
  <c r="I102" i="15"/>
  <c r="I66" i="15"/>
  <c r="I67" i="15"/>
  <c r="I68" i="15"/>
  <c r="I58" i="15"/>
  <c r="I63" i="15"/>
  <c r="I109" i="15"/>
  <c r="I74" i="15"/>
  <c r="I75" i="15"/>
  <c r="I76" i="15"/>
  <c r="I77" i="15"/>
  <c r="I78" i="15"/>
  <c r="I79" i="15"/>
  <c r="I80" i="15"/>
  <c r="I81" i="15"/>
  <c r="I82" i="15"/>
  <c r="I83" i="15"/>
  <c r="I85" i="15"/>
  <c r="I90" i="15"/>
  <c r="I91" i="15"/>
  <c r="I93" i="15"/>
  <c r="I95" i="15"/>
  <c r="I70" i="15"/>
  <c r="I71" i="15"/>
  <c r="I73" i="15"/>
  <c r="I104" i="15"/>
  <c r="I105" i="15"/>
  <c r="I106" i="15"/>
  <c r="I107" i="15"/>
  <c r="I108" i="15"/>
  <c r="I110" i="15"/>
  <c r="I72" i="15"/>
  <c r="I112" i="15"/>
  <c r="I113" i="15"/>
  <c r="I115" i="15"/>
  <c r="I84" i="15"/>
  <c r="I116" i="15"/>
  <c r="I117" i="15"/>
  <c r="I86" i="15"/>
  <c r="I87" i="15"/>
  <c r="I88" i="15"/>
  <c r="I89" i="15"/>
  <c r="I92" i="15"/>
  <c r="I94" i="15"/>
  <c r="I96" i="15"/>
  <c r="I97" i="15"/>
  <c r="I69" i="15"/>
  <c r="I103" i="15"/>
  <c r="I111" i="15"/>
  <c r="I114" i="15"/>
  <c r="I100" i="15"/>
  <c r="I101" i="15"/>
  <c r="I195" i="15"/>
  <c r="I98" i="15"/>
  <c r="I99" i="15"/>
  <c r="I125" i="15"/>
  <c r="I128" i="15"/>
  <c r="I130" i="15"/>
  <c r="I141" i="15"/>
  <c r="I122" i="15"/>
  <c r="I123" i="15"/>
  <c r="I124" i="15"/>
  <c r="I126" i="15"/>
  <c r="I127" i="15"/>
  <c r="I129" i="15"/>
  <c r="I131" i="15"/>
  <c r="I132" i="15"/>
  <c r="I133" i="15"/>
  <c r="I134" i="15"/>
  <c r="I135" i="15"/>
  <c r="I136" i="15"/>
  <c r="I137" i="15"/>
  <c r="I138" i="15"/>
  <c r="I139" i="15"/>
  <c r="I160" i="15"/>
  <c r="I140" i="15"/>
  <c r="I162" i="15"/>
  <c r="I142" i="15"/>
  <c r="I164" i="15"/>
  <c r="I165" i="15"/>
  <c r="I143" i="15"/>
  <c r="I167" i="15"/>
  <c r="I144" i="15"/>
  <c r="I145" i="15"/>
  <c r="I146" i="15"/>
  <c r="I147" i="15"/>
  <c r="I172" i="15"/>
  <c r="I148" i="15"/>
  <c r="I149" i="15"/>
  <c r="I150" i="15"/>
  <c r="I151" i="15"/>
  <c r="I152" i="15"/>
  <c r="I153" i="15"/>
  <c r="I154" i="15"/>
  <c r="I155" i="15"/>
  <c r="I156" i="15"/>
  <c r="I157" i="15"/>
  <c r="I158" i="15"/>
  <c r="I159" i="15"/>
  <c r="I161" i="15"/>
  <c r="I163" i="15"/>
  <c r="I166" i="15"/>
  <c r="I168" i="15"/>
  <c r="I169" i="15"/>
  <c r="I171" i="15"/>
  <c r="I173" i="15"/>
  <c r="I174" i="15"/>
  <c r="I183" i="15"/>
  <c r="I184" i="15"/>
  <c r="I185" i="15"/>
  <c r="I186" i="15"/>
  <c r="I187" i="15"/>
  <c r="I191" i="15"/>
  <c r="I192" i="15"/>
  <c r="I193" i="15"/>
  <c r="I182" i="15"/>
  <c r="I188" i="15"/>
  <c r="I189" i="15"/>
  <c r="I190" i="15"/>
  <c r="I118" i="15"/>
  <c r="I120" i="15"/>
  <c r="I194" i="15"/>
  <c r="I196" i="15"/>
  <c r="I197" i="15"/>
  <c r="I121" i="15"/>
  <c r="I198" i="15"/>
  <c r="I199" i="15"/>
  <c r="I200" i="15"/>
  <c r="I201" i="15"/>
  <c r="I202" i="15"/>
  <c r="I203" i="15"/>
  <c r="I205" i="15"/>
  <c r="I206" i="15"/>
  <c r="I207" i="15"/>
  <c r="I208" i="15"/>
  <c r="I209" i="15"/>
  <c r="I210" i="15"/>
  <c r="I211" i="15"/>
  <c r="I212" i="15"/>
  <c r="I213" i="15"/>
  <c r="I214" i="15"/>
  <c r="I215" i="15"/>
  <c r="I216" i="15"/>
  <c r="I217" i="15"/>
  <c r="I218" i="15"/>
  <c r="I219" i="15"/>
  <c r="I220" i="15"/>
  <c r="I221" i="15"/>
  <c r="I222" i="15"/>
  <c r="I223" i="15"/>
  <c r="I224" i="15"/>
  <c r="I225" i="15"/>
  <c r="I226" i="15"/>
  <c r="I119" i="15"/>
  <c r="I204" i="15"/>
  <c r="I170" i="15"/>
  <c r="I175" i="15"/>
  <c r="I176" i="15"/>
  <c r="I177" i="15"/>
  <c r="I178" i="15"/>
  <c r="I179" i="15"/>
  <c r="I180" i="15"/>
  <c r="I181" i="15"/>
  <c r="I228" i="15"/>
  <c r="I229" i="15"/>
  <c r="I304" i="15"/>
  <c r="I231" i="15"/>
  <c r="I232" i="15"/>
  <c r="I233" i="15"/>
  <c r="I234" i="15"/>
  <c r="I235" i="15"/>
  <c r="I238" i="15"/>
  <c r="I305" i="15"/>
  <c r="I306" i="15"/>
  <c r="I307" i="15"/>
  <c r="I308" i="15"/>
  <c r="I309" i="15"/>
  <c r="I312" i="15"/>
  <c r="I313" i="15"/>
  <c r="I246" i="15"/>
  <c r="I315" i="15"/>
  <c r="I316" i="15"/>
  <c r="I248" i="15"/>
  <c r="I249" i="15"/>
  <c r="I250" i="15"/>
  <c r="I251" i="15"/>
  <c r="I230" i="15"/>
  <c r="I247" i="15"/>
  <c r="I256" i="15"/>
  <c r="I255" i="15"/>
  <c r="I257" i="15"/>
  <c r="I258" i="15"/>
  <c r="I259" i="15"/>
  <c r="I260" i="15"/>
  <c r="I261" i="15"/>
  <c r="I262" i="15"/>
  <c r="I263" i="15"/>
  <c r="I264" i="15"/>
  <c r="I271" i="15"/>
  <c r="I272" i="15"/>
  <c r="I274" i="15"/>
  <c r="I275" i="15"/>
  <c r="I276" i="15"/>
  <c r="I277" i="15"/>
  <c r="I281" i="15"/>
  <c r="I282" i="15"/>
  <c r="I283" i="15"/>
  <c r="I284" i="15"/>
  <c r="I285" i="15"/>
  <c r="I286" i="15"/>
  <c r="I227" i="15"/>
  <c r="I236" i="15"/>
  <c r="I237" i="15"/>
  <c r="I239" i="15"/>
  <c r="I240" i="15"/>
  <c r="I241" i="15"/>
  <c r="I242" i="15"/>
  <c r="I243" i="15"/>
  <c r="I244" i="15"/>
  <c r="I310" i="15"/>
  <c r="I311" i="15"/>
  <c r="I314" i="15"/>
  <c r="I245" i="15"/>
  <c r="I252" i="15"/>
  <c r="I265" i="15"/>
  <c r="I266" i="15"/>
  <c r="I267" i="15"/>
  <c r="I273" i="15"/>
  <c r="I278" i="15"/>
  <c r="I279" i="15"/>
  <c r="I280" i="15"/>
  <c r="I287" i="15"/>
  <c r="I288" i="15"/>
  <c r="I289" i="15"/>
  <c r="I290" i="15"/>
  <c r="I291" i="15"/>
  <c r="I292" i="15"/>
  <c r="I293" i="15"/>
  <c r="I294" i="15"/>
  <c r="I295" i="15"/>
  <c r="I296" i="15"/>
  <c r="I297" i="15"/>
  <c r="I298" i="15"/>
  <c r="I253" i="15"/>
  <c r="I254" i="15"/>
  <c r="I317" i="15"/>
  <c r="I318" i="15"/>
  <c r="I319" i="15"/>
  <c r="I320" i="15"/>
  <c r="I321" i="15"/>
  <c r="I322" i="15"/>
  <c r="I344" i="15"/>
  <c r="I270" i="15"/>
  <c r="I345" i="15"/>
  <c r="I347" i="15"/>
  <c r="I300" i="15"/>
  <c r="I353" i="15"/>
  <c r="I355" i="15"/>
  <c r="I302" i="15"/>
  <c r="I356" i="15"/>
  <c r="K2" i="15"/>
  <c r="K3" i="15"/>
  <c r="K4" i="15"/>
  <c r="K5" i="15"/>
  <c r="K6" i="15"/>
  <c r="K7" i="15"/>
  <c r="K8" i="15"/>
  <c r="K14" i="15"/>
  <c r="K16" i="15"/>
  <c r="K54" i="15"/>
  <c r="K18" i="15"/>
  <c r="K20" i="15"/>
  <c r="K23" i="15"/>
  <c r="K9" i="15"/>
  <c r="K10" i="15"/>
  <c r="K11" i="15"/>
  <c r="K12" i="15"/>
  <c r="K13" i="15"/>
  <c r="K303" i="15"/>
  <c r="K357" i="15"/>
  <c r="K17" i="15"/>
  <c r="K19" i="15"/>
  <c r="K21" i="15"/>
  <c r="K22" i="15"/>
  <c r="K15" i="15"/>
  <c r="K27" i="15"/>
  <c r="K29" i="15"/>
  <c r="K30" i="15"/>
  <c r="K31" i="15"/>
  <c r="K33" i="15"/>
  <c r="K34" i="15"/>
  <c r="K35" i="15"/>
  <c r="K36" i="15"/>
  <c r="K37" i="15"/>
  <c r="K38" i="15"/>
  <c r="K39" i="15"/>
  <c r="K40" i="15"/>
  <c r="K41" i="15"/>
  <c r="K28" i="15"/>
  <c r="K32" i="15"/>
  <c r="K55" i="15"/>
  <c r="K24" i="15"/>
  <c r="K25" i="15"/>
  <c r="K26" i="15"/>
  <c r="K56" i="15"/>
  <c r="K57" i="15"/>
  <c r="K42" i="15"/>
  <c r="K44" i="15"/>
  <c r="K46" i="15"/>
  <c r="K50" i="15"/>
  <c r="K51" i="15"/>
  <c r="K52" i="15"/>
  <c r="K53" i="15"/>
  <c r="K43" i="15"/>
  <c r="K45" i="15"/>
  <c r="K47" i="15"/>
  <c r="K48" i="15"/>
  <c r="K49" i="15"/>
  <c r="K59" i="15"/>
  <c r="K60" i="15"/>
  <c r="K61" i="15"/>
  <c r="K62" i="15"/>
  <c r="K64" i="15"/>
  <c r="K65" i="15"/>
  <c r="K102" i="15"/>
  <c r="K66" i="15"/>
  <c r="K67" i="15"/>
  <c r="K68" i="15"/>
  <c r="K58" i="15"/>
  <c r="K63" i="15"/>
  <c r="K109" i="15"/>
  <c r="K74" i="15"/>
  <c r="K75" i="15"/>
  <c r="K76" i="15"/>
  <c r="K77" i="15"/>
  <c r="K78" i="15"/>
  <c r="K79" i="15"/>
  <c r="K80" i="15"/>
  <c r="K81" i="15"/>
  <c r="K82" i="15"/>
  <c r="K83" i="15"/>
  <c r="K85" i="15"/>
  <c r="K90" i="15"/>
  <c r="K91" i="15"/>
  <c r="K93" i="15"/>
  <c r="K95" i="15"/>
  <c r="K70" i="15"/>
  <c r="K71" i="15"/>
  <c r="K73" i="15"/>
  <c r="K104" i="15"/>
  <c r="K105" i="15"/>
  <c r="K106" i="15"/>
  <c r="K107" i="15"/>
  <c r="K108" i="15"/>
  <c r="K110" i="15"/>
  <c r="K72" i="15"/>
  <c r="K112" i="15"/>
  <c r="K113" i="15"/>
  <c r="K115" i="15"/>
  <c r="K84" i="15"/>
  <c r="K116" i="15"/>
  <c r="K117" i="15"/>
  <c r="K86" i="15"/>
  <c r="K87" i="15"/>
  <c r="K88" i="15"/>
  <c r="K89" i="15"/>
  <c r="K92" i="15"/>
  <c r="K94" i="15"/>
  <c r="K96" i="15"/>
  <c r="K97" i="15"/>
  <c r="K69" i="15"/>
  <c r="K103" i="15"/>
  <c r="K111" i="15"/>
  <c r="K114" i="15"/>
  <c r="K100" i="15"/>
  <c r="K101" i="15"/>
  <c r="K195" i="15"/>
  <c r="K98" i="15"/>
  <c r="K99" i="15"/>
  <c r="K125" i="15"/>
  <c r="K128" i="15"/>
  <c r="K130" i="15"/>
  <c r="K141" i="15"/>
  <c r="K122" i="15"/>
  <c r="K123" i="15"/>
  <c r="K124" i="15"/>
  <c r="K126" i="15"/>
  <c r="K127" i="15"/>
  <c r="K129" i="15"/>
  <c r="K131" i="15"/>
  <c r="K132" i="15"/>
  <c r="K133" i="15"/>
  <c r="K134" i="15"/>
  <c r="K135" i="15"/>
  <c r="K136" i="15"/>
  <c r="K137" i="15"/>
  <c r="K138" i="15"/>
  <c r="K139" i="15"/>
  <c r="K160" i="15"/>
  <c r="K140" i="15"/>
  <c r="K162" i="15"/>
  <c r="K142" i="15"/>
  <c r="K164" i="15"/>
  <c r="K165" i="15"/>
  <c r="K143" i="15"/>
  <c r="K167" i="15"/>
  <c r="K144" i="15"/>
  <c r="K145" i="15"/>
  <c r="K146" i="15"/>
  <c r="K147" i="15"/>
  <c r="K172" i="15"/>
  <c r="K148" i="15"/>
  <c r="K149" i="15"/>
  <c r="K150" i="15"/>
  <c r="K151" i="15"/>
  <c r="K152" i="15"/>
  <c r="K153" i="15"/>
  <c r="K154" i="15"/>
  <c r="K155" i="15"/>
  <c r="K156" i="15"/>
  <c r="K157" i="15"/>
  <c r="K158" i="15"/>
  <c r="K159" i="15"/>
  <c r="K161" i="15"/>
  <c r="K163" i="15"/>
  <c r="K166" i="15"/>
  <c r="K168" i="15"/>
  <c r="K169" i="15"/>
  <c r="K171" i="15"/>
  <c r="K173" i="15"/>
  <c r="K174" i="15"/>
  <c r="K183" i="15"/>
  <c r="K184" i="15"/>
  <c r="K185" i="15"/>
  <c r="K186" i="15"/>
  <c r="K187" i="15"/>
  <c r="K191" i="15"/>
  <c r="K192" i="15"/>
  <c r="K193" i="15"/>
  <c r="K182" i="15"/>
  <c r="K188" i="15"/>
  <c r="K189" i="15"/>
  <c r="K190" i="15"/>
  <c r="K118" i="15"/>
  <c r="K120" i="15"/>
  <c r="K194" i="15"/>
  <c r="K196" i="15"/>
  <c r="K197" i="15"/>
  <c r="K121" i="15"/>
  <c r="K198" i="15"/>
  <c r="K199" i="15"/>
  <c r="K200" i="15"/>
  <c r="K201" i="15"/>
  <c r="K202" i="15"/>
  <c r="K203" i="15"/>
  <c r="K205" i="15"/>
  <c r="K206" i="15"/>
  <c r="K207" i="15"/>
  <c r="K208" i="15"/>
  <c r="K209" i="15"/>
  <c r="K210" i="15"/>
  <c r="K211" i="15"/>
  <c r="K212" i="15"/>
  <c r="K213" i="15"/>
  <c r="K214" i="15"/>
  <c r="K215" i="15"/>
  <c r="K216" i="15"/>
  <c r="K217" i="15"/>
  <c r="K218" i="15"/>
  <c r="K219" i="15"/>
  <c r="K220" i="15"/>
  <c r="K221" i="15"/>
  <c r="K222" i="15"/>
  <c r="K223" i="15"/>
  <c r="K224" i="15"/>
  <c r="K225" i="15"/>
  <c r="K226" i="15"/>
  <c r="K119" i="15"/>
  <c r="K204" i="15"/>
  <c r="K170" i="15"/>
  <c r="K175" i="15"/>
  <c r="K176" i="15"/>
  <c r="K177" i="15"/>
  <c r="K178" i="15"/>
  <c r="K179" i="15"/>
  <c r="K180" i="15"/>
  <c r="K181" i="15"/>
  <c r="K228" i="15"/>
  <c r="K229" i="15"/>
  <c r="K304" i="15"/>
  <c r="K231" i="15"/>
  <c r="K232" i="15"/>
  <c r="K233" i="15"/>
  <c r="K234" i="15"/>
  <c r="K235" i="15"/>
  <c r="K238" i="15"/>
  <c r="K305" i="15"/>
  <c r="K306" i="15"/>
  <c r="K307" i="15"/>
  <c r="K308" i="15"/>
  <c r="K309" i="15"/>
  <c r="K312" i="15"/>
  <c r="K313" i="15"/>
  <c r="K246" i="15"/>
  <c r="K315" i="15"/>
  <c r="K316" i="15"/>
  <c r="K248" i="15"/>
  <c r="K249" i="15"/>
  <c r="K250" i="15"/>
  <c r="K251" i="15"/>
  <c r="K230" i="15"/>
  <c r="K247" i="15"/>
  <c r="K256" i="15"/>
  <c r="K255" i="15"/>
  <c r="K257" i="15"/>
  <c r="K258" i="15"/>
  <c r="K259" i="15"/>
  <c r="K260" i="15"/>
  <c r="K261" i="15"/>
  <c r="K262" i="15"/>
  <c r="K263" i="15"/>
  <c r="K264" i="15"/>
  <c r="K271" i="15"/>
  <c r="K272" i="15"/>
  <c r="K274" i="15"/>
  <c r="K275" i="15"/>
  <c r="K276" i="15"/>
  <c r="K277" i="15"/>
  <c r="K281" i="15"/>
  <c r="K282" i="15"/>
  <c r="K283" i="15"/>
  <c r="K284" i="15"/>
  <c r="K285" i="15"/>
  <c r="K286" i="15"/>
  <c r="K227" i="15"/>
  <c r="K236" i="15"/>
  <c r="K237" i="15"/>
  <c r="K239" i="15"/>
  <c r="K240" i="15"/>
  <c r="K241" i="15"/>
  <c r="K242" i="15"/>
  <c r="K243" i="15"/>
  <c r="K244" i="15"/>
  <c r="K310" i="15"/>
  <c r="K311" i="15"/>
  <c r="K314" i="15"/>
  <c r="K245" i="15"/>
  <c r="K252" i="15"/>
  <c r="K265" i="15"/>
  <c r="K266" i="15"/>
  <c r="K267" i="15"/>
  <c r="K273" i="15"/>
  <c r="K278" i="15"/>
  <c r="K279" i="15"/>
  <c r="K280" i="15"/>
  <c r="K287" i="15"/>
  <c r="K288" i="15"/>
  <c r="K289" i="15"/>
  <c r="K290" i="15"/>
  <c r="K291" i="15"/>
  <c r="K292" i="15"/>
  <c r="K293" i="15"/>
  <c r="K294" i="15"/>
  <c r="K295" i="15"/>
  <c r="K296" i="15"/>
  <c r="K297" i="15"/>
  <c r="K298" i="15"/>
  <c r="K253" i="15"/>
  <c r="K254" i="15"/>
  <c r="K317" i="15"/>
  <c r="K318" i="15"/>
  <c r="K319" i="15"/>
  <c r="K320" i="15"/>
  <c r="K321" i="15"/>
  <c r="K322" i="15"/>
  <c r="K344" i="15"/>
  <c r="K270" i="15"/>
  <c r="K345" i="15"/>
  <c r="K347" i="15"/>
  <c r="K300" i="15"/>
  <c r="K353" i="15"/>
  <c r="K355" i="15"/>
  <c r="K302" i="15"/>
  <c r="K356" i="15"/>
  <c r="Q2" i="15"/>
  <c r="Q3" i="15"/>
  <c r="Q4" i="15"/>
  <c r="Q5" i="15"/>
  <c r="Q6" i="15"/>
  <c r="Q7" i="15"/>
  <c r="Q8" i="15"/>
  <c r="Q14" i="15"/>
  <c r="Q16" i="15"/>
  <c r="Q54" i="15"/>
  <c r="Q18" i="15"/>
  <c r="Q20" i="15"/>
  <c r="Q23" i="15"/>
  <c r="Q9" i="15"/>
  <c r="Q10" i="15"/>
  <c r="Q11" i="15"/>
  <c r="Q12" i="15"/>
  <c r="Q13" i="15"/>
  <c r="Q303" i="15"/>
  <c r="Q357" i="15"/>
  <c r="Q17" i="15"/>
  <c r="Q19" i="15"/>
  <c r="Q21" i="15"/>
  <c r="Q22" i="15"/>
  <c r="Q15" i="15"/>
  <c r="Q27" i="15"/>
  <c r="Q29" i="15"/>
  <c r="Q30" i="15"/>
  <c r="Q31" i="15"/>
  <c r="Q33" i="15"/>
  <c r="Q34" i="15"/>
  <c r="Q35" i="15"/>
  <c r="Q36" i="15"/>
  <c r="Q37" i="15"/>
  <c r="Q38" i="15"/>
  <c r="Q39" i="15"/>
  <c r="Q40" i="15"/>
  <c r="Q41" i="15"/>
  <c r="Q28" i="15"/>
  <c r="Q32" i="15"/>
  <c r="Q55" i="15"/>
  <c r="Q24" i="15"/>
  <c r="Q25" i="15"/>
  <c r="Q26" i="15"/>
  <c r="Q56" i="15"/>
  <c r="Q57" i="15"/>
  <c r="Q42" i="15"/>
  <c r="Q44" i="15"/>
  <c r="Q46" i="15"/>
  <c r="Q50" i="15"/>
  <c r="Q51" i="15"/>
  <c r="Q52" i="15"/>
  <c r="Q53" i="15"/>
  <c r="Q43" i="15"/>
  <c r="Q45" i="15"/>
  <c r="Q47" i="15"/>
  <c r="Q48" i="15"/>
  <c r="Q49" i="15"/>
  <c r="Q59" i="15"/>
  <c r="Q60" i="15"/>
  <c r="Q61" i="15"/>
  <c r="Q62" i="15"/>
  <c r="Q64" i="15"/>
  <c r="Q65" i="15"/>
  <c r="Q102" i="15"/>
  <c r="Q66" i="15"/>
  <c r="Q67" i="15"/>
  <c r="Q68" i="15"/>
  <c r="Q58" i="15"/>
  <c r="Q63" i="15"/>
  <c r="Q109" i="15"/>
  <c r="Q74" i="15"/>
  <c r="Q75" i="15"/>
  <c r="Q76" i="15"/>
  <c r="Q77" i="15"/>
  <c r="Q78" i="15"/>
  <c r="Q79" i="15"/>
  <c r="Q80" i="15"/>
  <c r="Q81" i="15"/>
  <c r="Q82" i="15"/>
  <c r="Q83" i="15"/>
  <c r="Q85" i="15"/>
  <c r="Q90" i="15"/>
  <c r="Q91" i="15"/>
  <c r="Q93" i="15"/>
  <c r="Q95" i="15"/>
  <c r="Q70" i="15"/>
  <c r="Q71" i="15"/>
  <c r="Q73" i="15"/>
  <c r="Q104" i="15"/>
  <c r="Q105" i="15"/>
  <c r="Q106" i="15"/>
  <c r="Q107" i="15"/>
  <c r="Q108" i="15"/>
  <c r="Q110" i="15"/>
  <c r="Q72" i="15"/>
  <c r="Q112" i="15"/>
  <c r="Q113" i="15"/>
  <c r="Q115" i="15"/>
  <c r="Q84" i="15"/>
  <c r="Q116" i="15"/>
  <c r="Q117" i="15"/>
  <c r="Q86" i="15"/>
  <c r="Q87" i="15"/>
  <c r="Q88" i="15"/>
  <c r="Q89" i="15"/>
  <c r="Q92" i="15"/>
  <c r="Q94" i="15"/>
  <c r="Q96" i="15"/>
  <c r="Q97" i="15"/>
  <c r="Q69" i="15"/>
  <c r="Q103" i="15"/>
  <c r="Q111" i="15"/>
  <c r="Q114" i="15"/>
  <c r="Q100" i="15"/>
  <c r="Q101" i="15"/>
  <c r="Q195" i="15"/>
  <c r="Q98" i="15"/>
  <c r="Q99" i="15"/>
  <c r="Q125" i="15"/>
  <c r="Q128" i="15"/>
  <c r="Q130" i="15"/>
  <c r="Q141" i="15"/>
  <c r="Q122" i="15"/>
  <c r="Q123" i="15"/>
  <c r="Q124" i="15"/>
  <c r="Q126" i="15"/>
  <c r="Q127" i="15"/>
  <c r="Q129" i="15"/>
  <c r="Q131" i="15"/>
  <c r="Q132" i="15"/>
  <c r="Q133" i="15"/>
  <c r="Q134" i="15"/>
  <c r="Q135" i="15"/>
  <c r="Q136" i="15"/>
  <c r="Q137" i="15"/>
  <c r="Q138" i="15"/>
  <c r="Q139" i="15"/>
  <c r="Q160" i="15"/>
  <c r="Q140" i="15"/>
  <c r="Q162" i="15"/>
  <c r="Q142" i="15"/>
  <c r="Q164" i="15"/>
  <c r="Q165" i="15"/>
  <c r="Q143" i="15"/>
  <c r="Q167" i="15"/>
  <c r="Q144" i="15"/>
  <c r="Q145" i="15"/>
  <c r="Q146" i="15"/>
  <c r="Q147" i="15"/>
  <c r="Q172" i="15"/>
  <c r="Q148" i="15"/>
  <c r="Q149" i="15"/>
  <c r="Q150" i="15"/>
  <c r="Q151" i="15"/>
  <c r="Q152" i="15"/>
  <c r="Q153" i="15"/>
  <c r="Q154" i="15"/>
  <c r="Q155" i="15"/>
  <c r="Q156" i="15"/>
  <c r="Q157" i="15"/>
  <c r="Q158" i="15"/>
  <c r="Q159" i="15"/>
  <c r="Q161" i="15"/>
  <c r="Q163" i="15"/>
  <c r="Q166" i="15"/>
  <c r="Q168" i="15"/>
  <c r="Q169" i="15"/>
  <c r="Q171" i="15"/>
  <c r="Q173" i="15"/>
  <c r="Q174" i="15"/>
  <c r="Q183" i="15"/>
  <c r="Q184" i="15"/>
  <c r="Q185" i="15"/>
  <c r="Q186" i="15"/>
  <c r="Q187" i="15"/>
  <c r="Q191" i="15"/>
  <c r="Q192" i="15"/>
  <c r="Q193" i="15"/>
  <c r="Q182" i="15"/>
  <c r="Q188" i="15"/>
  <c r="Q189" i="15"/>
  <c r="Q190" i="15"/>
  <c r="Q118" i="15"/>
  <c r="Q120" i="15"/>
  <c r="Q194" i="15"/>
  <c r="Q196" i="15"/>
  <c r="Q197" i="15"/>
  <c r="Q121" i="15"/>
  <c r="Q198" i="15"/>
  <c r="Q199" i="15"/>
  <c r="Q200" i="15"/>
  <c r="Q201" i="15"/>
  <c r="Q202" i="15"/>
  <c r="Q203" i="15"/>
  <c r="Q205" i="15"/>
  <c r="Q206" i="15"/>
  <c r="Q207" i="15"/>
  <c r="Q208" i="15"/>
  <c r="Q209" i="15"/>
  <c r="Q210" i="15"/>
  <c r="Q211" i="15"/>
  <c r="Q212" i="15"/>
  <c r="Q213" i="15"/>
  <c r="Q214" i="15"/>
  <c r="Q215" i="15"/>
  <c r="Q216" i="15"/>
  <c r="Q217" i="15"/>
  <c r="Q218" i="15"/>
  <c r="Q219" i="15"/>
  <c r="Q220" i="15"/>
  <c r="Q221" i="15"/>
  <c r="Q222" i="15"/>
  <c r="Q223" i="15"/>
  <c r="Q224" i="15"/>
  <c r="Q225" i="15"/>
  <c r="Q226" i="15"/>
  <c r="Q119" i="15"/>
  <c r="Q204" i="15"/>
  <c r="Q170" i="15"/>
  <c r="Q175" i="15"/>
  <c r="Q176" i="15"/>
  <c r="Q177" i="15"/>
  <c r="Q178" i="15"/>
  <c r="Q179" i="15"/>
  <c r="Q180" i="15"/>
  <c r="Q181" i="15"/>
  <c r="Q228" i="15"/>
  <c r="Q229" i="15"/>
  <c r="Q304" i="15"/>
  <c r="Q231" i="15"/>
  <c r="Q232" i="15"/>
  <c r="Q233" i="15"/>
  <c r="Q234" i="15"/>
  <c r="Q235" i="15"/>
  <c r="Q238" i="15"/>
  <c r="Q305" i="15"/>
  <c r="Q306" i="15"/>
  <c r="Q307" i="15"/>
  <c r="Q308" i="15"/>
  <c r="Q309" i="15"/>
  <c r="Q312" i="15"/>
  <c r="Q313" i="15"/>
  <c r="Q246" i="15"/>
  <c r="Q315" i="15"/>
  <c r="Q316" i="15"/>
  <c r="Q248" i="15"/>
  <c r="Q249" i="15"/>
  <c r="Q250" i="15"/>
  <c r="Q251" i="15"/>
  <c r="Q230" i="15"/>
  <c r="Q247" i="15"/>
  <c r="Q256" i="15"/>
  <c r="Q255" i="15"/>
  <c r="Q257" i="15"/>
  <c r="Q258" i="15"/>
  <c r="Q259" i="15"/>
  <c r="Q260" i="15"/>
  <c r="Q261" i="15"/>
  <c r="Q262" i="15"/>
  <c r="Q263" i="15"/>
  <c r="Q264" i="15"/>
  <c r="Q271" i="15"/>
  <c r="Q272" i="15"/>
  <c r="Q274" i="15"/>
  <c r="Q275" i="15"/>
  <c r="Q276" i="15"/>
  <c r="Q277" i="15"/>
  <c r="Q281" i="15"/>
  <c r="Q282" i="15"/>
  <c r="Q283" i="15"/>
  <c r="Q284" i="15"/>
  <c r="Q285" i="15"/>
  <c r="Q286" i="15"/>
  <c r="Q227" i="15"/>
  <c r="Q236" i="15"/>
  <c r="Q237" i="15"/>
  <c r="Q239" i="15"/>
  <c r="Q240" i="15"/>
  <c r="Q241" i="15"/>
  <c r="Q242" i="15"/>
  <c r="Q243" i="15"/>
  <c r="Q244" i="15"/>
  <c r="Q310" i="15"/>
  <c r="Q311" i="15"/>
  <c r="Q314" i="15"/>
  <c r="Q245" i="15"/>
  <c r="Q252" i="15"/>
  <c r="Q265" i="15"/>
  <c r="Q266" i="15"/>
  <c r="Q267" i="15"/>
  <c r="Q273" i="15"/>
  <c r="Q278" i="15"/>
  <c r="Q279" i="15"/>
  <c r="Q280" i="15"/>
  <c r="Q287" i="15"/>
  <c r="Q288" i="15"/>
  <c r="Q289" i="15"/>
  <c r="Q290" i="15"/>
  <c r="Q291" i="15"/>
  <c r="Q292" i="15"/>
  <c r="Q293" i="15"/>
  <c r="Q294" i="15"/>
  <c r="Q295" i="15"/>
  <c r="Q296" i="15"/>
  <c r="Q297" i="15"/>
  <c r="Q298" i="15"/>
  <c r="Q253" i="15"/>
  <c r="Q254" i="15"/>
  <c r="Q317" i="15"/>
  <c r="Q318" i="15"/>
  <c r="Q319" i="15"/>
  <c r="Q320" i="15"/>
  <c r="Q321" i="15"/>
  <c r="Q322" i="15"/>
  <c r="Q344" i="15"/>
  <c r="Q270" i="15"/>
  <c r="Q345" i="15"/>
  <c r="Q347" i="15"/>
  <c r="Q300" i="15"/>
  <c r="Q353" i="15"/>
  <c r="Q355" i="15"/>
  <c r="Q302" i="15"/>
  <c r="Q356" i="15"/>
  <c r="S3" i="15"/>
  <c r="S4" i="15"/>
  <c r="S5" i="15"/>
  <c r="S6" i="15"/>
  <c r="S7" i="15"/>
  <c r="S8" i="15"/>
  <c r="S14" i="15"/>
  <c r="S16" i="15"/>
  <c r="S54" i="15"/>
  <c r="S18" i="15"/>
  <c r="S20" i="15"/>
  <c r="S23" i="15"/>
  <c r="S9" i="15"/>
  <c r="S10" i="15"/>
  <c r="S11" i="15"/>
  <c r="S12" i="15"/>
  <c r="S13" i="15"/>
  <c r="S303" i="15"/>
  <c r="S357" i="15"/>
  <c r="S17" i="15"/>
  <c r="S19" i="15"/>
  <c r="S21" i="15"/>
  <c r="S22" i="15"/>
  <c r="S15" i="15"/>
  <c r="S27" i="15"/>
  <c r="S29" i="15"/>
  <c r="S30" i="15"/>
  <c r="S31" i="15"/>
  <c r="S33" i="15"/>
  <c r="S34" i="15"/>
  <c r="S35" i="15"/>
  <c r="S36" i="15"/>
  <c r="S37" i="15"/>
  <c r="S38" i="15"/>
  <c r="S39" i="15"/>
  <c r="S40" i="15"/>
  <c r="S41" i="15"/>
  <c r="S28" i="15"/>
  <c r="S32" i="15"/>
  <c r="S55" i="15"/>
  <c r="S24" i="15"/>
  <c r="S25" i="15"/>
  <c r="S26" i="15"/>
  <c r="S56" i="15"/>
  <c r="S57" i="15"/>
  <c r="S42" i="15"/>
  <c r="S44" i="15"/>
  <c r="S46" i="15"/>
  <c r="S50" i="15"/>
  <c r="S51" i="15"/>
  <c r="S52" i="15"/>
  <c r="S53" i="15"/>
  <c r="S43" i="15"/>
  <c r="S45" i="15"/>
  <c r="S47" i="15"/>
  <c r="S48" i="15"/>
  <c r="S49" i="15"/>
  <c r="S59" i="15"/>
  <c r="S60" i="15"/>
  <c r="S61" i="15"/>
  <c r="S62" i="15"/>
  <c r="S64" i="15"/>
  <c r="S65" i="15"/>
  <c r="S102" i="15"/>
  <c r="S66" i="15"/>
  <c r="S67" i="15"/>
  <c r="S68" i="15"/>
  <c r="S58" i="15"/>
  <c r="S63" i="15"/>
  <c r="S109" i="15"/>
  <c r="S74" i="15"/>
  <c r="S75" i="15"/>
  <c r="S76" i="15"/>
  <c r="S77" i="15"/>
  <c r="S78" i="15"/>
  <c r="S79" i="15"/>
  <c r="S80" i="15"/>
  <c r="S81" i="15"/>
  <c r="S82" i="15"/>
  <c r="S83" i="15"/>
  <c r="S85" i="15"/>
  <c r="S90" i="15"/>
  <c r="S91" i="15"/>
  <c r="S93" i="15"/>
  <c r="S95" i="15"/>
  <c r="S70" i="15"/>
  <c r="S71" i="15"/>
  <c r="S73" i="15"/>
  <c r="S104" i="15"/>
  <c r="S105" i="15"/>
  <c r="S106" i="15"/>
  <c r="S107" i="15"/>
  <c r="S108" i="15"/>
  <c r="S110" i="15"/>
  <c r="S72" i="15"/>
  <c r="S112" i="15"/>
  <c r="S113" i="15"/>
  <c r="S115" i="15"/>
  <c r="S84" i="15"/>
  <c r="S116" i="15"/>
  <c r="S117" i="15"/>
  <c r="S86" i="15"/>
  <c r="S87" i="15"/>
  <c r="S88" i="15"/>
  <c r="S89" i="15"/>
  <c r="S92" i="15"/>
  <c r="S94" i="15"/>
  <c r="S96" i="15"/>
  <c r="S97" i="15"/>
  <c r="S69" i="15"/>
  <c r="S103" i="15"/>
  <c r="S111" i="15"/>
  <c r="S114" i="15"/>
  <c r="S100" i="15"/>
  <c r="S101" i="15"/>
  <c r="S195" i="15"/>
  <c r="S98" i="15"/>
  <c r="S99" i="15"/>
  <c r="S125" i="15"/>
  <c r="S128" i="15"/>
  <c r="S130" i="15"/>
  <c r="S141" i="15"/>
  <c r="S122" i="15"/>
  <c r="S123" i="15"/>
  <c r="S124" i="15"/>
  <c r="S126" i="15"/>
  <c r="S127" i="15"/>
  <c r="S129" i="15"/>
  <c r="S131" i="15"/>
  <c r="S132" i="15"/>
  <c r="S133" i="15"/>
  <c r="S134" i="15"/>
  <c r="S135" i="15"/>
  <c r="S136" i="15"/>
  <c r="S137" i="15"/>
  <c r="S138" i="15"/>
  <c r="S139" i="15"/>
  <c r="S160" i="15"/>
  <c r="S140" i="15"/>
  <c r="S162" i="15"/>
  <c r="S142" i="15"/>
  <c r="S164" i="15"/>
  <c r="S165" i="15"/>
  <c r="S143" i="15"/>
  <c r="S167" i="15"/>
  <c r="S144" i="15"/>
  <c r="S145" i="15"/>
  <c r="S146" i="15"/>
  <c r="S147" i="15"/>
  <c r="S172" i="15"/>
  <c r="S148" i="15"/>
  <c r="S149" i="15"/>
  <c r="S150" i="15"/>
  <c r="S151" i="15"/>
  <c r="S152" i="15"/>
  <c r="S153" i="15"/>
  <c r="S154" i="15"/>
  <c r="S155" i="15"/>
  <c r="S156" i="15"/>
  <c r="S157" i="15"/>
  <c r="S158" i="15"/>
  <c r="S159" i="15"/>
  <c r="S161" i="15"/>
  <c r="S163" i="15"/>
  <c r="S166" i="15"/>
  <c r="S168" i="15"/>
  <c r="S169" i="15"/>
  <c r="S171" i="15"/>
  <c r="S173" i="15"/>
  <c r="S174" i="15"/>
  <c r="S183" i="15"/>
  <c r="S184" i="15"/>
  <c r="S185" i="15"/>
  <c r="S186" i="15"/>
  <c r="S187" i="15"/>
  <c r="S191" i="15"/>
  <c r="S192" i="15"/>
  <c r="S193" i="15"/>
  <c r="S182" i="15"/>
  <c r="S188" i="15"/>
  <c r="S189" i="15"/>
  <c r="S190" i="15"/>
  <c r="S118" i="15"/>
  <c r="S120" i="15"/>
  <c r="S194" i="15"/>
  <c r="S196" i="15"/>
  <c r="S197" i="15"/>
  <c r="S121" i="15"/>
  <c r="S198" i="15"/>
  <c r="S199" i="15"/>
  <c r="S200" i="15"/>
  <c r="S201" i="15"/>
  <c r="S202" i="15"/>
  <c r="S203" i="15"/>
  <c r="S205" i="15"/>
  <c r="S206" i="15"/>
  <c r="S207" i="15"/>
  <c r="S208" i="15"/>
  <c r="S209" i="15"/>
  <c r="S210" i="15"/>
  <c r="S211" i="15"/>
  <c r="S212" i="15"/>
  <c r="S213" i="15"/>
  <c r="S214" i="15"/>
  <c r="S215" i="15"/>
  <c r="S216" i="15"/>
  <c r="S217" i="15"/>
  <c r="S218" i="15"/>
  <c r="S219" i="15"/>
  <c r="S220" i="15"/>
  <c r="S221" i="15"/>
  <c r="S222" i="15"/>
  <c r="S223" i="15"/>
  <c r="S224" i="15"/>
  <c r="S225" i="15"/>
  <c r="S226" i="15"/>
  <c r="S119" i="15"/>
  <c r="S204" i="15"/>
  <c r="S170" i="15"/>
  <c r="S175" i="15"/>
  <c r="S176" i="15"/>
  <c r="S177" i="15"/>
  <c r="S178" i="15"/>
  <c r="S179" i="15"/>
  <c r="S180" i="15"/>
  <c r="S181" i="15"/>
  <c r="S228" i="15"/>
  <c r="S229" i="15"/>
  <c r="S304" i="15"/>
  <c r="S231" i="15"/>
  <c r="S232" i="15"/>
  <c r="S233" i="15"/>
  <c r="S234" i="15"/>
  <c r="S235" i="15"/>
  <c r="S238" i="15"/>
  <c r="S305" i="15"/>
  <c r="S306" i="15"/>
  <c r="S307" i="15"/>
  <c r="S308" i="15"/>
  <c r="S309" i="15"/>
  <c r="S312" i="15"/>
  <c r="S313" i="15"/>
  <c r="S246" i="15"/>
  <c r="S315" i="15"/>
  <c r="S316" i="15"/>
  <c r="S248" i="15"/>
  <c r="S249" i="15"/>
  <c r="S250" i="15"/>
  <c r="S251" i="15"/>
  <c r="S230" i="15"/>
  <c r="S247" i="15"/>
  <c r="S256" i="15"/>
  <c r="S255" i="15"/>
  <c r="S257" i="15"/>
  <c r="S258" i="15"/>
  <c r="S259" i="15"/>
  <c r="S260" i="15"/>
  <c r="S261" i="15"/>
  <c r="S262" i="15"/>
  <c r="S263" i="15"/>
  <c r="S264" i="15"/>
  <c r="S271" i="15"/>
  <c r="S272" i="15"/>
  <c r="S274" i="15"/>
  <c r="S275" i="15"/>
  <c r="S276" i="15"/>
  <c r="S277" i="15"/>
  <c r="S281" i="15"/>
  <c r="S282" i="15"/>
  <c r="S283" i="15"/>
  <c r="S284" i="15"/>
  <c r="S285" i="15"/>
  <c r="S286" i="15"/>
  <c r="S227" i="15"/>
  <c r="S236" i="15"/>
  <c r="S237" i="15"/>
  <c r="S239" i="15"/>
  <c r="S240" i="15"/>
  <c r="S241" i="15"/>
  <c r="S242" i="15"/>
  <c r="S243" i="15"/>
  <c r="S244" i="15"/>
  <c r="S310" i="15"/>
  <c r="S311" i="15"/>
  <c r="S314" i="15"/>
  <c r="S245" i="15"/>
  <c r="S252" i="15"/>
  <c r="S265" i="15"/>
  <c r="S266" i="15"/>
  <c r="S267" i="15"/>
  <c r="S273" i="15"/>
  <c r="S278" i="15"/>
  <c r="S279" i="15"/>
  <c r="S280" i="15"/>
  <c r="S287" i="15"/>
  <c r="S288" i="15"/>
  <c r="S289" i="15"/>
  <c r="S290" i="15"/>
  <c r="S291" i="15"/>
  <c r="S292" i="15"/>
  <c r="S293" i="15"/>
  <c r="S294" i="15"/>
  <c r="S295" i="15"/>
  <c r="S296" i="15"/>
  <c r="S297" i="15"/>
  <c r="S298" i="15"/>
  <c r="S253" i="15"/>
  <c r="S254" i="15"/>
  <c r="S317" i="15"/>
  <c r="S318" i="15"/>
  <c r="S319" i="15"/>
  <c r="S320" i="15"/>
  <c r="S321" i="15"/>
  <c r="S322" i="15"/>
  <c r="S344" i="15"/>
  <c r="S270" i="15"/>
  <c r="S345" i="15"/>
  <c r="S347" i="15"/>
  <c r="S300" i="15"/>
  <c r="S353" i="15"/>
  <c r="S355" i="15"/>
  <c r="S302" i="15"/>
  <c r="S356" i="15"/>
  <c r="U2" i="15"/>
  <c r="U3" i="15"/>
  <c r="U4" i="15"/>
  <c r="U5" i="15"/>
  <c r="U6" i="15"/>
  <c r="U7" i="15"/>
  <c r="U8" i="15"/>
  <c r="U14" i="15"/>
  <c r="U16" i="15"/>
  <c r="U54" i="15"/>
  <c r="U18" i="15"/>
  <c r="U20" i="15"/>
  <c r="U23" i="15"/>
  <c r="U9" i="15"/>
  <c r="U10" i="15"/>
  <c r="U11" i="15"/>
  <c r="U12" i="15"/>
  <c r="U13" i="15"/>
  <c r="U303" i="15"/>
  <c r="U357" i="15"/>
  <c r="U17" i="15"/>
  <c r="U19" i="15"/>
  <c r="U21" i="15"/>
  <c r="U22" i="15"/>
  <c r="U15" i="15"/>
  <c r="U27" i="15"/>
  <c r="U29" i="15"/>
  <c r="U30" i="15"/>
  <c r="U31" i="15"/>
  <c r="U33" i="15"/>
  <c r="U34" i="15"/>
  <c r="U35" i="15"/>
  <c r="U36" i="15"/>
  <c r="U37" i="15"/>
  <c r="U38" i="15"/>
  <c r="U39" i="15"/>
  <c r="U40" i="15"/>
  <c r="U41" i="15"/>
  <c r="U28" i="15"/>
  <c r="U32" i="15"/>
  <c r="U55" i="15"/>
  <c r="U24" i="15"/>
  <c r="U25" i="15"/>
  <c r="U26" i="15"/>
  <c r="U56" i="15"/>
  <c r="U57" i="15"/>
  <c r="U42" i="15"/>
  <c r="U44" i="15"/>
  <c r="U46" i="15"/>
  <c r="U50" i="15"/>
  <c r="U51" i="15"/>
  <c r="U52" i="15"/>
  <c r="U53" i="15"/>
  <c r="U43" i="15"/>
  <c r="U45" i="15"/>
  <c r="U47" i="15"/>
  <c r="U48" i="15"/>
  <c r="U49" i="15"/>
  <c r="U59" i="15"/>
  <c r="U60" i="15"/>
  <c r="U61" i="15"/>
  <c r="U62" i="15"/>
  <c r="U64" i="15"/>
  <c r="U65" i="15"/>
  <c r="U102" i="15"/>
  <c r="U66" i="15"/>
  <c r="U67" i="15"/>
  <c r="U68" i="15"/>
  <c r="U58" i="15"/>
  <c r="U63" i="15"/>
  <c r="U109" i="15"/>
  <c r="U74" i="15"/>
  <c r="U75" i="15"/>
  <c r="U76" i="15"/>
  <c r="U77" i="15"/>
  <c r="U78" i="15"/>
  <c r="U79" i="15"/>
  <c r="U80" i="15"/>
  <c r="U81" i="15"/>
  <c r="U82" i="15"/>
  <c r="U83" i="15"/>
  <c r="U85" i="15"/>
  <c r="U90" i="15"/>
  <c r="U91" i="15"/>
  <c r="U93" i="15"/>
  <c r="U95" i="15"/>
  <c r="U70" i="15"/>
  <c r="U71" i="15"/>
  <c r="U73" i="15"/>
  <c r="U104" i="15"/>
  <c r="U105" i="15"/>
  <c r="U106" i="15"/>
  <c r="U107" i="15"/>
  <c r="U108" i="15"/>
  <c r="U110" i="15"/>
  <c r="U72" i="15"/>
  <c r="U112" i="15"/>
  <c r="U113" i="15"/>
  <c r="U115" i="15"/>
  <c r="U84" i="15"/>
  <c r="U116" i="15"/>
  <c r="U117" i="15"/>
  <c r="U86" i="15"/>
  <c r="U87" i="15"/>
  <c r="U88" i="15"/>
  <c r="U89" i="15"/>
  <c r="U92" i="15"/>
  <c r="U94" i="15"/>
  <c r="U96" i="15"/>
  <c r="U97" i="15"/>
  <c r="U69" i="15"/>
  <c r="U103" i="15"/>
  <c r="U111" i="15"/>
  <c r="U114" i="15"/>
  <c r="U100" i="15"/>
  <c r="U101" i="15"/>
  <c r="U195" i="15"/>
  <c r="U98" i="15"/>
  <c r="U99" i="15"/>
  <c r="U125" i="15"/>
  <c r="U128" i="15"/>
  <c r="U130" i="15"/>
  <c r="U141" i="15"/>
  <c r="U122" i="15"/>
  <c r="U123" i="15"/>
  <c r="U124" i="15"/>
  <c r="U126" i="15"/>
  <c r="U127" i="15"/>
  <c r="U129" i="15"/>
  <c r="U131" i="15"/>
  <c r="U132" i="15"/>
  <c r="U133" i="15"/>
  <c r="U134" i="15"/>
  <c r="U135" i="15"/>
  <c r="U136" i="15"/>
  <c r="U137" i="15"/>
  <c r="U138" i="15"/>
  <c r="U139" i="15"/>
  <c r="U160" i="15"/>
  <c r="U140" i="15"/>
  <c r="U162" i="15"/>
  <c r="U142" i="15"/>
  <c r="U164" i="15"/>
  <c r="U165" i="15"/>
  <c r="U143" i="15"/>
  <c r="U167" i="15"/>
  <c r="U144" i="15"/>
  <c r="U145" i="15"/>
  <c r="U146" i="15"/>
  <c r="U147" i="15"/>
  <c r="U172" i="15"/>
  <c r="U148" i="15"/>
  <c r="U149" i="15"/>
  <c r="U150" i="15"/>
  <c r="U151" i="15"/>
  <c r="U152" i="15"/>
  <c r="U153" i="15"/>
  <c r="U154" i="15"/>
  <c r="U155" i="15"/>
  <c r="U156" i="15"/>
  <c r="U157" i="15"/>
  <c r="U158" i="15"/>
  <c r="U159" i="15"/>
  <c r="U161" i="15"/>
  <c r="U163" i="15"/>
  <c r="U166" i="15"/>
  <c r="U168" i="15"/>
  <c r="U169" i="15"/>
  <c r="U171" i="15"/>
  <c r="U173" i="15"/>
  <c r="U174" i="15"/>
  <c r="U183" i="15"/>
  <c r="U184" i="15"/>
  <c r="U185" i="15"/>
  <c r="U186" i="15"/>
  <c r="U187" i="15"/>
  <c r="U191" i="15"/>
  <c r="U192" i="15"/>
  <c r="U193" i="15"/>
  <c r="U182" i="15"/>
  <c r="U188" i="15"/>
  <c r="U189" i="15"/>
  <c r="U190" i="15"/>
  <c r="U118" i="15"/>
  <c r="U120" i="15"/>
  <c r="U194" i="15"/>
  <c r="U196" i="15"/>
  <c r="U197" i="15"/>
  <c r="U121" i="15"/>
  <c r="U198" i="15"/>
  <c r="U199" i="15"/>
  <c r="U200" i="15"/>
  <c r="U201" i="15"/>
  <c r="U202" i="15"/>
  <c r="U203" i="15"/>
  <c r="U205" i="15"/>
  <c r="U206" i="15"/>
  <c r="U207" i="15"/>
  <c r="U208" i="15"/>
  <c r="U209" i="15"/>
  <c r="U210" i="15"/>
  <c r="U211" i="15"/>
  <c r="U212" i="15"/>
  <c r="U213" i="15"/>
  <c r="U214" i="15"/>
  <c r="U215" i="15"/>
  <c r="U216" i="15"/>
  <c r="U217" i="15"/>
  <c r="U218" i="15"/>
  <c r="U219" i="15"/>
  <c r="U220" i="15"/>
  <c r="U221" i="15"/>
  <c r="U222" i="15"/>
  <c r="U223" i="15"/>
  <c r="U224" i="15"/>
  <c r="U225" i="15"/>
  <c r="U226" i="15"/>
  <c r="U119" i="15"/>
  <c r="U204" i="15"/>
  <c r="U170" i="15"/>
  <c r="U175" i="15"/>
  <c r="U176" i="15"/>
  <c r="U177" i="15"/>
  <c r="U178" i="15"/>
  <c r="U179" i="15"/>
  <c r="U180" i="15"/>
  <c r="U181" i="15"/>
  <c r="U228" i="15"/>
  <c r="U229" i="15"/>
  <c r="U304" i="15"/>
  <c r="U231" i="15"/>
  <c r="U232" i="15"/>
  <c r="U233" i="15"/>
  <c r="U234" i="15"/>
  <c r="U235" i="15"/>
  <c r="U238" i="15"/>
  <c r="U305" i="15"/>
  <c r="U306" i="15"/>
  <c r="U307" i="15"/>
  <c r="U308" i="15"/>
  <c r="U309" i="15"/>
  <c r="U312" i="15"/>
  <c r="U313" i="15"/>
  <c r="U246" i="15"/>
  <c r="U315" i="15"/>
  <c r="U316" i="15"/>
  <c r="U248" i="15"/>
  <c r="U249" i="15"/>
  <c r="U250" i="15"/>
  <c r="U251" i="15"/>
  <c r="U230" i="15"/>
  <c r="U247" i="15"/>
  <c r="U256" i="15"/>
  <c r="U255" i="15"/>
  <c r="U257" i="15"/>
  <c r="U258" i="15"/>
  <c r="U259" i="15"/>
  <c r="U260" i="15"/>
  <c r="U261" i="15"/>
  <c r="U262" i="15"/>
  <c r="U263" i="15"/>
  <c r="U264" i="15"/>
  <c r="U271" i="15"/>
  <c r="U272" i="15"/>
  <c r="U274" i="15"/>
  <c r="U275" i="15"/>
  <c r="U276" i="15"/>
  <c r="U277" i="15"/>
  <c r="U281" i="15"/>
  <c r="U282" i="15"/>
  <c r="U283" i="15"/>
  <c r="U284" i="15"/>
  <c r="U285" i="15"/>
  <c r="U286" i="15"/>
  <c r="U227" i="15"/>
  <c r="U236" i="15"/>
  <c r="U237" i="15"/>
  <c r="U239" i="15"/>
  <c r="U240" i="15"/>
  <c r="U241" i="15"/>
  <c r="U242" i="15"/>
  <c r="U243" i="15"/>
  <c r="U244" i="15"/>
  <c r="U310" i="15"/>
  <c r="U311" i="15"/>
  <c r="U314" i="15"/>
  <c r="U245" i="15"/>
  <c r="U252" i="15"/>
  <c r="U265" i="15"/>
  <c r="U266" i="15"/>
  <c r="U267" i="15"/>
  <c r="U273" i="15"/>
  <c r="U278" i="15"/>
  <c r="U279" i="15"/>
  <c r="U280" i="15"/>
  <c r="U287" i="15"/>
  <c r="U288" i="15"/>
  <c r="U289" i="15"/>
  <c r="U290" i="15"/>
  <c r="U291" i="15"/>
  <c r="U292" i="15"/>
  <c r="U293" i="15"/>
  <c r="U294" i="15"/>
  <c r="U295" i="15"/>
  <c r="U296" i="15"/>
  <c r="U297" i="15"/>
  <c r="U298" i="15"/>
  <c r="U253" i="15"/>
  <c r="U254" i="15"/>
  <c r="U317" i="15"/>
  <c r="U318" i="15"/>
  <c r="U319" i="15"/>
  <c r="U320" i="15"/>
  <c r="U321" i="15"/>
  <c r="U322" i="15"/>
  <c r="U344" i="15"/>
  <c r="U270" i="15"/>
  <c r="U345" i="15"/>
  <c r="U347" i="15"/>
  <c r="U300" i="15"/>
  <c r="U353" i="15"/>
  <c r="U355" i="15"/>
  <c r="U302" i="15"/>
  <c r="U356" i="15"/>
  <c r="V2" i="15"/>
  <c r="V3" i="15"/>
  <c r="V4" i="15"/>
  <c r="V5" i="15"/>
  <c r="V6" i="15"/>
  <c r="V7" i="15"/>
  <c r="V8" i="15"/>
  <c r="V14" i="15"/>
  <c r="V16" i="15"/>
  <c r="V54" i="15"/>
  <c r="V18" i="15"/>
  <c r="V20" i="15"/>
  <c r="V23" i="15"/>
  <c r="V9" i="15"/>
  <c r="V10" i="15"/>
  <c r="V11" i="15"/>
  <c r="V12" i="15"/>
  <c r="V13" i="15"/>
  <c r="V303" i="15"/>
  <c r="V357" i="15"/>
  <c r="V17" i="15"/>
  <c r="V19" i="15"/>
  <c r="V21" i="15"/>
  <c r="V22" i="15"/>
  <c r="V15" i="15"/>
  <c r="V27" i="15"/>
  <c r="V29" i="15"/>
  <c r="V30" i="15"/>
  <c r="V31" i="15"/>
  <c r="V33" i="15"/>
  <c r="V34" i="15"/>
  <c r="V35" i="15"/>
  <c r="V36" i="15"/>
  <c r="V37" i="15"/>
  <c r="V38" i="15"/>
  <c r="V39" i="15"/>
  <c r="V40" i="15"/>
  <c r="V41" i="15"/>
  <c r="V28" i="15"/>
  <c r="V32" i="15"/>
  <c r="V55" i="15"/>
  <c r="V24" i="15"/>
  <c r="V25" i="15"/>
  <c r="V26" i="15"/>
  <c r="V56" i="15"/>
  <c r="V57" i="15"/>
  <c r="V42" i="15"/>
  <c r="V44" i="15"/>
  <c r="V46" i="15"/>
  <c r="V50" i="15"/>
  <c r="V51" i="15"/>
  <c r="V52" i="15"/>
  <c r="V53" i="15"/>
  <c r="V43" i="15"/>
  <c r="V45" i="15"/>
  <c r="V47" i="15"/>
  <c r="V48" i="15"/>
  <c r="V49" i="15"/>
  <c r="V59" i="15"/>
  <c r="V60" i="15"/>
  <c r="V61" i="15"/>
  <c r="V62" i="15"/>
  <c r="V64" i="15"/>
  <c r="V65" i="15"/>
  <c r="V102" i="15"/>
  <c r="V66" i="15"/>
  <c r="V67" i="15"/>
  <c r="V68" i="15"/>
  <c r="V58" i="15"/>
  <c r="V63" i="15"/>
  <c r="V109" i="15"/>
  <c r="V74" i="15"/>
  <c r="V75" i="15"/>
  <c r="V76" i="15"/>
  <c r="V77" i="15"/>
  <c r="V78" i="15"/>
  <c r="V79" i="15"/>
  <c r="V80" i="15"/>
  <c r="V81" i="15"/>
  <c r="V82" i="15"/>
  <c r="V83" i="15"/>
  <c r="V85" i="15"/>
  <c r="V90" i="15"/>
  <c r="V91" i="15"/>
  <c r="V93" i="15"/>
  <c r="V95" i="15"/>
  <c r="V70" i="15"/>
  <c r="V71" i="15"/>
  <c r="V73" i="15"/>
  <c r="V104" i="15"/>
  <c r="V105" i="15"/>
  <c r="V106" i="15"/>
  <c r="V107" i="15"/>
  <c r="V108" i="15"/>
  <c r="V110" i="15"/>
  <c r="V72" i="15"/>
  <c r="V112" i="15"/>
  <c r="V113" i="15"/>
  <c r="V115" i="15"/>
  <c r="V84" i="15"/>
  <c r="V116" i="15"/>
  <c r="V117" i="15"/>
  <c r="V86" i="15"/>
  <c r="V87" i="15"/>
  <c r="V88" i="15"/>
  <c r="V89" i="15"/>
  <c r="V92" i="15"/>
  <c r="V94" i="15"/>
  <c r="V96" i="15"/>
  <c r="V97" i="15"/>
  <c r="V69" i="15"/>
  <c r="V103" i="15"/>
  <c r="V111" i="15"/>
  <c r="V114" i="15"/>
  <c r="V100" i="15"/>
  <c r="V101" i="15"/>
  <c r="V195" i="15"/>
  <c r="V98" i="15"/>
  <c r="V99" i="15"/>
  <c r="V125" i="15"/>
  <c r="V128" i="15"/>
  <c r="V130" i="15"/>
  <c r="V141" i="15"/>
  <c r="V122" i="15"/>
  <c r="V123" i="15"/>
  <c r="V124" i="15"/>
  <c r="V126" i="15"/>
  <c r="V127" i="15"/>
  <c r="V129" i="15"/>
  <c r="V131" i="15"/>
  <c r="V132" i="15"/>
  <c r="V133" i="15"/>
  <c r="V134" i="15"/>
  <c r="V135" i="15"/>
  <c r="V136" i="15"/>
  <c r="V137" i="15"/>
  <c r="V138" i="15"/>
  <c r="V139" i="15"/>
  <c r="V160" i="15"/>
  <c r="V140" i="15"/>
  <c r="V162" i="15"/>
  <c r="V142" i="15"/>
  <c r="V164" i="15"/>
  <c r="V165" i="15"/>
  <c r="V143" i="15"/>
  <c r="V167" i="15"/>
  <c r="V144" i="15"/>
  <c r="V145" i="15"/>
  <c r="V146" i="15"/>
  <c r="V147" i="15"/>
  <c r="V172" i="15"/>
  <c r="V148" i="15"/>
  <c r="V149" i="15"/>
  <c r="V150" i="15"/>
  <c r="V151" i="15"/>
  <c r="V152" i="15"/>
  <c r="V153" i="15"/>
  <c r="V154" i="15"/>
  <c r="V155" i="15"/>
  <c r="V156" i="15"/>
  <c r="V157" i="15"/>
  <c r="V158" i="15"/>
  <c r="V159" i="15"/>
  <c r="V161" i="15"/>
  <c r="V163" i="15"/>
  <c r="V166" i="15"/>
  <c r="V168" i="15"/>
  <c r="V169" i="15"/>
  <c r="V171" i="15"/>
  <c r="V173" i="15"/>
  <c r="V174" i="15"/>
  <c r="V183" i="15"/>
  <c r="V184" i="15"/>
  <c r="V185" i="15"/>
  <c r="V186" i="15"/>
  <c r="V187" i="15"/>
  <c r="V191" i="15"/>
  <c r="V192" i="15"/>
  <c r="V193" i="15"/>
  <c r="V182" i="15"/>
  <c r="V188" i="15"/>
  <c r="V189" i="15"/>
  <c r="V190" i="15"/>
  <c r="V118" i="15"/>
  <c r="V120" i="15"/>
  <c r="V194" i="15"/>
  <c r="V196" i="15"/>
  <c r="V197" i="15"/>
  <c r="V121" i="15"/>
  <c r="V198" i="15"/>
  <c r="V199" i="15"/>
  <c r="V200" i="15"/>
  <c r="V201" i="15"/>
  <c r="V202" i="15"/>
  <c r="V203" i="15"/>
  <c r="V205" i="15"/>
  <c r="V206" i="15"/>
  <c r="V207" i="15"/>
  <c r="V208" i="15"/>
  <c r="V209" i="15"/>
  <c r="V210" i="15"/>
  <c r="V211" i="15"/>
  <c r="V212" i="15"/>
  <c r="V213" i="15"/>
  <c r="V214" i="15"/>
  <c r="V215" i="15"/>
  <c r="V216" i="15"/>
  <c r="V217" i="15"/>
  <c r="V218" i="15"/>
  <c r="V219" i="15"/>
  <c r="V220" i="15"/>
  <c r="V221" i="15"/>
  <c r="V222" i="15"/>
  <c r="V223" i="15"/>
  <c r="V224" i="15"/>
  <c r="V225" i="15"/>
  <c r="V226" i="15"/>
  <c r="V119" i="15"/>
  <c r="V204" i="15"/>
  <c r="V170" i="15"/>
  <c r="V175" i="15"/>
  <c r="V176" i="15"/>
  <c r="V177" i="15"/>
  <c r="V178" i="15"/>
  <c r="V179" i="15"/>
  <c r="V180" i="15"/>
  <c r="V181" i="15"/>
  <c r="V228" i="15"/>
  <c r="V229" i="15"/>
  <c r="V304" i="15"/>
  <c r="V231" i="15"/>
  <c r="V232" i="15"/>
  <c r="V233" i="15"/>
  <c r="V234" i="15"/>
  <c r="V235" i="15"/>
  <c r="V238" i="15"/>
  <c r="V305" i="15"/>
  <c r="V306" i="15"/>
  <c r="V307" i="15"/>
  <c r="V308" i="15"/>
  <c r="V309" i="15"/>
  <c r="V312" i="15"/>
  <c r="V313" i="15"/>
  <c r="V246" i="15"/>
  <c r="V315" i="15"/>
  <c r="V316" i="15"/>
  <c r="V248" i="15"/>
  <c r="V249" i="15"/>
  <c r="V250" i="15"/>
  <c r="V251" i="15"/>
  <c r="V230" i="15"/>
  <c r="V247" i="15"/>
  <c r="V256" i="15"/>
  <c r="V255" i="15"/>
  <c r="V257" i="15"/>
  <c r="V258" i="15"/>
  <c r="V259" i="15"/>
  <c r="V260" i="15"/>
  <c r="V261" i="15"/>
  <c r="V262" i="15"/>
  <c r="V263" i="15"/>
  <c r="V264" i="15"/>
  <c r="V271" i="15"/>
  <c r="V272" i="15"/>
  <c r="V274" i="15"/>
  <c r="V275" i="15"/>
  <c r="V276" i="15"/>
  <c r="V277" i="15"/>
  <c r="V281" i="15"/>
  <c r="V282" i="15"/>
  <c r="V283" i="15"/>
  <c r="V284" i="15"/>
  <c r="V285" i="15"/>
  <c r="V286" i="15"/>
  <c r="V227" i="15"/>
  <c r="V236" i="15"/>
  <c r="V237" i="15"/>
  <c r="V239" i="15"/>
  <c r="V240" i="15"/>
  <c r="V241" i="15"/>
  <c r="V242" i="15"/>
  <c r="V243" i="15"/>
  <c r="V244" i="15"/>
  <c r="V310" i="15"/>
  <c r="V311" i="15"/>
  <c r="V314" i="15"/>
  <c r="V245" i="15"/>
  <c r="V252" i="15"/>
  <c r="V265" i="15"/>
  <c r="V266" i="15"/>
  <c r="V267" i="15"/>
  <c r="V273" i="15"/>
  <c r="V278" i="15"/>
  <c r="V279" i="15"/>
  <c r="V280" i="15"/>
  <c r="V287" i="15"/>
  <c r="V288" i="15"/>
  <c r="V289" i="15"/>
  <c r="V290" i="15"/>
  <c r="V291" i="15"/>
  <c r="V292" i="15"/>
  <c r="V293" i="15"/>
  <c r="V294" i="15"/>
  <c r="V295" i="15"/>
  <c r="V296" i="15"/>
  <c r="V297" i="15"/>
  <c r="V298" i="15"/>
  <c r="V253" i="15"/>
  <c r="V254" i="15"/>
  <c r="V317" i="15"/>
  <c r="V318" i="15"/>
  <c r="V319" i="15"/>
  <c r="V320" i="15"/>
  <c r="V321" i="15"/>
  <c r="V322" i="15"/>
  <c r="V344" i="15"/>
  <c r="V270" i="15"/>
  <c r="V345" i="15"/>
  <c r="V347" i="15"/>
  <c r="V300" i="15"/>
  <c r="V353" i="15"/>
  <c r="V355" i="15"/>
  <c r="V302" i="15"/>
  <c r="V356" i="15"/>
  <c r="W3" i="15"/>
  <c r="W4" i="15"/>
  <c r="W5" i="15"/>
  <c r="W6" i="15"/>
  <c r="W7" i="15"/>
  <c r="W8" i="15"/>
  <c r="W14" i="15"/>
  <c r="W16" i="15"/>
  <c r="W54" i="15"/>
  <c r="W18" i="15"/>
  <c r="W20" i="15"/>
  <c r="W23" i="15"/>
  <c r="W9" i="15"/>
  <c r="W10" i="15"/>
  <c r="W11" i="15"/>
  <c r="W12" i="15"/>
  <c r="W13" i="15"/>
  <c r="W303" i="15"/>
  <c r="W357" i="15"/>
  <c r="W17" i="15"/>
  <c r="W19" i="15"/>
  <c r="W21" i="15"/>
  <c r="W22" i="15"/>
  <c r="W15" i="15"/>
  <c r="W27" i="15"/>
  <c r="W29" i="15"/>
  <c r="W30" i="15"/>
  <c r="W31" i="15"/>
  <c r="W33" i="15"/>
  <c r="W34" i="15"/>
  <c r="W35" i="15"/>
  <c r="W36" i="15"/>
  <c r="W37" i="15"/>
  <c r="W38" i="15"/>
  <c r="W39" i="15"/>
  <c r="W40" i="15"/>
  <c r="W41" i="15"/>
  <c r="W28" i="15"/>
  <c r="W32" i="15"/>
  <c r="W55" i="15"/>
  <c r="W24" i="15"/>
  <c r="W25" i="15"/>
  <c r="W26" i="15"/>
  <c r="W56" i="15"/>
  <c r="W57" i="15"/>
  <c r="W42" i="15"/>
  <c r="W44" i="15"/>
  <c r="W46" i="15"/>
  <c r="W50" i="15"/>
  <c r="W51" i="15"/>
  <c r="W52" i="15"/>
  <c r="W53" i="15"/>
  <c r="W43" i="15"/>
  <c r="W45" i="15"/>
  <c r="W47" i="15"/>
  <c r="W48" i="15"/>
  <c r="W49" i="15"/>
  <c r="W59" i="15"/>
  <c r="W60" i="15"/>
  <c r="W61" i="15"/>
  <c r="W62" i="15"/>
  <c r="W64" i="15"/>
  <c r="W65" i="15"/>
  <c r="W102" i="15"/>
  <c r="W66" i="15"/>
  <c r="W67" i="15"/>
  <c r="W68" i="15"/>
  <c r="W58" i="15"/>
  <c r="W63" i="15"/>
  <c r="W109" i="15"/>
  <c r="W74" i="15"/>
  <c r="W75" i="15"/>
  <c r="W76" i="15"/>
  <c r="W77" i="15"/>
  <c r="W78" i="15"/>
  <c r="W79" i="15"/>
  <c r="W80" i="15"/>
  <c r="W81" i="15"/>
  <c r="W82" i="15"/>
  <c r="W83" i="15"/>
  <c r="W85" i="15"/>
  <c r="W90" i="15"/>
  <c r="W91" i="15"/>
  <c r="W93" i="15"/>
  <c r="W95" i="15"/>
  <c r="W70" i="15"/>
  <c r="W71" i="15"/>
  <c r="W73" i="15"/>
  <c r="W104" i="15"/>
  <c r="W105" i="15"/>
  <c r="W106" i="15"/>
  <c r="W107" i="15"/>
  <c r="W108" i="15"/>
  <c r="W110" i="15"/>
  <c r="W72" i="15"/>
  <c r="W112" i="15"/>
  <c r="W113" i="15"/>
  <c r="W115" i="15"/>
  <c r="W84" i="15"/>
  <c r="W116" i="15"/>
  <c r="W117" i="15"/>
  <c r="W86" i="15"/>
  <c r="W87" i="15"/>
  <c r="W88" i="15"/>
  <c r="W89" i="15"/>
  <c r="W92" i="15"/>
  <c r="W94" i="15"/>
  <c r="W96" i="15"/>
  <c r="W97" i="15"/>
  <c r="W69" i="15"/>
  <c r="W103" i="15"/>
  <c r="W111" i="15"/>
  <c r="W114" i="15"/>
  <c r="W100" i="15"/>
  <c r="W101" i="15"/>
  <c r="W195" i="15"/>
  <c r="W98" i="15"/>
  <c r="W99" i="15"/>
  <c r="W125" i="15"/>
  <c r="W128" i="15"/>
  <c r="W130" i="15"/>
  <c r="W141" i="15"/>
  <c r="W122" i="15"/>
  <c r="W123" i="15"/>
  <c r="W124" i="15"/>
  <c r="W126" i="15"/>
  <c r="W127" i="15"/>
  <c r="W129" i="15"/>
  <c r="W131" i="15"/>
  <c r="W132" i="15"/>
  <c r="W133" i="15"/>
  <c r="W134" i="15"/>
  <c r="W135" i="15"/>
  <c r="W136" i="15"/>
  <c r="W137" i="15"/>
  <c r="W138" i="15"/>
  <c r="W139" i="15"/>
  <c r="W160" i="15"/>
  <c r="W140" i="15"/>
  <c r="W162" i="15"/>
  <c r="W142" i="15"/>
  <c r="W164" i="15"/>
  <c r="W165" i="15"/>
  <c r="W143" i="15"/>
  <c r="W167" i="15"/>
  <c r="W144" i="15"/>
  <c r="W145" i="15"/>
  <c r="W146" i="15"/>
  <c r="W147" i="15"/>
  <c r="W172" i="15"/>
  <c r="W148" i="15"/>
  <c r="W149" i="15"/>
  <c r="W150" i="15"/>
  <c r="W151" i="15"/>
  <c r="W152" i="15"/>
  <c r="W153" i="15"/>
  <c r="W154" i="15"/>
  <c r="W155" i="15"/>
  <c r="W156" i="15"/>
  <c r="W157" i="15"/>
  <c r="W158" i="15"/>
  <c r="W159" i="15"/>
  <c r="W161" i="15"/>
  <c r="W163" i="15"/>
  <c r="W166" i="15"/>
  <c r="W168" i="15"/>
  <c r="W169" i="15"/>
  <c r="W171" i="15"/>
  <c r="W173" i="15"/>
  <c r="W174" i="15"/>
  <c r="W183" i="15"/>
  <c r="W184" i="15"/>
  <c r="W185" i="15"/>
  <c r="W186" i="15"/>
  <c r="W187" i="15"/>
  <c r="W191" i="15"/>
  <c r="W192" i="15"/>
  <c r="W193" i="15"/>
  <c r="W182" i="15"/>
  <c r="W188" i="15"/>
  <c r="W189" i="15"/>
  <c r="W190" i="15"/>
  <c r="W118" i="15"/>
  <c r="W120" i="15"/>
  <c r="W194" i="15"/>
  <c r="W196" i="15"/>
  <c r="W197" i="15"/>
  <c r="W121" i="15"/>
  <c r="W198" i="15"/>
  <c r="W199" i="15"/>
  <c r="W200" i="15"/>
  <c r="W201" i="15"/>
  <c r="W202" i="15"/>
  <c r="W203" i="15"/>
  <c r="W205" i="15"/>
  <c r="W206" i="15"/>
  <c r="W207" i="15"/>
  <c r="W208" i="15"/>
  <c r="W209" i="15"/>
  <c r="W210" i="15"/>
  <c r="W211" i="15"/>
  <c r="W212" i="15"/>
  <c r="W213" i="15"/>
  <c r="W214" i="15"/>
  <c r="W215" i="15"/>
  <c r="W216" i="15"/>
  <c r="W217" i="15"/>
  <c r="W218" i="15"/>
  <c r="W219" i="15"/>
  <c r="W220" i="15"/>
  <c r="W221" i="15"/>
  <c r="W222" i="15"/>
  <c r="W223" i="15"/>
  <c r="W224" i="15"/>
  <c r="W225" i="15"/>
  <c r="W226" i="15"/>
  <c r="W119" i="15"/>
  <c r="W204" i="15"/>
  <c r="W170" i="15"/>
  <c r="W175" i="15"/>
  <c r="W176" i="15"/>
  <c r="W177" i="15"/>
  <c r="W178" i="15"/>
  <c r="W179" i="15"/>
  <c r="W180" i="15"/>
  <c r="W181" i="15"/>
  <c r="W228" i="15"/>
  <c r="W229" i="15"/>
  <c r="W304" i="15"/>
  <c r="W231" i="15"/>
  <c r="W232" i="15"/>
  <c r="W233" i="15"/>
  <c r="W234" i="15"/>
  <c r="W235" i="15"/>
  <c r="W238" i="15"/>
  <c r="W305" i="15"/>
  <c r="W306" i="15"/>
  <c r="W307" i="15"/>
  <c r="W308" i="15"/>
  <c r="W309" i="15"/>
  <c r="W312" i="15"/>
  <c r="W313" i="15"/>
  <c r="W246" i="15"/>
  <c r="W315" i="15"/>
  <c r="W316" i="15"/>
  <c r="W248" i="15"/>
  <c r="W249" i="15"/>
  <c r="W250" i="15"/>
  <c r="W251" i="15"/>
  <c r="W230" i="15"/>
  <c r="W247" i="15"/>
  <c r="W256" i="15"/>
  <c r="W255" i="15"/>
  <c r="W257" i="15"/>
  <c r="W258" i="15"/>
  <c r="W259" i="15"/>
  <c r="W260" i="15"/>
  <c r="W261" i="15"/>
  <c r="W262" i="15"/>
  <c r="W263" i="15"/>
  <c r="W264" i="15"/>
  <c r="W271" i="15"/>
  <c r="W272" i="15"/>
  <c r="W274" i="15"/>
  <c r="W275" i="15"/>
  <c r="W276" i="15"/>
  <c r="W277" i="15"/>
  <c r="W281" i="15"/>
  <c r="W282" i="15"/>
  <c r="W283" i="15"/>
  <c r="W284" i="15"/>
  <c r="W285" i="15"/>
  <c r="W286" i="15"/>
  <c r="W227" i="15"/>
  <c r="W236" i="15"/>
  <c r="W237" i="15"/>
  <c r="W239" i="15"/>
  <c r="W240" i="15"/>
  <c r="W241" i="15"/>
  <c r="W242" i="15"/>
  <c r="W243" i="15"/>
  <c r="W244" i="15"/>
  <c r="W310" i="15"/>
  <c r="W311" i="15"/>
  <c r="W314" i="15"/>
  <c r="W245" i="15"/>
  <c r="W252" i="15"/>
  <c r="W265" i="15"/>
  <c r="W266" i="15"/>
  <c r="W267" i="15"/>
  <c r="W273" i="15"/>
  <c r="W278" i="15"/>
  <c r="W279" i="15"/>
  <c r="W280" i="15"/>
  <c r="W287" i="15"/>
  <c r="W288" i="15"/>
  <c r="W289" i="15"/>
  <c r="W290" i="15"/>
  <c r="W291" i="15"/>
  <c r="W292" i="15"/>
  <c r="W293" i="15"/>
  <c r="W294" i="15"/>
  <c r="W295" i="15"/>
  <c r="W296" i="15"/>
  <c r="W297" i="15"/>
  <c r="W298" i="15"/>
  <c r="W253" i="15"/>
  <c r="W254" i="15"/>
  <c r="W317" i="15"/>
  <c r="W318" i="15"/>
  <c r="W319" i="15"/>
  <c r="W320" i="15"/>
  <c r="W321" i="15"/>
  <c r="W322" i="15"/>
  <c r="W344" i="15"/>
  <c r="W270" i="15"/>
  <c r="W345" i="15"/>
  <c r="W347" i="15"/>
  <c r="W300" i="15"/>
  <c r="W353" i="15"/>
  <c r="W355" i="15"/>
  <c r="W302" i="15"/>
  <c r="W356" i="15"/>
  <c r="X2" i="14"/>
  <c r="X3" i="14"/>
  <c r="X4" i="14"/>
  <c r="X5" i="14"/>
  <c r="X6" i="14"/>
  <c r="X7" i="14"/>
  <c r="X8" i="14"/>
  <c r="X27" i="14"/>
  <c r="X28" i="14"/>
  <c r="X29" i="14"/>
  <c r="X30" i="14"/>
  <c r="X31" i="14"/>
  <c r="X32" i="14"/>
  <c r="X33" i="14"/>
  <c r="X34" i="14"/>
  <c r="X35" i="14"/>
  <c r="X36" i="14"/>
  <c r="X37" i="14"/>
  <c r="X38" i="14"/>
  <c r="X39" i="14"/>
  <c r="X40" i="14"/>
  <c r="X41" i="14"/>
  <c r="X42" i="14"/>
  <c r="X43" i="14"/>
  <c r="X44" i="14"/>
  <c r="X45" i="14"/>
  <c r="X46" i="14"/>
  <c r="X47" i="14"/>
  <c r="X48" i="14"/>
  <c r="X49" i="14"/>
  <c r="X50" i="14"/>
  <c r="X51" i="14"/>
  <c r="X52" i="14"/>
  <c r="X53" i="14"/>
  <c r="X122" i="14"/>
  <c r="X123" i="14"/>
  <c r="X124" i="14"/>
  <c r="X125" i="14"/>
  <c r="X126" i="14"/>
  <c r="X127" i="14"/>
  <c r="X128" i="14"/>
  <c r="X129" i="14"/>
  <c r="X130" i="14"/>
  <c r="X131" i="14"/>
  <c r="X132" i="14"/>
  <c r="X133" i="14"/>
  <c r="X134" i="14"/>
  <c r="X135" i="14"/>
  <c r="X136" i="14"/>
  <c r="X137" i="14"/>
  <c r="X138" i="14"/>
  <c r="X139" i="14"/>
  <c r="X140" i="14"/>
  <c r="X141" i="14"/>
  <c r="X142" i="14"/>
  <c r="X143" i="14"/>
  <c r="X144" i="14"/>
  <c r="X145" i="14"/>
  <c r="X146" i="14"/>
  <c r="X147" i="14"/>
  <c r="X148" i="14"/>
  <c r="X149" i="14"/>
  <c r="X150" i="14"/>
  <c r="X151" i="14"/>
  <c r="X152" i="14"/>
  <c r="X153" i="14"/>
  <c r="X154" i="14"/>
  <c r="X155" i="14"/>
  <c r="X156" i="14"/>
  <c r="X255" i="14"/>
  <c r="X256" i="14"/>
  <c r="X257" i="14"/>
  <c r="X258" i="14"/>
  <c r="X259" i="14"/>
  <c r="X260" i="14"/>
  <c r="X261" i="14"/>
  <c r="X262" i="14"/>
  <c r="X263" i="14"/>
  <c r="X9" i="14"/>
  <c r="X73" i="14"/>
  <c r="X74" i="14"/>
  <c r="X75" i="14"/>
  <c r="X76" i="14"/>
  <c r="X77" i="14"/>
  <c r="X78" i="14"/>
  <c r="X79" i="14"/>
  <c r="X80" i="14"/>
  <c r="X81" i="14"/>
  <c r="X82" i="14"/>
  <c r="X83" i="14"/>
  <c r="X84" i="14"/>
  <c r="X264" i="14"/>
  <c r="X10" i="14"/>
  <c r="X11" i="14"/>
  <c r="X12" i="14"/>
  <c r="X13" i="14"/>
  <c r="X265" i="14"/>
  <c r="X266" i="14"/>
  <c r="X267" i="14"/>
  <c r="X268" i="14"/>
  <c r="X269" i="14"/>
  <c r="X342" i="14"/>
  <c r="X343" i="14"/>
  <c r="X344" i="14"/>
  <c r="X270" i="14"/>
  <c r="X85" i="14"/>
  <c r="X86" i="14"/>
  <c r="X87" i="14"/>
  <c r="X88" i="14"/>
  <c r="X89" i="14"/>
  <c r="X90" i="14"/>
  <c r="X91" i="14"/>
  <c r="X92" i="14"/>
  <c r="X93" i="14"/>
  <c r="X94" i="14"/>
  <c r="X95" i="14"/>
  <c r="X157" i="14"/>
  <c r="X158" i="14"/>
  <c r="X159" i="14"/>
  <c r="X160" i="14"/>
  <c r="X161" i="14"/>
  <c r="X162" i="14"/>
  <c r="X163" i="14"/>
  <c r="X164" i="14"/>
  <c r="X165" i="14"/>
  <c r="X166" i="14"/>
  <c r="X167" i="14"/>
  <c r="X168" i="14"/>
  <c r="X169" i="14"/>
  <c r="X170" i="14"/>
  <c r="X171" i="14"/>
  <c r="X172" i="14"/>
  <c r="X173" i="14"/>
  <c r="X174" i="14"/>
  <c r="X175" i="14"/>
  <c r="X271" i="14"/>
  <c r="X272" i="14"/>
  <c r="X273" i="14"/>
  <c r="X274" i="14"/>
  <c r="X176" i="14"/>
  <c r="X177" i="14"/>
  <c r="X178" i="14"/>
  <c r="X275" i="14"/>
  <c r="X276" i="14"/>
  <c r="X277" i="14"/>
  <c r="X179" i="14"/>
  <c r="X180" i="14"/>
  <c r="X278" i="14"/>
  <c r="X279" i="14"/>
  <c r="X280" i="14"/>
  <c r="X345" i="14"/>
  <c r="X346" i="14"/>
  <c r="X96" i="14"/>
  <c r="X97" i="14"/>
  <c r="X181" i="14"/>
  <c r="X98" i="14"/>
  <c r="X182" i="14"/>
  <c r="X183" i="14"/>
  <c r="X184" i="14"/>
  <c r="X185" i="14"/>
  <c r="X281" i="14"/>
  <c r="X186" i="14"/>
  <c r="X187" i="14"/>
  <c r="X188" i="14"/>
  <c r="X189" i="14"/>
  <c r="X190" i="14"/>
  <c r="X191" i="14"/>
  <c r="X99" i="14"/>
  <c r="X192" i="14"/>
  <c r="X100" i="14"/>
  <c r="X101" i="14"/>
  <c r="X193" i="14"/>
  <c r="X282" i="14"/>
  <c r="X283" i="14"/>
  <c r="X284" i="14"/>
  <c r="X285" i="14"/>
  <c r="X286" i="14"/>
  <c r="X287" i="14"/>
  <c r="X288" i="14"/>
  <c r="X289" i="14"/>
  <c r="X290" i="14"/>
  <c r="X291" i="14"/>
  <c r="X292" i="14"/>
  <c r="X293" i="14"/>
  <c r="X294" i="14"/>
  <c r="X295" i="14"/>
  <c r="X296" i="14"/>
  <c r="X297" i="14"/>
  <c r="X298" i="14"/>
  <c r="X299" i="14"/>
  <c r="X347" i="14"/>
  <c r="X300" i="14"/>
  <c r="X348" i="14"/>
  <c r="X349" i="14"/>
  <c r="X350" i="14"/>
  <c r="X301" i="14"/>
  <c r="X351" i="14"/>
  <c r="X352" i="14"/>
  <c r="X353" i="14"/>
  <c r="X354" i="14"/>
  <c r="X355" i="14"/>
  <c r="X302" i="14"/>
  <c r="X356" i="14"/>
  <c r="X303" i="14"/>
  <c r="X357" i="14"/>
  <c r="X14" i="14"/>
  <c r="X15" i="14"/>
  <c r="X16" i="14"/>
  <c r="X17" i="14"/>
  <c r="X54" i="14"/>
  <c r="X18" i="14"/>
  <c r="X19" i="14"/>
  <c r="X20" i="14"/>
  <c r="X21" i="14"/>
  <c r="X22" i="14"/>
  <c r="X23" i="14"/>
  <c r="X24" i="14"/>
  <c r="X25" i="14"/>
  <c r="X26" i="14"/>
  <c r="X55" i="14"/>
  <c r="X56" i="14"/>
  <c r="X57" i="14"/>
  <c r="X58" i="14"/>
  <c r="X59" i="14"/>
  <c r="X60" i="14"/>
  <c r="X61" i="14"/>
  <c r="X62" i="14"/>
  <c r="X63" i="14"/>
  <c r="X64" i="14"/>
  <c r="X65" i="14"/>
  <c r="X102" i="14"/>
  <c r="X66" i="14"/>
  <c r="X67" i="14"/>
  <c r="X68" i="14"/>
  <c r="X69" i="14"/>
  <c r="X70" i="14"/>
  <c r="X71" i="14"/>
  <c r="X103" i="14"/>
  <c r="X104" i="14"/>
  <c r="X105" i="14"/>
  <c r="X106" i="14"/>
  <c r="X107" i="14"/>
  <c r="X108" i="14"/>
  <c r="X109" i="14"/>
  <c r="X110" i="14"/>
  <c r="X111" i="14"/>
  <c r="X72" i="14"/>
  <c r="X112" i="14"/>
  <c r="X113" i="14"/>
  <c r="X114" i="14"/>
  <c r="X115" i="14"/>
  <c r="X116" i="14"/>
  <c r="X117" i="14"/>
  <c r="X118" i="14"/>
  <c r="X119" i="14"/>
  <c r="X120" i="14"/>
  <c r="X194" i="14"/>
  <c r="X195" i="14"/>
  <c r="X196" i="14"/>
  <c r="X197" i="14"/>
  <c r="X121" i="14"/>
  <c r="X198" i="14"/>
  <c r="X199" i="14"/>
  <c r="X200" i="14"/>
  <c r="X201" i="14"/>
  <c r="X202" i="14"/>
  <c r="X203" i="14"/>
  <c r="X204" i="14"/>
  <c r="X205" i="14"/>
  <c r="X206" i="14"/>
  <c r="X207" i="14"/>
  <c r="X208" i="14"/>
  <c r="X209" i="14"/>
  <c r="X210" i="14"/>
  <c r="X211" i="14"/>
  <c r="X212" i="14"/>
  <c r="X213" i="14"/>
  <c r="X214" i="14"/>
  <c r="X215" i="14"/>
  <c r="X216" i="14"/>
  <c r="X217" i="14"/>
  <c r="X218" i="14"/>
  <c r="X219" i="14"/>
  <c r="X220" i="14"/>
  <c r="X221" i="14"/>
  <c r="X222" i="14"/>
  <c r="X223" i="14"/>
  <c r="X224" i="14"/>
  <c r="X225" i="14"/>
  <c r="X226" i="14"/>
  <c r="X227" i="14"/>
  <c r="X228" i="14"/>
  <c r="X229" i="14"/>
  <c r="X304" i="14"/>
  <c r="X230" i="14"/>
  <c r="X231" i="14"/>
  <c r="X232" i="14"/>
  <c r="X233" i="14"/>
  <c r="X234" i="14"/>
  <c r="X235" i="14"/>
  <c r="X236" i="14"/>
  <c r="X237" i="14"/>
  <c r="X238" i="14"/>
  <c r="X305" i="14"/>
  <c r="X306" i="14"/>
  <c r="X239" i="14"/>
  <c r="X240" i="14"/>
  <c r="X241" i="14"/>
  <c r="X307" i="14"/>
  <c r="X308" i="14"/>
  <c r="X309" i="14"/>
  <c r="X242" i="14"/>
  <c r="X243" i="14"/>
  <c r="X244" i="14"/>
  <c r="X310" i="14"/>
  <c r="X311" i="14"/>
  <c r="X312" i="14"/>
  <c r="X313" i="14"/>
  <c r="X314" i="14"/>
  <c r="X245" i="14"/>
  <c r="X246" i="14"/>
  <c r="X315" i="14"/>
  <c r="X316" i="14"/>
  <c r="X247" i="14"/>
  <c r="X248" i="14"/>
  <c r="X332" i="14"/>
  <c r="X333" i="14"/>
  <c r="W2" i="14"/>
  <c r="W3" i="14"/>
  <c r="W4" i="14"/>
  <c r="W5" i="14"/>
  <c r="W6" i="14"/>
  <c r="W7" i="14"/>
  <c r="W8" i="14"/>
  <c r="W27" i="14"/>
  <c r="W28" i="14"/>
  <c r="W29" i="14"/>
  <c r="W30" i="14"/>
  <c r="W31" i="14"/>
  <c r="W32" i="14"/>
  <c r="W33" i="14"/>
  <c r="W34" i="14"/>
  <c r="W35" i="14"/>
  <c r="W36" i="14"/>
  <c r="W37" i="14"/>
  <c r="W38" i="14"/>
  <c r="W39" i="14"/>
  <c r="W40" i="14"/>
  <c r="W41" i="14"/>
  <c r="W42" i="14"/>
  <c r="W43" i="14"/>
  <c r="W44" i="14"/>
  <c r="W45" i="14"/>
  <c r="W46" i="14"/>
  <c r="W47" i="14"/>
  <c r="W48" i="14"/>
  <c r="W49" i="14"/>
  <c r="W50" i="14"/>
  <c r="W51" i="14"/>
  <c r="W52" i="14"/>
  <c r="W53" i="14"/>
  <c r="W122" i="14"/>
  <c r="W123" i="14"/>
  <c r="W124" i="14"/>
  <c r="W125" i="14"/>
  <c r="W126" i="14"/>
  <c r="W127" i="14"/>
  <c r="W128" i="14"/>
  <c r="W129" i="14"/>
  <c r="W130" i="14"/>
  <c r="W131" i="14"/>
  <c r="W132" i="14"/>
  <c r="W133" i="14"/>
  <c r="W134" i="14"/>
  <c r="W135" i="14"/>
  <c r="W136" i="14"/>
  <c r="W137" i="14"/>
  <c r="W138" i="14"/>
  <c r="W139" i="14"/>
  <c r="W140" i="14"/>
  <c r="W141" i="14"/>
  <c r="W142" i="14"/>
  <c r="W143" i="14"/>
  <c r="W144" i="14"/>
  <c r="W145" i="14"/>
  <c r="W146" i="14"/>
  <c r="W147" i="14"/>
  <c r="W148" i="14"/>
  <c r="W149" i="14"/>
  <c r="W150" i="14"/>
  <c r="W151" i="14"/>
  <c r="W152" i="14"/>
  <c r="W153" i="14"/>
  <c r="W154" i="14"/>
  <c r="W155" i="14"/>
  <c r="W156" i="14"/>
  <c r="W255" i="14"/>
  <c r="W256" i="14"/>
  <c r="W257" i="14"/>
  <c r="W258" i="14"/>
  <c r="W259" i="14"/>
  <c r="W260" i="14"/>
  <c r="W261" i="14"/>
  <c r="W262" i="14"/>
  <c r="W263" i="14"/>
  <c r="W9" i="14"/>
  <c r="W73" i="14"/>
  <c r="W74" i="14"/>
  <c r="W75" i="14"/>
  <c r="W76" i="14"/>
  <c r="W77" i="14"/>
  <c r="W78" i="14"/>
  <c r="W79" i="14"/>
  <c r="W80" i="14"/>
  <c r="W81" i="14"/>
  <c r="W82" i="14"/>
  <c r="W83" i="14"/>
  <c r="W84" i="14"/>
  <c r="W264" i="14"/>
  <c r="W10" i="14"/>
  <c r="W11" i="14"/>
  <c r="W12" i="14"/>
  <c r="W13" i="14"/>
  <c r="W265" i="14"/>
  <c r="W266" i="14"/>
  <c r="W267" i="14"/>
  <c r="W268" i="14"/>
  <c r="W269" i="14"/>
  <c r="W342" i="14"/>
  <c r="W343" i="14"/>
  <c r="W344" i="14"/>
  <c r="W270" i="14"/>
  <c r="W85" i="14"/>
  <c r="W86" i="14"/>
  <c r="W87" i="14"/>
  <c r="W88" i="14"/>
  <c r="W89" i="14"/>
  <c r="W90" i="14"/>
  <c r="W91" i="14"/>
  <c r="W92" i="14"/>
  <c r="W93" i="14"/>
  <c r="W94" i="14"/>
  <c r="W95" i="14"/>
  <c r="W157" i="14"/>
  <c r="W158" i="14"/>
  <c r="W159" i="14"/>
  <c r="W160" i="14"/>
  <c r="W161" i="14"/>
  <c r="W162" i="14"/>
  <c r="W163" i="14"/>
  <c r="W164" i="14"/>
  <c r="W165" i="14"/>
  <c r="W166" i="14"/>
  <c r="W167" i="14"/>
  <c r="W168" i="14"/>
  <c r="W169" i="14"/>
  <c r="W170" i="14"/>
  <c r="W171" i="14"/>
  <c r="W172" i="14"/>
  <c r="W173" i="14"/>
  <c r="W174" i="14"/>
  <c r="W175" i="14"/>
  <c r="W271" i="14"/>
  <c r="W272" i="14"/>
  <c r="W273" i="14"/>
  <c r="W274" i="14"/>
  <c r="W176" i="14"/>
  <c r="W177" i="14"/>
  <c r="W178" i="14"/>
  <c r="W275" i="14"/>
  <c r="W276" i="14"/>
  <c r="W277" i="14"/>
  <c r="W179" i="14"/>
  <c r="W180" i="14"/>
  <c r="W278" i="14"/>
  <c r="W279" i="14"/>
  <c r="W280" i="14"/>
  <c r="W345" i="14"/>
  <c r="W346" i="14"/>
  <c r="W96" i="14"/>
  <c r="W97" i="14"/>
  <c r="W181" i="14"/>
  <c r="W98" i="14"/>
  <c r="W182" i="14"/>
  <c r="W183" i="14"/>
  <c r="W184" i="14"/>
  <c r="W185" i="14"/>
  <c r="W281" i="14"/>
  <c r="W186" i="14"/>
  <c r="W187" i="14"/>
  <c r="W188" i="14"/>
  <c r="W189" i="14"/>
  <c r="W190" i="14"/>
  <c r="W191" i="14"/>
  <c r="W99" i="14"/>
  <c r="W192" i="14"/>
  <c r="W100" i="14"/>
  <c r="W101" i="14"/>
  <c r="W193" i="14"/>
  <c r="W282" i="14"/>
  <c r="W283" i="14"/>
  <c r="W284" i="14"/>
  <c r="W285" i="14"/>
  <c r="W286" i="14"/>
  <c r="W287" i="14"/>
  <c r="W288" i="14"/>
  <c r="W289" i="14"/>
  <c r="W290" i="14"/>
  <c r="W291" i="14"/>
  <c r="W292" i="14"/>
  <c r="W293" i="14"/>
  <c r="W294" i="14"/>
  <c r="W295" i="14"/>
  <c r="W296" i="14"/>
  <c r="W297" i="14"/>
  <c r="W298" i="14"/>
  <c r="W299" i="14"/>
  <c r="W347" i="14"/>
  <c r="W300" i="14"/>
  <c r="W348" i="14"/>
  <c r="W349" i="14"/>
  <c r="W350" i="14"/>
  <c r="W301" i="14"/>
  <c r="W351" i="14"/>
  <c r="W352" i="14"/>
  <c r="W353" i="14"/>
  <c r="W354" i="14"/>
  <c r="W355" i="14"/>
  <c r="W302" i="14"/>
  <c r="W356" i="14"/>
  <c r="W303" i="14"/>
  <c r="W357" i="14"/>
  <c r="W14" i="14"/>
  <c r="W15" i="14"/>
  <c r="W16" i="14"/>
  <c r="W17" i="14"/>
  <c r="W54" i="14"/>
  <c r="W18" i="14"/>
  <c r="W19" i="14"/>
  <c r="W20" i="14"/>
  <c r="W21" i="14"/>
  <c r="W22" i="14"/>
  <c r="W23" i="14"/>
  <c r="W24" i="14"/>
  <c r="W25" i="14"/>
  <c r="W26" i="14"/>
  <c r="W55" i="14"/>
  <c r="W56" i="14"/>
  <c r="W57" i="14"/>
  <c r="W58" i="14"/>
  <c r="W59" i="14"/>
  <c r="W60" i="14"/>
  <c r="W61" i="14"/>
  <c r="W62" i="14"/>
  <c r="W63" i="14"/>
  <c r="W64" i="14"/>
  <c r="W65" i="14"/>
  <c r="W102" i="14"/>
  <c r="W66" i="14"/>
  <c r="W67" i="14"/>
  <c r="W68" i="14"/>
  <c r="W69" i="14"/>
  <c r="W70" i="14"/>
  <c r="W71" i="14"/>
  <c r="W103" i="14"/>
  <c r="W104" i="14"/>
  <c r="W105" i="14"/>
  <c r="W106" i="14"/>
  <c r="W107" i="14"/>
  <c r="W108" i="14"/>
  <c r="W109" i="14"/>
  <c r="W110" i="14"/>
  <c r="W111" i="14"/>
  <c r="W72" i="14"/>
  <c r="W112" i="14"/>
  <c r="W113" i="14"/>
  <c r="W114" i="14"/>
  <c r="W115" i="14"/>
  <c r="W116" i="14"/>
  <c r="W117" i="14"/>
  <c r="W118" i="14"/>
  <c r="W119" i="14"/>
  <c r="W120" i="14"/>
  <c r="W194" i="14"/>
  <c r="W195" i="14"/>
  <c r="W196" i="14"/>
  <c r="W197" i="14"/>
  <c r="W121" i="14"/>
  <c r="W198" i="14"/>
  <c r="W199" i="14"/>
  <c r="W200" i="14"/>
  <c r="W201" i="14"/>
  <c r="W202" i="14"/>
  <c r="W203" i="14"/>
  <c r="W204" i="14"/>
  <c r="W205" i="14"/>
  <c r="W206" i="14"/>
  <c r="W207" i="14"/>
  <c r="W208" i="14"/>
  <c r="W209" i="14"/>
  <c r="W210" i="14"/>
  <c r="W211" i="14"/>
  <c r="W212" i="14"/>
  <c r="W213" i="14"/>
  <c r="W214" i="14"/>
  <c r="W215" i="14"/>
  <c r="W216" i="14"/>
  <c r="W217" i="14"/>
  <c r="W218" i="14"/>
  <c r="W219" i="14"/>
  <c r="W220" i="14"/>
  <c r="W221" i="14"/>
  <c r="W222" i="14"/>
  <c r="W223" i="14"/>
  <c r="W224" i="14"/>
  <c r="W225" i="14"/>
  <c r="W226" i="14"/>
  <c r="W227" i="14"/>
  <c r="W228" i="14"/>
  <c r="W229" i="14"/>
  <c r="W304" i="14"/>
  <c r="W230" i="14"/>
  <c r="W231" i="14"/>
  <c r="W232" i="14"/>
  <c r="W233" i="14"/>
  <c r="W234" i="14"/>
  <c r="W235" i="14"/>
  <c r="W236" i="14"/>
  <c r="W237" i="14"/>
  <c r="W238" i="14"/>
  <c r="W305" i="14"/>
  <c r="W306" i="14"/>
  <c r="W239" i="14"/>
  <c r="W240" i="14"/>
  <c r="W241" i="14"/>
  <c r="W307" i="14"/>
  <c r="W308" i="14"/>
  <c r="W309" i="14"/>
  <c r="W242" i="14"/>
  <c r="W243" i="14"/>
  <c r="W244" i="14"/>
  <c r="W310" i="14"/>
  <c r="W311" i="14"/>
  <c r="W312" i="14"/>
  <c r="W313" i="14"/>
  <c r="W314" i="14"/>
  <c r="W245" i="14"/>
  <c r="W246" i="14"/>
  <c r="W315" i="14"/>
  <c r="W316" i="14"/>
  <c r="W247" i="14"/>
  <c r="W248" i="14"/>
  <c r="W332" i="14"/>
  <c r="W333" i="14"/>
  <c r="V2" i="14"/>
  <c r="V3" i="14"/>
  <c r="V4" i="14"/>
  <c r="V5" i="14"/>
  <c r="V6" i="14"/>
  <c r="V7" i="14"/>
  <c r="V8" i="14"/>
  <c r="V27" i="14"/>
  <c r="V28" i="14"/>
  <c r="V29" i="14"/>
  <c r="V30" i="14"/>
  <c r="V31" i="14"/>
  <c r="V32" i="14"/>
  <c r="V33" i="14"/>
  <c r="V34" i="14"/>
  <c r="V35" i="14"/>
  <c r="V36" i="14"/>
  <c r="V37" i="14"/>
  <c r="V38" i="14"/>
  <c r="V39" i="14"/>
  <c r="V40" i="14"/>
  <c r="V41" i="14"/>
  <c r="V42" i="14"/>
  <c r="V43" i="14"/>
  <c r="V44" i="14"/>
  <c r="V45" i="14"/>
  <c r="V46" i="14"/>
  <c r="V47" i="14"/>
  <c r="V48" i="14"/>
  <c r="V49" i="14"/>
  <c r="V50" i="14"/>
  <c r="V51" i="14"/>
  <c r="V52" i="14"/>
  <c r="V53" i="14"/>
  <c r="V122" i="14"/>
  <c r="V123" i="14"/>
  <c r="V124" i="14"/>
  <c r="V125" i="14"/>
  <c r="V126" i="14"/>
  <c r="V127" i="14"/>
  <c r="V128" i="14"/>
  <c r="V129" i="14"/>
  <c r="V130" i="14"/>
  <c r="V131" i="14"/>
  <c r="V132" i="14"/>
  <c r="V133" i="14"/>
  <c r="V134" i="14"/>
  <c r="V135" i="14"/>
  <c r="V136" i="14"/>
  <c r="V137" i="14"/>
  <c r="V138" i="14"/>
  <c r="V139" i="14"/>
  <c r="V140" i="14"/>
  <c r="V141" i="14"/>
  <c r="V142" i="14"/>
  <c r="V143" i="14"/>
  <c r="V144" i="14"/>
  <c r="V145" i="14"/>
  <c r="V146" i="14"/>
  <c r="V147" i="14"/>
  <c r="V148" i="14"/>
  <c r="V149" i="14"/>
  <c r="V150" i="14"/>
  <c r="V151" i="14"/>
  <c r="V152" i="14"/>
  <c r="V153" i="14"/>
  <c r="V154" i="14"/>
  <c r="V155" i="14"/>
  <c r="V156" i="14"/>
  <c r="V255" i="14"/>
  <c r="V256" i="14"/>
  <c r="V257" i="14"/>
  <c r="V258" i="14"/>
  <c r="V259" i="14"/>
  <c r="V260" i="14"/>
  <c r="V261" i="14"/>
  <c r="V262" i="14"/>
  <c r="V263" i="14"/>
  <c r="V9" i="14"/>
  <c r="V73" i="14"/>
  <c r="V74" i="14"/>
  <c r="V75" i="14"/>
  <c r="V76" i="14"/>
  <c r="V77" i="14"/>
  <c r="V78" i="14"/>
  <c r="V79" i="14"/>
  <c r="V80" i="14"/>
  <c r="V81" i="14"/>
  <c r="V82" i="14"/>
  <c r="V83" i="14"/>
  <c r="V84" i="14"/>
  <c r="V264" i="14"/>
  <c r="V10" i="14"/>
  <c r="V11" i="14"/>
  <c r="V12" i="14"/>
  <c r="V13" i="14"/>
  <c r="V265" i="14"/>
  <c r="V266" i="14"/>
  <c r="V267" i="14"/>
  <c r="V268" i="14"/>
  <c r="V269" i="14"/>
  <c r="V342" i="14"/>
  <c r="V343" i="14"/>
  <c r="V344" i="14"/>
  <c r="V270" i="14"/>
  <c r="V85" i="14"/>
  <c r="V86" i="14"/>
  <c r="V87" i="14"/>
  <c r="V88" i="14"/>
  <c r="V89" i="14"/>
  <c r="V90" i="14"/>
  <c r="V91" i="14"/>
  <c r="V92" i="14"/>
  <c r="V93" i="14"/>
  <c r="V94" i="14"/>
  <c r="V95" i="14"/>
  <c r="V157" i="14"/>
  <c r="V158" i="14"/>
  <c r="V159" i="14"/>
  <c r="V160" i="14"/>
  <c r="V161" i="14"/>
  <c r="V162" i="14"/>
  <c r="V163" i="14"/>
  <c r="V164" i="14"/>
  <c r="V165" i="14"/>
  <c r="V166" i="14"/>
  <c r="V167" i="14"/>
  <c r="V168" i="14"/>
  <c r="V169" i="14"/>
  <c r="V170" i="14"/>
  <c r="V171" i="14"/>
  <c r="V172" i="14"/>
  <c r="V173" i="14"/>
  <c r="V174" i="14"/>
  <c r="V175" i="14"/>
  <c r="V271" i="14"/>
  <c r="V272" i="14"/>
  <c r="V273" i="14"/>
  <c r="V274" i="14"/>
  <c r="V176" i="14"/>
  <c r="V177" i="14"/>
  <c r="V178" i="14"/>
  <c r="V275" i="14"/>
  <c r="V276" i="14"/>
  <c r="V277" i="14"/>
  <c r="V179" i="14"/>
  <c r="V180" i="14"/>
  <c r="V278" i="14"/>
  <c r="V279" i="14"/>
  <c r="V280" i="14"/>
  <c r="V345" i="14"/>
  <c r="V346" i="14"/>
  <c r="V96" i="14"/>
  <c r="V97" i="14"/>
  <c r="V181" i="14"/>
  <c r="V98" i="14"/>
  <c r="V182" i="14"/>
  <c r="V183" i="14"/>
  <c r="V184" i="14"/>
  <c r="V185" i="14"/>
  <c r="V281" i="14"/>
  <c r="V186" i="14"/>
  <c r="V187" i="14"/>
  <c r="V188" i="14"/>
  <c r="V189" i="14"/>
  <c r="V190" i="14"/>
  <c r="V191" i="14"/>
  <c r="V99" i="14"/>
  <c r="V192" i="14"/>
  <c r="V100" i="14"/>
  <c r="V101" i="14"/>
  <c r="V193" i="14"/>
  <c r="V282" i="14"/>
  <c r="V283" i="14"/>
  <c r="V284" i="14"/>
  <c r="V285" i="14"/>
  <c r="V286" i="14"/>
  <c r="V287" i="14"/>
  <c r="V288" i="14"/>
  <c r="V289" i="14"/>
  <c r="V290" i="14"/>
  <c r="V291" i="14"/>
  <c r="V292" i="14"/>
  <c r="V293" i="14"/>
  <c r="V294" i="14"/>
  <c r="V295" i="14"/>
  <c r="V296" i="14"/>
  <c r="V297" i="14"/>
  <c r="V298" i="14"/>
  <c r="V299" i="14"/>
  <c r="V347" i="14"/>
  <c r="V300" i="14"/>
  <c r="V348" i="14"/>
  <c r="V349" i="14"/>
  <c r="V350" i="14"/>
  <c r="V301" i="14"/>
  <c r="V351" i="14"/>
  <c r="V352" i="14"/>
  <c r="V353" i="14"/>
  <c r="V354" i="14"/>
  <c r="V355" i="14"/>
  <c r="V302" i="14"/>
  <c r="V356" i="14"/>
  <c r="V303" i="14"/>
  <c r="V357" i="14"/>
  <c r="V14" i="14"/>
  <c r="V15" i="14"/>
  <c r="V16" i="14"/>
  <c r="V17" i="14"/>
  <c r="V54" i="14"/>
  <c r="V18" i="14"/>
  <c r="V19" i="14"/>
  <c r="V20" i="14"/>
  <c r="V21" i="14"/>
  <c r="V22" i="14"/>
  <c r="V23" i="14"/>
  <c r="V24" i="14"/>
  <c r="V25" i="14"/>
  <c r="V26" i="14"/>
  <c r="V55" i="14"/>
  <c r="V56" i="14"/>
  <c r="V57" i="14"/>
  <c r="V58" i="14"/>
  <c r="V59" i="14"/>
  <c r="V60" i="14"/>
  <c r="V61" i="14"/>
  <c r="V62" i="14"/>
  <c r="V63" i="14"/>
  <c r="V64" i="14"/>
  <c r="V65" i="14"/>
  <c r="V102" i="14"/>
  <c r="V66" i="14"/>
  <c r="V67" i="14"/>
  <c r="V68" i="14"/>
  <c r="V69" i="14"/>
  <c r="V70" i="14"/>
  <c r="V71" i="14"/>
  <c r="V103" i="14"/>
  <c r="V104" i="14"/>
  <c r="V105" i="14"/>
  <c r="V106" i="14"/>
  <c r="V107" i="14"/>
  <c r="V108" i="14"/>
  <c r="V109" i="14"/>
  <c r="V110" i="14"/>
  <c r="V111" i="14"/>
  <c r="V72" i="14"/>
  <c r="V112" i="14"/>
  <c r="V113" i="14"/>
  <c r="V114" i="14"/>
  <c r="V115" i="14"/>
  <c r="V116" i="14"/>
  <c r="V117" i="14"/>
  <c r="V118" i="14"/>
  <c r="V119" i="14"/>
  <c r="V120" i="14"/>
  <c r="V194" i="14"/>
  <c r="V195" i="14"/>
  <c r="V196" i="14"/>
  <c r="V197" i="14"/>
  <c r="V121" i="14"/>
  <c r="V198" i="14"/>
  <c r="V199" i="14"/>
  <c r="V200" i="14"/>
  <c r="V201" i="14"/>
  <c r="V202" i="14"/>
  <c r="V203" i="14"/>
  <c r="V204" i="14"/>
  <c r="V205" i="14"/>
  <c r="V206" i="14"/>
  <c r="V207" i="14"/>
  <c r="V208" i="14"/>
  <c r="V209" i="14"/>
  <c r="V210" i="14"/>
  <c r="V211" i="14"/>
  <c r="V212" i="14"/>
  <c r="V213" i="14"/>
  <c r="V214" i="14"/>
  <c r="V215" i="14"/>
  <c r="V216" i="14"/>
  <c r="V217" i="14"/>
  <c r="V218" i="14"/>
  <c r="V219" i="14"/>
  <c r="V220" i="14"/>
  <c r="V221" i="14"/>
  <c r="V222" i="14"/>
  <c r="V223" i="14"/>
  <c r="V224" i="14"/>
  <c r="V225" i="14"/>
  <c r="V226" i="14"/>
  <c r="V227" i="14"/>
  <c r="V228" i="14"/>
  <c r="V229" i="14"/>
  <c r="V304" i="14"/>
  <c r="V230" i="14"/>
  <c r="V231" i="14"/>
  <c r="V232" i="14"/>
  <c r="V233" i="14"/>
  <c r="V234" i="14"/>
  <c r="V235" i="14"/>
  <c r="V236" i="14"/>
  <c r="V237" i="14"/>
  <c r="V238" i="14"/>
  <c r="V305" i="14"/>
  <c r="V306" i="14"/>
  <c r="V239" i="14"/>
  <c r="V240" i="14"/>
  <c r="V241" i="14"/>
  <c r="V307" i="14"/>
  <c r="V308" i="14"/>
  <c r="V309" i="14"/>
  <c r="V242" i="14"/>
  <c r="V243" i="14"/>
  <c r="V244" i="14"/>
  <c r="V310" i="14"/>
  <c r="V311" i="14"/>
  <c r="V312" i="14"/>
  <c r="V313" i="14"/>
  <c r="V314" i="14"/>
  <c r="V245" i="14"/>
  <c r="V246" i="14"/>
  <c r="V315" i="14"/>
  <c r="V316" i="14"/>
  <c r="V247" i="14"/>
  <c r="V248" i="14"/>
  <c r="V332" i="14"/>
  <c r="V333" i="14"/>
  <c r="U2" i="14"/>
  <c r="U3" i="14"/>
  <c r="U4" i="14"/>
  <c r="U5" i="14"/>
  <c r="U6" i="14"/>
  <c r="U7" i="14"/>
  <c r="U8" i="14"/>
  <c r="U27" i="14"/>
  <c r="U28" i="14"/>
  <c r="U29" i="14"/>
  <c r="U30" i="14"/>
  <c r="U31" i="14"/>
  <c r="U32" i="14"/>
  <c r="U33" i="14"/>
  <c r="U34" i="14"/>
  <c r="U35" i="14"/>
  <c r="U36" i="14"/>
  <c r="U37" i="14"/>
  <c r="U38" i="14"/>
  <c r="U39" i="14"/>
  <c r="U40" i="14"/>
  <c r="U41" i="14"/>
  <c r="U42" i="14"/>
  <c r="U43" i="14"/>
  <c r="U44" i="14"/>
  <c r="U45" i="14"/>
  <c r="U46" i="14"/>
  <c r="U47" i="14"/>
  <c r="U48" i="14"/>
  <c r="U49" i="14"/>
  <c r="U50" i="14"/>
  <c r="U51" i="14"/>
  <c r="U52" i="14"/>
  <c r="U53" i="14"/>
  <c r="U122" i="14"/>
  <c r="U123" i="14"/>
  <c r="U124" i="14"/>
  <c r="U125" i="14"/>
  <c r="U126" i="14"/>
  <c r="U127" i="14"/>
  <c r="U128" i="14"/>
  <c r="U129" i="14"/>
  <c r="U130" i="14"/>
  <c r="U131" i="14"/>
  <c r="U132" i="14"/>
  <c r="U133" i="14"/>
  <c r="U134" i="14"/>
  <c r="U135" i="14"/>
  <c r="U136" i="14"/>
  <c r="U137" i="14"/>
  <c r="U138" i="14"/>
  <c r="U139" i="14"/>
  <c r="U140" i="14"/>
  <c r="U141" i="14"/>
  <c r="U142" i="14"/>
  <c r="U143" i="14"/>
  <c r="U144" i="14"/>
  <c r="U145" i="14"/>
  <c r="U146" i="14"/>
  <c r="U147" i="14"/>
  <c r="U148" i="14"/>
  <c r="U149" i="14"/>
  <c r="U150" i="14"/>
  <c r="U151" i="14"/>
  <c r="U152" i="14"/>
  <c r="U153" i="14"/>
  <c r="U154" i="14"/>
  <c r="U155" i="14"/>
  <c r="U156" i="14"/>
  <c r="U255" i="14"/>
  <c r="U256" i="14"/>
  <c r="U257" i="14"/>
  <c r="U258" i="14"/>
  <c r="U259" i="14"/>
  <c r="U260" i="14"/>
  <c r="U261" i="14"/>
  <c r="U262" i="14"/>
  <c r="U263" i="14"/>
  <c r="U9" i="14"/>
  <c r="U73" i="14"/>
  <c r="U74" i="14"/>
  <c r="U75" i="14"/>
  <c r="U76" i="14"/>
  <c r="U77" i="14"/>
  <c r="U78" i="14"/>
  <c r="U79" i="14"/>
  <c r="U80" i="14"/>
  <c r="U81" i="14"/>
  <c r="U82" i="14"/>
  <c r="U83" i="14"/>
  <c r="U84" i="14"/>
  <c r="U264" i="14"/>
  <c r="U10" i="14"/>
  <c r="U11" i="14"/>
  <c r="U12" i="14"/>
  <c r="U13" i="14"/>
  <c r="U265" i="14"/>
  <c r="U266" i="14"/>
  <c r="U267" i="14"/>
  <c r="U268" i="14"/>
  <c r="U269" i="14"/>
  <c r="U342" i="14"/>
  <c r="U343" i="14"/>
  <c r="U344" i="14"/>
  <c r="U270" i="14"/>
  <c r="U85" i="14"/>
  <c r="U86" i="14"/>
  <c r="U87" i="14"/>
  <c r="U88" i="14"/>
  <c r="U89" i="14"/>
  <c r="U90" i="14"/>
  <c r="U91" i="14"/>
  <c r="U92" i="14"/>
  <c r="U93" i="14"/>
  <c r="U94" i="14"/>
  <c r="U95" i="14"/>
  <c r="U157" i="14"/>
  <c r="U158" i="14"/>
  <c r="U159" i="14"/>
  <c r="U160" i="14"/>
  <c r="U161" i="14"/>
  <c r="U162" i="14"/>
  <c r="U163" i="14"/>
  <c r="U164" i="14"/>
  <c r="U165" i="14"/>
  <c r="U166" i="14"/>
  <c r="U167" i="14"/>
  <c r="U168" i="14"/>
  <c r="U169" i="14"/>
  <c r="U170" i="14"/>
  <c r="U171" i="14"/>
  <c r="U172" i="14"/>
  <c r="U173" i="14"/>
  <c r="U174" i="14"/>
  <c r="U175" i="14"/>
  <c r="U271" i="14"/>
  <c r="U272" i="14"/>
  <c r="U273" i="14"/>
  <c r="U274" i="14"/>
  <c r="U176" i="14"/>
  <c r="U177" i="14"/>
  <c r="U178" i="14"/>
  <c r="U275" i="14"/>
  <c r="U276" i="14"/>
  <c r="U277" i="14"/>
  <c r="U179" i="14"/>
  <c r="U180" i="14"/>
  <c r="U278" i="14"/>
  <c r="U279" i="14"/>
  <c r="U280" i="14"/>
  <c r="U345" i="14"/>
  <c r="U346" i="14"/>
  <c r="U96" i="14"/>
  <c r="U97" i="14"/>
  <c r="U181" i="14"/>
  <c r="U98" i="14"/>
  <c r="U182" i="14"/>
  <c r="U183" i="14"/>
  <c r="U184" i="14"/>
  <c r="U185" i="14"/>
  <c r="U281" i="14"/>
  <c r="U186" i="14"/>
  <c r="U187" i="14"/>
  <c r="U188" i="14"/>
  <c r="U189" i="14"/>
  <c r="U190" i="14"/>
  <c r="U191" i="14"/>
  <c r="U99" i="14"/>
  <c r="U192" i="14"/>
  <c r="U100" i="14"/>
  <c r="U101" i="14"/>
  <c r="U193" i="14"/>
  <c r="U282" i="14"/>
  <c r="U283" i="14"/>
  <c r="U284" i="14"/>
  <c r="U285" i="14"/>
  <c r="U286" i="14"/>
  <c r="U287" i="14"/>
  <c r="U288" i="14"/>
  <c r="U289" i="14"/>
  <c r="U290" i="14"/>
  <c r="U291" i="14"/>
  <c r="U292" i="14"/>
  <c r="U293" i="14"/>
  <c r="U294" i="14"/>
  <c r="U295" i="14"/>
  <c r="U296" i="14"/>
  <c r="U297" i="14"/>
  <c r="U298" i="14"/>
  <c r="U299" i="14"/>
  <c r="U347" i="14"/>
  <c r="U300" i="14"/>
  <c r="U348" i="14"/>
  <c r="U349" i="14"/>
  <c r="U350" i="14"/>
  <c r="U301" i="14"/>
  <c r="U351" i="14"/>
  <c r="U352" i="14"/>
  <c r="U353" i="14"/>
  <c r="U354" i="14"/>
  <c r="U355" i="14"/>
  <c r="U302" i="14"/>
  <c r="U356" i="14"/>
  <c r="U303" i="14"/>
  <c r="U357" i="14"/>
  <c r="U14" i="14"/>
  <c r="U15" i="14"/>
  <c r="U16" i="14"/>
  <c r="U17" i="14"/>
  <c r="U54" i="14"/>
  <c r="U18" i="14"/>
  <c r="U19" i="14"/>
  <c r="U20" i="14"/>
  <c r="U21" i="14"/>
  <c r="U22" i="14"/>
  <c r="U23" i="14"/>
  <c r="U24" i="14"/>
  <c r="U25" i="14"/>
  <c r="U26" i="14"/>
  <c r="U55" i="14"/>
  <c r="U56" i="14"/>
  <c r="U57" i="14"/>
  <c r="U58" i="14"/>
  <c r="U59" i="14"/>
  <c r="U60" i="14"/>
  <c r="U61" i="14"/>
  <c r="U62" i="14"/>
  <c r="U63" i="14"/>
  <c r="U64" i="14"/>
  <c r="U65" i="14"/>
  <c r="U102" i="14"/>
  <c r="U66" i="14"/>
  <c r="U67" i="14"/>
  <c r="U68" i="14"/>
  <c r="U69" i="14"/>
  <c r="U70" i="14"/>
  <c r="U71" i="14"/>
  <c r="U103" i="14"/>
  <c r="U104" i="14"/>
  <c r="U105" i="14"/>
  <c r="U106" i="14"/>
  <c r="U107" i="14"/>
  <c r="U108" i="14"/>
  <c r="U109" i="14"/>
  <c r="U110" i="14"/>
  <c r="U111" i="14"/>
  <c r="U72" i="14"/>
  <c r="U112" i="14"/>
  <c r="U113" i="14"/>
  <c r="U114" i="14"/>
  <c r="U115" i="14"/>
  <c r="U116" i="14"/>
  <c r="U117" i="14"/>
  <c r="U118" i="14"/>
  <c r="U119" i="14"/>
  <c r="U120" i="14"/>
  <c r="U194" i="14"/>
  <c r="U195" i="14"/>
  <c r="U196" i="14"/>
  <c r="U197" i="14"/>
  <c r="U121" i="14"/>
  <c r="U198" i="14"/>
  <c r="U199" i="14"/>
  <c r="U200" i="14"/>
  <c r="U201" i="14"/>
  <c r="U202" i="14"/>
  <c r="U203" i="14"/>
  <c r="U204" i="14"/>
  <c r="U205" i="14"/>
  <c r="U206" i="14"/>
  <c r="U207" i="14"/>
  <c r="U208" i="14"/>
  <c r="U209" i="14"/>
  <c r="U210" i="14"/>
  <c r="U211" i="14"/>
  <c r="U212" i="14"/>
  <c r="U213" i="14"/>
  <c r="U214" i="14"/>
  <c r="U215" i="14"/>
  <c r="U216" i="14"/>
  <c r="U217" i="14"/>
  <c r="U218" i="14"/>
  <c r="U219" i="14"/>
  <c r="U220" i="14"/>
  <c r="U221" i="14"/>
  <c r="U222" i="14"/>
  <c r="U223" i="14"/>
  <c r="U224" i="14"/>
  <c r="U225" i="14"/>
  <c r="U226" i="14"/>
  <c r="U227" i="14"/>
  <c r="U228" i="14"/>
  <c r="U229" i="14"/>
  <c r="U304" i="14"/>
  <c r="U230" i="14"/>
  <c r="U231" i="14"/>
  <c r="U232" i="14"/>
  <c r="U233" i="14"/>
  <c r="U234" i="14"/>
  <c r="U235" i="14"/>
  <c r="U236" i="14"/>
  <c r="U237" i="14"/>
  <c r="U238" i="14"/>
  <c r="U305" i="14"/>
  <c r="U306" i="14"/>
  <c r="U239" i="14"/>
  <c r="U240" i="14"/>
  <c r="U241" i="14"/>
  <c r="U307" i="14"/>
  <c r="U308" i="14"/>
  <c r="U309" i="14"/>
  <c r="U242" i="14"/>
  <c r="U243" i="14"/>
  <c r="U244" i="14"/>
  <c r="U310" i="14"/>
  <c r="U311" i="14"/>
  <c r="U312" i="14"/>
  <c r="U313" i="14"/>
  <c r="U314" i="14"/>
  <c r="U245" i="14"/>
  <c r="U246" i="14"/>
  <c r="U315" i="14"/>
  <c r="U316" i="14"/>
  <c r="U247" i="14"/>
  <c r="U248" i="14"/>
  <c r="U332" i="14"/>
  <c r="U333" i="14"/>
  <c r="T2" i="14"/>
  <c r="T3" i="14"/>
  <c r="T4" i="14"/>
  <c r="T5" i="14"/>
  <c r="T6" i="14"/>
  <c r="T7" i="14"/>
  <c r="T8" i="14"/>
  <c r="T27" i="14"/>
  <c r="T28" i="14"/>
  <c r="T29" i="14"/>
  <c r="T30" i="14"/>
  <c r="T31" i="14"/>
  <c r="T32" i="14"/>
  <c r="T33" i="14"/>
  <c r="T34" i="14"/>
  <c r="T35" i="14"/>
  <c r="T36" i="14"/>
  <c r="T37" i="14"/>
  <c r="T38" i="14"/>
  <c r="T39" i="14"/>
  <c r="T40" i="14"/>
  <c r="T41" i="14"/>
  <c r="T42" i="14"/>
  <c r="T43" i="14"/>
  <c r="T44" i="14"/>
  <c r="T45" i="14"/>
  <c r="T46" i="14"/>
  <c r="T47" i="14"/>
  <c r="T48" i="14"/>
  <c r="T49" i="14"/>
  <c r="T50" i="14"/>
  <c r="T51" i="14"/>
  <c r="T52" i="14"/>
  <c r="T53" i="14"/>
  <c r="T122" i="14"/>
  <c r="T123" i="14"/>
  <c r="T124" i="14"/>
  <c r="T125" i="14"/>
  <c r="T126" i="14"/>
  <c r="T127" i="14"/>
  <c r="T128" i="14"/>
  <c r="T129" i="14"/>
  <c r="T130" i="14"/>
  <c r="T131" i="14"/>
  <c r="T132" i="14"/>
  <c r="T133" i="14"/>
  <c r="T134" i="14"/>
  <c r="T135" i="14"/>
  <c r="T136" i="14"/>
  <c r="T137" i="14"/>
  <c r="T138" i="14"/>
  <c r="T139" i="14"/>
  <c r="T140" i="14"/>
  <c r="T141" i="14"/>
  <c r="T142" i="14"/>
  <c r="T143" i="14"/>
  <c r="T144" i="14"/>
  <c r="T145" i="14"/>
  <c r="T146" i="14"/>
  <c r="T147" i="14"/>
  <c r="T148" i="14"/>
  <c r="T149" i="14"/>
  <c r="T150" i="14"/>
  <c r="T151" i="14"/>
  <c r="T152" i="14"/>
  <c r="T153" i="14"/>
  <c r="T154" i="14"/>
  <c r="T155" i="14"/>
  <c r="T156" i="14"/>
  <c r="T255" i="14"/>
  <c r="T256" i="14"/>
  <c r="T257" i="14"/>
  <c r="T258" i="14"/>
  <c r="T259" i="14"/>
  <c r="T260" i="14"/>
  <c r="T261" i="14"/>
  <c r="T262" i="14"/>
  <c r="T263" i="14"/>
  <c r="T9" i="14"/>
  <c r="T73" i="14"/>
  <c r="T74" i="14"/>
  <c r="T75" i="14"/>
  <c r="T76" i="14"/>
  <c r="T77" i="14"/>
  <c r="T78" i="14"/>
  <c r="T79" i="14"/>
  <c r="T80" i="14"/>
  <c r="T81" i="14"/>
  <c r="T82" i="14"/>
  <c r="T83" i="14"/>
  <c r="T84" i="14"/>
  <c r="T264" i="14"/>
  <c r="T10" i="14"/>
  <c r="T11" i="14"/>
  <c r="T12" i="14"/>
  <c r="T13" i="14"/>
  <c r="T265" i="14"/>
  <c r="T266" i="14"/>
  <c r="T267" i="14"/>
  <c r="T268" i="14"/>
  <c r="T269" i="14"/>
  <c r="T342" i="14"/>
  <c r="T343" i="14"/>
  <c r="T344" i="14"/>
  <c r="T270" i="14"/>
  <c r="T85" i="14"/>
  <c r="T86" i="14"/>
  <c r="T87" i="14"/>
  <c r="T88" i="14"/>
  <c r="T89" i="14"/>
  <c r="T90" i="14"/>
  <c r="T91" i="14"/>
  <c r="T92" i="14"/>
  <c r="T93" i="14"/>
  <c r="T94" i="14"/>
  <c r="T95" i="14"/>
  <c r="T157" i="14"/>
  <c r="T158" i="14"/>
  <c r="T159" i="14"/>
  <c r="T160" i="14"/>
  <c r="T161" i="14"/>
  <c r="T162" i="14"/>
  <c r="T163" i="14"/>
  <c r="T164" i="14"/>
  <c r="T165" i="14"/>
  <c r="T166" i="14"/>
  <c r="T167" i="14"/>
  <c r="T168" i="14"/>
  <c r="T169" i="14"/>
  <c r="T170" i="14"/>
  <c r="T171" i="14"/>
  <c r="T172" i="14"/>
  <c r="T173" i="14"/>
  <c r="T174" i="14"/>
  <c r="T175" i="14"/>
  <c r="T271" i="14"/>
  <c r="T272" i="14"/>
  <c r="T273" i="14"/>
  <c r="T274" i="14"/>
  <c r="T176" i="14"/>
  <c r="T177" i="14"/>
  <c r="T178" i="14"/>
  <c r="T275" i="14"/>
  <c r="T276" i="14"/>
  <c r="T277" i="14"/>
  <c r="T179" i="14"/>
  <c r="T180" i="14"/>
  <c r="T278" i="14"/>
  <c r="T279" i="14"/>
  <c r="T280" i="14"/>
  <c r="T345" i="14"/>
  <c r="T346" i="14"/>
  <c r="T96" i="14"/>
  <c r="T97" i="14"/>
  <c r="T181" i="14"/>
  <c r="T98" i="14"/>
  <c r="T182" i="14"/>
  <c r="T183" i="14"/>
  <c r="T184" i="14"/>
  <c r="T185" i="14"/>
  <c r="T281" i="14"/>
  <c r="T186" i="14"/>
  <c r="T187" i="14"/>
  <c r="T188" i="14"/>
  <c r="T189" i="14"/>
  <c r="T190" i="14"/>
  <c r="T191" i="14"/>
  <c r="T99" i="14"/>
  <c r="T192" i="14"/>
  <c r="T100" i="14"/>
  <c r="T101" i="14"/>
  <c r="T193" i="14"/>
  <c r="T282" i="14"/>
  <c r="T283" i="14"/>
  <c r="T284" i="14"/>
  <c r="T285" i="14"/>
  <c r="T286" i="14"/>
  <c r="T287" i="14"/>
  <c r="T288" i="14"/>
  <c r="T289" i="14"/>
  <c r="T290" i="14"/>
  <c r="T291" i="14"/>
  <c r="T292" i="14"/>
  <c r="T293" i="14"/>
  <c r="T294" i="14"/>
  <c r="T295" i="14"/>
  <c r="T296" i="14"/>
  <c r="T297" i="14"/>
  <c r="T298" i="14"/>
  <c r="T299" i="14"/>
  <c r="T347" i="14"/>
  <c r="T300" i="14"/>
  <c r="T348" i="14"/>
  <c r="T349" i="14"/>
  <c r="T350" i="14"/>
  <c r="T301" i="14"/>
  <c r="T351" i="14"/>
  <c r="T352" i="14"/>
  <c r="T353" i="14"/>
  <c r="T354" i="14"/>
  <c r="T355" i="14"/>
  <c r="T302" i="14"/>
  <c r="T356" i="14"/>
  <c r="T303" i="14"/>
  <c r="T357" i="14"/>
  <c r="T14" i="14"/>
  <c r="T15" i="14"/>
  <c r="T16" i="14"/>
  <c r="T17" i="14"/>
  <c r="T54" i="14"/>
  <c r="T18" i="14"/>
  <c r="T19" i="14"/>
  <c r="T20" i="14"/>
  <c r="T21" i="14"/>
  <c r="T22" i="14"/>
  <c r="T23" i="14"/>
  <c r="T24" i="14"/>
  <c r="T25" i="14"/>
  <c r="T26" i="14"/>
  <c r="T55" i="14"/>
  <c r="T56" i="14"/>
  <c r="T57" i="14"/>
  <c r="T58" i="14"/>
  <c r="T59" i="14"/>
  <c r="T60" i="14"/>
  <c r="T61" i="14"/>
  <c r="T62" i="14"/>
  <c r="T63" i="14"/>
  <c r="T64" i="14"/>
  <c r="T65" i="14"/>
  <c r="T102" i="14"/>
  <c r="T66" i="14"/>
  <c r="T67" i="14"/>
  <c r="T68" i="14"/>
  <c r="T69" i="14"/>
  <c r="T70" i="14"/>
  <c r="T71" i="14"/>
  <c r="T103" i="14"/>
  <c r="T104" i="14"/>
  <c r="T105" i="14"/>
  <c r="T106" i="14"/>
  <c r="T107" i="14"/>
  <c r="T108" i="14"/>
  <c r="T109" i="14"/>
  <c r="T110" i="14"/>
  <c r="T111" i="14"/>
  <c r="T72" i="14"/>
  <c r="T112" i="14"/>
  <c r="T113" i="14"/>
  <c r="T114" i="14"/>
  <c r="T115" i="14"/>
  <c r="T116" i="14"/>
  <c r="T117" i="14"/>
  <c r="T118" i="14"/>
  <c r="T119" i="14"/>
  <c r="T120" i="14"/>
  <c r="T194" i="14"/>
  <c r="T195" i="14"/>
  <c r="T196" i="14"/>
  <c r="T197" i="14"/>
  <c r="T121" i="14"/>
  <c r="T198" i="14"/>
  <c r="T199" i="14"/>
  <c r="T200" i="14"/>
  <c r="T201" i="14"/>
  <c r="T202" i="14"/>
  <c r="T203" i="14"/>
  <c r="T204" i="14"/>
  <c r="T205" i="14"/>
  <c r="T206" i="14"/>
  <c r="T207" i="14"/>
  <c r="T208" i="14"/>
  <c r="T209" i="14"/>
  <c r="T210" i="14"/>
  <c r="T211" i="14"/>
  <c r="T212" i="14"/>
  <c r="T213" i="14"/>
  <c r="T214" i="14"/>
  <c r="T215" i="14"/>
  <c r="T216" i="14"/>
  <c r="T217" i="14"/>
  <c r="T218" i="14"/>
  <c r="T219" i="14"/>
  <c r="T220" i="14"/>
  <c r="T221" i="14"/>
  <c r="T222" i="14"/>
  <c r="T223" i="14"/>
  <c r="T224" i="14"/>
  <c r="T225" i="14"/>
  <c r="T226" i="14"/>
  <c r="T227" i="14"/>
  <c r="T228" i="14"/>
  <c r="T229" i="14"/>
  <c r="T304" i="14"/>
  <c r="T230" i="14"/>
  <c r="T231" i="14"/>
  <c r="T232" i="14"/>
  <c r="T233" i="14"/>
  <c r="T234" i="14"/>
  <c r="T235" i="14"/>
  <c r="T236" i="14"/>
  <c r="T237" i="14"/>
  <c r="T238" i="14"/>
  <c r="T305" i="14"/>
  <c r="T306" i="14"/>
  <c r="T239" i="14"/>
  <c r="T240" i="14"/>
  <c r="T241" i="14"/>
  <c r="T307" i="14"/>
  <c r="T308" i="14"/>
  <c r="T309" i="14"/>
  <c r="T242" i="14"/>
  <c r="T243" i="14"/>
  <c r="T244" i="14"/>
  <c r="T310" i="14"/>
  <c r="T311" i="14"/>
  <c r="T312" i="14"/>
  <c r="T313" i="14"/>
  <c r="T314" i="14"/>
  <c r="T245" i="14"/>
  <c r="T246" i="14"/>
  <c r="T315" i="14"/>
  <c r="T316" i="14"/>
  <c r="T247" i="14"/>
  <c r="T248" i="14"/>
  <c r="T332" i="14"/>
  <c r="T333" i="14"/>
  <c r="S2" i="14"/>
  <c r="S3" i="14"/>
  <c r="S4" i="14"/>
  <c r="S5" i="14"/>
  <c r="S6" i="14"/>
  <c r="S7" i="14"/>
  <c r="S8" i="14"/>
  <c r="S27" i="14"/>
  <c r="S28" i="14"/>
  <c r="S29" i="14"/>
  <c r="S30" i="14"/>
  <c r="S31" i="14"/>
  <c r="S32" i="14"/>
  <c r="S33" i="14"/>
  <c r="S34" i="14"/>
  <c r="S35" i="14"/>
  <c r="S36" i="14"/>
  <c r="S37" i="14"/>
  <c r="S38" i="14"/>
  <c r="S39" i="14"/>
  <c r="S40" i="14"/>
  <c r="S41" i="14"/>
  <c r="S42" i="14"/>
  <c r="S43" i="14"/>
  <c r="S44" i="14"/>
  <c r="S45" i="14"/>
  <c r="S46" i="14"/>
  <c r="S47" i="14"/>
  <c r="S48" i="14"/>
  <c r="S49" i="14"/>
  <c r="S50" i="14"/>
  <c r="S51" i="14"/>
  <c r="S52" i="14"/>
  <c r="S53" i="14"/>
  <c r="S122" i="14"/>
  <c r="S123" i="14"/>
  <c r="S124" i="14"/>
  <c r="S125" i="14"/>
  <c r="S126" i="14"/>
  <c r="S127" i="14"/>
  <c r="S128" i="14"/>
  <c r="S129" i="14"/>
  <c r="S130" i="14"/>
  <c r="S131" i="14"/>
  <c r="S132" i="14"/>
  <c r="S133" i="14"/>
  <c r="S134" i="14"/>
  <c r="S135" i="14"/>
  <c r="S136" i="14"/>
  <c r="S137" i="14"/>
  <c r="S138" i="14"/>
  <c r="S139" i="14"/>
  <c r="S140" i="14"/>
  <c r="S141" i="14"/>
  <c r="S142" i="14"/>
  <c r="S143" i="14"/>
  <c r="S144" i="14"/>
  <c r="S145" i="14"/>
  <c r="S146" i="14"/>
  <c r="S147" i="14"/>
  <c r="S148" i="14"/>
  <c r="S149" i="14"/>
  <c r="S150" i="14"/>
  <c r="S151" i="14"/>
  <c r="S152" i="14"/>
  <c r="S153" i="14"/>
  <c r="S154" i="14"/>
  <c r="S155" i="14"/>
  <c r="S156" i="14"/>
  <c r="S255" i="14"/>
  <c r="S256" i="14"/>
  <c r="S257" i="14"/>
  <c r="S258" i="14"/>
  <c r="S259" i="14"/>
  <c r="S260" i="14"/>
  <c r="S261" i="14"/>
  <c r="S262" i="14"/>
  <c r="S263" i="14"/>
  <c r="S9" i="14"/>
  <c r="S73" i="14"/>
  <c r="S74" i="14"/>
  <c r="S75" i="14"/>
  <c r="S76" i="14"/>
  <c r="S77" i="14"/>
  <c r="S78" i="14"/>
  <c r="S79" i="14"/>
  <c r="S80" i="14"/>
  <c r="S81" i="14"/>
  <c r="S82" i="14"/>
  <c r="S83" i="14"/>
  <c r="S84" i="14"/>
  <c r="S264" i="14"/>
  <c r="S10" i="14"/>
  <c r="S11" i="14"/>
  <c r="S12" i="14"/>
  <c r="S13" i="14"/>
  <c r="S265" i="14"/>
  <c r="S266" i="14"/>
  <c r="S267" i="14"/>
  <c r="S268" i="14"/>
  <c r="S269" i="14"/>
  <c r="S342" i="14"/>
  <c r="S343" i="14"/>
  <c r="S344" i="14"/>
  <c r="S270" i="14"/>
  <c r="S85" i="14"/>
  <c r="S86" i="14"/>
  <c r="S87" i="14"/>
  <c r="S88" i="14"/>
  <c r="S89" i="14"/>
  <c r="S90" i="14"/>
  <c r="S91" i="14"/>
  <c r="S92" i="14"/>
  <c r="S93" i="14"/>
  <c r="S94" i="14"/>
  <c r="S95" i="14"/>
  <c r="S157" i="14"/>
  <c r="S158" i="14"/>
  <c r="S159" i="14"/>
  <c r="S160" i="14"/>
  <c r="S161" i="14"/>
  <c r="S162" i="14"/>
  <c r="S163" i="14"/>
  <c r="S164" i="14"/>
  <c r="S165" i="14"/>
  <c r="S166" i="14"/>
  <c r="S167" i="14"/>
  <c r="S168" i="14"/>
  <c r="S169" i="14"/>
  <c r="S170" i="14"/>
  <c r="S171" i="14"/>
  <c r="S172" i="14"/>
  <c r="S173" i="14"/>
  <c r="S174" i="14"/>
  <c r="S175" i="14"/>
  <c r="S271" i="14"/>
  <c r="S272" i="14"/>
  <c r="S273" i="14"/>
  <c r="S274" i="14"/>
  <c r="S176" i="14"/>
  <c r="S177" i="14"/>
  <c r="S178" i="14"/>
  <c r="S275" i="14"/>
  <c r="S276" i="14"/>
  <c r="S277" i="14"/>
  <c r="S179" i="14"/>
  <c r="S180" i="14"/>
  <c r="S278" i="14"/>
  <c r="S279" i="14"/>
  <c r="S280" i="14"/>
  <c r="S345" i="14"/>
  <c r="S346" i="14"/>
  <c r="S96" i="14"/>
  <c r="S97" i="14"/>
  <c r="S181" i="14"/>
  <c r="S98" i="14"/>
  <c r="S182" i="14"/>
  <c r="S183" i="14"/>
  <c r="S184" i="14"/>
  <c r="S185" i="14"/>
  <c r="S281" i="14"/>
  <c r="S186" i="14"/>
  <c r="S187" i="14"/>
  <c r="S188" i="14"/>
  <c r="S189" i="14"/>
  <c r="S190" i="14"/>
  <c r="S191" i="14"/>
  <c r="S99" i="14"/>
  <c r="S192" i="14"/>
  <c r="S100" i="14"/>
  <c r="S101" i="14"/>
  <c r="S193" i="14"/>
  <c r="S282" i="14"/>
  <c r="S283" i="14"/>
  <c r="S284" i="14"/>
  <c r="S285" i="14"/>
  <c r="S286" i="14"/>
  <c r="S287" i="14"/>
  <c r="S288" i="14"/>
  <c r="S289" i="14"/>
  <c r="S290" i="14"/>
  <c r="S291" i="14"/>
  <c r="S292" i="14"/>
  <c r="S293" i="14"/>
  <c r="S294" i="14"/>
  <c r="S295" i="14"/>
  <c r="S296" i="14"/>
  <c r="S297" i="14"/>
  <c r="S298" i="14"/>
  <c r="S299" i="14"/>
  <c r="S347" i="14"/>
  <c r="S300" i="14"/>
  <c r="S348" i="14"/>
  <c r="S349" i="14"/>
  <c r="S350" i="14"/>
  <c r="S301" i="14"/>
  <c r="S351" i="14"/>
  <c r="S352" i="14"/>
  <c r="S353" i="14"/>
  <c r="S354" i="14"/>
  <c r="S355" i="14"/>
  <c r="S302" i="14"/>
  <c r="S356" i="14"/>
  <c r="S303" i="14"/>
  <c r="S357" i="14"/>
  <c r="S14" i="14"/>
  <c r="S15" i="14"/>
  <c r="S16" i="14"/>
  <c r="S17" i="14"/>
  <c r="S54" i="14"/>
  <c r="S18" i="14"/>
  <c r="S19" i="14"/>
  <c r="S20" i="14"/>
  <c r="S21" i="14"/>
  <c r="S22" i="14"/>
  <c r="S23" i="14"/>
  <c r="S24" i="14"/>
  <c r="S25" i="14"/>
  <c r="S26" i="14"/>
  <c r="S55" i="14"/>
  <c r="S56" i="14"/>
  <c r="S57" i="14"/>
  <c r="S58" i="14"/>
  <c r="S59" i="14"/>
  <c r="S60" i="14"/>
  <c r="S61" i="14"/>
  <c r="S62" i="14"/>
  <c r="S63" i="14"/>
  <c r="S64" i="14"/>
  <c r="S65" i="14"/>
  <c r="S102" i="14"/>
  <c r="S66" i="14"/>
  <c r="S67" i="14"/>
  <c r="S68" i="14"/>
  <c r="S69" i="14"/>
  <c r="S70" i="14"/>
  <c r="S71" i="14"/>
  <c r="S103" i="14"/>
  <c r="S104" i="14"/>
  <c r="S105" i="14"/>
  <c r="S106" i="14"/>
  <c r="S107" i="14"/>
  <c r="S108" i="14"/>
  <c r="S109" i="14"/>
  <c r="S110" i="14"/>
  <c r="S111" i="14"/>
  <c r="S72" i="14"/>
  <c r="S112" i="14"/>
  <c r="S113" i="14"/>
  <c r="S114" i="14"/>
  <c r="S115" i="14"/>
  <c r="S116" i="14"/>
  <c r="S117" i="14"/>
  <c r="S118" i="14"/>
  <c r="S119" i="14"/>
  <c r="S120" i="14"/>
  <c r="S194" i="14"/>
  <c r="S195" i="14"/>
  <c r="S196" i="14"/>
  <c r="S197" i="14"/>
  <c r="S121" i="14"/>
  <c r="S198" i="14"/>
  <c r="S199" i="14"/>
  <c r="S200" i="14"/>
  <c r="S201" i="14"/>
  <c r="S202" i="14"/>
  <c r="S203" i="14"/>
  <c r="S204" i="14"/>
  <c r="S205" i="14"/>
  <c r="S206" i="14"/>
  <c r="S207" i="14"/>
  <c r="S208" i="14"/>
  <c r="S209" i="14"/>
  <c r="S210" i="14"/>
  <c r="S211" i="14"/>
  <c r="S212" i="14"/>
  <c r="S213" i="14"/>
  <c r="S214" i="14"/>
  <c r="S215" i="14"/>
  <c r="S216" i="14"/>
  <c r="S217" i="14"/>
  <c r="S218" i="14"/>
  <c r="S219" i="14"/>
  <c r="S220" i="14"/>
  <c r="S221" i="14"/>
  <c r="S222" i="14"/>
  <c r="S223" i="14"/>
  <c r="S224" i="14"/>
  <c r="S225" i="14"/>
  <c r="S226" i="14"/>
  <c r="S227" i="14"/>
  <c r="S228" i="14"/>
  <c r="S229" i="14"/>
  <c r="S304" i="14"/>
  <c r="S230" i="14"/>
  <c r="S231" i="14"/>
  <c r="S232" i="14"/>
  <c r="S233" i="14"/>
  <c r="S234" i="14"/>
  <c r="S235" i="14"/>
  <c r="S236" i="14"/>
  <c r="S237" i="14"/>
  <c r="S238" i="14"/>
  <c r="S305" i="14"/>
  <c r="S306" i="14"/>
  <c r="S239" i="14"/>
  <c r="S240" i="14"/>
  <c r="S241" i="14"/>
  <c r="S307" i="14"/>
  <c r="S308" i="14"/>
  <c r="S309" i="14"/>
  <c r="S242" i="14"/>
  <c r="S243" i="14"/>
  <c r="S244" i="14"/>
  <c r="S310" i="14"/>
  <c r="S311" i="14"/>
  <c r="S312" i="14"/>
  <c r="S313" i="14"/>
  <c r="S314" i="14"/>
  <c r="S245" i="14"/>
  <c r="S246" i="14"/>
  <c r="S315" i="14"/>
  <c r="S316" i="14"/>
  <c r="S247" i="14"/>
  <c r="S248" i="14"/>
  <c r="S332" i="14"/>
  <c r="S333" i="14"/>
  <c r="Q2" i="14"/>
  <c r="Q3" i="14"/>
  <c r="Q4" i="14"/>
  <c r="Q5" i="14"/>
  <c r="Q6" i="14"/>
  <c r="Q7" i="14"/>
  <c r="Q8" i="14"/>
  <c r="Q27" i="14"/>
  <c r="Q28" i="14"/>
  <c r="Q29" i="14"/>
  <c r="Q30" i="14"/>
  <c r="Q31" i="14"/>
  <c r="Q32" i="14"/>
  <c r="Q33" i="14"/>
  <c r="Q34" i="14"/>
  <c r="Q35" i="14"/>
  <c r="Q36" i="14"/>
  <c r="Q37" i="14"/>
  <c r="Q38" i="14"/>
  <c r="Q39" i="14"/>
  <c r="Q40" i="14"/>
  <c r="Q41" i="14"/>
  <c r="Q42" i="14"/>
  <c r="Q43" i="14"/>
  <c r="Q44" i="14"/>
  <c r="Q45" i="14"/>
  <c r="Q46" i="14"/>
  <c r="Q47" i="14"/>
  <c r="Q48" i="14"/>
  <c r="Q49" i="14"/>
  <c r="Q50" i="14"/>
  <c r="Q51" i="14"/>
  <c r="Q52" i="14"/>
  <c r="Q53" i="14"/>
  <c r="Q122" i="14"/>
  <c r="Q123" i="14"/>
  <c r="Q124" i="14"/>
  <c r="Q125" i="14"/>
  <c r="Q126" i="14"/>
  <c r="Q127" i="14"/>
  <c r="Q128" i="14"/>
  <c r="Q129" i="14"/>
  <c r="Q130" i="14"/>
  <c r="Q131" i="14"/>
  <c r="Q132" i="14"/>
  <c r="Q133" i="14"/>
  <c r="Q134" i="14"/>
  <c r="Q135" i="14"/>
  <c r="Q136" i="14"/>
  <c r="Q137" i="14"/>
  <c r="Q138" i="14"/>
  <c r="Q139" i="14"/>
  <c r="Q140" i="14"/>
  <c r="Q141" i="14"/>
  <c r="Q142" i="14"/>
  <c r="Q143" i="14"/>
  <c r="Q144" i="14"/>
  <c r="Q145" i="14"/>
  <c r="Q146" i="14"/>
  <c r="Q147" i="14"/>
  <c r="Q148" i="14"/>
  <c r="Q149" i="14"/>
  <c r="Q150" i="14"/>
  <c r="Q151" i="14"/>
  <c r="Q152" i="14"/>
  <c r="Q153" i="14"/>
  <c r="Q154" i="14"/>
  <c r="Q155" i="14"/>
  <c r="Q156" i="14"/>
  <c r="Q255" i="14"/>
  <c r="Q256" i="14"/>
  <c r="Q257" i="14"/>
  <c r="Q258" i="14"/>
  <c r="Q259" i="14"/>
  <c r="Q260" i="14"/>
  <c r="Q261" i="14"/>
  <c r="Q262" i="14"/>
  <c r="Q263" i="14"/>
  <c r="Q9" i="14"/>
  <c r="Q73" i="14"/>
  <c r="Q74" i="14"/>
  <c r="Q75" i="14"/>
  <c r="Q76" i="14"/>
  <c r="Q77" i="14"/>
  <c r="Q78" i="14"/>
  <c r="Q79" i="14"/>
  <c r="Q80" i="14"/>
  <c r="Q81" i="14"/>
  <c r="Q82" i="14"/>
  <c r="Q83" i="14"/>
  <c r="Q84" i="14"/>
  <c r="Q264" i="14"/>
  <c r="Q10" i="14"/>
  <c r="Q11" i="14"/>
  <c r="Q12" i="14"/>
  <c r="Q13" i="14"/>
  <c r="Q265" i="14"/>
  <c r="Q266" i="14"/>
  <c r="Q267" i="14"/>
  <c r="Q268" i="14"/>
  <c r="Q269" i="14"/>
  <c r="Q342" i="14"/>
  <c r="Q343" i="14"/>
  <c r="Q344" i="14"/>
  <c r="Q270" i="14"/>
  <c r="Q85" i="14"/>
  <c r="Q86" i="14"/>
  <c r="Q87" i="14"/>
  <c r="Q88" i="14"/>
  <c r="Q89" i="14"/>
  <c r="Q90" i="14"/>
  <c r="Q91" i="14"/>
  <c r="Q92" i="14"/>
  <c r="Q93" i="14"/>
  <c r="Q94" i="14"/>
  <c r="Q95" i="14"/>
  <c r="Q157" i="14"/>
  <c r="Q158" i="14"/>
  <c r="Q159" i="14"/>
  <c r="Q160" i="14"/>
  <c r="Q161" i="14"/>
  <c r="Q162" i="14"/>
  <c r="Q163" i="14"/>
  <c r="Q164" i="14"/>
  <c r="Q165" i="14"/>
  <c r="Q166" i="14"/>
  <c r="Q167" i="14"/>
  <c r="Q168" i="14"/>
  <c r="Q169" i="14"/>
  <c r="Q170" i="14"/>
  <c r="Q171" i="14"/>
  <c r="Q172" i="14"/>
  <c r="Q173" i="14"/>
  <c r="Q174" i="14"/>
  <c r="Q175" i="14"/>
  <c r="Q271" i="14"/>
  <c r="Q272" i="14"/>
  <c r="Q273" i="14"/>
  <c r="Q274" i="14"/>
  <c r="Q176" i="14"/>
  <c r="Q177" i="14"/>
  <c r="Q178" i="14"/>
  <c r="Q275" i="14"/>
  <c r="Q276" i="14"/>
  <c r="Q277" i="14"/>
  <c r="Q179" i="14"/>
  <c r="Q180" i="14"/>
  <c r="Q278" i="14"/>
  <c r="Q279" i="14"/>
  <c r="Q280" i="14"/>
  <c r="Q345" i="14"/>
  <c r="Q346" i="14"/>
  <c r="Q96" i="14"/>
  <c r="Q97" i="14"/>
  <c r="Q181" i="14"/>
  <c r="Q98" i="14"/>
  <c r="Q182" i="14"/>
  <c r="Q183" i="14"/>
  <c r="Q184" i="14"/>
  <c r="Q185" i="14"/>
  <c r="Q281" i="14"/>
  <c r="Q186" i="14"/>
  <c r="Q187" i="14"/>
  <c r="Q188" i="14"/>
  <c r="Q189" i="14"/>
  <c r="Q190" i="14"/>
  <c r="Q191" i="14"/>
  <c r="Q99" i="14"/>
  <c r="Q192" i="14"/>
  <c r="Q100" i="14"/>
  <c r="Q101" i="14"/>
  <c r="Q193" i="14"/>
  <c r="Q282" i="14"/>
  <c r="Q283" i="14"/>
  <c r="Q284" i="14"/>
  <c r="Q285" i="14"/>
  <c r="Q286" i="14"/>
  <c r="Q287" i="14"/>
  <c r="Q288" i="14"/>
  <c r="Q289" i="14"/>
  <c r="Q290" i="14"/>
  <c r="Q291" i="14"/>
  <c r="Q292" i="14"/>
  <c r="Q293" i="14"/>
  <c r="Q294" i="14"/>
  <c r="Q295" i="14"/>
  <c r="Q296" i="14"/>
  <c r="Q297" i="14"/>
  <c r="Q298" i="14"/>
  <c r="Q299" i="14"/>
  <c r="Q347" i="14"/>
  <c r="Q300" i="14"/>
  <c r="Q348" i="14"/>
  <c r="Q349" i="14"/>
  <c r="Q350" i="14"/>
  <c r="Q301" i="14"/>
  <c r="Q351" i="14"/>
  <c r="Q352" i="14"/>
  <c r="Q353" i="14"/>
  <c r="Q354" i="14"/>
  <c r="Q355" i="14"/>
  <c r="Q302" i="14"/>
  <c r="Q356" i="14"/>
  <c r="Q303" i="14"/>
  <c r="Q357" i="14"/>
  <c r="Q14" i="14"/>
  <c r="Q15" i="14"/>
  <c r="Q16" i="14"/>
  <c r="Q17" i="14"/>
  <c r="Q54" i="14"/>
  <c r="Q18" i="14"/>
  <c r="Q19" i="14"/>
  <c r="Q20" i="14"/>
  <c r="Q21" i="14"/>
  <c r="Q22" i="14"/>
  <c r="Q23" i="14"/>
  <c r="Q24" i="14"/>
  <c r="Q25" i="14"/>
  <c r="Q26" i="14"/>
  <c r="Q55" i="14"/>
  <c r="Q56" i="14"/>
  <c r="Q57" i="14"/>
  <c r="Q58" i="14"/>
  <c r="Q59" i="14"/>
  <c r="Q60" i="14"/>
  <c r="Q61" i="14"/>
  <c r="Q62" i="14"/>
  <c r="Q63" i="14"/>
  <c r="Q64" i="14"/>
  <c r="Q65" i="14"/>
  <c r="Q102" i="14"/>
  <c r="Q66" i="14"/>
  <c r="Q67" i="14"/>
  <c r="Q68" i="14"/>
  <c r="Q69" i="14"/>
  <c r="Q70" i="14"/>
  <c r="Q71" i="14"/>
  <c r="Q103" i="14"/>
  <c r="Q104" i="14"/>
  <c r="Q105" i="14"/>
  <c r="Q106" i="14"/>
  <c r="Q107" i="14"/>
  <c r="Q108" i="14"/>
  <c r="Q109" i="14"/>
  <c r="Q110" i="14"/>
  <c r="Q111" i="14"/>
  <c r="Q72" i="14"/>
  <c r="Q112" i="14"/>
  <c r="Q113" i="14"/>
  <c r="Q114" i="14"/>
  <c r="Q115" i="14"/>
  <c r="Q116" i="14"/>
  <c r="Q117" i="14"/>
  <c r="Q118" i="14"/>
  <c r="Q119" i="14"/>
  <c r="Q120" i="14"/>
  <c r="Q194" i="14"/>
  <c r="Q195" i="14"/>
  <c r="Q196" i="14"/>
  <c r="Q197" i="14"/>
  <c r="Q121" i="14"/>
  <c r="Q198" i="14"/>
  <c r="Q199" i="14"/>
  <c r="Q200" i="14"/>
  <c r="Q201" i="14"/>
  <c r="Q202" i="14"/>
  <c r="Q203" i="14"/>
  <c r="Q204" i="14"/>
  <c r="Q205" i="14"/>
  <c r="Q206" i="14"/>
  <c r="Q207" i="14"/>
  <c r="Q208" i="14"/>
  <c r="Q209" i="14"/>
  <c r="Q210" i="14"/>
  <c r="Q211" i="14"/>
  <c r="Q212" i="14"/>
  <c r="Q213" i="14"/>
  <c r="Q214" i="14"/>
  <c r="Q215" i="14"/>
  <c r="Q216" i="14"/>
  <c r="Q217" i="14"/>
  <c r="Q218" i="14"/>
  <c r="Q219" i="14"/>
  <c r="Q220" i="14"/>
  <c r="Q221" i="14"/>
  <c r="Q222" i="14"/>
  <c r="Q223" i="14"/>
  <c r="Q224" i="14"/>
  <c r="Q225" i="14"/>
  <c r="Q226" i="14"/>
  <c r="Q227" i="14"/>
  <c r="Q228" i="14"/>
  <c r="Q229" i="14"/>
  <c r="Q304" i="14"/>
  <c r="Q230" i="14"/>
  <c r="Q231" i="14"/>
  <c r="Q232" i="14"/>
  <c r="Q233" i="14"/>
  <c r="Q234" i="14"/>
  <c r="Q235" i="14"/>
  <c r="Q236" i="14"/>
  <c r="Q237" i="14"/>
  <c r="Q238" i="14"/>
  <c r="Q305" i="14"/>
  <c r="Q306" i="14"/>
  <c r="Q239" i="14"/>
  <c r="Q240" i="14"/>
  <c r="Q241" i="14"/>
  <c r="Q307" i="14"/>
  <c r="Q308" i="14"/>
  <c r="Q309" i="14"/>
  <c r="Q242" i="14"/>
  <c r="Q243" i="14"/>
  <c r="Q244" i="14"/>
  <c r="Q310" i="14"/>
  <c r="Q311" i="14"/>
  <c r="Q312" i="14"/>
  <c r="Q313" i="14"/>
  <c r="Q314" i="14"/>
  <c r="Q245" i="14"/>
  <c r="Q246" i="14"/>
  <c r="Q315" i="14"/>
  <c r="Q316" i="14"/>
  <c r="Q247" i="14"/>
  <c r="Q248" i="14"/>
  <c r="Q332" i="14"/>
  <c r="Q333" i="14"/>
  <c r="K2" i="14"/>
  <c r="K3" i="14"/>
  <c r="K4" i="14"/>
  <c r="K5" i="14"/>
  <c r="K6" i="14"/>
  <c r="K7" i="14"/>
  <c r="K8"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255" i="14"/>
  <c r="K256" i="14"/>
  <c r="K257" i="14"/>
  <c r="K258" i="14"/>
  <c r="K259" i="14"/>
  <c r="K260" i="14"/>
  <c r="K261" i="14"/>
  <c r="K262" i="14"/>
  <c r="K263" i="14"/>
  <c r="K9" i="14"/>
  <c r="K73" i="14"/>
  <c r="K74" i="14"/>
  <c r="K75" i="14"/>
  <c r="K76" i="14"/>
  <c r="K77" i="14"/>
  <c r="K78" i="14"/>
  <c r="K79" i="14"/>
  <c r="K80" i="14"/>
  <c r="K81" i="14"/>
  <c r="K82" i="14"/>
  <c r="K83" i="14"/>
  <c r="K84" i="14"/>
  <c r="K264" i="14"/>
  <c r="K10" i="14"/>
  <c r="K11" i="14"/>
  <c r="K12" i="14"/>
  <c r="K13" i="14"/>
  <c r="K265" i="14"/>
  <c r="K266" i="14"/>
  <c r="K267" i="14"/>
  <c r="K268" i="14"/>
  <c r="K269" i="14"/>
  <c r="K342" i="14"/>
  <c r="K343" i="14"/>
  <c r="K344" i="14"/>
  <c r="K270" i="14"/>
  <c r="K85" i="14"/>
  <c r="K86" i="14"/>
  <c r="K87" i="14"/>
  <c r="K88" i="14"/>
  <c r="K89" i="14"/>
  <c r="K90" i="14"/>
  <c r="K91" i="14"/>
  <c r="K92" i="14"/>
  <c r="K93" i="14"/>
  <c r="K94" i="14"/>
  <c r="K95" i="14"/>
  <c r="K157" i="14"/>
  <c r="K158" i="14"/>
  <c r="K159" i="14"/>
  <c r="K160" i="14"/>
  <c r="K161" i="14"/>
  <c r="K162" i="14"/>
  <c r="K163" i="14"/>
  <c r="K164" i="14"/>
  <c r="K165" i="14"/>
  <c r="K166" i="14"/>
  <c r="K167" i="14"/>
  <c r="K168" i="14"/>
  <c r="K169" i="14"/>
  <c r="K170" i="14"/>
  <c r="K171" i="14"/>
  <c r="K172" i="14"/>
  <c r="K173" i="14"/>
  <c r="K174" i="14"/>
  <c r="K175" i="14"/>
  <c r="K271" i="14"/>
  <c r="K272" i="14"/>
  <c r="K273" i="14"/>
  <c r="K274" i="14"/>
  <c r="K176" i="14"/>
  <c r="K177" i="14"/>
  <c r="K178" i="14"/>
  <c r="K275" i="14"/>
  <c r="K276" i="14"/>
  <c r="K277" i="14"/>
  <c r="K179" i="14"/>
  <c r="K180" i="14"/>
  <c r="K278" i="14"/>
  <c r="K279" i="14"/>
  <c r="K280" i="14"/>
  <c r="K345" i="14"/>
  <c r="K346" i="14"/>
  <c r="K96" i="14"/>
  <c r="K97" i="14"/>
  <c r="K181" i="14"/>
  <c r="K98" i="14"/>
  <c r="K182" i="14"/>
  <c r="K183" i="14"/>
  <c r="K184" i="14"/>
  <c r="K185" i="14"/>
  <c r="K281" i="14"/>
  <c r="K186" i="14"/>
  <c r="K187" i="14"/>
  <c r="K188" i="14"/>
  <c r="K189" i="14"/>
  <c r="K190" i="14"/>
  <c r="K191" i="14"/>
  <c r="K99" i="14"/>
  <c r="K192" i="14"/>
  <c r="K100" i="14"/>
  <c r="K101" i="14"/>
  <c r="K193" i="14"/>
  <c r="K282" i="14"/>
  <c r="K283" i="14"/>
  <c r="K284" i="14"/>
  <c r="K285" i="14"/>
  <c r="K286" i="14"/>
  <c r="K287" i="14"/>
  <c r="K288" i="14"/>
  <c r="K289" i="14"/>
  <c r="K290" i="14"/>
  <c r="K291" i="14"/>
  <c r="K292" i="14"/>
  <c r="K293" i="14"/>
  <c r="K294" i="14"/>
  <c r="K295" i="14"/>
  <c r="K296" i="14"/>
  <c r="K297" i="14"/>
  <c r="K298" i="14"/>
  <c r="K299" i="14"/>
  <c r="K347" i="14"/>
  <c r="K300" i="14"/>
  <c r="K348" i="14"/>
  <c r="K349" i="14"/>
  <c r="K350" i="14"/>
  <c r="K301" i="14"/>
  <c r="K351" i="14"/>
  <c r="K352" i="14"/>
  <c r="K353" i="14"/>
  <c r="K354" i="14"/>
  <c r="K355" i="14"/>
  <c r="K302" i="14"/>
  <c r="K356" i="14"/>
  <c r="K303" i="14"/>
  <c r="K357" i="14"/>
  <c r="K14" i="14"/>
  <c r="K15" i="14"/>
  <c r="K16" i="14"/>
  <c r="K17" i="14"/>
  <c r="K54" i="14"/>
  <c r="K18" i="14"/>
  <c r="K19" i="14"/>
  <c r="K20" i="14"/>
  <c r="K21" i="14"/>
  <c r="K22" i="14"/>
  <c r="K23" i="14"/>
  <c r="K24" i="14"/>
  <c r="K25" i="14"/>
  <c r="K26" i="14"/>
  <c r="K55" i="14"/>
  <c r="K56" i="14"/>
  <c r="K57" i="14"/>
  <c r="K58" i="14"/>
  <c r="K59" i="14"/>
  <c r="K60" i="14"/>
  <c r="K61" i="14"/>
  <c r="K62" i="14"/>
  <c r="K63" i="14"/>
  <c r="K64" i="14"/>
  <c r="K65" i="14"/>
  <c r="K102" i="14"/>
  <c r="K66" i="14"/>
  <c r="K67" i="14"/>
  <c r="K68" i="14"/>
  <c r="K69" i="14"/>
  <c r="K70" i="14"/>
  <c r="K71" i="14"/>
  <c r="K103" i="14"/>
  <c r="K104" i="14"/>
  <c r="K105" i="14"/>
  <c r="K106" i="14"/>
  <c r="K107" i="14"/>
  <c r="K108" i="14"/>
  <c r="K109" i="14"/>
  <c r="K110" i="14"/>
  <c r="K111" i="14"/>
  <c r="K72" i="14"/>
  <c r="K112" i="14"/>
  <c r="K113" i="14"/>
  <c r="K114" i="14"/>
  <c r="K115" i="14"/>
  <c r="K116" i="14"/>
  <c r="K117" i="14"/>
  <c r="K118" i="14"/>
  <c r="K119" i="14"/>
  <c r="K120" i="14"/>
  <c r="K194" i="14"/>
  <c r="K195" i="14"/>
  <c r="K196" i="14"/>
  <c r="K197" i="14"/>
  <c r="K121" i="14"/>
  <c r="K198" i="14"/>
  <c r="K199" i="14"/>
  <c r="K200" i="14"/>
  <c r="K201" i="14"/>
  <c r="K202" i="14"/>
  <c r="K203" i="14"/>
  <c r="K204" i="14"/>
  <c r="K205" i="14"/>
  <c r="K206" i="14"/>
  <c r="K207" i="14"/>
  <c r="K208" i="14"/>
  <c r="K209" i="14"/>
  <c r="K210" i="14"/>
  <c r="K211" i="14"/>
  <c r="K212" i="14"/>
  <c r="K213" i="14"/>
  <c r="K214" i="14"/>
  <c r="K215" i="14"/>
  <c r="K216" i="14"/>
  <c r="K217" i="14"/>
  <c r="K218" i="14"/>
  <c r="K219" i="14"/>
  <c r="K220" i="14"/>
  <c r="K221" i="14"/>
  <c r="K222" i="14"/>
  <c r="K223" i="14"/>
  <c r="K224" i="14"/>
  <c r="K225" i="14"/>
  <c r="K226" i="14"/>
  <c r="K227" i="14"/>
  <c r="K228" i="14"/>
  <c r="K229" i="14"/>
  <c r="K304" i="14"/>
  <c r="K230" i="14"/>
  <c r="K231" i="14"/>
  <c r="K232" i="14"/>
  <c r="K233" i="14"/>
  <c r="K234" i="14"/>
  <c r="K235" i="14"/>
  <c r="K236" i="14"/>
  <c r="K237" i="14"/>
  <c r="K238" i="14"/>
  <c r="K305" i="14"/>
  <c r="K306" i="14"/>
  <c r="K239" i="14"/>
  <c r="K240" i="14"/>
  <c r="K241" i="14"/>
  <c r="K307" i="14"/>
  <c r="K308" i="14"/>
  <c r="K309" i="14"/>
  <c r="K242" i="14"/>
  <c r="K243" i="14"/>
  <c r="K244" i="14"/>
  <c r="K310" i="14"/>
  <c r="K311" i="14"/>
  <c r="K312" i="14"/>
  <c r="K313" i="14"/>
  <c r="K314" i="14"/>
  <c r="K245" i="14"/>
  <c r="K246" i="14"/>
  <c r="K315" i="14"/>
  <c r="K316" i="14"/>
  <c r="K247" i="14"/>
  <c r="K248" i="14"/>
  <c r="K332" i="14"/>
  <c r="K333" i="14"/>
  <c r="J2" i="14"/>
  <c r="J3" i="14"/>
  <c r="J4" i="14"/>
  <c r="J5" i="14"/>
  <c r="J6" i="14"/>
  <c r="J7" i="14"/>
  <c r="J8" i="14"/>
  <c r="J27" i="14"/>
  <c r="J28" i="14"/>
  <c r="J29" i="14"/>
  <c r="J30" i="14"/>
  <c r="J31" i="14"/>
  <c r="J32" i="14"/>
  <c r="J33" i="14"/>
  <c r="J34" i="14"/>
  <c r="J35" i="14"/>
  <c r="J36" i="14"/>
  <c r="J37" i="14"/>
  <c r="J38" i="14"/>
  <c r="J39" i="14"/>
  <c r="J40" i="14"/>
  <c r="J41" i="14"/>
  <c r="J42" i="14"/>
  <c r="J43" i="14"/>
  <c r="J44" i="14"/>
  <c r="J45" i="14"/>
  <c r="J46" i="14"/>
  <c r="J47" i="14"/>
  <c r="J48" i="14"/>
  <c r="J49" i="14"/>
  <c r="J50" i="14"/>
  <c r="J51" i="14"/>
  <c r="J52" i="14"/>
  <c r="J53" i="14"/>
  <c r="J122" i="14"/>
  <c r="J123" i="14"/>
  <c r="J124" i="14"/>
  <c r="J125" i="14"/>
  <c r="J126" i="14"/>
  <c r="J127" i="14"/>
  <c r="J128" i="14"/>
  <c r="J129" i="14"/>
  <c r="J130" i="14"/>
  <c r="J131" i="14"/>
  <c r="J132" i="14"/>
  <c r="J133" i="14"/>
  <c r="J134" i="14"/>
  <c r="J135" i="14"/>
  <c r="J136" i="14"/>
  <c r="J137" i="14"/>
  <c r="J138" i="14"/>
  <c r="J139" i="14"/>
  <c r="J140" i="14"/>
  <c r="J141" i="14"/>
  <c r="J142" i="14"/>
  <c r="J143" i="14"/>
  <c r="J144" i="14"/>
  <c r="J145" i="14"/>
  <c r="J146" i="14"/>
  <c r="J147" i="14"/>
  <c r="J148" i="14"/>
  <c r="J149" i="14"/>
  <c r="J150" i="14"/>
  <c r="J151" i="14"/>
  <c r="J152" i="14"/>
  <c r="J153" i="14"/>
  <c r="J154" i="14"/>
  <c r="J155" i="14"/>
  <c r="J156" i="14"/>
  <c r="J255" i="14"/>
  <c r="J256" i="14"/>
  <c r="J257" i="14"/>
  <c r="J258" i="14"/>
  <c r="J259" i="14"/>
  <c r="J260" i="14"/>
  <c r="J261" i="14"/>
  <c r="J262" i="14"/>
  <c r="J263" i="14"/>
  <c r="J9" i="14"/>
  <c r="J73" i="14"/>
  <c r="J74" i="14"/>
  <c r="J75" i="14"/>
  <c r="J76" i="14"/>
  <c r="J77" i="14"/>
  <c r="J78" i="14"/>
  <c r="J79" i="14"/>
  <c r="J80" i="14"/>
  <c r="J81" i="14"/>
  <c r="J82" i="14"/>
  <c r="J83" i="14"/>
  <c r="J84" i="14"/>
  <c r="J264" i="14"/>
  <c r="J10" i="14"/>
  <c r="J11" i="14"/>
  <c r="J12" i="14"/>
  <c r="J13" i="14"/>
  <c r="J265" i="14"/>
  <c r="J266" i="14"/>
  <c r="J267" i="14"/>
  <c r="J268" i="14"/>
  <c r="J269" i="14"/>
  <c r="J342" i="14"/>
  <c r="J343" i="14"/>
  <c r="J344" i="14"/>
  <c r="J270" i="14"/>
  <c r="J85" i="14"/>
  <c r="J86" i="14"/>
  <c r="J87" i="14"/>
  <c r="J88" i="14"/>
  <c r="J89" i="14"/>
  <c r="J90" i="14"/>
  <c r="J91" i="14"/>
  <c r="J92" i="14"/>
  <c r="J93" i="14"/>
  <c r="J94" i="14"/>
  <c r="J95" i="14"/>
  <c r="J157" i="14"/>
  <c r="J158" i="14"/>
  <c r="J159" i="14"/>
  <c r="J160" i="14"/>
  <c r="J161" i="14"/>
  <c r="J162" i="14"/>
  <c r="J163" i="14"/>
  <c r="J164" i="14"/>
  <c r="J165" i="14"/>
  <c r="J166" i="14"/>
  <c r="J167" i="14"/>
  <c r="J168" i="14"/>
  <c r="J169" i="14"/>
  <c r="J170" i="14"/>
  <c r="J171" i="14"/>
  <c r="J172" i="14"/>
  <c r="J173" i="14"/>
  <c r="J174" i="14"/>
  <c r="J175" i="14"/>
  <c r="J271" i="14"/>
  <c r="J272" i="14"/>
  <c r="J273" i="14"/>
  <c r="J274" i="14"/>
  <c r="J176" i="14"/>
  <c r="J177" i="14"/>
  <c r="J178" i="14"/>
  <c r="J275" i="14"/>
  <c r="J276" i="14"/>
  <c r="J277" i="14"/>
  <c r="J179" i="14"/>
  <c r="J180" i="14"/>
  <c r="J278" i="14"/>
  <c r="J279" i="14"/>
  <c r="J280" i="14"/>
  <c r="J345" i="14"/>
  <c r="J346" i="14"/>
  <c r="J96" i="14"/>
  <c r="J97" i="14"/>
  <c r="J181" i="14"/>
  <c r="J98" i="14"/>
  <c r="J182" i="14"/>
  <c r="J183" i="14"/>
  <c r="J184" i="14"/>
  <c r="J185" i="14"/>
  <c r="J281" i="14"/>
  <c r="J186" i="14"/>
  <c r="J187" i="14"/>
  <c r="J188" i="14"/>
  <c r="J189" i="14"/>
  <c r="J190" i="14"/>
  <c r="J191" i="14"/>
  <c r="J99" i="14"/>
  <c r="J192" i="14"/>
  <c r="J100" i="14"/>
  <c r="J101" i="14"/>
  <c r="J193" i="14"/>
  <c r="J282" i="14"/>
  <c r="J283" i="14"/>
  <c r="J284" i="14"/>
  <c r="J285" i="14"/>
  <c r="J286" i="14"/>
  <c r="J287" i="14"/>
  <c r="J288" i="14"/>
  <c r="J289" i="14"/>
  <c r="J290" i="14"/>
  <c r="J291" i="14"/>
  <c r="J292" i="14"/>
  <c r="J293" i="14"/>
  <c r="J294" i="14"/>
  <c r="J295" i="14"/>
  <c r="J296" i="14"/>
  <c r="J297" i="14"/>
  <c r="J298" i="14"/>
  <c r="J299" i="14"/>
  <c r="J347" i="14"/>
  <c r="J300" i="14"/>
  <c r="J348" i="14"/>
  <c r="J349" i="14"/>
  <c r="J350" i="14"/>
  <c r="J301" i="14"/>
  <c r="J351" i="14"/>
  <c r="J352" i="14"/>
  <c r="J353" i="14"/>
  <c r="J354" i="14"/>
  <c r="J355" i="14"/>
  <c r="J302" i="14"/>
  <c r="J356" i="14"/>
  <c r="J303" i="14"/>
  <c r="J357" i="14"/>
  <c r="J14" i="14"/>
  <c r="J15" i="14"/>
  <c r="J16" i="14"/>
  <c r="J17" i="14"/>
  <c r="J54" i="14"/>
  <c r="J18" i="14"/>
  <c r="J19" i="14"/>
  <c r="J20" i="14"/>
  <c r="J21" i="14"/>
  <c r="J22" i="14"/>
  <c r="J23" i="14"/>
  <c r="J24" i="14"/>
  <c r="J25" i="14"/>
  <c r="J26" i="14"/>
  <c r="J55" i="14"/>
  <c r="J56" i="14"/>
  <c r="J57" i="14"/>
  <c r="J58" i="14"/>
  <c r="J59" i="14"/>
  <c r="J60" i="14"/>
  <c r="J61" i="14"/>
  <c r="J62" i="14"/>
  <c r="J63" i="14"/>
  <c r="J64" i="14"/>
  <c r="J65" i="14"/>
  <c r="J102" i="14"/>
  <c r="J66" i="14"/>
  <c r="J67" i="14"/>
  <c r="J68" i="14"/>
  <c r="J69" i="14"/>
  <c r="J70" i="14"/>
  <c r="J71" i="14"/>
  <c r="J103" i="14"/>
  <c r="J104" i="14"/>
  <c r="J105" i="14"/>
  <c r="J106" i="14"/>
  <c r="J107" i="14"/>
  <c r="J108" i="14"/>
  <c r="J109" i="14"/>
  <c r="J110" i="14"/>
  <c r="J111" i="14"/>
  <c r="J72" i="14"/>
  <c r="J112" i="14"/>
  <c r="J113" i="14"/>
  <c r="J114" i="14"/>
  <c r="J115" i="14"/>
  <c r="J116" i="14"/>
  <c r="J117" i="14"/>
  <c r="J118" i="14"/>
  <c r="J119" i="14"/>
  <c r="J120" i="14"/>
  <c r="J194" i="14"/>
  <c r="J195" i="14"/>
  <c r="J196" i="14"/>
  <c r="J197" i="14"/>
  <c r="J121" i="14"/>
  <c r="J198" i="14"/>
  <c r="J199" i="14"/>
  <c r="J200" i="14"/>
  <c r="J201" i="14"/>
  <c r="J202" i="14"/>
  <c r="J203" i="14"/>
  <c r="J204" i="14"/>
  <c r="J205" i="14"/>
  <c r="J206" i="14"/>
  <c r="J207" i="14"/>
  <c r="J208" i="14"/>
  <c r="J209" i="14"/>
  <c r="J210" i="14"/>
  <c r="J211" i="14"/>
  <c r="J212" i="14"/>
  <c r="J213" i="14"/>
  <c r="J214" i="14"/>
  <c r="J215" i="14"/>
  <c r="J216" i="14"/>
  <c r="J217" i="14"/>
  <c r="J218" i="14"/>
  <c r="J219" i="14"/>
  <c r="J220" i="14"/>
  <c r="J221" i="14"/>
  <c r="J222" i="14"/>
  <c r="J223" i="14"/>
  <c r="J224" i="14"/>
  <c r="J225" i="14"/>
  <c r="J226" i="14"/>
  <c r="J227" i="14"/>
  <c r="J228" i="14"/>
  <c r="J229" i="14"/>
  <c r="J304" i="14"/>
  <c r="J230" i="14"/>
  <c r="J231" i="14"/>
  <c r="J232" i="14"/>
  <c r="J233" i="14"/>
  <c r="J234" i="14"/>
  <c r="J235" i="14"/>
  <c r="J236" i="14"/>
  <c r="J237" i="14"/>
  <c r="J238" i="14"/>
  <c r="J305" i="14"/>
  <c r="J306" i="14"/>
  <c r="J239" i="14"/>
  <c r="J240" i="14"/>
  <c r="J241" i="14"/>
  <c r="J307" i="14"/>
  <c r="J308" i="14"/>
  <c r="J309" i="14"/>
  <c r="J242" i="14"/>
  <c r="J243" i="14"/>
  <c r="J244" i="14"/>
  <c r="J310" i="14"/>
  <c r="J311" i="14"/>
  <c r="J312" i="14"/>
  <c r="J313" i="14"/>
  <c r="J314" i="14"/>
  <c r="J245" i="14"/>
  <c r="J246" i="14"/>
  <c r="J315" i="14"/>
  <c r="J316" i="14"/>
  <c r="J247" i="14"/>
  <c r="J248" i="14"/>
  <c r="J332" i="14"/>
  <c r="J333" i="14"/>
  <c r="I2" i="14"/>
  <c r="I3" i="14"/>
  <c r="I4" i="14"/>
  <c r="I5" i="14"/>
  <c r="I6" i="14"/>
  <c r="I7" i="14"/>
  <c r="I8" i="14"/>
  <c r="I27" i="14"/>
  <c r="I28" i="14"/>
  <c r="I29" i="14"/>
  <c r="I30" i="14"/>
  <c r="I31" i="14"/>
  <c r="I32" i="14"/>
  <c r="I33" i="14"/>
  <c r="I34" i="14"/>
  <c r="I35" i="14"/>
  <c r="I36" i="14"/>
  <c r="I37" i="14"/>
  <c r="I38" i="14"/>
  <c r="I39" i="14"/>
  <c r="I40" i="14"/>
  <c r="I41" i="14"/>
  <c r="I42" i="14"/>
  <c r="I43" i="14"/>
  <c r="I44" i="14"/>
  <c r="I45" i="14"/>
  <c r="I46" i="14"/>
  <c r="I47" i="14"/>
  <c r="I48" i="14"/>
  <c r="I49" i="14"/>
  <c r="I50" i="14"/>
  <c r="I51" i="14"/>
  <c r="I52" i="14"/>
  <c r="I53" i="14"/>
  <c r="I122" i="14"/>
  <c r="I123" i="14"/>
  <c r="I124" i="14"/>
  <c r="I125" i="14"/>
  <c r="I126" i="14"/>
  <c r="I127" i="14"/>
  <c r="I128" i="14"/>
  <c r="I129" i="14"/>
  <c r="I130" i="14"/>
  <c r="I131" i="14"/>
  <c r="I132" i="14"/>
  <c r="I133" i="14"/>
  <c r="I134" i="14"/>
  <c r="I135" i="14"/>
  <c r="I136" i="14"/>
  <c r="I137" i="14"/>
  <c r="I138" i="14"/>
  <c r="I139" i="14"/>
  <c r="I140" i="14"/>
  <c r="I141" i="14"/>
  <c r="I142" i="14"/>
  <c r="I143" i="14"/>
  <c r="I144" i="14"/>
  <c r="I145" i="14"/>
  <c r="I146" i="14"/>
  <c r="I147" i="14"/>
  <c r="I148" i="14"/>
  <c r="I149" i="14"/>
  <c r="I150" i="14"/>
  <c r="I151" i="14"/>
  <c r="I152" i="14"/>
  <c r="I153" i="14"/>
  <c r="I154" i="14"/>
  <c r="I155" i="14"/>
  <c r="I156" i="14"/>
  <c r="I255" i="14"/>
  <c r="I256" i="14"/>
  <c r="I257" i="14"/>
  <c r="I258" i="14"/>
  <c r="I259" i="14"/>
  <c r="I260" i="14"/>
  <c r="I261" i="14"/>
  <c r="I262" i="14"/>
  <c r="I263" i="14"/>
  <c r="I9" i="14"/>
  <c r="I73" i="14"/>
  <c r="I74" i="14"/>
  <c r="I75" i="14"/>
  <c r="I76" i="14"/>
  <c r="I77" i="14"/>
  <c r="I78" i="14"/>
  <c r="I79" i="14"/>
  <c r="I80" i="14"/>
  <c r="I81" i="14"/>
  <c r="I82" i="14"/>
  <c r="I83" i="14"/>
  <c r="I84" i="14"/>
  <c r="I264" i="14"/>
  <c r="I10" i="14"/>
  <c r="I11" i="14"/>
  <c r="I12" i="14"/>
  <c r="I13" i="14"/>
  <c r="I265" i="14"/>
  <c r="I266" i="14"/>
  <c r="I267" i="14"/>
  <c r="I268" i="14"/>
  <c r="I269" i="14"/>
  <c r="I342" i="14"/>
  <c r="I343" i="14"/>
  <c r="I344" i="14"/>
  <c r="I270" i="14"/>
  <c r="I85" i="14"/>
  <c r="I86" i="14"/>
  <c r="I87" i="14"/>
  <c r="I88" i="14"/>
  <c r="I89" i="14"/>
  <c r="I90" i="14"/>
  <c r="I91" i="14"/>
  <c r="I92" i="14"/>
  <c r="I93" i="14"/>
  <c r="I94" i="14"/>
  <c r="I95" i="14"/>
  <c r="I157" i="14"/>
  <c r="I158" i="14"/>
  <c r="I159" i="14"/>
  <c r="I160" i="14"/>
  <c r="I161" i="14"/>
  <c r="I162" i="14"/>
  <c r="I163" i="14"/>
  <c r="I164" i="14"/>
  <c r="I165" i="14"/>
  <c r="I166" i="14"/>
  <c r="I167" i="14"/>
  <c r="I168" i="14"/>
  <c r="I169" i="14"/>
  <c r="I170" i="14"/>
  <c r="I171" i="14"/>
  <c r="I172" i="14"/>
  <c r="I173" i="14"/>
  <c r="I174" i="14"/>
  <c r="I175" i="14"/>
  <c r="I271" i="14"/>
  <c r="I272" i="14"/>
  <c r="I273" i="14"/>
  <c r="I274" i="14"/>
  <c r="I176" i="14"/>
  <c r="I177" i="14"/>
  <c r="I178" i="14"/>
  <c r="I275" i="14"/>
  <c r="I276" i="14"/>
  <c r="I277" i="14"/>
  <c r="I179" i="14"/>
  <c r="I180" i="14"/>
  <c r="I278" i="14"/>
  <c r="I279" i="14"/>
  <c r="I280" i="14"/>
  <c r="I345" i="14"/>
  <c r="I346" i="14"/>
  <c r="I96" i="14"/>
  <c r="I97" i="14"/>
  <c r="I181" i="14"/>
  <c r="I98" i="14"/>
  <c r="I182" i="14"/>
  <c r="I183" i="14"/>
  <c r="I184" i="14"/>
  <c r="I185" i="14"/>
  <c r="I281" i="14"/>
  <c r="I186" i="14"/>
  <c r="I187" i="14"/>
  <c r="I188" i="14"/>
  <c r="I189" i="14"/>
  <c r="I190" i="14"/>
  <c r="I191" i="14"/>
  <c r="I99" i="14"/>
  <c r="I192" i="14"/>
  <c r="I100" i="14"/>
  <c r="I101" i="14"/>
  <c r="I193" i="14"/>
  <c r="I282" i="14"/>
  <c r="I283" i="14"/>
  <c r="I284" i="14"/>
  <c r="I285" i="14"/>
  <c r="I286" i="14"/>
  <c r="I287" i="14"/>
  <c r="I288" i="14"/>
  <c r="I289" i="14"/>
  <c r="I290" i="14"/>
  <c r="I291" i="14"/>
  <c r="I292" i="14"/>
  <c r="I293" i="14"/>
  <c r="I294" i="14"/>
  <c r="I295" i="14"/>
  <c r="I296" i="14"/>
  <c r="I297" i="14"/>
  <c r="I298" i="14"/>
  <c r="I299" i="14"/>
  <c r="I347" i="14"/>
  <c r="I300" i="14"/>
  <c r="I348" i="14"/>
  <c r="I349" i="14"/>
  <c r="I350" i="14"/>
  <c r="I301" i="14"/>
  <c r="I351" i="14"/>
  <c r="I352" i="14"/>
  <c r="I353" i="14"/>
  <c r="I354" i="14"/>
  <c r="I355" i="14"/>
  <c r="I302" i="14"/>
  <c r="I356" i="14"/>
  <c r="I303" i="14"/>
  <c r="I357" i="14"/>
  <c r="I14" i="14"/>
  <c r="I15" i="14"/>
  <c r="I16" i="14"/>
  <c r="I17" i="14"/>
  <c r="I54" i="14"/>
  <c r="I18" i="14"/>
  <c r="I19" i="14"/>
  <c r="I20" i="14"/>
  <c r="I21" i="14"/>
  <c r="I22" i="14"/>
  <c r="I23" i="14"/>
  <c r="I24" i="14"/>
  <c r="I25" i="14"/>
  <c r="I26" i="14"/>
  <c r="I55" i="14"/>
  <c r="I56" i="14"/>
  <c r="I57" i="14"/>
  <c r="I58" i="14"/>
  <c r="I59" i="14"/>
  <c r="I60" i="14"/>
  <c r="I61" i="14"/>
  <c r="I62" i="14"/>
  <c r="I63" i="14"/>
  <c r="I64" i="14"/>
  <c r="I65" i="14"/>
  <c r="I102" i="14"/>
  <c r="I66" i="14"/>
  <c r="I67" i="14"/>
  <c r="I68" i="14"/>
  <c r="I69" i="14"/>
  <c r="I70" i="14"/>
  <c r="I71" i="14"/>
  <c r="I103" i="14"/>
  <c r="I104" i="14"/>
  <c r="I105" i="14"/>
  <c r="I106" i="14"/>
  <c r="I107" i="14"/>
  <c r="I108" i="14"/>
  <c r="I109" i="14"/>
  <c r="I110" i="14"/>
  <c r="I111" i="14"/>
  <c r="I72" i="14"/>
  <c r="I112" i="14"/>
  <c r="I113" i="14"/>
  <c r="I114" i="14"/>
  <c r="I115" i="14"/>
  <c r="I116" i="14"/>
  <c r="I117" i="14"/>
  <c r="I118" i="14"/>
  <c r="I119" i="14"/>
  <c r="I120" i="14"/>
  <c r="I194" i="14"/>
  <c r="I195" i="14"/>
  <c r="I196" i="14"/>
  <c r="I197" i="14"/>
  <c r="I121" i="14"/>
  <c r="I198" i="14"/>
  <c r="I199" i="14"/>
  <c r="I200" i="14"/>
  <c r="I201" i="14"/>
  <c r="I202" i="14"/>
  <c r="I203" i="14"/>
  <c r="I204" i="14"/>
  <c r="I205" i="14"/>
  <c r="I206" i="14"/>
  <c r="I207" i="14"/>
  <c r="I208" i="14"/>
  <c r="I209" i="14"/>
  <c r="I210" i="14"/>
  <c r="I211" i="14"/>
  <c r="I212" i="14"/>
  <c r="I213" i="14"/>
  <c r="I214" i="14"/>
  <c r="I215" i="14"/>
  <c r="I216" i="14"/>
  <c r="I217" i="14"/>
  <c r="I218" i="14"/>
  <c r="I219" i="14"/>
  <c r="I220" i="14"/>
  <c r="I221" i="14"/>
  <c r="I222" i="14"/>
  <c r="I223" i="14"/>
  <c r="I224" i="14"/>
  <c r="I225" i="14"/>
  <c r="I226" i="14"/>
  <c r="I227" i="14"/>
  <c r="I228" i="14"/>
  <c r="I229" i="14"/>
  <c r="I304" i="14"/>
  <c r="I230" i="14"/>
  <c r="I231" i="14"/>
  <c r="I232" i="14"/>
  <c r="I233" i="14"/>
  <c r="I234" i="14"/>
  <c r="I235" i="14"/>
  <c r="I236" i="14"/>
  <c r="I237" i="14"/>
  <c r="I238" i="14"/>
  <c r="I305" i="14"/>
  <c r="I306" i="14"/>
  <c r="I239" i="14"/>
  <c r="I240" i="14"/>
  <c r="I241" i="14"/>
  <c r="I307" i="14"/>
  <c r="I308" i="14"/>
  <c r="I309" i="14"/>
  <c r="I242" i="14"/>
  <c r="I243" i="14"/>
  <c r="I244" i="14"/>
  <c r="I310" i="14"/>
  <c r="I311" i="14"/>
  <c r="I312" i="14"/>
  <c r="I313" i="14"/>
  <c r="I314" i="14"/>
  <c r="I245" i="14"/>
  <c r="I246" i="14"/>
  <c r="I315" i="14"/>
  <c r="I316" i="14"/>
  <c r="I247" i="14"/>
  <c r="I248" i="14"/>
  <c r="I332" i="14"/>
  <c r="I333" i="14"/>
  <c r="H2" i="14"/>
  <c r="H3" i="14"/>
  <c r="H4" i="14"/>
  <c r="H5" i="14"/>
  <c r="H6" i="14"/>
  <c r="H7" i="14"/>
  <c r="H8" i="14"/>
  <c r="H27" i="14"/>
  <c r="H28" i="14"/>
  <c r="H29" i="14"/>
  <c r="H30" i="14"/>
  <c r="H31" i="14"/>
  <c r="H32" i="14"/>
  <c r="H33" i="14"/>
  <c r="H34" i="14"/>
  <c r="H35" i="14"/>
  <c r="H36" i="14"/>
  <c r="H37" i="14"/>
  <c r="H38" i="14"/>
  <c r="H39" i="14"/>
  <c r="H40" i="14"/>
  <c r="H41" i="14"/>
  <c r="H42" i="14"/>
  <c r="H43" i="14"/>
  <c r="H44" i="14"/>
  <c r="H45" i="14"/>
  <c r="H46" i="14"/>
  <c r="H47" i="14"/>
  <c r="H48" i="14"/>
  <c r="H49" i="14"/>
  <c r="H50" i="14"/>
  <c r="H51" i="14"/>
  <c r="H52" i="14"/>
  <c r="H53" i="14"/>
  <c r="H122" i="14"/>
  <c r="H123" i="14"/>
  <c r="H124" i="14"/>
  <c r="H125" i="14"/>
  <c r="H126" i="14"/>
  <c r="H127" i="14"/>
  <c r="H128" i="14"/>
  <c r="H129" i="14"/>
  <c r="H130" i="14"/>
  <c r="H131" i="14"/>
  <c r="H132" i="14"/>
  <c r="H133" i="14"/>
  <c r="H134" i="14"/>
  <c r="H135" i="14"/>
  <c r="H136" i="14"/>
  <c r="H137" i="14"/>
  <c r="H138" i="14"/>
  <c r="H139" i="14"/>
  <c r="H140" i="14"/>
  <c r="H141" i="14"/>
  <c r="H142" i="14"/>
  <c r="H143" i="14"/>
  <c r="H144" i="14"/>
  <c r="H145" i="14"/>
  <c r="H146" i="14"/>
  <c r="H147" i="14"/>
  <c r="H148" i="14"/>
  <c r="H149" i="14"/>
  <c r="H150" i="14"/>
  <c r="H151" i="14"/>
  <c r="H152" i="14"/>
  <c r="H153" i="14"/>
  <c r="H154" i="14"/>
  <c r="H155" i="14"/>
  <c r="H156" i="14"/>
  <c r="H255" i="14"/>
  <c r="H256" i="14"/>
  <c r="H257" i="14"/>
  <c r="H258" i="14"/>
  <c r="H259" i="14"/>
  <c r="H260" i="14"/>
  <c r="H261" i="14"/>
  <c r="H262" i="14"/>
  <c r="H263" i="14"/>
  <c r="H9" i="14"/>
  <c r="H73" i="14"/>
  <c r="H74" i="14"/>
  <c r="H75" i="14"/>
  <c r="H76" i="14"/>
  <c r="H77" i="14"/>
  <c r="H78" i="14"/>
  <c r="H79" i="14"/>
  <c r="H80" i="14"/>
  <c r="H81" i="14"/>
  <c r="H82" i="14"/>
  <c r="H83" i="14"/>
  <c r="H84" i="14"/>
  <c r="H264" i="14"/>
  <c r="H10" i="14"/>
  <c r="H11" i="14"/>
  <c r="H12" i="14"/>
  <c r="H13" i="14"/>
  <c r="H265" i="14"/>
  <c r="H266" i="14"/>
  <c r="H267" i="14"/>
  <c r="H268" i="14"/>
  <c r="H269" i="14"/>
  <c r="H342" i="14"/>
  <c r="H343" i="14"/>
  <c r="H344" i="14"/>
  <c r="H270" i="14"/>
  <c r="H85" i="14"/>
  <c r="H86" i="14"/>
  <c r="H87" i="14"/>
  <c r="H88" i="14"/>
  <c r="H89" i="14"/>
  <c r="H90" i="14"/>
  <c r="H91" i="14"/>
  <c r="H92" i="14"/>
  <c r="H93" i="14"/>
  <c r="H94" i="14"/>
  <c r="H95" i="14"/>
  <c r="H157" i="14"/>
  <c r="H158" i="14"/>
  <c r="H159" i="14"/>
  <c r="H160" i="14"/>
  <c r="H161" i="14"/>
  <c r="H162" i="14"/>
  <c r="H163" i="14"/>
  <c r="H164" i="14"/>
  <c r="H165" i="14"/>
  <c r="H166" i="14"/>
  <c r="H167" i="14"/>
  <c r="H168" i="14"/>
  <c r="H169" i="14"/>
  <c r="H170" i="14"/>
  <c r="H171" i="14"/>
  <c r="H172" i="14"/>
  <c r="H173" i="14"/>
  <c r="H174" i="14"/>
  <c r="H175" i="14"/>
  <c r="H271" i="14"/>
  <c r="H272" i="14"/>
  <c r="H273" i="14"/>
  <c r="H274" i="14"/>
  <c r="H176" i="14"/>
  <c r="H177" i="14"/>
  <c r="H178" i="14"/>
  <c r="H275" i="14"/>
  <c r="H276" i="14"/>
  <c r="H277" i="14"/>
  <c r="H179" i="14"/>
  <c r="H180" i="14"/>
  <c r="H278" i="14"/>
  <c r="H279" i="14"/>
  <c r="H280" i="14"/>
  <c r="H345" i="14"/>
  <c r="H346" i="14"/>
  <c r="H96" i="14"/>
  <c r="H97" i="14"/>
  <c r="H181" i="14"/>
  <c r="H98" i="14"/>
  <c r="H182" i="14"/>
  <c r="H183" i="14"/>
  <c r="H184" i="14"/>
  <c r="H185" i="14"/>
  <c r="H281" i="14"/>
  <c r="H186" i="14"/>
  <c r="H187" i="14"/>
  <c r="H188" i="14"/>
  <c r="H189" i="14"/>
  <c r="H190" i="14"/>
  <c r="H191" i="14"/>
  <c r="H99" i="14"/>
  <c r="H192" i="14"/>
  <c r="H100" i="14"/>
  <c r="H101" i="14"/>
  <c r="H193" i="14"/>
  <c r="H282" i="14"/>
  <c r="H283" i="14"/>
  <c r="H284" i="14"/>
  <c r="H285" i="14"/>
  <c r="H286" i="14"/>
  <c r="H287" i="14"/>
  <c r="H288" i="14"/>
  <c r="H289" i="14"/>
  <c r="H290" i="14"/>
  <c r="H291" i="14"/>
  <c r="H292" i="14"/>
  <c r="H293" i="14"/>
  <c r="H294" i="14"/>
  <c r="H295" i="14"/>
  <c r="H296" i="14"/>
  <c r="H297" i="14"/>
  <c r="H298" i="14"/>
  <c r="H299" i="14"/>
  <c r="H347" i="14"/>
  <c r="H300" i="14"/>
  <c r="H348" i="14"/>
  <c r="H349" i="14"/>
  <c r="H350" i="14"/>
  <c r="H301" i="14"/>
  <c r="H351" i="14"/>
  <c r="H352" i="14"/>
  <c r="H353" i="14"/>
  <c r="H354" i="14"/>
  <c r="H355" i="14"/>
  <c r="H302" i="14"/>
  <c r="H356" i="14"/>
  <c r="H303" i="14"/>
  <c r="H357" i="14"/>
  <c r="H14" i="14"/>
  <c r="H15" i="14"/>
  <c r="H16" i="14"/>
  <c r="H17" i="14"/>
  <c r="H54" i="14"/>
  <c r="H18" i="14"/>
  <c r="H19" i="14"/>
  <c r="H20" i="14"/>
  <c r="H21" i="14"/>
  <c r="H22" i="14"/>
  <c r="H23" i="14"/>
  <c r="H24" i="14"/>
  <c r="H25" i="14"/>
  <c r="H26" i="14"/>
  <c r="H55" i="14"/>
  <c r="H56" i="14"/>
  <c r="H57" i="14"/>
  <c r="H58" i="14"/>
  <c r="H59" i="14"/>
  <c r="H60" i="14"/>
  <c r="H61" i="14"/>
  <c r="H62" i="14"/>
  <c r="H63" i="14"/>
  <c r="H64" i="14"/>
  <c r="H65" i="14"/>
  <c r="H102" i="14"/>
  <c r="H66" i="14"/>
  <c r="H67" i="14"/>
  <c r="H68" i="14"/>
  <c r="H69" i="14"/>
  <c r="H70" i="14"/>
  <c r="H71" i="14"/>
  <c r="H103" i="14"/>
  <c r="H104" i="14"/>
  <c r="H105" i="14"/>
  <c r="H106" i="14"/>
  <c r="H107" i="14"/>
  <c r="H108" i="14"/>
  <c r="H109" i="14"/>
  <c r="H110" i="14"/>
  <c r="H111" i="14"/>
  <c r="H72" i="14"/>
  <c r="H112" i="14"/>
  <c r="H113" i="14"/>
  <c r="H114" i="14"/>
  <c r="H115" i="14"/>
  <c r="H116" i="14"/>
  <c r="H117" i="14"/>
  <c r="H118" i="14"/>
  <c r="H119" i="14"/>
  <c r="H120" i="14"/>
  <c r="H194" i="14"/>
  <c r="H195" i="14"/>
  <c r="H196" i="14"/>
  <c r="H197" i="14"/>
  <c r="H121" i="14"/>
  <c r="H198" i="14"/>
  <c r="H199" i="14"/>
  <c r="H200" i="14"/>
  <c r="H201" i="14"/>
  <c r="H202" i="14"/>
  <c r="H203" i="14"/>
  <c r="H204" i="14"/>
  <c r="H205" i="14"/>
  <c r="H206" i="14"/>
  <c r="H207" i="14"/>
  <c r="H208" i="14"/>
  <c r="H209" i="14"/>
  <c r="H210" i="14"/>
  <c r="H211" i="14"/>
  <c r="H212" i="14"/>
  <c r="H213" i="14"/>
  <c r="H214" i="14"/>
  <c r="H215" i="14"/>
  <c r="H216" i="14"/>
  <c r="H217" i="14"/>
  <c r="H218" i="14"/>
  <c r="H219" i="14"/>
  <c r="H220" i="14"/>
  <c r="H221" i="14"/>
  <c r="H222" i="14"/>
  <c r="H223" i="14"/>
  <c r="H224" i="14"/>
  <c r="H225" i="14"/>
  <c r="H226" i="14"/>
  <c r="H227" i="14"/>
  <c r="H228" i="14"/>
  <c r="H229" i="14"/>
  <c r="H304" i="14"/>
  <c r="H230" i="14"/>
  <c r="H231" i="14"/>
  <c r="H232" i="14"/>
  <c r="H233" i="14"/>
  <c r="H234" i="14"/>
  <c r="H235" i="14"/>
  <c r="H236" i="14"/>
  <c r="H237" i="14"/>
  <c r="H238" i="14"/>
  <c r="H305" i="14"/>
  <c r="H306" i="14"/>
  <c r="H239" i="14"/>
  <c r="H240" i="14"/>
  <c r="H241" i="14"/>
  <c r="H307" i="14"/>
  <c r="H308" i="14"/>
  <c r="H309" i="14"/>
  <c r="H242" i="14"/>
  <c r="H243" i="14"/>
  <c r="H244" i="14"/>
  <c r="H310" i="14"/>
  <c r="H311" i="14"/>
  <c r="H312" i="14"/>
  <c r="H313" i="14"/>
  <c r="H314" i="14"/>
  <c r="H245" i="14"/>
  <c r="H246" i="14"/>
  <c r="H315" i="14"/>
  <c r="H316" i="14"/>
  <c r="H247" i="14"/>
  <c r="H248" i="14"/>
  <c r="H332" i="14"/>
  <c r="H333" i="14"/>
  <c r="G2" i="14"/>
  <c r="G3" i="14"/>
  <c r="G4" i="14"/>
  <c r="G5" i="14"/>
  <c r="G6" i="14"/>
  <c r="G7" i="14"/>
  <c r="G8"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122" i="14"/>
  <c r="G123" i="14"/>
  <c r="G124" i="14"/>
  <c r="G125" i="14"/>
  <c r="G126" i="14"/>
  <c r="G127" i="14"/>
  <c r="G128" i="14"/>
  <c r="G129" i="14"/>
  <c r="G130" i="14"/>
  <c r="G131" i="14"/>
  <c r="G132" i="14"/>
  <c r="G133" i="14"/>
  <c r="G134" i="14"/>
  <c r="G135" i="14"/>
  <c r="G136" i="14"/>
  <c r="G137" i="14"/>
  <c r="G138" i="14"/>
  <c r="G139" i="14"/>
  <c r="G140" i="14"/>
  <c r="G141" i="14"/>
  <c r="G142" i="14"/>
  <c r="G143" i="14"/>
  <c r="G144" i="14"/>
  <c r="G145" i="14"/>
  <c r="G146" i="14"/>
  <c r="G147" i="14"/>
  <c r="G148" i="14"/>
  <c r="G149" i="14"/>
  <c r="G150" i="14"/>
  <c r="G151" i="14"/>
  <c r="G152" i="14"/>
  <c r="G153" i="14"/>
  <c r="G154" i="14"/>
  <c r="G155" i="14"/>
  <c r="G156" i="14"/>
  <c r="G255" i="14"/>
  <c r="G256" i="14"/>
  <c r="G257" i="14"/>
  <c r="G258" i="14"/>
  <c r="G259" i="14"/>
  <c r="G260" i="14"/>
  <c r="G261" i="14"/>
  <c r="G262" i="14"/>
  <c r="G263" i="14"/>
  <c r="G9" i="14"/>
  <c r="G73" i="14"/>
  <c r="G74" i="14"/>
  <c r="G75" i="14"/>
  <c r="G76" i="14"/>
  <c r="G77" i="14"/>
  <c r="G78" i="14"/>
  <c r="G79" i="14"/>
  <c r="G80" i="14"/>
  <c r="G81" i="14"/>
  <c r="G82" i="14"/>
  <c r="G83" i="14"/>
  <c r="G84" i="14"/>
  <c r="G264" i="14"/>
  <c r="G10" i="14"/>
  <c r="G11" i="14"/>
  <c r="G12" i="14"/>
  <c r="G13" i="14"/>
  <c r="G265" i="14"/>
  <c r="G266" i="14"/>
  <c r="G267" i="14"/>
  <c r="G268" i="14"/>
  <c r="G269" i="14"/>
  <c r="G342" i="14"/>
  <c r="G343" i="14"/>
  <c r="G344" i="14"/>
  <c r="G270" i="14"/>
  <c r="G85" i="14"/>
  <c r="G86" i="14"/>
  <c r="G87" i="14"/>
  <c r="G88" i="14"/>
  <c r="G89" i="14"/>
  <c r="G90" i="14"/>
  <c r="G91" i="14"/>
  <c r="G92" i="14"/>
  <c r="G93" i="14"/>
  <c r="G94" i="14"/>
  <c r="G95" i="14"/>
  <c r="G157" i="14"/>
  <c r="G158" i="14"/>
  <c r="G159" i="14"/>
  <c r="G160" i="14"/>
  <c r="G161" i="14"/>
  <c r="G162" i="14"/>
  <c r="G163" i="14"/>
  <c r="G164" i="14"/>
  <c r="G165" i="14"/>
  <c r="G166" i="14"/>
  <c r="G167" i="14"/>
  <c r="G168" i="14"/>
  <c r="G169" i="14"/>
  <c r="G170" i="14"/>
  <c r="G171" i="14"/>
  <c r="G172" i="14"/>
  <c r="G173" i="14"/>
  <c r="G174" i="14"/>
  <c r="G175" i="14"/>
  <c r="G271" i="14"/>
  <c r="G272" i="14"/>
  <c r="G273" i="14"/>
  <c r="G274" i="14"/>
  <c r="G176" i="14"/>
  <c r="G177" i="14"/>
  <c r="G178" i="14"/>
  <c r="G275" i="14"/>
  <c r="G276" i="14"/>
  <c r="G277" i="14"/>
  <c r="G179" i="14"/>
  <c r="G180" i="14"/>
  <c r="G278" i="14"/>
  <c r="G279" i="14"/>
  <c r="G280" i="14"/>
  <c r="G345" i="14"/>
  <c r="G346" i="14"/>
  <c r="G96" i="14"/>
  <c r="G97" i="14"/>
  <c r="G181" i="14"/>
  <c r="G98" i="14"/>
  <c r="G182" i="14"/>
  <c r="G183" i="14"/>
  <c r="G184" i="14"/>
  <c r="G185" i="14"/>
  <c r="G281" i="14"/>
  <c r="G186" i="14"/>
  <c r="G187" i="14"/>
  <c r="G188" i="14"/>
  <c r="G189" i="14"/>
  <c r="G190" i="14"/>
  <c r="G191" i="14"/>
  <c r="G99" i="14"/>
  <c r="G192" i="14"/>
  <c r="G100" i="14"/>
  <c r="G101" i="14"/>
  <c r="G193" i="14"/>
  <c r="G282" i="14"/>
  <c r="G283" i="14"/>
  <c r="G284" i="14"/>
  <c r="G285" i="14"/>
  <c r="G286" i="14"/>
  <c r="G287" i="14"/>
  <c r="G288" i="14"/>
  <c r="G289" i="14"/>
  <c r="G290" i="14"/>
  <c r="G291" i="14"/>
  <c r="G292" i="14"/>
  <c r="G293" i="14"/>
  <c r="G294" i="14"/>
  <c r="G295" i="14"/>
  <c r="G296" i="14"/>
  <c r="G297" i="14"/>
  <c r="G298" i="14"/>
  <c r="G299" i="14"/>
  <c r="G347" i="14"/>
  <c r="G300" i="14"/>
  <c r="G348" i="14"/>
  <c r="G349" i="14"/>
  <c r="G350" i="14"/>
  <c r="G301" i="14"/>
  <c r="G351" i="14"/>
  <c r="G352" i="14"/>
  <c r="G353" i="14"/>
  <c r="G354" i="14"/>
  <c r="G355" i="14"/>
  <c r="G302" i="14"/>
  <c r="G356" i="14"/>
  <c r="G303" i="14"/>
  <c r="G357" i="14"/>
  <c r="G14" i="14"/>
  <c r="G15" i="14"/>
  <c r="G16" i="14"/>
  <c r="G17" i="14"/>
  <c r="G54" i="14"/>
  <c r="G18" i="14"/>
  <c r="G19" i="14"/>
  <c r="G20" i="14"/>
  <c r="G21" i="14"/>
  <c r="G22" i="14"/>
  <c r="G23" i="14"/>
  <c r="G24" i="14"/>
  <c r="G25" i="14"/>
  <c r="G26" i="14"/>
  <c r="G55" i="14"/>
  <c r="G56" i="14"/>
  <c r="G57" i="14"/>
  <c r="G58" i="14"/>
  <c r="G59" i="14"/>
  <c r="G60" i="14"/>
  <c r="G61" i="14"/>
  <c r="G62" i="14"/>
  <c r="G63" i="14"/>
  <c r="G64" i="14"/>
  <c r="G65" i="14"/>
  <c r="G102" i="14"/>
  <c r="G66" i="14"/>
  <c r="G67" i="14"/>
  <c r="G68" i="14"/>
  <c r="G69" i="14"/>
  <c r="G70" i="14"/>
  <c r="G71" i="14"/>
  <c r="G103" i="14"/>
  <c r="G104" i="14"/>
  <c r="G105" i="14"/>
  <c r="G106" i="14"/>
  <c r="G107" i="14"/>
  <c r="G108" i="14"/>
  <c r="G109" i="14"/>
  <c r="G110" i="14"/>
  <c r="G111" i="14"/>
  <c r="G72" i="14"/>
  <c r="G112" i="14"/>
  <c r="G113" i="14"/>
  <c r="G114" i="14"/>
  <c r="G115" i="14"/>
  <c r="G116" i="14"/>
  <c r="G117" i="14"/>
  <c r="G118" i="14"/>
  <c r="G119" i="14"/>
  <c r="G120" i="14"/>
  <c r="G194" i="14"/>
  <c r="G195" i="14"/>
  <c r="G196" i="14"/>
  <c r="G197" i="14"/>
  <c r="G121"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304" i="14"/>
  <c r="G230" i="14"/>
  <c r="G231" i="14"/>
  <c r="G232" i="14"/>
  <c r="G233" i="14"/>
  <c r="G234" i="14"/>
  <c r="G235" i="14"/>
  <c r="G236" i="14"/>
  <c r="G237" i="14"/>
  <c r="G238" i="14"/>
  <c r="G305" i="14"/>
  <c r="G306" i="14"/>
  <c r="G239" i="14"/>
  <c r="G240" i="14"/>
  <c r="G241" i="14"/>
  <c r="G307" i="14"/>
  <c r="G308" i="14"/>
  <c r="G309" i="14"/>
  <c r="G242" i="14"/>
  <c r="G243" i="14"/>
  <c r="G244" i="14"/>
  <c r="G310" i="14"/>
  <c r="G311" i="14"/>
  <c r="G312" i="14"/>
  <c r="G313" i="14"/>
  <c r="G314" i="14"/>
  <c r="G245" i="14"/>
  <c r="G246" i="14"/>
  <c r="G315" i="14"/>
  <c r="G316" i="14"/>
  <c r="G247" i="14"/>
  <c r="G248" i="14"/>
  <c r="G332" i="14"/>
  <c r="G333" i="14"/>
  <c r="F2" i="14"/>
  <c r="F3" i="14"/>
  <c r="F4" i="14"/>
  <c r="F5" i="14"/>
  <c r="F6" i="14"/>
  <c r="F7" i="14"/>
  <c r="F8"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122" i="14"/>
  <c r="F123" i="14"/>
  <c r="F124" i="14"/>
  <c r="F125" i="14"/>
  <c r="F126" i="14"/>
  <c r="F127" i="14"/>
  <c r="F128" i="14"/>
  <c r="F129" i="14"/>
  <c r="F130" i="14"/>
  <c r="F131" i="14"/>
  <c r="F132" i="14"/>
  <c r="F133" i="14"/>
  <c r="F134" i="14"/>
  <c r="F135" i="14"/>
  <c r="F136" i="14"/>
  <c r="F137" i="14"/>
  <c r="F138" i="14"/>
  <c r="F139" i="14"/>
  <c r="F140" i="14"/>
  <c r="F141" i="14"/>
  <c r="F142" i="14"/>
  <c r="F143" i="14"/>
  <c r="F144" i="14"/>
  <c r="F145" i="14"/>
  <c r="F146" i="14"/>
  <c r="F147" i="14"/>
  <c r="F148" i="14"/>
  <c r="F149" i="14"/>
  <c r="F150" i="14"/>
  <c r="F151" i="14"/>
  <c r="F152" i="14"/>
  <c r="F153" i="14"/>
  <c r="F154" i="14"/>
  <c r="F155" i="14"/>
  <c r="F156" i="14"/>
  <c r="F255" i="14"/>
  <c r="F256" i="14"/>
  <c r="F257" i="14"/>
  <c r="F258" i="14"/>
  <c r="F259" i="14"/>
  <c r="F260" i="14"/>
  <c r="F261" i="14"/>
  <c r="F262" i="14"/>
  <c r="F263" i="14"/>
  <c r="F9" i="14"/>
  <c r="F73" i="14"/>
  <c r="F74" i="14"/>
  <c r="F75" i="14"/>
  <c r="F76" i="14"/>
  <c r="F77" i="14"/>
  <c r="F78" i="14"/>
  <c r="F79" i="14"/>
  <c r="F80" i="14"/>
  <c r="F81" i="14"/>
  <c r="F82" i="14"/>
  <c r="F83" i="14"/>
  <c r="F84" i="14"/>
  <c r="F264" i="14"/>
  <c r="F10" i="14"/>
  <c r="F11" i="14"/>
  <c r="F12" i="14"/>
  <c r="F13" i="14"/>
  <c r="F265" i="14"/>
  <c r="F266" i="14"/>
  <c r="F267" i="14"/>
  <c r="F268" i="14"/>
  <c r="F269" i="14"/>
  <c r="F342" i="14"/>
  <c r="F343" i="14"/>
  <c r="F344" i="14"/>
  <c r="F270" i="14"/>
  <c r="F85" i="14"/>
  <c r="F86" i="14"/>
  <c r="F87" i="14"/>
  <c r="F88" i="14"/>
  <c r="F89" i="14"/>
  <c r="F90" i="14"/>
  <c r="F91" i="14"/>
  <c r="F92" i="14"/>
  <c r="F93" i="14"/>
  <c r="F94" i="14"/>
  <c r="F95" i="14"/>
  <c r="F157" i="14"/>
  <c r="F158" i="14"/>
  <c r="F159" i="14"/>
  <c r="F160" i="14"/>
  <c r="F161" i="14"/>
  <c r="F162" i="14"/>
  <c r="F163" i="14"/>
  <c r="F164" i="14"/>
  <c r="F165" i="14"/>
  <c r="F166" i="14"/>
  <c r="F167" i="14"/>
  <c r="F168" i="14"/>
  <c r="F169" i="14"/>
  <c r="F170" i="14"/>
  <c r="F171" i="14"/>
  <c r="F172" i="14"/>
  <c r="F173" i="14"/>
  <c r="F174" i="14"/>
  <c r="F175" i="14"/>
  <c r="F271" i="14"/>
  <c r="F272" i="14"/>
  <c r="F273" i="14"/>
  <c r="F274" i="14"/>
  <c r="F176" i="14"/>
  <c r="F177" i="14"/>
  <c r="F178" i="14"/>
  <c r="F275" i="14"/>
  <c r="F276" i="14"/>
  <c r="F277" i="14"/>
  <c r="F179" i="14"/>
  <c r="F180" i="14"/>
  <c r="F278" i="14"/>
  <c r="F279" i="14"/>
  <c r="F280" i="14"/>
  <c r="F345" i="14"/>
  <c r="F346" i="14"/>
  <c r="F96" i="14"/>
  <c r="F97" i="14"/>
  <c r="F181" i="14"/>
  <c r="F98" i="14"/>
  <c r="F182" i="14"/>
  <c r="F183" i="14"/>
  <c r="F184" i="14"/>
  <c r="F185" i="14"/>
  <c r="F281" i="14"/>
  <c r="F186" i="14"/>
  <c r="F187" i="14"/>
  <c r="F188" i="14"/>
  <c r="F189" i="14"/>
  <c r="F190" i="14"/>
  <c r="F191" i="14"/>
  <c r="F99" i="14"/>
  <c r="F192" i="14"/>
  <c r="F100" i="14"/>
  <c r="F101" i="14"/>
  <c r="F193" i="14"/>
  <c r="F282" i="14"/>
  <c r="F283" i="14"/>
  <c r="F284" i="14"/>
  <c r="F285" i="14"/>
  <c r="F286" i="14"/>
  <c r="F287" i="14"/>
  <c r="F288" i="14"/>
  <c r="F289" i="14"/>
  <c r="F290" i="14"/>
  <c r="F291" i="14"/>
  <c r="F292" i="14"/>
  <c r="F293" i="14"/>
  <c r="F294" i="14"/>
  <c r="F295" i="14"/>
  <c r="F296" i="14"/>
  <c r="F297" i="14"/>
  <c r="F298" i="14"/>
  <c r="F299" i="14"/>
  <c r="F347" i="14"/>
  <c r="F300" i="14"/>
  <c r="F348" i="14"/>
  <c r="F349" i="14"/>
  <c r="F350" i="14"/>
  <c r="F301" i="14"/>
  <c r="F351" i="14"/>
  <c r="F352" i="14"/>
  <c r="F353" i="14"/>
  <c r="F354" i="14"/>
  <c r="F355" i="14"/>
  <c r="F302" i="14"/>
  <c r="F356" i="14"/>
  <c r="F303" i="14"/>
  <c r="F357" i="14"/>
  <c r="F14" i="14"/>
  <c r="F15" i="14"/>
  <c r="F16" i="14"/>
  <c r="F17" i="14"/>
  <c r="F54" i="14"/>
  <c r="F18" i="14"/>
  <c r="F19" i="14"/>
  <c r="F20" i="14"/>
  <c r="F21" i="14"/>
  <c r="F22" i="14"/>
  <c r="F23" i="14"/>
  <c r="F24" i="14"/>
  <c r="F25" i="14"/>
  <c r="F26" i="14"/>
  <c r="F55" i="14"/>
  <c r="F56" i="14"/>
  <c r="F57" i="14"/>
  <c r="F58" i="14"/>
  <c r="F59" i="14"/>
  <c r="F60" i="14"/>
  <c r="F61" i="14"/>
  <c r="F62" i="14"/>
  <c r="F63" i="14"/>
  <c r="F64" i="14"/>
  <c r="F65" i="14"/>
  <c r="F102" i="14"/>
  <c r="F66" i="14"/>
  <c r="F67" i="14"/>
  <c r="F68" i="14"/>
  <c r="F69" i="14"/>
  <c r="F70" i="14"/>
  <c r="F71" i="14"/>
  <c r="F103" i="14"/>
  <c r="F104" i="14"/>
  <c r="F105" i="14"/>
  <c r="F106" i="14"/>
  <c r="F107" i="14"/>
  <c r="F108" i="14"/>
  <c r="F109" i="14"/>
  <c r="F110" i="14"/>
  <c r="F111" i="14"/>
  <c r="F72" i="14"/>
  <c r="F112" i="14"/>
  <c r="F113" i="14"/>
  <c r="F114" i="14"/>
  <c r="F115" i="14"/>
  <c r="F116" i="14"/>
  <c r="F117" i="14"/>
  <c r="F118" i="14"/>
  <c r="F119" i="14"/>
  <c r="F120" i="14"/>
  <c r="F194" i="14"/>
  <c r="F195" i="14"/>
  <c r="F196" i="14"/>
  <c r="F197" i="14"/>
  <c r="F121" i="14"/>
  <c r="F198" i="14"/>
  <c r="F199" i="14"/>
  <c r="F200" i="14"/>
  <c r="F201" i="14"/>
  <c r="F202" i="14"/>
  <c r="F203" i="14"/>
  <c r="F204" i="14"/>
  <c r="F205" i="14"/>
  <c r="F206" i="14"/>
  <c r="F207" i="14"/>
  <c r="F208" i="14"/>
  <c r="F209" i="14"/>
  <c r="F210" i="14"/>
  <c r="F211" i="14"/>
  <c r="F212" i="14"/>
  <c r="F213" i="14"/>
  <c r="F214" i="14"/>
  <c r="F215" i="14"/>
  <c r="F216" i="14"/>
  <c r="F217" i="14"/>
  <c r="F218" i="14"/>
  <c r="F219" i="14"/>
  <c r="F220" i="14"/>
  <c r="F221" i="14"/>
  <c r="F222" i="14"/>
  <c r="F223" i="14"/>
  <c r="F224" i="14"/>
  <c r="F225" i="14"/>
  <c r="F226" i="14"/>
  <c r="F227" i="14"/>
  <c r="F228" i="14"/>
  <c r="F229" i="14"/>
  <c r="F304" i="14"/>
  <c r="F230" i="14"/>
  <c r="F231" i="14"/>
  <c r="F232" i="14"/>
  <c r="F233" i="14"/>
  <c r="F234" i="14"/>
  <c r="F235" i="14"/>
  <c r="F236" i="14"/>
  <c r="F237" i="14"/>
  <c r="F238" i="14"/>
  <c r="F305" i="14"/>
  <c r="F306" i="14"/>
  <c r="F239" i="14"/>
  <c r="F240" i="14"/>
  <c r="F241" i="14"/>
  <c r="F307" i="14"/>
  <c r="F308" i="14"/>
  <c r="F309" i="14"/>
  <c r="F242" i="14"/>
  <c r="F243" i="14"/>
  <c r="F244" i="14"/>
  <c r="F310" i="14"/>
  <c r="F311" i="14"/>
  <c r="F312" i="14"/>
  <c r="F313" i="14"/>
  <c r="F314" i="14"/>
  <c r="F245" i="14"/>
  <c r="F246" i="14"/>
  <c r="F315" i="14"/>
  <c r="F316" i="14"/>
  <c r="F247" i="14"/>
  <c r="F248" i="14"/>
  <c r="F332" i="14"/>
  <c r="F333" i="14"/>
  <c r="E2" i="14"/>
  <c r="E3" i="14"/>
  <c r="E4" i="14"/>
  <c r="E5" i="14"/>
  <c r="E6" i="14"/>
  <c r="E7" i="14"/>
  <c r="E8"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122" i="14"/>
  <c r="E123" i="14"/>
  <c r="E124" i="14"/>
  <c r="E125" i="14"/>
  <c r="E126" i="14"/>
  <c r="E127" i="14"/>
  <c r="E128" i="14"/>
  <c r="E129" i="14"/>
  <c r="E130" i="14"/>
  <c r="E131" i="14"/>
  <c r="E132" i="14"/>
  <c r="E133" i="14"/>
  <c r="E134" i="14"/>
  <c r="E135" i="14"/>
  <c r="E136" i="14"/>
  <c r="E137" i="14"/>
  <c r="E138" i="14"/>
  <c r="E139" i="14"/>
  <c r="E140" i="14"/>
  <c r="E141" i="14"/>
  <c r="E142" i="14"/>
  <c r="E143" i="14"/>
  <c r="E144" i="14"/>
  <c r="E145" i="14"/>
  <c r="E146" i="14"/>
  <c r="E147" i="14"/>
  <c r="E148" i="14"/>
  <c r="E149" i="14"/>
  <c r="E150" i="14"/>
  <c r="E151" i="14"/>
  <c r="E152" i="14"/>
  <c r="E153" i="14"/>
  <c r="E154" i="14"/>
  <c r="E155" i="14"/>
  <c r="E156" i="14"/>
  <c r="E255" i="14"/>
  <c r="E256" i="14"/>
  <c r="E257" i="14"/>
  <c r="E258" i="14"/>
  <c r="E259" i="14"/>
  <c r="E260" i="14"/>
  <c r="E261" i="14"/>
  <c r="E262" i="14"/>
  <c r="E263" i="14"/>
  <c r="E9" i="14"/>
  <c r="E73" i="14"/>
  <c r="E74" i="14"/>
  <c r="E75" i="14"/>
  <c r="E76" i="14"/>
  <c r="E77" i="14"/>
  <c r="E78" i="14"/>
  <c r="E79" i="14"/>
  <c r="E80" i="14"/>
  <c r="E81" i="14"/>
  <c r="E82" i="14"/>
  <c r="E83" i="14"/>
  <c r="E84" i="14"/>
  <c r="E264" i="14"/>
  <c r="E10" i="14"/>
  <c r="E11" i="14"/>
  <c r="E12" i="14"/>
  <c r="E13" i="14"/>
  <c r="E265" i="14"/>
  <c r="E266" i="14"/>
  <c r="E267" i="14"/>
  <c r="E268" i="14"/>
  <c r="E269" i="14"/>
  <c r="E342" i="14"/>
  <c r="E343" i="14"/>
  <c r="E344" i="14"/>
  <c r="E270" i="14"/>
  <c r="E85" i="14"/>
  <c r="E86" i="14"/>
  <c r="E87" i="14"/>
  <c r="E88" i="14"/>
  <c r="E89" i="14"/>
  <c r="E90" i="14"/>
  <c r="E91" i="14"/>
  <c r="E92" i="14"/>
  <c r="E93" i="14"/>
  <c r="E94" i="14"/>
  <c r="E95" i="14"/>
  <c r="E157" i="14"/>
  <c r="E158" i="14"/>
  <c r="E159" i="14"/>
  <c r="E160" i="14"/>
  <c r="E161" i="14"/>
  <c r="E162" i="14"/>
  <c r="E163" i="14"/>
  <c r="E164" i="14"/>
  <c r="E165" i="14"/>
  <c r="E166" i="14"/>
  <c r="E167" i="14"/>
  <c r="E168" i="14"/>
  <c r="E169" i="14"/>
  <c r="E170" i="14"/>
  <c r="E171" i="14"/>
  <c r="E172" i="14"/>
  <c r="E173" i="14"/>
  <c r="E174" i="14"/>
  <c r="E175" i="14"/>
  <c r="E271" i="14"/>
  <c r="E272" i="14"/>
  <c r="E273" i="14"/>
  <c r="E274" i="14"/>
  <c r="E176" i="14"/>
  <c r="E177" i="14"/>
  <c r="E178" i="14"/>
  <c r="E275" i="14"/>
  <c r="E276" i="14"/>
  <c r="E277" i="14"/>
  <c r="E179" i="14"/>
  <c r="E180" i="14"/>
  <c r="E278" i="14"/>
  <c r="E279" i="14"/>
  <c r="E280" i="14"/>
  <c r="E345" i="14"/>
  <c r="E346" i="14"/>
  <c r="E96" i="14"/>
  <c r="E97" i="14"/>
  <c r="E181" i="14"/>
  <c r="E98" i="14"/>
  <c r="E182" i="14"/>
  <c r="E183" i="14"/>
  <c r="E184" i="14"/>
  <c r="E185" i="14"/>
  <c r="E281" i="14"/>
  <c r="E186" i="14"/>
  <c r="E187" i="14"/>
  <c r="E188" i="14"/>
  <c r="E189" i="14"/>
  <c r="E190" i="14"/>
  <c r="E191" i="14"/>
  <c r="E99" i="14"/>
  <c r="E192" i="14"/>
  <c r="E100" i="14"/>
  <c r="E101" i="14"/>
  <c r="E193" i="14"/>
  <c r="E282" i="14"/>
  <c r="E283" i="14"/>
  <c r="E284" i="14"/>
  <c r="E285" i="14"/>
  <c r="E286" i="14"/>
  <c r="E287" i="14"/>
  <c r="E288" i="14"/>
  <c r="E289" i="14"/>
  <c r="E290" i="14"/>
  <c r="E291" i="14"/>
  <c r="E292" i="14"/>
  <c r="E293" i="14"/>
  <c r="E294" i="14"/>
  <c r="E295" i="14"/>
  <c r="E296" i="14"/>
  <c r="E297" i="14"/>
  <c r="E298" i="14"/>
  <c r="E299" i="14"/>
  <c r="E347" i="14"/>
  <c r="E300" i="14"/>
  <c r="E348" i="14"/>
  <c r="E349" i="14"/>
  <c r="E350" i="14"/>
  <c r="E301" i="14"/>
  <c r="E351" i="14"/>
  <c r="E352" i="14"/>
  <c r="E353" i="14"/>
  <c r="E354" i="14"/>
  <c r="E355" i="14"/>
  <c r="E302" i="14"/>
  <c r="E356" i="14"/>
  <c r="E303" i="14"/>
  <c r="E357" i="14"/>
  <c r="E14" i="14"/>
  <c r="E15" i="14"/>
  <c r="E16" i="14"/>
  <c r="E17" i="14"/>
  <c r="E54" i="14"/>
  <c r="E18" i="14"/>
  <c r="E19" i="14"/>
  <c r="E20" i="14"/>
  <c r="E21" i="14"/>
  <c r="E22" i="14"/>
  <c r="E23" i="14"/>
  <c r="E24" i="14"/>
  <c r="E25" i="14"/>
  <c r="E26" i="14"/>
  <c r="E55" i="14"/>
  <c r="E56" i="14"/>
  <c r="E57" i="14"/>
  <c r="E58" i="14"/>
  <c r="E59" i="14"/>
  <c r="E60" i="14"/>
  <c r="E61" i="14"/>
  <c r="E62" i="14"/>
  <c r="E63" i="14"/>
  <c r="E64" i="14"/>
  <c r="E65" i="14"/>
  <c r="E102" i="14"/>
  <c r="E66" i="14"/>
  <c r="E67" i="14"/>
  <c r="E68" i="14"/>
  <c r="E69" i="14"/>
  <c r="E70" i="14"/>
  <c r="E71" i="14"/>
  <c r="E103" i="14"/>
  <c r="E104" i="14"/>
  <c r="E105" i="14"/>
  <c r="E106" i="14"/>
  <c r="E107" i="14"/>
  <c r="E108" i="14"/>
  <c r="E109" i="14"/>
  <c r="E110" i="14"/>
  <c r="E111" i="14"/>
  <c r="E72" i="14"/>
  <c r="E112" i="14"/>
  <c r="E113" i="14"/>
  <c r="E114" i="14"/>
  <c r="E115" i="14"/>
  <c r="E116" i="14"/>
  <c r="E117" i="14"/>
  <c r="E118" i="14"/>
  <c r="E119" i="14"/>
  <c r="E120" i="14"/>
  <c r="E194" i="14"/>
  <c r="E195" i="14"/>
  <c r="E196" i="14"/>
  <c r="E197" i="14"/>
  <c r="E121" i="14"/>
  <c r="E198" i="14"/>
  <c r="E199" i="14"/>
  <c r="E200" i="14"/>
  <c r="E201" i="14"/>
  <c r="E202" i="14"/>
  <c r="E203" i="14"/>
  <c r="E204" i="14"/>
  <c r="E205" i="14"/>
  <c r="E206" i="14"/>
  <c r="E207" i="14"/>
  <c r="E208" i="14"/>
  <c r="E209" i="14"/>
  <c r="E210" i="14"/>
  <c r="E211" i="14"/>
  <c r="E212" i="14"/>
  <c r="E213" i="14"/>
  <c r="E214" i="14"/>
  <c r="E215" i="14"/>
  <c r="E216" i="14"/>
  <c r="E217" i="14"/>
  <c r="E218" i="14"/>
  <c r="E219" i="14"/>
  <c r="E220" i="14"/>
  <c r="E221" i="14"/>
  <c r="E222" i="14"/>
  <c r="E223" i="14"/>
  <c r="E224" i="14"/>
  <c r="E225" i="14"/>
  <c r="E226" i="14"/>
  <c r="E227" i="14"/>
  <c r="E228" i="14"/>
  <c r="E229" i="14"/>
  <c r="E304" i="14"/>
  <c r="E230" i="14"/>
  <c r="E231" i="14"/>
  <c r="E232" i="14"/>
  <c r="E233" i="14"/>
  <c r="E234" i="14"/>
  <c r="E235" i="14"/>
  <c r="E236" i="14"/>
  <c r="E237" i="14"/>
  <c r="E238" i="14"/>
  <c r="E305" i="14"/>
  <c r="E306" i="14"/>
  <c r="E239" i="14"/>
  <c r="E240" i="14"/>
  <c r="E241" i="14"/>
  <c r="E307" i="14"/>
  <c r="E308" i="14"/>
  <c r="E309" i="14"/>
  <c r="E242" i="14"/>
  <c r="E243" i="14"/>
  <c r="E244" i="14"/>
  <c r="E310" i="14"/>
  <c r="E311" i="14"/>
  <c r="E312" i="14"/>
  <c r="E313" i="14"/>
  <c r="E314" i="14"/>
  <c r="E245" i="14"/>
  <c r="E246" i="14"/>
  <c r="E315" i="14"/>
  <c r="E316" i="14"/>
  <c r="E247" i="14"/>
  <c r="E248" i="14"/>
  <c r="E332" i="14"/>
  <c r="E333" i="14"/>
  <c r="D2" i="14"/>
  <c r="D3" i="14"/>
  <c r="D4" i="14"/>
  <c r="D5" i="14"/>
  <c r="D6" i="14"/>
  <c r="D7" i="14"/>
  <c r="D8"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255" i="14"/>
  <c r="D256" i="14"/>
  <c r="D257" i="14"/>
  <c r="D258" i="14"/>
  <c r="D259" i="14"/>
  <c r="D260" i="14"/>
  <c r="D261" i="14"/>
  <c r="D262" i="14"/>
  <c r="D263" i="14"/>
  <c r="D9" i="14"/>
  <c r="D73" i="14"/>
  <c r="D74" i="14"/>
  <c r="D75" i="14"/>
  <c r="D76" i="14"/>
  <c r="D77" i="14"/>
  <c r="D78" i="14"/>
  <c r="D79" i="14"/>
  <c r="D80" i="14"/>
  <c r="D81" i="14"/>
  <c r="D82" i="14"/>
  <c r="D83" i="14"/>
  <c r="D84" i="14"/>
  <c r="D264" i="14"/>
  <c r="D10" i="14"/>
  <c r="D11" i="14"/>
  <c r="D12" i="14"/>
  <c r="D13" i="14"/>
  <c r="D265" i="14"/>
  <c r="D266" i="14"/>
  <c r="D267" i="14"/>
  <c r="D268" i="14"/>
  <c r="D269" i="14"/>
  <c r="D342" i="14"/>
  <c r="D343" i="14"/>
  <c r="D344" i="14"/>
  <c r="D270" i="14"/>
  <c r="D85" i="14"/>
  <c r="D86" i="14"/>
  <c r="D87" i="14"/>
  <c r="D88" i="14"/>
  <c r="D89" i="14"/>
  <c r="D90" i="14"/>
  <c r="D91" i="14"/>
  <c r="D92" i="14"/>
  <c r="D93" i="14"/>
  <c r="D94" i="14"/>
  <c r="D95" i="14"/>
  <c r="D157" i="14"/>
  <c r="D158" i="14"/>
  <c r="D159" i="14"/>
  <c r="D160" i="14"/>
  <c r="D161" i="14"/>
  <c r="D162" i="14"/>
  <c r="D163" i="14"/>
  <c r="D164" i="14"/>
  <c r="D165" i="14"/>
  <c r="D166" i="14"/>
  <c r="D167" i="14"/>
  <c r="D168" i="14"/>
  <c r="D169" i="14"/>
  <c r="D170" i="14"/>
  <c r="D171" i="14"/>
  <c r="D172" i="14"/>
  <c r="D173" i="14"/>
  <c r="D174" i="14"/>
  <c r="D175" i="14"/>
  <c r="D271" i="14"/>
  <c r="D272" i="14"/>
  <c r="D273" i="14"/>
  <c r="D274" i="14"/>
  <c r="D176" i="14"/>
  <c r="D177" i="14"/>
  <c r="D178" i="14"/>
  <c r="D275" i="14"/>
  <c r="D276" i="14"/>
  <c r="D277" i="14"/>
  <c r="D179" i="14"/>
  <c r="D180" i="14"/>
  <c r="D278" i="14"/>
  <c r="D279" i="14"/>
  <c r="D280" i="14"/>
  <c r="D345" i="14"/>
  <c r="D346" i="14"/>
  <c r="D96" i="14"/>
  <c r="D97" i="14"/>
  <c r="D181" i="14"/>
  <c r="D98" i="14"/>
  <c r="D182" i="14"/>
  <c r="D183" i="14"/>
  <c r="D184" i="14"/>
  <c r="D185" i="14"/>
  <c r="D281" i="14"/>
  <c r="D186" i="14"/>
  <c r="D187" i="14"/>
  <c r="D188" i="14"/>
  <c r="D189" i="14"/>
  <c r="D190" i="14"/>
  <c r="D191" i="14"/>
  <c r="D99" i="14"/>
  <c r="D192" i="14"/>
  <c r="D100" i="14"/>
  <c r="D101" i="14"/>
  <c r="D193" i="14"/>
  <c r="D282" i="14"/>
  <c r="D283" i="14"/>
  <c r="D284" i="14"/>
  <c r="D285" i="14"/>
  <c r="D286" i="14"/>
  <c r="D287" i="14"/>
  <c r="D288" i="14"/>
  <c r="D289" i="14"/>
  <c r="D290" i="14"/>
  <c r="D291" i="14"/>
  <c r="D292" i="14"/>
  <c r="D293" i="14"/>
  <c r="D294" i="14"/>
  <c r="D295" i="14"/>
  <c r="D296" i="14"/>
  <c r="D297" i="14"/>
  <c r="D298" i="14"/>
  <c r="D299" i="14"/>
  <c r="D347" i="14"/>
  <c r="D300" i="14"/>
  <c r="D348" i="14"/>
  <c r="D349" i="14"/>
  <c r="D350" i="14"/>
  <c r="D301" i="14"/>
  <c r="D351" i="14"/>
  <c r="D352" i="14"/>
  <c r="D353" i="14"/>
  <c r="D354" i="14"/>
  <c r="D355" i="14"/>
  <c r="D302" i="14"/>
  <c r="D356" i="14"/>
  <c r="D303" i="14"/>
  <c r="D357" i="14"/>
  <c r="D14" i="14"/>
  <c r="D15" i="14"/>
  <c r="D16" i="14"/>
  <c r="D17" i="14"/>
  <c r="D54" i="14"/>
  <c r="D18" i="14"/>
  <c r="D19" i="14"/>
  <c r="D20" i="14"/>
  <c r="D21" i="14"/>
  <c r="D22" i="14"/>
  <c r="D23" i="14"/>
  <c r="D24" i="14"/>
  <c r="D25" i="14"/>
  <c r="D26" i="14"/>
  <c r="D55" i="14"/>
  <c r="D56" i="14"/>
  <c r="D57" i="14"/>
  <c r="D58" i="14"/>
  <c r="D59" i="14"/>
  <c r="D60" i="14"/>
  <c r="D61" i="14"/>
  <c r="D62" i="14"/>
  <c r="D63" i="14"/>
  <c r="D64" i="14"/>
  <c r="D65" i="14"/>
  <c r="D102" i="14"/>
  <c r="D66" i="14"/>
  <c r="D67" i="14"/>
  <c r="D68" i="14"/>
  <c r="D69" i="14"/>
  <c r="D70" i="14"/>
  <c r="D71" i="14"/>
  <c r="D103" i="14"/>
  <c r="D104" i="14"/>
  <c r="D105" i="14"/>
  <c r="D106" i="14"/>
  <c r="D107" i="14"/>
  <c r="D108" i="14"/>
  <c r="D109" i="14"/>
  <c r="D110" i="14"/>
  <c r="D111" i="14"/>
  <c r="D72" i="14"/>
  <c r="D112" i="14"/>
  <c r="D113" i="14"/>
  <c r="D114" i="14"/>
  <c r="D115" i="14"/>
  <c r="D116" i="14"/>
  <c r="D117" i="14"/>
  <c r="D118" i="14"/>
  <c r="D119" i="14"/>
  <c r="D120" i="14"/>
  <c r="D194" i="14"/>
  <c r="D195" i="14"/>
  <c r="D196" i="14"/>
  <c r="D197" i="14"/>
  <c r="D121"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304" i="14"/>
  <c r="D230" i="14"/>
  <c r="D231" i="14"/>
  <c r="D232" i="14"/>
  <c r="D233" i="14"/>
  <c r="D234" i="14"/>
  <c r="D235" i="14"/>
  <c r="D236" i="14"/>
  <c r="D237" i="14"/>
  <c r="D238" i="14"/>
  <c r="D305" i="14"/>
  <c r="D306" i="14"/>
  <c r="D239" i="14"/>
  <c r="D240" i="14"/>
  <c r="D241" i="14"/>
  <c r="D307" i="14"/>
  <c r="D308" i="14"/>
  <c r="D309" i="14"/>
  <c r="D242" i="14"/>
  <c r="D243" i="14"/>
  <c r="D244" i="14"/>
  <c r="D310" i="14"/>
  <c r="D311" i="14"/>
  <c r="D312" i="14"/>
  <c r="D313" i="14"/>
  <c r="D314" i="14"/>
  <c r="D245" i="14"/>
  <c r="D246" i="14"/>
  <c r="D315" i="14"/>
  <c r="D316" i="14"/>
  <c r="D247" i="14"/>
  <c r="D248" i="14"/>
  <c r="D332" i="14"/>
  <c r="D333" i="14"/>
  <c r="B2" i="14"/>
  <c r="B3" i="14"/>
  <c r="B4" i="14"/>
  <c r="B5" i="14"/>
  <c r="B6" i="14"/>
  <c r="B7" i="14"/>
  <c r="B8"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255" i="14"/>
  <c r="B256" i="14"/>
  <c r="B257" i="14"/>
  <c r="B258" i="14"/>
  <c r="B259" i="14"/>
  <c r="B260" i="14"/>
  <c r="B261" i="14"/>
  <c r="B262" i="14"/>
  <c r="B263" i="14"/>
  <c r="B9" i="14"/>
  <c r="B73" i="14"/>
  <c r="B74" i="14"/>
  <c r="B75" i="14"/>
  <c r="B76" i="14"/>
  <c r="B77" i="14"/>
  <c r="B78" i="14"/>
  <c r="B79" i="14"/>
  <c r="B80" i="14"/>
  <c r="B81" i="14"/>
  <c r="B82" i="14"/>
  <c r="B83" i="14"/>
  <c r="B84" i="14"/>
  <c r="B264" i="14"/>
  <c r="B10" i="14"/>
  <c r="B11" i="14"/>
  <c r="B12" i="14"/>
  <c r="B13" i="14"/>
  <c r="B265" i="14"/>
  <c r="B266" i="14"/>
  <c r="B267" i="14"/>
  <c r="B268" i="14"/>
  <c r="B269" i="14"/>
  <c r="B342" i="14"/>
  <c r="B343" i="14"/>
  <c r="B344" i="14"/>
  <c r="B270" i="14"/>
  <c r="B85" i="14"/>
  <c r="B86" i="14"/>
  <c r="B87" i="14"/>
  <c r="B88" i="14"/>
  <c r="B89" i="14"/>
  <c r="B90" i="14"/>
  <c r="B91" i="14"/>
  <c r="B92" i="14"/>
  <c r="B93" i="14"/>
  <c r="B94" i="14"/>
  <c r="B95" i="14"/>
  <c r="B157" i="14"/>
  <c r="B158" i="14"/>
  <c r="B159" i="14"/>
  <c r="B160" i="14"/>
  <c r="B161" i="14"/>
  <c r="B162" i="14"/>
  <c r="B163" i="14"/>
  <c r="B164" i="14"/>
  <c r="B165" i="14"/>
  <c r="B166" i="14"/>
  <c r="B167" i="14"/>
  <c r="B168" i="14"/>
  <c r="B169" i="14"/>
  <c r="B170" i="14"/>
  <c r="B171" i="14"/>
  <c r="B172" i="14"/>
  <c r="B173" i="14"/>
  <c r="B174" i="14"/>
  <c r="B175" i="14"/>
  <c r="B271" i="14"/>
  <c r="B272" i="14"/>
  <c r="B273" i="14"/>
  <c r="B274" i="14"/>
  <c r="B176" i="14"/>
  <c r="B177" i="14"/>
  <c r="B178" i="14"/>
  <c r="B275" i="14"/>
  <c r="B276" i="14"/>
  <c r="B277" i="14"/>
  <c r="B179" i="14"/>
  <c r="B180" i="14"/>
  <c r="B278" i="14"/>
  <c r="B279" i="14"/>
  <c r="B280" i="14"/>
  <c r="B345" i="14"/>
  <c r="B346" i="14"/>
  <c r="B96" i="14"/>
  <c r="B97" i="14"/>
  <c r="B181" i="14"/>
  <c r="B98" i="14"/>
  <c r="B182" i="14"/>
  <c r="B183" i="14"/>
  <c r="B184" i="14"/>
  <c r="B185" i="14"/>
  <c r="B281" i="14"/>
  <c r="B186" i="14"/>
  <c r="B187" i="14"/>
  <c r="B188" i="14"/>
  <c r="B189" i="14"/>
  <c r="B190" i="14"/>
  <c r="B191" i="14"/>
  <c r="B99" i="14"/>
  <c r="B192" i="14"/>
  <c r="B100" i="14"/>
  <c r="B101" i="14"/>
  <c r="B193" i="14"/>
  <c r="B282" i="14"/>
  <c r="B283" i="14"/>
  <c r="B284" i="14"/>
  <c r="B285" i="14"/>
  <c r="B286" i="14"/>
  <c r="B287" i="14"/>
  <c r="B288" i="14"/>
  <c r="B289" i="14"/>
  <c r="B290" i="14"/>
  <c r="B291" i="14"/>
  <c r="B292" i="14"/>
  <c r="B293" i="14"/>
  <c r="B294" i="14"/>
  <c r="B295" i="14"/>
  <c r="B296" i="14"/>
  <c r="B297" i="14"/>
  <c r="B298" i="14"/>
  <c r="B299" i="14"/>
  <c r="B347" i="14"/>
  <c r="B300" i="14"/>
  <c r="B348" i="14"/>
  <c r="B349" i="14"/>
  <c r="B350" i="14"/>
  <c r="B301" i="14"/>
  <c r="B351" i="14"/>
  <c r="B352" i="14"/>
  <c r="B353" i="14"/>
  <c r="B354" i="14"/>
  <c r="B355" i="14"/>
  <c r="B302" i="14"/>
  <c r="B356" i="14"/>
  <c r="B303" i="14"/>
  <c r="B357" i="14"/>
  <c r="B14" i="14"/>
  <c r="B15" i="14"/>
  <c r="B16" i="14"/>
  <c r="B17" i="14"/>
  <c r="B54" i="14"/>
  <c r="B18" i="14"/>
  <c r="B19" i="14"/>
  <c r="B20" i="14"/>
  <c r="B21" i="14"/>
  <c r="B22" i="14"/>
  <c r="B23" i="14"/>
  <c r="B24" i="14"/>
  <c r="B25" i="14"/>
  <c r="B26" i="14"/>
  <c r="B55" i="14"/>
  <c r="B56" i="14"/>
  <c r="B57" i="14"/>
  <c r="B58" i="14"/>
  <c r="B59" i="14"/>
  <c r="B60" i="14"/>
  <c r="B61" i="14"/>
  <c r="B62" i="14"/>
  <c r="B63" i="14"/>
  <c r="B64" i="14"/>
  <c r="B65" i="14"/>
  <c r="B102" i="14"/>
  <c r="B66" i="14"/>
  <c r="B67" i="14"/>
  <c r="B68" i="14"/>
  <c r="B69" i="14"/>
  <c r="B70" i="14"/>
  <c r="B71" i="14"/>
  <c r="B103" i="14"/>
  <c r="B104" i="14"/>
  <c r="B105" i="14"/>
  <c r="B106" i="14"/>
  <c r="B107" i="14"/>
  <c r="B108" i="14"/>
  <c r="B109" i="14"/>
  <c r="B110" i="14"/>
  <c r="B111" i="14"/>
  <c r="B72" i="14"/>
  <c r="B112" i="14"/>
  <c r="B113" i="14"/>
  <c r="B114" i="14"/>
  <c r="B115" i="14"/>
  <c r="B116" i="14"/>
  <c r="B117" i="14"/>
  <c r="B118" i="14"/>
  <c r="B119" i="14"/>
  <c r="B120" i="14"/>
  <c r="B194" i="14"/>
  <c r="B195" i="14"/>
  <c r="B196" i="14"/>
  <c r="B197" i="14"/>
  <c r="B121"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304" i="14"/>
  <c r="B230" i="14"/>
  <c r="B231" i="14"/>
  <c r="B232" i="14"/>
  <c r="B233" i="14"/>
  <c r="B234" i="14"/>
  <c r="B235" i="14"/>
  <c r="B236" i="14"/>
  <c r="B237" i="14"/>
  <c r="B238" i="14"/>
  <c r="B305" i="14"/>
  <c r="B306" i="14"/>
  <c r="B239" i="14"/>
  <c r="B240" i="14"/>
  <c r="B241" i="14"/>
  <c r="B307" i="14"/>
  <c r="B308" i="14"/>
  <c r="B309" i="14"/>
  <c r="B242" i="14"/>
  <c r="B243" i="14"/>
  <c r="B244" i="14"/>
  <c r="B310" i="14"/>
  <c r="B311" i="14"/>
  <c r="B312" i="14"/>
  <c r="B313" i="14"/>
  <c r="B314" i="14"/>
  <c r="B245" i="14"/>
  <c r="B246" i="14"/>
  <c r="B315" i="14"/>
  <c r="B316" i="14"/>
  <c r="B247" i="14"/>
  <c r="B248" i="14"/>
  <c r="B332" i="14"/>
  <c r="B333" i="14"/>
  <c r="C2" i="14"/>
  <c r="C3" i="14"/>
  <c r="C4" i="14"/>
  <c r="C5" i="14"/>
  <c r="C6" i="14"/>
  <c r="C7" i="14"/>
  <c r="C8"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22" i="14"/>
  <c r="C123" i="14"/>
  <c r="C124" i="14"/>
  <c r="C125" i="14"/>
  <c r="C126" i="14"/>
  <c r="C127" i="14"/>
  <c r="C128" i="14"/>
  <c r="C129" i="14"/>
  <c r="C130" i="14"/>
  <c r="C131" i="14"/>
  <c r="C132" i="14"/>
  <c r="C133" i="14"/>
  <c r="C134" i="14"/>
  <c r="C135" i="14"/>
  <c r="C136" i="14"/>
  <c r="C137" i="14"/>
  <c r="C138" i="14"/>
  <c r="C139" i="14"/>
  <c r="C140" i="14"/>
  <c r="C141" i="14"/>
  <c r="C142" i="14"/>
  <c r="C143" i="14"/>
  <c r="C144" i="14"/>
  <c r="C145" i="14"/>
  <c r="C146" i="14"/>
  <c r="C147" i="14"/>
  <c r="C148" i="14"/>
  <c r="C149" i="14"/>
  <c r="C150" i="14"/>
  <c r="C151" i="14"/>
  <c r="C152" i="14"/>
  <c r="C153" i="14"/>
  <c r="C154" i="14"/>
  <c r="C155" i="14"/>
  <c r="C156" i="14"/>
  <c r="C255" i="14"/>
  <c r="C256" i="14"/>
  <c r="C257" i="14"/>
  <c r="C258" i="14"/>
  <c r="C259" i="14"/>
  <c r="C260" i="14"/>
  <c r="C261" i="14"/>
  <c r="C262" i="14"/>
  <c r="C263" i="14"/>
  <c r="C9" i="14"/>
  <c r="C73" i="14"/>
  <c r="C74" i="14"/>
  <c r="C75" i="14"/>
  <c r="C76" i="14"/>
  <c r="C77" i="14"/>
  <c r="C78" i="14"/>
  <c r="C79" i="14"/>
  <c r="C80" i="14"/>
  <c r="C81" i="14"/>
  <c r="C82" i="14"/>
  <c r="C83" i="14"/>
  <c r="C84" i="14"/>
  <c r="C264" i="14"/>
  <c r="C10" i="14"/>
  <c r="C11" i="14"/>
  <c r="C12" i="14"/>
  <c r="C13" i="14"/>
  <c r="C265" i="14"/>
  <c r="C266" i="14"/>
  <c r="C267" i="14"/>
  <c r="C268" i="14"/>
  <c r="C269" i="14"/>
  <c r="C342" i="14"/>
  <c r="C343" i="14"/>
  <c r="C344" i="14"/>
  <c r="C270" i="14"/>
  <c r="C85" i="14"/>
  <c r="C86" i="14"/>
  <c r="C87" i="14"/>
  <c r="C88" i="14"/>
  <c r="C89" i="14"/>
  <c r="C90" i="14"/>
  <c r="C91" i="14"/>
  <c r="C92" i="14"/>
  <c r="C93" i="14"/>
  <c r="C94" i="14"/>
  <c r="C95" i="14"/>
  <c r="C157" i="14"/>
  <c r="C158" i="14"/>
  <c r="C159" i="14"/>
  <c r="C160" i="14"/>
  <c r="C161" i="14"/>
  <c r="C162" i="14"/>
  <c r="C163" i="14"/>
  <c r="C164" i="14"/>
  <c r="C165" i="14"/>
  <c r="C166" i="14"/>
  <c r="C167" i="14"/>
  <c r="C168" i="14"/>
  <c r="C169" i="14"/>
  <c r="C170" i="14"/>
  <c r="C171" i="14"/>
  <c r="C172" i="14"/>
  <c r="C173" i="14"/>
  <c r="C174" i="14"/>
  <c r="C175" i="14"/>
  <c r="C271" i="14"/>
  <c r="C272" i="14"/>
  <c r="C273" i="14"/>
  <c r="C274" i="14"/>
  <c r="C176" i="14"/>
  <c r="C177" i="14"/>
  <c r="C178" i="14"/>
  <c r="C275" i="14"/>
  <c r="C276" i="14"/>
  <c r="C277" i="14"/>
  <c r="C179" i="14"/>
  <c r="C180" i="14"/>
  <c r="C278" i="14"/>
  <c r="C279" i="14"/>
  <c r="C280" i="14"/>
  <c r="C345" i="14"/>
  <c r="C346" i="14"/>
  <c r="C96" i="14"/>
  <c r="C97" i="14"/>
  <c r="C181" i="14"/>
  <c r="C98" i="14"/>
  <c r="C182" i="14"/>
  <c r="C183" i="14"/>
  <c r="C184" i="14"/>
  <c r="C185" i="14"/>
  <c r="C281" i="14"/>
  <c r="C186" i="14"/>
  <c r="C187" i="14"/>
  <c r="C188" i="14"/>
  <c r="C189" i="14"/>
  <c r="C190" i="14"/>
  <c r="C191" i="14"/>
  <c r="C99" i="14"/>
  <c r="C192" i="14"/>
  <c r="C100" i="14"/>
  <c r="C101" i="14"/>
  <c r="C193" i="14"/>
  <c r="C282" i="14"/>
  <c r="C283" i="14"/>
  <c r="C284" i="14"/>
  <c r="C285" i="14"/>
  <c r="C286" i="14"/>
  <c r="C287" i="14"/>
  <c r="C288" i="14"/>
  <c r="C289" i="14"/>
  <c r="C290" i="14"/>
  <c r="C291" i="14"/>
  <c r="C292" i="14"/>
  <c r="C293" i="14"/>
  <c r="C294" i="14"/>
  <c r="C295" i="14"/>
  <c r="C296" i="14"/>
  <c r="C297" i="14"/>
  <c r="C298" i="14"/>
  <c r="C299" i="14"/>
  <c r="C347" i="14"/>
  <c r="C300" i="14"/>
  <c r="C348" i="14"/>
  <c r="C349" i="14"/>
  <c r="C350" i="14"/>
  <c r="C301" i="14"/>
  <c r="C351" i="14"/>
  <c r="C352" i="14"/>
  <c r="C353" i="14"/>
  <c r="C354" i="14"/>
  <c r="C355" i="14"/>
  <c r="C302" i="14"/>
  <c r="C356" i="14"/>
  <c r="C303" i="14"/>
  <c r="C357" i="14"/>
  <c r="C14" i="14"/>
  <c r="C15" i="14"/>
  <c r="C16" i="14"/>
  <c r="C17" i="14"/>
  <c r="C54" i="14"/>
  <c r="C18" i="14"/>
  <c r="C19" i="14"/>
  <c r="C20" i="14"/>
  <c r="C21" i="14"/>
  <c r="C22" i="14"/>
  <c r="C23" i="14"/>
  <c r="C24" i="14"/>
  <c r="C25" i="14"/>
  <c r="C26" i="14"/>
  <c r="C55" i="14"/>
  <c r="C56" i="14"/>
  <c r="C57" i="14"/>
  <c r="C58" i="14"/>
  <c r="C59" i="14"/>
  <c r="C60" i="14"/>
  <c r="C61" i="14"/>
  <c r="C62" i="14"/>
  <c r="C63" i="14"/>
  <c r="C64" i="14"/>
  <c r="C65" i="14"/>
  <c r="C102" i="14"/>
  <c r="C66" i="14"/>
  <c r="C67" i="14"/>
  <c r="C68" i="14"/>
  <c r="C69" i="14"/>
  <c r="C70" i="14"/>
  <c r="C71" i="14"/>
  <c r="C103" i="14"/>
  <c r="C104" i="14"/>
  <c r="C105" i="14"/>
  <c r="C106" i="14"/>
  <c r="C107" i="14"/>
  <c r="C108" i="14"/>
  <c r="C109" i="14"/>
  <c r="C110" i="14"/>
  <c r="C111" i="14"/>
  <c r="C72" i="14"/>
  <c r="C112" i="14"/>
  <c r="C113" i="14"/>
  <c r="C114" i="14"/>
  <c r="C115" i="14"/>
  <c r="C116" i="14"/>
  <c r="C117" i="14"/>
  <c r="C118" i="14"/>
  <c r="C119" i="14"/>
  <c r="C120" i="14"/>
  <c r="C194" i="14"/>
  <c r="C195" i="14"/>
  <c r="C196" i="14"/>
  <c r="C197" i="14"/>
  <c r="C121"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304" i="14"/>
  <c r="C230" i="14"/>
  <c r="C231" i="14"/>
  <c r="C232" i="14"/>
  <c r="C233" i="14"/>
  <c r="C234" i="14"/>
  <c r="C235" i="14"/>
  <c r="C236" i="14"/>
  <c r="C237" i="14"/>
  <c r="C238" i="14"/>
  <c r="C305" i="14"/>
  <c r="C306" i="14"/>
  <c r="C239" i="14"/>
  <c r="C240" i="14"/>
  <c r="C241" i="14"/>
  <c r="C307" i="14"/>
  <c r="C308" i="14"/>
  <c r="C309" i="14"/>
  <c r="C242" i="14"/>
  <c r="C243" i="14"/>
  <c r="C244" i="14"/>
  <c r="C310" i="14"/>
  <c r="C311" i="14"/>
  <c r="C312" i="14"/>
  <c r="C313" i="14"/>
  <c r="C314" i="14"/>
  <c r="C245" i="14"/>
  <c r="C246" i="14"/>
  <c r="C315" i="14"/>
  <c r="C316" i="14"/>
  <c r="C247" i="14"/>
  <c r="C248" i="14"/>
  <c r="C332" i="14"/>
  <c r="C333" i="14"/>
  <c r="A2" i="14"/>
  <c r="A3" i="14"/>
  <c r="A4" i="14"/>
  <c r="A5" i="14"/>
  <c r="A6" i="14"/>
  <c r="A7" i="14"/>
  <c r="A8" i="14"/>
  <c r="A27" i="14"/>
  <c r="A28" i="14"/>
  <c r="A29" i="14"/>
  <c r="A30" i="14"/>
  <c r="A31" i="14"/>
  <c r="A32" i="14"/>
  <c r="A33" i="14"/>
  <c r="A34" i="14"/>
  <c r="A35" i="14"/>
  <c r="A36" i="14"/>
  <c r="A37" i="14"/>
  <c r="A38" i="14"/>
  <c r="A39" i="14"/>
  <c r="A40" i="14"/>
  <c r="A41" i="14"/>
  <c r="A42" i="14"/>
  <c r="A43" i="14"/>
  <c r="A44" i="14"/>
  <c r="A45" i="14"/>
  <c r="A46" i="14"/>
  <c r="A47" i="14"/>
  <c r="A48" i="14"/>
  <c r="A49" i="14"/>
  <c r="A50" i="14"/>
  <c r="A51" i="14"/>
  <c r="A52" i="14"/>
  <c r="A53" i="14"/>
  <c r="A122" i="14"/>
  <c r="A123" i="14"/>
  <c r="A124" i="14"/>
  <c r="A125" i="14"/>
  <c r="A126" i="14"/>
  <c r="A127" i="14"/>
  <c r="A128" i="14"/>
  <c r="A129" i="14"/>
  <c r="A130" i="14"/>
  <c r="A131" i="14"/>
  <c r="A132" i="14"/>
  <c r="A133" i="14"/>
  <c r="A134" i="14"/>
  <c r="A135" i="14"/>
  <c r="A136" i="14"/>
  <c r="A137" i="14"/>
  <c r="A138" i="14"/>
  <c r="A139" i="14"/>
  <c r="A140" i="14"/>
  <c r="A141" i="14"/>
  <c r="A142" i="14"/>
  <c r="A143" i="14"/>
  <c r="A144" i="14"/>
  <c r="A145" i="14"/>
  <c r="A146" i="14"/>
  <c r="A147" i="14"/>
  <c r="A148" i="14"/>
  <c r="A149" i="14"/>
  <c r="A150" i="14"/>
  <c r="A151" i="14"/>
  <c r="A152" i="14"/>
  <c r="A153" i="14"/>
  <c r="A154" i="14"/>
  <c r="A155" i="14"/>
  <c r="A156" i="14"/>
  <c r="A255" i="14"/>
  <c r="A256" i="14"/>
  <c r="A257" i="14"/>
  <c r="A258" i="14"/>
  <c r="A259" i="14"/>
  <c r="A260" i="14"/>
  <c r="A261" i="14"/>
  <c r="A262" i="14"/>
  <c r="A263" i="14"/>
  <c r="A9" i="14"/>
  <c r="A73" i="14"/>
  <c r="A74" i="14"/>
  <c r="A75" i="14"/>
  <c r="A76" i="14"/>
  <c r="A77" i="14"/>
  <c r="A78" i="14"/>
  <c r="A79" i="14"/>
  <c r="A80" i="14"/>
  <c r="A81" i="14"/>
  <c r="A82" i="14"/>
  <c r="A83" i="14"/>
  <c r="A84" i="14"/>
  <c r="A264" i="14"/>
  <c r="A10" i="14"/>
  <c r="A11" i="14"/>
  <c r="A12" i="14"/>
  <c r="A13" i="14"/>
  <c r="A265" i="14"/>
  <c r="A266" i="14"/>
  <c r="A267" i="14"/>
  <c r="A268" i="14"/>
  <c r="A269" i="14"/>
  <c r="A342" i="14"/>
  <c r="A343" i="14"/>
  <c r="A344" i="14"/>
  <c r="A270" i="14"/>
  <c r="A85" i="14"/>
  <c r="A86" i="14"/>
  <c r="A87" i="14"/>
  <c r="A88" i="14"/>
  <c r="A89" i="14"/>
  <c r="A90" i="14"/>
  <c r="A91" i="14"/>
  <c r="A92" i="14"/>
  <c r="A93" i="14"/>
  <c r="A94" i="14"/>
  <c r="A95" i="14"/>
  <c r="A157" i="14"/>
  <c r="A158" i="14"/>
  <c r="A159" i="14"/>
  <c r="A160" i="14"/>
  <c r="A161" i="14"/>
  <c r="A162" i="14"/>
  <c r="A163" i="14"/>
  <c r="A164" i="14"/>
  <c r="A165" i="14"/>
  <c r="A166" i="14"/>
  <c r="A167" i="14"/>
  <c r="A168" i="14"/>
  <c r="A169" i="14"/>
  <c r="A170" i="14"/>
  <c r="A171" i="14"/>
  <c r="A172" i="14"/>
  <c r="A173" i="14"/>
  <c r="A174" i="14"/>
  <c r="A175" i="14"/>
  <c r="A271" i="14"/>
  <c r="A272" i="14"/>
  <c r="A273" i="14"/>
  <c r="A274" i="14"/>
  <c r="A176" i="14"/>
  <c r="A177" i="14"/>
  <c r="A178" i="14"/>
  <c r="A275" i="14"/>
  <c r="A276" i="14"/>
  <c r="A277" i="14"/>
  <c r="A179" i="14"/>
  <c r="A180" i="14"/>
  <c r="A278" i="14"/>
  <c r="A279" i="14"/>
  <c r="A280" i="14"/>
  <c r="A345" i="14"/>
  <c r="A346" i="14"/>
  <c r="A96" i="14"/>
  <c r="A97" i="14"/>
  <c r="A181" i="14"/>
  <c r="A98" i="14"/>
  <c r="A182" i="14"/>
  <c r="A183" i="14"/>
  <c r="A184" i="14"/>
  <c r="A185" i="14"/>
  <c r="A281" i="14"/>
  <c r="A186" i="14"/>
  <c r="A187" i="14"/>
  <c r="A188" i="14"/>
  <c r="A189" i="14"/>
  <c r="A190" i="14"/>
  <c r="A191" i="14"/>
  <c r="A99" i="14"/>
  <c r="A192" i="14"/>
  <c r="A100" i="14"/>
  <c r="A101" i="14"/>
  <c r="A193" i="14"/>
  <c r="A282" i="14"/>
  <c r="A283" i="14"/>
  <c r="A284" i="14"/>
  <c r="A285" i="14"/>
  <c r="A286" i="14"/>
  <c r="A287" i="14"/>
  <c r="A288" i="14"/>
  <c r="A289" i="14"/>
  <c r="A290" i="14"/>
  <c r="A291" i="14"/>
  <c r="A292" i="14"/>
  <c r="A293" i="14"/>
  <c r="A294" i="14"/>
  <c r="A295" i="14"/>
  <c r="A296" i="14"/>
  <c r="A297" i="14"/>
  <c r="A298" i="14"/>
  <c r="A299" i="14"/>
  <c r="A347" i="14"/>
  <c r="A300" i="14"/>
  <c r="A348" i="14"/>
  <c r="A349" i="14"/>
  <c r="A350" i="14"/>
  <c r="A301" i="14"/>
  <c r="A351" i="14"/>
  <c r="A352" i="14"/>
  <c r="A353" i="14"/>
  <c r="A354" i="14"/>
  <c r="A355" i="14"/>
  <c r="A302" i="14"/>
  <c r="A356" i="14"/>
  <c r="A303" i="14"/>
  <c r="A357" i="14"/>
  <c r="A14" i="14"/>
  <c r="A15" i="14"/>
  <c r="A16" i="14"/>
  <c r="A17" i="14"/>
  <c r="A54" i="14"/>
  <c r="A18" i="14"/>
  <c r="A19" i="14"/>
  <c r="A20" i="14"/>
  <c r="A21" i="14"/>
  <c r="A22" i="14"/>
  <c r="A23" i="14"/>
  <c r="A24" i="14"/>
  <c r="A25" i="14"/>
  <c r="A26" i="14"/>
  <c r="A55" i="14"/>
  <c r="A56" i="14"/>
  <c r="A57" i="14"/>
  <c r="A58" i="14"/>
  <c r="A59" i="14"/>
  <c r="A60" i="14"/>
  <c r="A61" i="14"/>
  <c r="A62" i="14"/>
  <c r="A63" i="14"/>
  <c r="A64" i="14"/>
  <c r="A65" i="14"/>
  <c r="A102" i="14"/>
  <c r="A66" i="14"/>
  <c r="A67" i="14"/>
  <c r="A68" i="14"/>
  <c r="A69" i="14"/>
  <c r="A70" i="14"/>
  <c r="A71" i="14"/>
  <c r="A103" i="14"/>
  <c r="A104" i="14"/>
  <c r="A105" i="14"/>
  <c r="A106" i="14"/>
  <c r="A107" i="14"/>
  <c r="A108" i="14"/>
  <c r="A109" i="14"/>
  <c r="A110" i="14"/>
  <c r="A111" i="14"/>
  <c r="A72" i="14"/>
  <c r="A112" i="14"/>
  <c r="A113" i="14"/>
  <c r="A114" i="14"/>
  <c r="A115" i="14"/>
  <c r="A116" i="14"/>
  <c r="A117" i="14"/>
  <c r="A118" i="14"/>
  <c r="A119" i="14"/>
  <c r="A120" i="14"/>
  <c r="A194" i="14"/>
  <c r="A195" i="14"/>
  <c r="A196" i="14"/>
  <c r="A197" i="14"/>
  <c r="A121" i="14"/>
  <c r="A198" i="14"/>
  <c r="A199" i="14"/>
  <c r="A200" i="14"/>
  <c r="A201" i="14"/>
  <c r="A202" i="14"/>
  <c r="A203" i="14"/>
  <c r="A204" i="14"/>
  <c r="A205" i="14"/>
  <c r="A206" i="14"/>
  <c r="A207" i="14"/>
  <c r="A208" i="14"/>
  <c r="A209" i="14"/>
  <c r="A210" i="14"/>
  <c r="A211" i="14"/>
  <c r="A212" i="14"/>
  <c r="A213" i="14"/>
  <c r="A214" i="14"/>
  <c r="A215" i="14"/>
  <c r="A216" i="14"/>
  <c r="A217" i="14"/>
  <c r="A218" i="14"/>
  <c r="A219" i="14"/>
  <c r="A220" i="14"/>
  <c r="A221" i="14"/>
  <c r="A222" i="14"/>
  <c r="A223" i="14"/>
  <c r="A224" i="14"/>
  <c r="A225" i="14"/>
  <c r="A226" i="14"/>
  <c r="A227" i="14"/>
  <c r="A228" i="14"/>
  <c r="A229" i="14"/>
  <c r="A304" i="14"/>
  <c r="A230" i="14"/>
  <c r="A231" i="14"/>
  <c r="A232" i="14"/>
  <c r="A233" i="14"/>
  <c r="A234" i="14"/>
  <c r="A235" i="14"/>
  <c r="A236" i="14"/>
  <c r="A237" i="14"/>
  <c r="A238" i="14"/>
  <c r="A305" i="14"/>
  <c r="A306" i="14"/>
  <c r="A239" i="14"/>
  <c r="A240" i="14"/>
  <c r="A241" i="14"/>
  <c r="A307" i="14"/>
  <c r="A308" i="14"/>
  <c r="A309" i="14"/>
  <c r="A242" i="14"/>
  <c r="A243" i="14"/>
  <c r="A244" i="14"/>
  <c r="A310" i="14"/>
  <c r="A311" i="14"/>
  <c r="A312" i="14"/>
  <c r="A313" i="14"/>
  <c r="A314" i="14"/>
  <c r="A245" i="14"/>
  <c r="A246" i="14"/>
  <c r="A315" i="14"/>
  <c r="A316" i="14"/>
  <c r="A247" i="14"/>
  <c r="A248" i="14"/>
  <c r="A332" i="14"/>
  <c r="A333" i="14"/>
  <c r="I8" i="13" l="1"/>
  <c r="I9" i="13"/>
  <c r="I10" i="13"/>
  <c r="I11" i="13"/>
  <c r="I13" i="13"/>
  <c r="I14" i="13"/>
  <c r="I15" i="13"/>
  <c r="I16" i="13"/>
  <c r="I18" i="13"/>
  <c r="I19" i="13"/>
  <c r="I20" i="13"/>
  <c r="I21" i="13"/>
  <c r="I23" i="13"/>
  <c r="I24" i="13"/>
  <c r="I25" i="13"/>
  <c r="I26" i="13"/>
  <c r="I28" i="13"/>
  <c r="I29" i="13"/>
  <c r="I30" i="13"/>
  <c r="I31" i="13"/>
  <c r="I33" i="13"/>
  <c r="I34" i="13"/>
  <c r="I35" i="13"/>
  <c r="I36" i="13"/>
  <c r="I39" i="13"/>
  <c r="A4" i="17"/>
  <c r="C4" i="17" s="1"/>
  <c r="H4" i="17"/>
  <c r="D4" i="17"/>
  <c r="F4" i="17"/>
  <c r="E4" i="17"/>
  <c r="G4" i="17"/>
  <c r="J14" i="13"/>
  <c r="J7" i="13"/>
  <c r="L361" i="15"/>
  <c r="S361" i="15"/>
  <c r="T361" i="15"/>
  <c r="Q361" i="15"/>
  <c r="K361" i="15"/>
  <c r="I361" i="15"/>
  <c r="H361" i="15"/>
  <c r="G361" i="15"/>
  <c r="F361" i="15"/>
  <c r="E361" i="15"/>
  <c r="D361" i="15"/>
  <c r="B361" i="15"/>
  <c r="C361" i="15"/>
  <c r="J361" i="15"/>
  <c r="G361" i="14"/>
  <c r="K361" i="14"/>
  <c r="F361" i="14"/>
  <c r="J361" i="14"/>
  <c r="T361" i="14"/>
  <c r="I361" i="14"/>
  <c r="S361" i="14"/>
  <c r="H361" i="14"/>
  <c r="Q361" i="14"/>
  <c r="L42" i="13"/>
  <c r="L36" i="13"/>
  <c r="L33" i="13"/>
  <c r="L35" i="13"/>
  <c r="L34" i="13"/>
  <c r="L38" i="13"/>
  <c r="L29" i="13"/>
  <c r="R318" i="15"/>
  <c r="R280" i="15"/>
  <c r="R245" i="15"/>
  <c r="R283" i="15"/>
  <c r="R271" i="15"/>
  <c r="R257" i="15"/>
  <c r="R231" i="15"/>
  <c r="R216" i="15"/>
  <c r="R240" i="15"/>
  <c r="R177" i="15"/>
  <c r="R208" i="15"/>
  <c r="R199" i="15"/>
  <c r="R186" i="15"/>
  <c r="R168" i="15"/>
  <c r="R155" i="15"/>
  <c r="R172" i="15"/>
  <c r="R164" i="15"/>
  <c r="R136" i="15"/>
  <c r="R86" i="15"/>
  <c r="R110" i="15"/>
  <c r="R109" i="15"/>
  <c r="R64" i="15"/>
  <c r="R45" i="15"/>
  <c r="R42" i="15"/>
  <c r="R21" i="15"/>
  <c r="R8" i="15"/>
  <c r="R97" i="15"/>
  <c r="R95" i="15"/>
  <c r="R80" i="15"/>
  <c r="R63" i="15"/>
  <c r="R62" i="15"/>
  <c r="R43" i="15"/>
  <c r="R57" i="15"/>
  <c r="R41" i="15"/>
  <c r="R33" i="15"/>
  <c r="R19" i="15"/>
  <c r="R9" i="15"/>
  <c r="R7" i="15"/>
  <c r="R345" i="15"/>
  <c r="R317" i="15"/>
  <c r="R293" i="15"/>
  <c r="R279" i="15"/>
  <c r="R314" i="15"/>
  <c r="R239" i="15"/>
  <c r="R282" i="15"/>
  <c r="R264" i="15"/>
  <c r="R255" i="15"/>
  <c r="R316" i="15"/>
  <c r="R306" i="15"/>
  <c r="R304" i="15"/>
  <c r="R176" i="15"/>
  <c r="R223" i="15"/>
  <c r="R215" i="15"/>
  <c r="R207" i="15"/>
  <c r="R198" i="15"/>
  <c r="R189" i="15"/>
  <c r="R185" i="15"/>
  <c r="R166" i="15"/>
  <c r="R154" i="15"/>
  <c r="R147" i="15"/>
  <c r="R142" i="15"/>
  <c r="R135" i="15"/>
  <c r="R124" i="15"/>
  <c r="R98" i="15"/>
  <c r="R117" i="15"/>
  <c r="R108" i="15"/>
  <c r="G43" i="19"/>
  <c r="G38" i="19"/>
  <c r="G36" i="19"/>
  <c r="G41" i="19"/>
  <c r="G39" i="19"/>
  <c r="G42" i="19"/>
  <c r="G45" i="19"/>
  <c r="G44" i="19"/>
  <c r="G37" i="19"/>
  <c r="G40" i="19"/>
  <c r="J30" i="19"/>
  <c r="J28" i="19"/>
  <c r="J26" i="19"/>
  <c r="J22" i="19"/>
  <c r="J29" i="19"/>
  <c r="J27" i="19"/>
  <c r="G23" i="19"/>
  <c r="G21" i="19"/>
  <c r="G16" i="19"/>
  <c r="G11" i="19"/>
  <c r="G30" i="19"/>
  <c r="G28" i="19"/>
  <c r="G26" i="19"/>
  <c r="G19" i="19"/>
  <c r="G17" i="19"/>
  <c r="G14" i="19"/>
  <c r="G12" i="19"/>
  <c r="G10" i="19"/>
  <c r="G8" i="19"/>
  <c r="G6" i="19"/>
  <c r="G25" i="19"/>
  <c r="G13" i="19"/>
  <c r="G9" i="19"/>
  <c r="G24" i="19"/>
  <c r="G22" i="19"/>
  <c r="G20" i="19"/>
  <c r="G15" i="19"/>
  <c r="G29" i="19"/>
  <c r="G27" i="19"/>
  <c r="G18" i="19"/>
  <c r="G7" i="19"/>
  <c r="G5" i="19"/>
  <c r="G34" i="19"/>
  <c r="G32" i="19"/>
  <c r="G35" i="19"/>
  <c r="G33" i="19"/>
  <c r="G31" i="19"/>
  <c r="R270" i="15"/>
  <c r="R175" i="15"/>
  <c r="R206" i="15"/>
  <c r="R121" i="15"/>
  <c r="R188" i="15"/>
  <c r="R162" i="15"/>
  <c r="R123" i="15"/>
  <c r="R116" i="15"/>
  <c r="R107" i="15"/>
  <c r="R93" i="15"/>
  <c r="R58" i="15"/>
  <c r="R17" i="15"/>
  <c r="R23" i="15"/>
  <c r="R355" i="15"/>
  <c r="R321" i="15"/>
  <c r="R297" i="15"/>
  <c r="R289" i="15"/>
  <c r="R266" i="15"/>
  <c r="R243" i="15"/>
  <c r="R180" i="15"/>
  <c r="R119" i="15"/>
  <c r="R219" i="15"/>
  <c r="R211" i="15"/>
  <c r="R202" i="15"/>
  <c r="R194" i="15"/>
  <c r="R192" i="15"/>
  <c r="R173" i="15"/>
  <c r="R158" i="15"/>
  <c r="R150" i="15"/>
  <c r="R130" i="15"/>
  <c r="R114" i="15"/>
  <c r="R89" i="15"/>
  <c r="R113" i="15"/>
  <c r="R104" i="15"/>
  <c r="R85" i="15"/>
  <c r="R76" i="15"/>
  <c r="R66" i="15"/>
  <c r="R24" i="15"/>
  <c r="R37" i="15"/>
  <c r="R27" i="15"/>
  <c r="R13" i="15"/>
  <c r="R54" i="15"/>
  <c r="R3" i="15"/>
  <c r="R356" i="15"/>
  <c r="R344" i="15"/>
  <c r="R253" i="15"/>
  <c r="R291" i="15"/>
  <c r="R236" i="15"/>
  <c r="R228" i="15"/>
  <c r="R91" i="15"/>
  <c r="R26" i="15"/>
  <c r="R20" i="15"/>
  <c r="R290" i="15"/>
  <c r="R267" i="15"/>
  <c r="R244" i="15"/>
  <c r="R115" i="15"/>
  <c r="R105" i="15"/>
  <c r="R90" i="15"/>
  <c r="R18" i="15"/>
  <c r="R311" i="14"/>
  <c r="R147" i="14"/>
  <c r="R246" i="14"/>
  <c r="R79" i="14"/>
  <c r="R240" i="14"/>
  <c r="R252" i="14"/>
  <c r="R241" i="14"/>
  <c r="R243" i="14"/>
  <c r="N245" i="15"/>
  <c r="O245" i="15" s="1"/>
  <c r="P245" i="15" s="1"/>
  <c r="N168" i="15"/>
  <c r="O168" i="15" s="1"/>
  <c r="P168" i="15" s="1"/>
  <c r="N69" i="15"/>
  <c r="O69" i="15" s="1"/>
  <c r="P69" i="15" s="1"/>
  <c r="N45" i="15"/>
  <c r="O45" i="15" s="1"/>
  <c r="P45" i="15" s="1"/>
  <c r="R247" i="14"/>
  <c r="R319" i="16"/>
  <c r="R311" i="16"/>
  <c r="R237" i="14"/>
  <c r="R244" i="14"/>
  <c r="N90" i="16"/>
  <c r="O90" i="16" s="1"/>
  <c r="P90" i="16" s="1"/>
  <c r="R303" i="16"/>
  <c r="R295" i="16"/>
  <c r="R287" i="16"/>
  <c r="R221" i="16"/>
  <c r="R213" i="16"/>
  <c r="R205" i="16"/>
  <c r="R157" i="16"/>
  <c r="R149" i="16"/>
  <c r="R141" i="16"/>
  <c r="R133" i="16"/>
  <c r="R125" i="16"/>
  <c r="R77" i="16"/>
  <c r="R69" i="16"/>
  <c r="R61" i="16"/>
  <c r="R53" i="16"/>
  <c r="R45" i="16"/>
  <c r="N43" i="16"/>
  <c r="O43" i="16" s="1"/>
  <c r="P43" i="16" s="1"/>
  <c r="N211" i="16"/>
  <c r="O211" i="16" s="1"/>
  <c r="P211" i="16" s="1"/>
  <c r="R288" i="14"/>
  <c r="R87" i="16"/>
  <c r="R248" i="14"/>
  <c r="R286" i="14"/>
  <c r="R192" i="14"/>
  <c r="R281" i="14"/>
  <c r="R96" i="14"/>
  <c r="R277" i="14"/>
  <c r="R272" i="14"/>
  <c r="R169" i="14"/>
  <c r="R82" i="14"/>
  <c r="R190" i="16"/>
  <c r="R110" i="16"/>
  <c r="R2" i="16"/>
  <c r="N270" i="16"/>
  <c r="O270" i="16" s="1"/>
  <c r="P270" i="16" s="1"/>
  <c r="N324" i="16"/>
  <c r="O324" i="16" s="1"/>
  <c r="P324" i="16" s="1"/>
  <c r="N316" i="16"/>
  <c r="O316" i="16" s="1"/>
  <c r="P316" i="16" s="1"/>
  <c r="R344" i="16"/>
  <c r="R234" i="16"/>
  <c r="R220" i="14"/>
  <c r="R276" i="14"/>
  <c r="R271" i="14"/>
  <c r="R260" i="14"/>
  <c r="R47" i="16"/>
  <c r="N357" i="16"/>
  <c r="O357" i="16" s="1"/>
  <c r="P357" i="16" s="1"/>
  <c r="N290" i="16"/>
  <c r="O290" i="16" s="1"/>
  <c r="P290" i="16" s="1"/>
  <c r="N224" i="16"/>
  <c r="O224" i="16" s="1"/>
  <c r="P224" i="16" s="1"/>
  <c r="N176" i="16"/>
  <c r="O176" i="16" s="1"/>
  <c r="P176" i="16" s="1"/>
  <c r="N168" i="16"/>
  <c r="O168" i="16" s="1"/>
  <c r="P168" i="16" s="1"/>
  <c r="N144" i="16"/>
  <c r="O144" i="16" s="1"/>
  <c r="P144" i="16" s="1"/>
  <c r="N80" i="16"/>
  <c r="O80" i="16" s="1"/>
  <c r="P80" i="16" s="1"/>
  <c r="N72" i="16"/>
  <c r="O72" i="16" s="1"/>
  <c r="P72" i="16" s="1"/>
  <c r="N16" i="15"/>
  <c r="O16" i="15" s="1"/>
  <c r="P16" i="15" s="1"/>
  <c r="N244" i="16"/>
  <c r="O244" i="16" s="1"/>
  <c r="P244" i="16" s="1"/>
  <c r="N178" i="16"/>
  <c r="O178" i="16" s="1"/>
  <c r="P178" i="16" s="1"/>
  <c r="N51" i="16"/>
  <c r="O51" i="16" s="1"/>
  <c r="P51" i="16" s="1"/>
  <c r="R325" i="14"/>
  <c r="N112" i="15"/>
  <c r="O112" i="15" s="1"/>
  <c r="P112" i="15" s="1"/>
  <c r="N73" i="15"/>
  <c r="O73" i="15" s="1"/>
  <c r="P73" i="15" s="1"/>
  <c r="N55" i="15"/>
  <c r="O55" i="15" s="1"/>
  <c r="P55" i="15" s="1"/>
  <c r="N12" i="15"/>
  <c r="O12" i="15" s="1"/>
  <c r="P12" i="15" s="1"/>
  <c r="N270" i="15"/>
  <c r="O270" i="15" s="1"/>
  <c r="P270" i="15" s="1"/>
  <c r="N292" i="15"/>
  <c r="O292" i="15" s="1"/>
  <c r="P292" i="15" s="1"/>
  <c r="N237" i="15"/>
  <c r="O237" i="15" s="1"/>
  <c r="P237" i="15" s="1"/>
  <c r="N256" i="15"/>
  <c r="O256" i="15" s="1"/>
  <c r="P256" i="15" s="1"/>
  <c r="N315" i="15"/>
  <c r="O315" i="15" s="1"/>
  <c r="P315" i="15" s="1"/>
  <c r="N134" i="15"/>
  <c r="O134" i="15" s="1"/>
  <c r="P134" i="15" s="1"/>
  <c r="N40" i="15"/>
  <c r="O40" i="15" s="1"/>
  <c r="P40" i="15" s="1"/>
  <c r="R178" i="16"/>
  <c r="N330" i="14"/>
  <c r="O330" i="14" s="1"/>
  <c r="P330" i="14" s="1"/>
  <c r="R324" i="15"/>
  <c r="N331" i="15"/>
  <c r="O331" i="15" s="1"/>
  <c r="P331" i="15" s="1"/>
  <c r="R324" i="16"/>
  <c r="R316" i="16"/>
  <c r="R337" i="16"/>
  <c r="N347" i="16"/>
  <c r="O347" i="16" s="1"/>
  <c r="P347" i="16" s="1"/>
  <c r="N331" i="16"/>
  <c r="O331" i="16" s="1"/>
  <c r="P331" i="16" s="1"/>
  <c r="N339" i="15"/>
  <c r="O339" i="15" s="1"/>
  <c r="P339" i="15" s="1"/>
  <c r="N2" i="14"/>
  <c r="R307" i="14"/>
  <c r="R238" i="14"/>
  <c r="R104" i="14"/>
  <c r="R275" i="14"/>
  <c r="R90" i="14"/>
  <c r="R253" i="14"/>
  <c r="R98" i="16"/>
  <c r="R314" i="14"/>
  <c r="R309" i="14"/>
  <c r="R230" i="14"/>
  <c r="R58" i="14"/>
  <c r="R284" i="14"/>
  <c r="R80" i="14"/>
  <c r="R327" i="15"/>
  <c r="N348" i="15"/>
  <c r="O348" i="15" s="1"/>
  <c r="P348" i="15" s="1"/>
  <c r="R322" i="16"/>
  <c r="N334" i="16"/>
  <c r="O334" i="16" s="1"/>
  <c r="P334" i="16" s="1"/>
  <c r="R66" i="14"/>
  <c r="R359" i="16"/>
  <c r="R351" i="16"/>
  <c r="R308" i="16"/>
  <c r="R300" i="16"/>
  <c r="R292" i="16"/>
  <c r="R284" i="16"/>
  <c r="R268" i="16"/>
  <c r="R252" i="16"/>
  <c r="R244" i="16"/>
  <c r="R226" i="16"/>
  <c r="R218" i="16"/>
  <c r="R210" i="16"/>
  <c r="R202" i="16"/>
  <c r="R194" i="16"/>
  <c r="R186" i="16"/>
  <c r="R170" i="16"/>
  <c r="R162" i="16"/>
  <c r="R154" i="16"/>
  <c r="R138" i="16"/>
  <c r="R130" i="16"/>
  <c r="R122" i="16"/>
  <c r="R114" i="16"/>
  <c r="R90" i="16"/>
  <c r="R82" i="16"/>
  <c r="R74" i="16"/>
  <c r="R66" i="16"/>
  <c r="R58" i="16"/>
  <c r="R50" i="16"/>
  <c r="R34" i="16"/>
  <c r="R26" i="16"/>
  <c r="R10" i="16"/>
  <c r="R329" i="15"/>
  <c r="N328" i="15"/>
  <c r="O328" i="15" s="1"/>
  <c r="P328" i="15" s="1"/>
  <c r="R330" i="16"/>
  <c r="R334" i="16"/>
  <c r="N344" i="16"/>
  <c r="O344" i="16" s="1"/>
  <c r="P344" i="16" s="1"/>
  <c r="N336" i="16"/>
  <c r="O336" i="16" s="1"/>
  <c r="P336" i="16" s="1"/>
  <c r="N254" i="15"/>
  <c r="O254" i="15" s="1"/>
  <c r="P254" i="15" s="1"/>
  <c r="N278" i="15"/>
  <c r="O278" i="15" s="1"/>
  <c r="P278" i="15" s="1"/>
  <c r="N311" i="15"/>
  <c r="O311" i="15" s="1"/>
  <c r="P311" i="15" s="1"/>
  <c r="N281" i="15"/>
  <c r="O281" i="15" s="1"/>
  <c r="P281" i="15" s="1"/>
  <c r="N263" i="15"/>
  <c r="O263" i="15" s="1"/>
  <c r="P263" i="15" s="1"/>
  <c r="N305" i="15"/>
  <c r="O305" i="15" s="1"/>
  <c r="P305" i="15" s="1"/>
  <c r="N229" i="15"/>
  <c r="O229" i="15" s="1"/>
  <c r="P229" i="15" s="1"/>
  <c r="N175" i="15"/>
  <c r="O175" i="15" s="1"/>
  <c r="P175" i="15" s="1"/>
  <c r="N214" i="15"/>
  <c r="O214" i="15" s="1"/>
  <c r="P214" i="15" s="1"/>
  <c r="N206" i="15"/>
  <c r="O206" i="15" s="1"/>
  <c r="P206" i="15" s="1"/>
  <c r="N121" i="15"/>
  <c r="O121" i="15" s="1"/>
  <c r="P121" i="15" s="1"/>
  <c r="N188" i="15"/>
  <c r="O188" i="15" s="1"/>
  <c r="P188" i="15" s="1"/>
  <c r="N184" i="15"/>
  <c r="O184" i="15" s="1"/>
  <c r="P184" i="15" s="1"/>
  <c r="N153" i="15"/>
  <c r="O153" i="15" s="1"/>
  <c r="P153" i="15" s="1"/>
  <c r="N146" i="15"/>
  <c r="O146" i="15" s="1"/>
  <c r="P146" i="15" s="1"/>
  <c r="N162" i="15"/>
  <c r="O162" i="15" s="1"/>
  <c r="P162" i="15" s="1"/>
  <c r="N195" i="15"/>
  <c r="O195" i="15" s="1"/>
  <c r="P195" i="15" s="1"/>
  <c r="N56" i="15"/>
  <c r="O56" i="15" s="1"/>
  <c r="P56" i="15" s="1"/>
  <c r="N17" i="15"/>
  <c r="O17" i="15" s="1"/>
  <c r="P17" i="15" s="1"/>
  <c r="N23" i="15"/>
  <c r="O23" i="15" s="1"/>
  <c r="P23" i="15" s="1"/>
  <c r="R330" i="14"/>
  <c r="R245" i="14"/>
  <c r="N233" i="14"/>
  <c r="O233" i="14" s="1"/>
  <c r="P233" i="14" s="1"/>
  <c r="R332" i="14"/>
  <c r="R118" i="14"/>
  <c r="R133" i="14"/>
  <c r="R313" i="14"/>
  <c r="R174" i="14"/>
  <c r="R352" i="15"/>
  <c r="N45" i="14"/>
  <c r="O45" i="14" s="1"/>
  <c r="P45" i="14" s="1"/>
  <c r="R183" i="14"/>
  <c r="R125" i="14"/>
  <c r="N54" i="14"/>
  <c r="O54" i="14" s="1"/>
  <c r="P54" i="14" s="1"/>
  <c r="R308" i="14"/>
  <c r="R178" i="14"/>
  <c r="N354" i="15"/>
  <c r="O354" i="15" s="1"/>
  <c r="P354" i="15" s="1"/>
  <c r="R234" i="14"/>
  <c r="R49" i="14"/>
  <c r="N46" i="14"/>
  <c r="O46" i="14" s="1"/>
  <c r="P46" i="14" s="1"/>
  <c r="R73" i="14"/>
  <c r="N161" i="16"/>
  <c r="O161" i="16" s="1"/>
  <c r="P161" i="16" s="1"/>
  <c r="N153" i="16"/>
  <c r="O153" i="16" s="1"/>
  <c r="P153" i="16" s="1"/>
  <c r="N336" i="14"/>
  <c r="O336" i="14" s="1"/>
  <c r="P336" i="14" s="1"/>
  <c r="R349" i="15"/>
  <c r="R317" i="16"/>
  <c r="R309" i="16"/>
  <c r="N323" i="16"/>
  <c r="O323" i="16" s="1"/>
  <c r="P323" i="16" s="1"/>
  <c r="N315" i="16"/>
  <c r="O315" i="16" s="1"/>
  <c r="P315" i="16" s="1"/>
  <c r="R343" i="16"/>
  <c r="R341" i="14"/>
  <c r="N359" i="14"/>
  <c r="O359" i="14" s="1"/>
  <c r="P359" i="14" s="1"/>
  <c r="R339" i="15"/>
  <c r="N201" i="14"/>
  <c r="O201" i="14" s="1"/>
  <c r="P201" i="14" s="1"/>
  <c r="N194" i="14"/>
  <c r="O194" i="14" s="1"/>
  <c r="P194" i="14" s="1"/>
  <c r="N192" i="14"/>
  <c r="O192" i="14" s="1"/>
  <c r="P192" i="14" s="1"/>
  <c r="N281" i="14"/>
  <c r="O281" i="14" s="1"/>
  <c r="P281" i="14" s="1"/>
  <c r="N82" i="14"/>
  <c r="O82" i="14" s="1"/>
  <c r="P82" i="14" s="1"/>
  <c r="R312" i="14"/>
  <c r="R229" i="14"/>
  <c r="R117" i="14"/>
  <c r="R165" i="14"/>
  <c r="N286" i="16"/>
  <c r="O286" i="16" s="1"/>
  <c r="P286" i="16" s="1"/>
  <c r="N220" i="16"/>
  <c r="O220" i="16" s="1"/>
  <c r="P220" i="16" s="1"/>
  <c r="N164" i="16"/>
  <c r="O164" i="16" s="1"/>
  <c r="P164" i="16" s="1"/>
  <c r="N156" i="16"/>
  <c r="O156" i="16" s="1"/>
  <c r="P156" i="16" s="1"/>
  <c r="N132" i="16"/>
  <c r="O132" i="16" s="1"/>
  <c r="P132" i="16" s="1"/>
  <c r="N116" i="16"/>
  <c r="O116" i="16" s="1"/>
  <c r="P116" i="16" s="1"/>
  <c r="N100" i="16"/>
  <c r="O100" i="16" s="1"/>
  <c r="P100" i="16" s="1"/>
  <c r="N52" i="16"/>
  <c r="O52" i="16" s="1"/>
  <c r="P52" i="16" s="1"/>
  <c r="N36" i="16"/>
  <c r="O36" i="16" s="1"/>
  <c r="P36" i="16" s="1"/>
  <c r="N4" i="16"/>
  <c r="O4" i="16" s="1"/>
  <c r="P4" i="16" s="1"/>
  <c r="N324" i="14"/>
  <c r="O324" i="14" s="1"/>
  <c r="P324" i="14" s="1"/>
  <c r="N254" i="14"/>
  <c r="O254" i="14" s="1"/>
  <c r="P254" i="14" s="1"/>
  <c r="N234" i="16"/>
  <c r="O234" i="16" s="1"/>
  <c r="P234" i="16" s="1"/>
  <c r="R93" i="14"/>
  <c r="R85" i="14"/>
  <c r="R75" i="14"/>
  <c r="R242" i="14"/>
  <c r="R305" i="14"/>
  <c r="R231" i="14"/>
  <c r="R120" i="14"/>
  <c r="R112" i="14"/>
  <c r="R105" i="14"/>
  <c r="R59" i="14"/>
  <c r="R23" i="14"/>
  <c r="R16" i="14"/>
  <c r="R354" i="14"/>
  <c r="R300" i="14"/>
  <c r="R293" i="14"/>
  <c r="R285" i="14"/>
  <c r="R99" i="14"/>
  <c r="R185" i="14"/>
  <c r="R346" i="14"/>
  <c r="R91" i="14"/>
  <c r="R19" i="14"/>
  <c r="R303" i="14"/>
  <c r="R301" i="14"/>
  <c r="N345" i="15"/>
  <c r="O345" i="15" s="1"/>
  <c r="P345" i="15" s="1"/>
  <c r="N317" i="15"/>
  <c r="O317" i="15" s="1"/>
  <c r="P317" i="15" s="1"/>
  <c r="N306" i="15"/>
  <c r="O306" i="15" s="1"/>
  <c r="P306" i="15" s="1"/>
  <c r="N154" i="15"/>
  <c r="O154" i="15" s="1"/>
  <c r="P154" i="15" s="1"/>
  <c r="N275" i="15"/>
  <c r="O275" i="15" s="1"/>
  <c r="P275" i="15" s="1"/>
  <c r="N260" i="15"/>
  <c r="O260" i="15" s="1"/>
  <c r="P260" i="15" s="1"/>
  <c r="N251" i="15"/>
  <c r="O251" i="15" s="1"/>
  <c r="P251" i="15" s="1"/>
  <c r="N150" i="15"/>
  <c r="O150" i="15" s="1"/>
  <c r="P150" i="15" s="1"/>
  <c r="N130" i="15"/>
  <c r="O130" i="15" s="1"/>
  <c r="P130" i="15" s="1"/>
  <c r="N89" i="15"/>
  <c r="O89" i="15" s="1"/>
  <c r="P89" i="15" s="1"/>
  <c r="R340" i="14"/>
  <c r="N335" i="15"/>
  <c r="O335" i="15" s="1"/>
  <c r="P335" i="15" s="1"/>
  <c r="N341" i="15"/>
  <c r="O341" i="15" s="1"/>
  <c r="P341" i="15" s="1"/>
  <c r="N346" i="15"/>
  <c r="O346" i="15" s="1"/>
  <c r="P346" i="15" s="1"/>
  <c r="R301" i="15"/>
  <c r="N352" i="15"/>
  <c r="O352" i="15" s="1"/>
  <c r="P352" i="15" s="1"/>
  <c r="R313" i="16"/>
  <c r="R297" i="14"/>
  <c r="R211" i="14"/>
  <c r="R108" i="14"/>
  <c r="R296" i="14"/>
  <c r="N157" i="15"/>
  <c r="O157" i="15" s="1"/>
  <c r="P157" i="15" s="1"/>
  <c r="N143" i="15"/>
  <c r="O143" i="15" s="1"/>
  <c r="P143" i="15" s="1"/>
  <c r="N128" i="15"/>
  <c r="O128" i="15" s="1"/>
  <c r="P128" i="15" s="1"/>
  <c r="N36" i="15"/>
  <c r="O36" i="15" s="1"/>
  <c r="P36" i="15" s="1"/>
  <c r="N15" i="15"/>
  <c r="O15" i="15" s="1"/>
  <c r="P15" i="15" s="1"/>
  <c r="N2" i="15"/>
  <c r="N352" i="16"/>
  <c r="O352" i="16" s="1"/>
  <c r="P352" i="16" s="1"/>
  <c r="N325" i="16"/>
  <c r="O325" i="16" s="1"/>
  <c r="P325" i="16" s="1"/>
  <c r="N301" i="16"/>
  <c r="O301" i="16" s="1"/>
  <c r="P301" i="16" s="1"/>
  <c r="N293" i="16"/>
  <c r="O293" i="16" s="1"/>
  <c r="P293" i="16" s="1"/>
  <c r="N285" i="16"/>
  <c r="O285" i="16" s="1"/>
  <c r="P285" i="16" s="1"/>
  <c r="N269" i="16"/>
  <c r="O269" i="16" s="1"/>
  <c r="P269" i="16" s="1"/>
  <c r="N253" i="16"/>
  <c r="O253" i="16" s="1"/>
  <c r="P253" i="16" s="1"/>
  <c r="N227" i="16"/>
  <c r="O227" i="16" s="1"/>
  <c r="P227" i="16" s="1"/>
  <c r="N67" i="16"/>
  <c r="O67" i="16" s="1"/>
  <c r="P67" i="16" s="1"/>
  <c r="N59" i="16"/>
  <c r="O59" i="16" s="1"/>
  <c r="P59" i="16" s="1"/>
  <c r="N35" i="16"/>
  <c r="O35" i="16" s="1"/>
  <c r="P35" i="16" s="1"/>
  <c r="N27" i="16"/>
  <c r="O27" i="16" s="1"/>
  <c r="P27" i="16" s="1"/>
  <c r="N353" i="16"/>
  <c r="O353" i="16" s="1"/>
  <c r="P353" i="16" s="1"/>
  <c r="N326" i="16"/>
  <c r="O326" i="16" s="1"/>
  <c r="P326" i="16" s="1"/>
  <c r="N302" i="16"/>
  <c r="O302" i="16" s="1"/>
  <c r="P302" i="16" s="1"/>
  <c r="N294" i="16"/>
  <c r="O294" i="16" s="1"/>
  <c r="P294" i="16" s="1"/>
  <c r="N278" i="16"/>
  <c r="O278" i="16" s="1"/>
  <c r="P278" i="16" s="1"/>
  <c r="N262" i="16"/>
  <c r="O262" i="16" s="1"/>
  <c r="P262" i="16" s="1"/>
  <c r="N254" i="16"/>
  <c r="O254" i="16" s="1"/>
  <c r="P254" i="16" s="1"/>
  <c r="N246" i="16"/>
  <c r="O246" i="16" s="1"/>
  <c r="P246" i="16" s="1"/>
  <c r="N238" i="16"/>
  <c r="O238" i="16" s="1"/>
  <c r="P238" i="16" s="1"/>
  <c r="N228" i="16"/>
  <c r="O228" i="16" s="1"/>
  <c r="P228" i="16" s="1"/>
  <c r="N212" i="16"/>
  <c r="O212" i="16" s="1"/>
  <c r="P212" i="16" s="1"/>
  <c r="N204" i="16"/>
  <c r="O204" i="16" s="1"/>
  <c r="P204" i="16" s="1"/>
  <c r="N196" i="16"/>
  <c r="O196" i="16" s="1"/>
  <c r="P196" i="16" s="1"/>
  <c r="N188" i="16"/>
  <c r="O188" i="16" s="1"/>
  <c r="P188" i="16" s="1"/>
  <c r="N180" i="16"/>
  <c r="O180" i="16" s="1"/>
  <c r="P180" i="16" s="1"/>
  <c r="N172" i="16"/>
  <c r="O172" i="16" s="1"/>
  <c r="P172" i="16" s="1"/>
  <c r="N148" i="16"/>
  <c r="O148" i="16" s="1"/>
  <c r="P148" i="16" s="1"/>
  <c r="N140" i="16"/>
  <c r="O140" i="16" s="1"/>
  <c r="P140" i="16" s="1"/>
  <c r="N108" i="16"/>
  <c r="O108" i="16" s="1"/>
  <c r="P108" i="16" s="1"/>
  <c r="N92" i="16"/>
  <c r="O92" i="16" s="1"/>
  <c r="P92" i="16" s="1"/>
  <c r="N84" i="16"/>
  <c r="O84" i="16" s="1"/>
  <c r="P84" i="16" s="1"/>
  <c r="N76" i="16"/>
  <c r="O76" i="16" s="1"/>
  <c r="P76" i="16" s="1"/>
  <c r="N68" i="16"/>
  <c r="O68" i="16" s="1"/>
  <c r="P68" i="16" s="1"/>
  <c r="N60" i="16"/>
  <c r="O60" i="16" s="1"/>
  <c r="P60" i="16" s="1"/>
  <c r="N44" i="16"/>
  <c r="O44" i="16" s="1"/>
  <c r="P44" i="16" s="1"/>
  <c r="N28" i="16"/>
  <c r="O28" i="16" s="1"/>
  <c r="P28" i="16" s="1"/>
  <c r="N20" i="16"/>
  <c r="O20" i="16" s="1"/>
  <c r="P20" i="16" s="1"/>
  <c r="N12" i="16"/>
  <c r="O12" i="16" s="1"/>
  <c r="P12" i="16" s="1"/>
  <c r="R296" i="16"/>
  <c r="R240" i="16"/>
  <c r="R230" i="16"/>
  <c r="R158" i="16"/>
  <c r="R102" i="16"/>
  <c r="R336" i="14"/>
  <c r="J52" i="13"/>
  <c r="N340" i="15"/>
  <c r="O340" i="15" s="1"/>
  <c r="P340" i="15" s="1"/>
  <c r="N311" i="16"/>
  <c r="O311" i="16" s="1"/>
  <c r="P311" i="16" s="1"/>
  <c r="N319" i="16"/>
  <c r="O319" i="16" s="1"/>
  <c r="P319" i="16" s="1"/>
  <c r="R347" i="16"/>
  <c r="R333" i="16"/>
  <c r="N360" i="16"/>
  <c r="O360" i="16" s="1"/>
  <c r="P360" i="16" s="1"/>
  <c r="R315" i="14"/>
  <c r="R239" i="14"/>
  <c r="R114" i="14"/>
  <c r="R107" i="14"/>
  <c r="R179" i="14"/>
  <c r="R170" i="14"/>
  <c r="R306" i="14"/>
  <c r="R232" i="14"/>
  <c r="N289" i="14"/>
  <c r="O289" i="14" s="1"/>
  <c r="P289" i="14" s="1"/>
  <c r="R321" i="16"/>
  <c r="R358" i="15"/>
  <c r="N333" i="15"/>
  <c r="O333" i="15" s="1"/>
  <c r="P333" i="15" s="1"/>
  <c r="N327" i="14"/>
  <c r="O327" i="14" s="1"/>
  <c r="P327" i="14" s="1"/>
  <c r="N319" i="14"/>
  <c r="O319" i="14" s="1"/>
  <c r="P319" i="14" s="1"/>
  <c r="N342" i="15"/>
  <c r="O342" i="15" s="1"/>
  <c r="P342" i="15" s="1"/>
  <c r="N342" i="16"/>
  <c r="O342" i="16" s="1"/>
  <c r="P342" i="16" s="1"/>
  <c r="R316" i="14"/>
  <c r="R115" i="14"/>
  <c r="R180" i="14"/>
  <c r="R171" i="14"/>
  <c r="J13" i="13"/>
  <c r="R176" i="14"/>
  <c r="R356" i="16"/>
  <c r="R348" i="16"/>
  <c r="R305" i="16"/>
  <c r="R297" i="16"/>
  <c r="R289" i="16"/>
  <c r="R281" i="16"/>
  <c r="R273" i="16"/>
  <c r="R241" i="16"/>
  <c r="R223" i="16"/>
  <c r="R215" i="16"/>
  <c r="R207" i="16"/>
  <c r="R199" i="16"/>
  <c r="R191" i="16"/>
  <c r="R183" i="16"/>
  <c r="R175" i="16"/>
  <c r="R167" i="16"/>
  <c r="R159" i="16"/>
  <c r="R151" i="16"/>
  <c r="R135" i="16"/>
  <c r="R119" i="16"/>
  <c r="R111" i="16"/>
  <c r="R103" i="16"/>
  <c r="R95" i="16"/>
  <c r="R79" i="16"/>
  <c r="R71" i="16"/>
  <c r="R55" i="16"/>
  <c r="R39" i="16"/>
  <c r="R31" i="16"/>
  <c r="R23" i="16"/>
  <c r="R15" i="16"/>
  <c r="R7" i="16"/>
  <c r="R87" i="14"/>
  <c r="N321" i="15"/>
  <c r="O321" i="15" s="1"/>
  <c r="P321" i="15" s="1"/>
  <c r="N297" i="15"/>
  <c r="O297" i="15" s="1"/>
  <c r="P297" i="15" s="1"/>
  <c r="N266" i="15"/>
  <c r="O266" i="15" s="1"/>
  <c r="P266" i="15" s="1"/>
  <c r="N243" i="15"/>
  <c r="O243" i="15" s="1"/>
  <c r="P243" i="15" s="1"/>
  <c r="N286" i="15"/>
  <c r="O286" i="15" s="1"/>
  <c r="P286" i="15" s="1"/>
  <c r="N312" i="15"/>
  <c r="O312" i="15" s="1"/>
  <c r="P312" i="15" s="1"/>
  <c r="N180" i="15"/>
  <c r="O180" i="15" s="1"/>
  <c r="P180" i="15" s="1"/>
  <c r="N119" i="15"/>
  <c r="O119" i="15" s="1"/>
  <c r="P119" i="15" s="1"/>
  <c r="N219" i="15"/>
  <c r="O219" i="15" s="1"/>
  <c r="P219" i="15" s="1"/>
  <c r="N211" i="15"/>
  <c r="O211" i="15" s="1"/>
  <c r="P211" i="15" s="1"/>
  <c r="N202" i="15"/>
  <c r="O202" i="15" s="1"/>
  <c r="P202" i="15" s="1"/>
  <c r="N194" i="15"/>
  <c r="O194" i="15" s="1"/>
  <c r="P194" i="15" s="1"/>
  <c r="N173" i="15"/>
  <c r="O173" i="15" s="1"/>
  <c r="P173" i="15" s="1"/>
  <c r="N158" i="15"/>
  <c r="O158" i="15" s="1"/>
  <c r="P158" i="15" s="1"/>
  <c r="N167" i="15"/>
  <c r="O167" i="15" s="1"/>
  <c r="P167" i="15" s="1"/>
  <c r="N139" i="15"/>
  <c r="O139" i="15" s="1"/>
  <c r="P139" i="15" s="1"/>
  <c r="N131" i="15"/>
  <c r="O131" i="15" s="1"/>
  <c r="P131" i="15" s="1"/>
  <c r="N113" i="15"/>
  <c r="O113" i="15" s="1"/>
  <c r="P113" i="15" s="1"/>
  <c r="N85" i="15"/>
  <c r="O85" i="15" s="1"/>
  <c r="P85" i="15" s="1"/>
  <c r="N76" i="15"/>
  <c r="O76" i="15" s="1"/>
  <c r="P76" i="15" s="1"/>
  <c r="N66" i="15"/>
  <c r="O66" i="15" s="1"/>
  <c r="P66" i="15" s="1"/>
  <c r="N49" i="15"/>
  <c r="O49" i="15" s="1"/>
  <c r="P49" i="15" s="1"/>
  <c r="N50" i="15"/>
  <c r="O50" i="15" s="1"/>
  <c r="P50" i="15" s="1"/>
  <c r="N24" i="15"/>
  <c r="O24" i="15" s="1"/>
  <c r="P24" i="15" s="1"/>
  <c r="N27" i="15"/>
  <c r="O27" i="15" s="1"/>
  <c r="P27" i="15" s="1"/>
  <c r="N13" i="15"/>
  <c r="O13" i="15" s="1"/>
  <c r="P13" i="15" s="1"/>
  <c r="N3" i="15"/>
  <c r="O3" i="15" s="1"/>
  <c r="P3" i="15" s="1"/>
  <c r="R355" i="16"/>
  <c r="R328" i="16"/>
  <c r="R304" i="16"/>
  <c r="R288" i="16"/>
  <c r="R280" i="16"/>
  <c r="R272" i="16"/>
  <c r="R264" i="16"/>
  <c r="R256" i="16"/>
  <c r="R248" i="16"/>
  <c r="R222" i="16"/>
  <c r="R214" i="16"/>
  <c r="R206" i="16"/>
  <c r="R198" i="16"/>
  <c r="R182" i="16"/>
  <c r="R174" i="16"/>
  <c r="R166" i="16"/>
  <c r="R150" i="16"/>
  <c r="R142" i="16"/>
  <c r="R134" i="16"/>
  <c r="R126" i="16"/>
  <c r="R118" i="16"/>
  <c r="R94" i="16"/>
  <c r="R86" i="16"/>
  <c r="R78" i="16"/>
  <c r="R70" i="16"/>
  <c r="R62" i="16"/>
  <c r="R54" i="16"/>
  <c r="R46" i="16"/>
  <c r="R38" i="16"/>
  <c r="R30" i="16"/>
  <c r="R22" i="16"/>
  <c r="R14" i="16"/>
  <c r="R6" i="16"/>
  <c r="R131" i="14"/>
  <c r="N227" i="14"/>
  <c r="O227" i="14" s="1"/>
  <c r="N219" i="14"/>
  <c r="O219" i="14" s="1"/>
  <c r="P219" i="14" s="1"/>
  <c r="N353" i="15"/>
  <c r="O353" i="15" s="1"/>
  <c r="P353" i="15" s="1"/>
  <c r="N320" i="15"/>
  <c r="O320" i="15" s="1"/>
  <c r="P320" i="15" s="1"/>
  <c r="N296" i="15"/>
  <c r="O296" i="15" s="1"/>
  <c r="P296" i="15" s="1"/>
  <c r="N288" i="15"/>
  <c r="O288" i="15" s="1"/>
  <c r="P288" i="15" s="1"/>
  <c r="N265" i="15"/>
  <c r="O265" i="15" s="1"/>
  <c r="P265" i="15" s="1"/>
  <c r="N285" i="15"/>
  <c r="O285" i="15" s="1"/>
  <c r="P285" i="15" s="1"/>
  <c r="N274" i="15"/>
  <c r="O274" i="15" s="1"/>
  <c r="P274" i="15" s="1"/>
  <c r="R31" i="14"/>
  <c r="R254" i="14"/>
  <c r="N354" i="16"/>
  <c r="O354" i="16" s="1"/>
  <c r="P354" i="16" s="1"/>
  <c r="N303" i="16"/>
  <c r="O303" i="16" s="1"/>
  <c r="P303" i="16" s="1"/>
  <c r="N295" i="16"/>
  <c r="O295" i="16" s="1"/>
  <c r="P295" i="16" s="1"/>
  <c r="N287" i="16"/>
  <c r="O287" i="16" s="1"/>
  <c r="P287" i="16" s="1"/>
  <c r="N279" i="16"/>
  <c r="O279" i="16" s="1"/>
  <c r="P279" i="16" s="1"/>
  <c r="N271" i="16"/>
  <c r="O271" i="16" s="1"/>
  <c r="P271" i="16" s="1"/>
  <c r="N239" i="16"/>
  <c r="O239" i="16" s="1"/>
  <c r="P239" i="16" s="1"/>
  <c r="N69" i="16"/>
  <c r="O69" i="16" s="1"/>
  <c r="P69" i="16" s="1"/>
  <c r="N53" i="16"/>
  <c r="O53" i="16" s="1"/>
  <c r="P53" i="16" s="1"/>
  <c r="N21" i="16"/>
  <c r="O21" i="16" s="1"/>
  <c r="P21" i="16" s="1"/>
  <c r="N13" i="16"/>
  <c r="O13" i="16" s="1"/>
  <c r="P13" i="16" s="1"/>
  <c r="N5" i="16"/>
  <c r="O5" i="16" s="1"/>
  <c r="P5" i="16" s="1"/>
  <c r="R340" i="15"/>
  <c r="N314" i="16"/>
  <c r="O314" i="16" s="1"/>
  <c r="P314" i="16" s="1"/>
  <c r="R342" i="16"/>
  <c r="B5" i="17"/>
  <c r="N305" i="16"/>
  <c r="O305" i="16" s="1"/>
  <c r="P305" i="16" s="1"/>
  <c r="N207" i="16"/>
  <c r="O207" i="16" s="1"/>
  <c r="P207" i="16" s="1"/>
  <c r="J50" i="13"/>
  <c r="N349" i="15"/>
  <c r="O349" i="15" s="1"/>
  <c r="P349" i="15" s="1"/>
  <c r="R323" i="16"/>
  <c r="R315" i="16"/>
  <c r="N322" i="16"/>
  <c r="O322" i="16" s="1"/>
  <c r="P322" i="16" s="1"/>
  <c r="R360" i="16"/>
  <c r="N338" i="15"/>
  <c r="O338" i="15" s="1"/>
  <c r="P338" i="15" s="1"/>
  <c r="R233" i="16"/>
  <c r="N227" i="15"/>
  <c r="O227" i="15" s="1"/>
  <c r="P227" i="15" s="1"/>
  <c r="N334" i="14"/>
  <c r="O334" i="14" s="1"/>
  <c r="P334" i="14" s="1"/>
  <c r="N339" i="14"/>
  <c r="O339" i="14" s="1"/>
  <c r="P339" i="14" s="1"/>
  <c r="N335" i="14"/>
  <c r="O335" i="14" s="1"/>
  <c r="P335" i="14" s="1"/>
  <c r="J45" i="13"/>
  <c r="J48" i="13"/>
  <c r="R358" i="14"/>
  <c r="R314" i="16"/>
  <c r="N313" i="16"/>
  <c r="O313" i="16" s="1"/>
  <c r="P313" i="16" s="1"/>
  <c r="N321" i="16"/>
  <c r="O321" i="16" s="1"/>
  <c r="P321" i="16" s="1"/>
  <c r="R331" i="16"/>
  <c r="R335" i="16"/>
  <c r="N345" i="16"/>
  <c r="O345" i="16" s="1"/>
  <c r="P345" i="16" s="1"/>
  <c r="N337" i="16"/>
  <c r="O337" i="16" s="1"/>
  <c r="P337" i="16" s="1"/>
  <c r="N329" i="16"/>
  <c r="O329" i="16" s="1"/>
  <c r="P329" i="16" s="1"/>
  <c r="N337" i="14"/>
  <c r="O337" i="14" s="1"/>
  <c r="P337" i="14" s="1"/>
  <c r="R338" i="15"/>
  <c r="N74" i="14"/>
  <c r="O74" i="14" s="1"/>
  <c r="N44" i="14"/>
  <c r="O44" i="14" s="1"/>
  <c r="P44" i="14" s="1"/>
  <c r="R197" i="14"/>
  <c r="R70" i="14"/>
  <c r="R63" i="14"/>
  <c r="R55" i="14"/>
  <c r="R289" i="14"/>
  <c r="R193" i="14"/>
  <c r="R188" i="14"/>
  <c r="R98" i="14"/>
  <c r="R278" i="14"/>
  <c r="R172" i="14"/>
  <c r="R261" i="14"/>
  <c r="N222" i="14"/>
  <c r="O222" i="14" s="1"/>
  <c r="P222" i="14" s="1"/>
  <c r="R338" i="14"/>
  <c r="N320" i="16"/>
  <c r="O320" i="16" s="1"/>
  <c r="P320" i="16" s="1"/>
  <c r="N312" i="16"/>
  <c r="O312" i="16" s="1"/>
  <c r="P312" i="16" s="1"/>
  <c r="R338" i="16"/>
  <c r="R341" i="16"/>
  <c r="N332" i="16"/>
  <c r="O332" i="16" s="1"/>
  <c r="P332" i="16" s="1"/>
  <c r="N277" i="16"/>
  <c r="O277" i="16" s="1"/>
  <c r="P277" i="16" s="1"/>
  <c r="N261" i="16"/>
  <c r="O261" i="16" s="1"/>
  <c r="P261" i="16" s="1"/>
  <c r="N237" i="16"/>
  <c r="O237" i="16" s="1"/>
  <c r="P237" i="16" s="1"/>
  <c r="N219" i="16"/>
  <c r="O219" i="16" s="1"/>
  <c r="P219" i="16" s="1"/>
  <c r="N203" i="16"/>
  <c r="O203" i="16" s="1"/>
  <c r="P203" i="16" s="1"/>
  <c r="N195" i="16"/>
  <c r="O195" i="16" s="1"/>
  <c r="P195" i="16" s="1"/>
  <c r="R354" i="15"/>
  <c r="N317" i="16"/>
  <c r="O317" i="16" s="1"/>
  <c r="P317" i="16" s="1"/>
  <c r="R345" i="16"/>
  <c r="N13" i="14"/>
  <c r="O13" i="14" s="1"/>
  <c r="P13" i="14" s="1"/>
  <c r="N185" i="14"/>
  <c r="O185" i="14" s="1"/>
  <c r="P185" i="14" s="1"/>
  <c r="N81" i="14"/>
  <c r="O81" i="14" s="1"/>
  <c r="P81" i="14" s="1"/>
  <c r="R236" i="14"/>
  <c r="R351" i="14"/>
  <c r="R262" i="14"/>
  <c r="N99" i="14"/>
  <c r="O99" i="14" s="1"/>
  <c r="P99" i="14" s="1"/>
  <c r="N51" i="14"/>
  <c r="O51" i="14" s="1"/>
  <c r="P51" i="14" s="1"/>
  <c r="R282" i="14"/>
  <c r="R78" i="14"/>
  <c r="J5" i="13"/>
  <c r="N187" i="16"/>
  <c r="O187" i="16" s="1"/>
  <c r="P187" i="16" s="1"/>
  <c r="N171" i="16"/>
  <c r="O171" i="16" s="1"/>
  <c r="P171" i="16" s="1"/>
  <c r="N155" i="16"/>
  <c r="O155" i="16" s="1"/>
  <c r="P155" i="16" s="1"/>
  <c r="N147" i="16"/>
  <c r="O147" i="16" s="1"/>
  <c r="P147" i="16" s="1"/>
  <c r="N139" i="16"/>
  <c r="O139" i="16" s="1"/>
  <c r="P139" i="16" s="1"/>
  <c r="N131" i="16"/>
  <c r="O131" i="16" s="1"/>
  <c r="P131" i="16" s="1"/>
  <c r="N123" i="16"/>
  <c r="O123" i="16" s="1"/>
  <c r="P123" i="16" s="1"/>
  <c r="N115" i="16"/>
  <c r="O115" i="16" s="1"/>
  <c r="P115" i="16" s="1"/>
  <c r="N107" i="16"/>
  <c r="O107" i="16" s="1"/>
  <c r="P107" i="16" s="1"/>
  <c r="N91" i="16"/>
  <c r="O91" i="16" s="1"/>
  <c r="P91" i="16" s="1"/>
  <c r="N83" i="16"/>
  <c r="O83" i="16" s="1"/>
  <c r="P83" i="16" s="1"/>
  <c r="N75" i="16"/>
  <c r="O75" i="16" s="1"/>
  <c r="P75" i="16" s="1"/>
  <c r="N19" i="16"/>
  <c r="O19" i="16" s="1"/>
  <c r="P19" i="16" s="1"/>
  <c r="N11" i="16"/>
  <c r="O11" i="16" s="1"/>
  <c r="P11" i="16" s="1"/>
  <c r="N3" i="16"/>
  <c r="O3" i="16" s="1"/>
  <c r="P3" i="16" s="1"/>
  <c r="R343" i="15"/>
  <c r="N326" i="15"/>
  <c r="O326" i="15" s="1"/>
  <c r="P326" i="15" s="1"/>
  <c r="R340" i="16"/>
  <c r="N105" i="14"/>
  <c r="O105" i="14" s="1"/>
  <c r="P105" i="14" s="1"/>
  <c r="N346" i="14"/>
  <c r="O346" i="14" s="1"/>
  <c r="P346" i="14" s="1"/>
  <c r="N135" i="14"/>
  <c r="O135" i="14" s="1"/>
  <c r="P135" i="14" s="1"/>
  <c r="R221" i="14"/>
  <c r="R20" i="14"/>
  <c r="R173" i="14"/>
  <c r="R32" i="14"/>
  <c r="R336" i="15"/>
  <c r="N332" i="15"/>
  <c r="O332" i="15" s="1"/>
  <c r="P332" i="15" s="1"/>
  <c r="N245" i="14"/>
  <c r="O245" i="14" s="1"/>
  <c r="P245" i="14" s="1"/>
  <c r="N276" i="14"/>
  <c r="O276" i="14" s="1"/>
  <c r="P276" i="14" s="1"/>
  <c r="N73" i="14"/>
  <c r="O73" i="14" s="1"/>
  <c r="P73" i="14" s="1"/>
  <c r="N15" i="14"/>
  <c r="O15" i="14" s="1"/>
  <c r="P15" i="14" s="1"/>
  <c r="R110" i="14"/>
  <c r="R177" i="14"/>
  <c r="R156" i="14"/>
  <c r="N242" i="14"/>
  <c r="O242" i="14" s="1"/>
  <c r="P242" i="14" s="1"/>
  <c r="N112" i="14"/>
  <c r="O112" i="14" s="1"/>
  <c r="P112" i="14" s="1"/>
  <c r="N127" i="14"/>
  <c r="O127" i="14" s="1"/>
  <c r="P127" i="14" s="1"/>
  <c r="R357" i="14"/>
  <c r="R48" i="14"/>
  <c r="R120" i="15"/>
  <c r="R111" i="15"/>
  <c r="R112" i="15"/>
  <c r="R75" i="15"/>
  <c r="N53" i="15"/>
  <c r="O53" i="15" s="1"/>
  <c r="P53" i="15" s="1"/>
  <c r="R111" i="14"/>
  <c r="R103" i="14"/>
  <c r="R291" i="14"/>
  <c r="R283" i="14"/>
  <c r="R263" i="14"/>
  <c r="R118" i="15"/>
  <c r="R71" i="15"/>
  <c r="R82" i="15"/>
  <c r="R44" i="15"/>
  <c r="J12" i="13"/>
  <c r="J54" i="13"/>
  <c r="R235" i="14"/>
  <c r="R228" i="14"/>
  <c r="R212" i="14"/>
  <c r="R204" i="14"/>
  <c r="R116" i="14"/>
  <c r="R109" i="14"/>
  <c r="R164" i="14"/>
  <c r="R95" i="14"/>
  <c r="R268" i="14"/>
  <c r="R264" i="14"/>
  <c r="R77" i="14"/>
  <c r="R155" i="14"/>
  <c r="R139" i="14"/>
  <c r="R123" i="14"/>
  <c r="R47" i="14"/>
  <c r="R39" i="14"/>
  <c r="R5" i="14"/>
  <c r="N124" i="16"/>
  <c r="O124" i="16" s="1"/>
  <c r="P124" i="16" s="1"/>
  <c r="N183" i="14"/>
  <c r="O183" i="14" s="1"/>
  <c r="N141" i="14"/>
  <c r="O141" i="14" s="1"/>
  <c r="P141" i="14" s="1"/>
  <c r="N133" i="14"/>
  <c r="O133" i="14" s="1"/>
  <c r="P133" i="14" s="1"/>
  <c r="R337" i="15"/>
  <c r="R329" i="16"/>
  <c r="N343" i="16"/>
  <c r="O343" i="16" s="1"/>
  <c r="P343" i="16" s="1"/>
  <c r="N335" i="16"/>
  <c r="O335" i="16" s="1"/>
  <c r="P335" i="16" s="1"/>
  <c r="R354" i="16"/>
  <c r="R327" i="16"/>
  <c r="R279" i="16"/>
  <c r="R271" i="16"/>
  <c r="R263" i="16"/>
  <c r="R21" i="16"/>
  <c r="R13" i="16"/>
  <c r="R5" i="16"/>
  <c r="R323" i="14"/>
  <c r="R268" i="15"/>
  <c r="N301" i="15"/>
  <c r="O301" i="15" s="1"/>
  <c r="P301" i="15" s="1"/>
  <c r="N339" i="16"/>
  <c r="O339" i="16" s="1"/>
  <c r="P339" i="16" s="1"/>
  <c r="N316" i="14"/>
  <c r="O316" i="14" s="1"/>
  <c r="P316" i="14" s="1"/>
  <c r="N300" i="16"/>
  <c r="O300" i="16" s="1"/>
  <c r="P300" i="16" s="1"/>
  <c r="N18" i="16"/>
  <c r="O18" i="16" s="1"/>
  <c r="P18" i="16" s="1"/>
  <c r="N10" i="16"/>
  <c r="O10" i="16" s="1"/>
  <c r="P10" i="16" s="1"/>
  <c r="N2" i="16"/>
  <c r="O2" i="16" s="1"/>
  <c r="P2" i="16" s="1"/>
  <c r="J9" i="13"/>
  <c r="J38" i="13"/>
  <c r="N298" i="16"/>
  <c r="O298" i="16" s="1"/>
  <c r="P298" i="16" s="1"/>
  <c r="N282" i="16"/>
  <c r="O282" i="16" s="1"/>
  <c r="P282" i="16" s="1"/>
  <c r="N274" i="16"/>
  <c r="O274" i="16" s="1"/>
  <c r="P274" i="16" s="1"/>
  <c r="N266" i="16"/>
  <c r="O266" i="16" s="1"/>
  <c r="P266" i="16" s="1"/>
  <c r="N258" i="16"/>
  <c r="O258" i="16" s="1"/>
  <c r="P258" i="16" s="1"/>
  <c r="N250" i="16"/>
  <c r="O250" i="16" s="1"/>
  <c r="P250" i="16" s="1"/>
  <c r="N242" i="16"/>
  <c r="O242" i="16" s="1"/>
  <c r="P242" i="16" s="1"/>
  <c r="N232" i="16"/>
  <c r="O232" i="16" s="1"/>
  <c r="P232" i="16" s="1"/>
  <c r="N216" i="16"/>
  <c r="O216" i="16" s="1"/>
  <c r="P216" i="16" s="1"/>
  <c r="N208" i="16"/>
  <c r="O208" i="16" s="1"/>
  <c r="P208" i="16" s="1"/>
  <c r="N192" i="16"/>
  <c r="O192" i="16" s="1"/>
  <c r="P192" i="16" s="1"/>
  <c r="N184" i="16"/>
  <c r="O184" i="16" s="1"/>
  <c r="P184" i="16" s="1"/>
  <c r="N152" i="16"/>
  <c r="O152" i="16" s="1"/>
  <c r="P152" i="16" s="1"/>
  <c r="N136" i="16"/>
  <c r="O136" i="16" s="1"/>
  <c r="P136" i="16" s="1"/>
  <c r="N128" i="16"/>
  <c r="O128" i="16" s="1"/>
  <c r="P128" i="16" s="1"/>
  <c r="N120" i="16"/>
  <c r="O120" i="16" s="1"/>
  <c r="P120" i="16" s="1"/>
  <c r="N112" i="16"/>
  <c r="O112" i="16" s="1"/>
  <c r="P112" i="16" s="1"/>
  <c r="N96" i="16"/>
  <c r="O96" i="16" s="1"/>
  <c r="P96" i="16" s="1"/>
  <c r="N88" i="16"/>
  <c r="O88" i="16" s="1"/>
  <c r="P88" i="16" s="1"/>
  <c r="N64" i="16"/>
  <c r="O64" i="16" s="1"/>
  <c r="P64" i="16" s="1"/>
  <c r="N56" i="16"/>
  <c r="O56" i="16" s="1"/>
  <c r="P56" i="16" s="1"/>
  <c r="N40" i="16"/>
  <c r="O40" i="16" s="1"/>
  <c r="P40" i="16" s="1"/>
  <c r="N32" i="16"/>
  <c r="O32" i="16" s="1"/>
  <c r="P32" i="16" s="1"/>
  <c r="N24" i="16"/>
  <c r="O24" i="16" s="1"/>
  <c r="P24" i="16" s="1"/>
  <c r="N16" i="16"/>
  <c r="O16" i="16" s="1"/>
  <c r="P16" i="16" s="1"/>
  <c r="N8" i="16"/>
  <c r="O8" i="16" s="1"/>
  <c r="P8" i="16" s="1"/>
  <c r="R334" i="14"/>
  <c r="R339" i="14"/>
  <c r="R335" i="14"/>
  <c r="R331" i="14"/>
  <c r="N255" i="16"/>
  <c r="O255" i="16" s="1"/>
  <c r="P255" i="16" s="1"/>
  <c r="N247" i="16"/>
  <c r="O247" i="16" s="1"/>
  <c r="P247" i="16" s="1"/>
  <c r="N229" i="16"/>
  <c r="O229" i="16" s="1"/>
  <c r="P229" i="16" s="1"/>
  <c r="N221" i="16"/>
  <c r="O221" i="16" s="1"/>
  <c r="P221" i="16" s="1"/>
  <c r="N213" i="16"/>
  <c r="O213" i="16" s="1"/>
  <c r="P213" i="16" s="1"/>
  <c r="N205" i="16"/>
  <c r="O205" i="16" s="1"/>
  <c r="P205" i="16" s="1"/>
  <c r="N197" i="16"/>
  <c r="O197" i="16" s="1"/>
  <c r="P197" i="16" s="1"/>
  <c r="N189" i="16"/>
  <c r="O189" i="16" s="1"/>
  <c r="P189" i="16" s="1"/>
  <c r="N181" i="16"/>
  <c r="O181" i="16" s="1"/>
  <c r="P181" i="16" s="1"/>
  <c r="N173" i="16"/>
  <c r="O173" i="16" s="1"/>
  <c r="P173" i="16" s="1"/>
  <c r="N165" i="16"/>
  <c r="O165" i="16" s="1"/>
  <c r="P165" i="16" s="1"/>
  <c r="N149" i="16"/>
  <c r="O149" i="16" s="1"/>
  <c r="P149" i="16" s="1"/>
  <c r="N141" i="16"/>
  <c r="O141" i="16" s="1"/>
  <c r="P141" i="16" s="1"/>
  <c r="N133" i="16"/>
  <c r="O133" i="16" s="1"/>
  <c r="P133" i="16" s="1"/>
  <c r="N125" i="16"/>
  <c r="O125" i="16" s="1"/>
  <c r="P125" i="16" s="1"/>
  <c r="N117" i="16"/>
  <c r="O117" i="16" s="1"/>
  <c r="P117" i="16" s="1"/>
  <c r="N109" i="16"/>
  <c r="O109" i="16" s="1"/>
  <c r="P109" i="16" s="1"/>
  <c r="N101" i="16"/>
  <c r="O101" i="16" s="1"/>
  <c r="P101" i="16" s="1"/>
  <c r="N97" i="16"/>
  <c r="O97" i="16" s="1"/>
  <c r="P97" i="16" s="1"/>
  <c r="N93" i="16"/>
  <c r="O93" i="16" s="1"/>
  <c r="P93" i="16" s="1"/>
  <c r="N85" i="16"/>
  <c r="O85" i="16" s="1"/>
  <c r="P85" i="16" s="1"/>
  <c r="N77" i="16"/>
  <c r="O77" i="16" s="1"/>
  <c r="P77" i="16" s="1"/>
  <c r="N29" i="16"/>
  <c r="O29" i="16" s="1"/>
  <c r="P29" i="16" s="1"/>
  <c r="N210" i="16"/>
  <c r="O210" i="16" s="1"/>
  <c r="P210" i="16" s="1"/>
  <c r="N202" i="16"/>
  <c r="O202" i="16" s="1"/>
  <c r="P202" i="16" s="1"/>
  <c r="N186" i="16"/>
  <c r="O186" i="16" s="1"/>
  <c r="P186" i="16" s="1"/>
  <c r="N170" i="16"/>
  <c r="O170" i="16" s="1"/>
  <c r="P170" i="16" s="1"/>
  <c r="N162" i="16"/>
  <c r="O162" i="16" s="1"/>
  <c r="P162" i="16" s="1"/>
  <c r="N154" i="16"/>
  <c r="O154" i="16" s="1"/>
  <c r="P154" i="16" s="1"/>
  <c r="N146" i="16"/>
  <c r="O146" i="16" s="1"/>
  <c r="P146" i="16" s="1"/>
  <c r="N130" i="16"/>
  <c r="O130" i="16" s="1"/>
  <c r="P130" i="16" s="1"/>
  <c r="N122" i="16"/>
  <c r="O122" i="16" s="1"/>
  <c r="P122" i="16" s="1"/>
  <c r="N106" i="16"/>
  <c r="O106" i="16" s="1"/>
  <c r="P106" i="16" s="1"/>
  <c r="N98" i="16"/>
  <c r="O98" i="16" s="1"/>
  <c r="P98" i="16" s="1"/>
  <c r="N82" i="16"/>
  <c r="O82" i="16" s="1"/>
  <c r="P82" i="16" s="1"/>
  <c r="N74" i="16"/>
  <c r="O74" i="16" s="1"/>
  <c r="P74" i="16" s="1"/>
  <c r="N66" i="16"/>
  <c r="O66" i="16" s="1"/>
  <c r="P66" i="16" s="1"/>
  <c r="N58" i="16"/>
  <c r="O58" i="16" s="1"/>
  <c r="P58" i="16" s="1"/>
  <c r="N50" i="16"/>
  <c r="O50" i="16" s="1"/>
  <c r="P50" i="16" s="1"/>
  <c r="N42" i="16"/>
  <c r="O42" i="16" s="1"/>
  <c r="P42" i="16" s="1"/>
  <c r="N34" i="16"/>
  <c r="O34" i="16" s="1"/>
  <c r="P34" i="16" s="1"/>
  <c r="R249" i="14"/>
  <c r="N240" i="14"/>
  <c r="O240" i="14" s="1"/>
  <c r="P240" i="14" s="1"/>
  <c r="N211" i="14"/>
  <c r="O211" i="14" s="1"/>
  <c r="P211" i="14" s="1"/>
  <c r="N242" i="15"/>
  <c r="O242" i="15" s="1"/>
  <c r="P242" i="15" s="1"/>
  <c r="N259" i="15"/>
  <c r="O259" i="15" s="1"/>
  <c r="P259" i="15" s="1"/>
  <c r="N233" i="15"/>
  <c r="O233" i="15" s="1"/>
  <c r="P233" i="15" s="1"/>
  <c r="N179" i="15"/>
  <c r="O179" i="15" s="1"/>
  <c r="P179" i="15" s="1"/>
  <c r="N226" i="15"/>
  <c r="O226" i="15" s="1"/>
  <c r="P226" i="15" s="1"/>
  <c r="N222" i="15"/>
  <c r="O222" i="15" s="1"/>
  <c r="P222" i="15" s="1"/>
  <c r="N218" i="15"/>
  <c r="O218" i="15" s="1"/>
  <c r="P218" i="15" s="1"/>
  <c r="N120" i="15"/>
  <c r="O120" i="15" s="1"/>
  <c r="P120" i="15" s="1"/>
  <c r="N191" i="15"/>
  <c r="O191" i="15" s="1"/>
  <c r="P191" i="15" s="1"/>
  <c r="N171" i="15"/>
  <c r="O171" i="15" s="1"/>
  <c r="P171" i="15" s="1"/>
  <c r="N163" i="15"/>
  <c r="O163" i="15" s="1"/>
  <c r="P163" i="15" s="1"/>
  <c r="N129" i="15"/>
  <c r="O129" i="15" s="1"/>
  <c r="P129" i="15" s="1"/>
  <c r="N123" i="15"/>
  <c r="O123" i="15" s="1"/>
  <c r="P123" i="15" s="1"/>
  <c r="N111" i="15"/>
  <c r="O111" i="15" s="1"/>
  <c r="P111" i="15" s="1"/>
  <c r="N116" i="15"/>
  <c r="O116" i="15" s="1"/>
  <c r="P116" i="15" s="1"/>
  <c r="N107" i="15"/>
  <c r="O107" i="15" s="1"/>
  <c r="P107" i="15" s="1"/>
  <c r="N79" i="15"/>
  <c r="O79" i="15" s="1"/>
  <c r="P79" i="15" s="1"/>
  <c r="N75" i="15"/>
  <c r="O75" i="15" s="1"/>
  <c r="P75" i="15" s="1"/>
  <c r="N58" i="15"/>
  <c r="O58" i="15" s="1"/>
  <c r="P58" i="15" s="1"/>
  <c r="N61" i="15"/>
  <c r="O61" i="15" s="1"/>
  <c r="P61" i="15" s="1"/>
  <c r="N48" i="15"/>
  <c r="O48" i="15" s="1"/>
  <c r="P48" i="15" s="1"/>
  <c r="R251" i="14"/>
  <c r="J6" i="13"/>
  <c r="J46" i="13"/>
  <c r="J49" i="13"/>
  <c r="J17" i="13"/>
  <c r="N214" i="14"/>
  <c r="O214" i="14" s="1"/>
  <c r="P214" i="14" s="1"/>
  <c r="N57" i="14"/>
  <c r="O57" i="14" s="1"/>
  <c r="P57" i="14" s="1"/>
  <c r="R255" i="16"/>
  <c r="R247" i="16"/>
  <c r="R239" i="16"/>
  <c r="R229" i="16"/>
  <c r="R197" i="16"/>
  <c r="R189" i="16"/>
  <c r="R181" i="16"/>
  <c r="R173" i="16"/>
  <c r="R165" i="16"/>
  <c r="R117" i="16"/>
  <c r="R109" i="16"/>
  <c r="R101" i="16"/>
  <c r="R93" i="16"/>
  <c r="R85" i="16"/>
  <c r="R37" i="16"/>
  <c r="R29" i="16"/>
  <c r="J25" i="13"/>
  <c r="J30" i="13"/>
  <c r="N196" i="14"/>
  <c r="O196" i="14" s="1"/>
  <c r="P196" i="14" s="1"/>
  <c r="N115" i="14"/>
  <c r="O115" i="14" s="1"/>
  <c r="P115" i="14" s="1"/>
  <c r="N108" i="14"/>
  <c r="O108" i="14" s="1"/>
  <c r="P108" i="14" s="1"/>
  <c r="N69" i="14"/>
  <c r="O69" i="14" s="1"/>
  <c r="P69" i="14" s="1"/>
  <c r="N62" i="14"/>
  <c r="O62" i="14" s="1"/>
  <c r="P62" i="14" s="1"/>
  <c r="N18" i="14"/>
  <c r="O18" i="14" s="1"/>
  <c r="P18" i="14" s="1"/>
  <c r="N350" i="14"/>
  <c r="O350" i="14" s="1"/>
  <c r="P350" i="14" s="1"/>
  <c r="N296" i="14"/>
  <c r="O296" i="14" s="1"/>
  <c r="P296" i="14" s="1"/>
  <c r="N288" i="14"/>
  <c r="O288" i="14" s="1"/>
  <c r="P288" i="14" s="1"/>
  <c r="N101" i="14"/>
  <c r="O101" i="14" s="1"/>
  <c r="N187" i="14"/>
  <c r="O187" i="14" s="1"/>
  <c r="P187" i="14" s="1"/>
  <c r="N180" i="14"/>
  <c r="O180" i="14" s="1"/>
  <c r="P180" i="14" s="1"/>
  <c r="N274" i="14"/>
  <c r="O274" i="14" s="1"/>
  <c r="P274" i="14" s="1"/>
  <c r="N171" i="14"/>
  <c r="O171" i="14" s="1"/>
  <c r="P171" i="14" s="1"/>
  <c r="N163" i="14"/>
  <c r="O163" i="14" s="1"/>
  <c r="N94" i="14"/>
  <c r="O94" i="14" s="1"/>
  <c r="P94" i="14" s="1"/>
  <c r="N86" i="14"/>
  <c r="O86" i="14" s="1"/>
  <c r="P86" i="14" s="1"/>
  <c r="N267" i="14"/>
  <c r="O267" i="14" s="1"/>
  <c r="P267" i="14" s="1"/>
  <c r="N84" i="14"/>
  <c r="O84" i="14" s="1"/>
  <c r="P84" i="14" s="1"/>
  <c r="N154" i="14"/>
  <c r="O154" i="14" s="1"/>
  <c r="P154" i="14" s="1"/>
  <c r="N146" i="14"/>
  <c r="O146" i="14" s="1"/>
  <c r="P146" i="14" s="1"/>
  <c r="N138" i="14"/>
  <c r="O138" i="14" s="1"/>
  <c r="P138" i="14" s="1"/>
  <c r="N130" i="14"/>
  <c r="O130" i="14" s="1"/>
  <c r="P130" i="14" s="1"/>
  <c r="N122" i="14"/>
  <c r="O122" i="14" s="1"/>
  <c r="P122" i="14" s="1"/>
  <c r="N42" i="14"/>
  <c r="O42" i="14" s="1"/>
  <c r="P42" i="14" s="1"/>
  <c r="N38" i="14"/>
  <c r="O38" i="14" s="1"/>
  <c r="P38" i="14" s="1"/>
  <c r="N30" i="14"/>
  <c r="O30" i="14" s="1"/>
  <c r="P30" i="14" s="1"/>
  <c r="N4" i="14"/>
  <c r="O4" i="14" s="1"/>
  <c r="P4" i="14" s="1"/>
  <c r="N315" i="14"/>
  <c r="O315" i="14" s="1"/>
  <c r="P315" i="14" s="1"/>
  <c r="N244" i="14"/>
  <c r="O244" i="14" s="1"/>
  <c r="P244" i="14" s="1"/>
  <c r="N239" i="14"/>
  <c r="O239" i="14" s="1"/>
  <c r="N218" i="14"/>
  <c r="O218" i="14" s="1"/>
  <c r="P218" i="14" s="1"/>
  <c r="N202" i="14"/>
  <c r="O202" i="14" s="1"/>
  <c r="P202" i="14" s="1"/>
  <c r="N114" i="14"/>
  <c r="O114" i="14" s="1"/>
  <c r="P114" i="14" s="1"/>
  <c r="N107" i="14"/>
  <c r="O107" i="14" s="1"/>
  <c r="N68" i="14"/>
  <c r="O68" i="14" s="1"/>
  <c r="P68" i="14" s="1"/>
  <c r="N61" i="14"/>
  <c r="O61" i="14" s="1"/>
  <c r="P61" i="14" s="1"/>
  <c r="N25" i="14"/>
  <c r="O25" i="14" s="1"/>
  <c r="P25" i="14" s="1"/>
  <c r="N295" i="14"/>
  <c r="O295" i="14" s="1"/>
  <c r="P295" i="14" s="1"/>
  <c r="N287" i="14"/>
  <c r="O287" i="14" s="1"/>
  <c r="P287" i="14" s="1"/>
  <c r="N100" i="14"/>
  <c r="O100" i="14" s="1"/>
  <c r="P100" i="14" s="1"/>
  <c r="N186" i="14"/>
  <c r="O186" i="14" s="1"/>
  <c r="P186" i="14" s="1"/>
  <c r="N97" i="14"/>
  <c r="O97" i="14" s="1"/>
  <c r="P97" i="14" s="1"/>
  <c r="N179" i="14"/>
  <c r="O179" i="14" s="1"/>
  <c r="P179" i="14" s="1"/>
  <c r="N273" i="14"/>
  <c r="O273" i="14" s="1"/>
  <c r="P273" i="14" s="1"/>
  <c r="N93" i="14"/>
  <c r="O93" i="14" s="1"/>
  <c r="P93" i="14" s="1"/>
  <c r="N85" i="14"/>
  <c r="O85" i="14" s="1"/>
  <c r="P85" i="14" s="1"/>
  <c r="N75" i="14"/>
  <c r="O75" i="14" s="1"/>
  <c r="P75" i="14" s="1"/>
  <c r="N259" i="14"/>
  <c r="O259" i="14" s="1"/>
  <c r="P259" i="14" s="1"/>
  <c r="N153" i="14"/>
  <c r="O153" i="14" s="1"/>
  <c r="P153" i="14" s="1"/>
  <c r="N137" i="14"/>
  <c r="O137" i="14" s="1"/>
  <c r="P137" i="14" s="1"/>
  <c r="N129" i="14"/>
  <c r="O129" i="14" s="1"/>
  <c r="P129" i="14" s="1"/>
  <c r="N53" i="14"/>
  <c r="O53" i="14" s="1"/>
  <c r="P53" i="14" s="1"/>
  <c r="N37" i="14"/>
  <c r="O37" i="14" s="1"/>
  <c r="P37" i="14" s="1"/>
  <c r="R227" i="14"/>
  <c r="R219" i="14"/>
  <c r="R69" i="14"/>
  <c r="R62" i="14"/>
  <c r="R26" i="14"/>
  <c r="R18" i="14"/>
  <c r="R356" i="14"/>
  <c r="R350" i="14"/>
  <c r="R101" i="14"/>
  <c r="R181" i="14"/>
  <c r="R274" i="14"/>
  <c r="R328" i="14"/>
  <c r="N221" i="14"/>
  <c r="O221" i="14" s="1"/>
  <c r="P221" i="14" s="1"/>
  <c r="N64" i="14"/>
  <c r="O64" i="14" s="1"/>
  <c r="P64" i="14" s="1"/>
  <c r="N351" i="14"/>
  <c r="O351" i="14" s="1"/>
  <c r="P351" i="14" s="1"/>
  <c r="N157" i="14"/>
  <c r="O157" i="14" s="1"/>
  <c r="P157" i="14" s="1"/>
  <c r="N156" i="14"/>
  <c r="O156" i="14" s="1"/>
  <c r="P156" i="14" s="1"/>
  <c r="R137" i="14"/>
  <c r="R37" i="14"/>
  <c r="N246" i="14"/>
  <c r="O246" i="14" s="1"/>
  <c r="P246" i="14" s="1"/>
  <c r="N243" i="14"/>
  <c r="O243" i="14" s="1"/>
  <c r="P243" i="14" s="1"/>
  <c r="N306" i="14"/>
  <c r="O306" i="14" s="1"/>
  <c r="P306" i="14" s="1"/>
  <c r="N225" i="14"/>
  <c r="O225" i="14" s="1"/>
  <c r="P225" i="14" s="1"/>
  <c r="N209" i="14"/>
  <c r="O209" i="14" s="1"/>
  <c r="P209" i="14" s="1"/>
  <c r="N106" i="14"/>
  <c r="O106" i="14" s="1"/>
  <c r="P106" i="14" s="1"/>
  <c r="N67" i="14"/>
  <c r="O67" i="14" s="1"/>
  <c r="P67" i="14" s="1"/>
  <c r="N60" i="14"/>
  <c r="O60" i="14" s="1"/>
  <c r="P60" i="14" s="1"/>
  <c r="N56" i="14"/>
  <c r="O56" i="14" s="1"/>
  <c r="P56" i="14" s="1"/>
  <c r="N24" i="14"/>
  <c r="O24" i="14" s="1"/>
  <c r="P24" i="14" s="1"/>
  <c r="N17" i="14"/>
  <c r="O17" i="14" s="1"/>
  <c r="P17" i="14" s="1"/>
  <c r="N355" i="14"/>
  <c r="O355" i="14" s="1"/>
  <c r="P355" i="14" s="1"/>
  <c r="N348" i="14"/>
  <c r="O348" i="14" s="1"/>
  <c r="P348" i="14" s="1"/>
  <c r="N294" i="14"/>
  <c r="O294" i="14" s="1"/>
  <c r="P294" i="14" s="1"/>
  <c r="N286" i="14"/>
  <c r="O286" i="14" s="1"/>
  <c r="P286" i="14" s="1"/>
  <c r="N96" i="14"/>
  <c r="O96" i="14" s="1"/>
  <c r="P96" i="14" s="1"/>
  <c r="N277" i="14"/>
  <c r="O277" i="14" s="1"/>
  <c r="P277" i="14" s="1"/>
  <c r="N272" i="14"/>
  <c r="O272" i="14" s="1"/>
  <c r="P272" i="14" s="1"/>
  <c r="N169" i="14"/>
  <c r="O169" i="14" s="1"/>
  <c r="P169" i="14" s="1"/>
  <c r="N161" i="14"/>
  <c r="O161" i="14" s="1"/>
  <c r="P161" i="14" s="1"/>
  <c r="N92" i="14"/>
  <c r="O92" i="14" s="1"/>
  <c r="P92" i="14" s="1"/>
  <c r="N270" i="14"/>
  <c r="O270" i="14" s="1"/>
  <c r="P270" i="14" s="1"/>
  <c r="N265" i="14"/>
  <c r="O265" i="14" s="1"/>
  <c r="P265" i="14" s="1"/>
  <c r="N258" i="14"/>
  <c r="O258" i="14" s="1"/>
  <c r="P258" i="14" s="1"/>
  <c r="N144" i="14"/>
  <c r="O144" i="14" s="1"/>
  <c r="N136" i="14"/>
  <c r="O136" i="14" s="1"/>
  <c r="P136" i="14" s="1"/>
  <c r="N128" i="14"/>
  <c r="O128" i="14" s="1"/>
  <c r="P128" i="14" s="1"/>
  <c r="N52" i="14"/>
  <c r="O52" i="14" s="1"/>
  <c r="P52" i="14" s="1"/>
  <c r="N36" i="14"/>
  <c r="O36" i="14" s="1"/>
  <c r="N28" i="14"/>
  <c r="O28" i="14" s="1"/>
  <c r="P28" i="14" s="1"/>
  <c r="R225" i="14"/>
  <c r="R217" i="14"/>
  <c r="R194" i="14"/>
  <c r="R324" i="14"/>
  <c r="R317" i="14"/>
  <c r="N325" i="14"/>
  <c r="O325" i="14" s="1"/>
  <c r="P325" i="14" s="1"/>
  <c r="N317" i="14"/>
  <c r="O317" i="14" s="1"/>
  <c r="P317" i="14" s="1"/>
  <c r="N318" i="15"/>
  <c r="O318" i="15" s="1"/>
  <c r="P318" i="15" s="1"/>
  <c r="N276" i="15"/>
  <c r="O276" i="15" s="1"/>
  <c r="P276" i="15" s="1"/>
  <c r="N271" i="15"/>
  <c r="O271" i="15" s="1"/>
  <c r="P271" i="15" s="1"/>
  <c r="N261" i="15"/>
  <c r="O261" i="15" s="1"/>
  <c r="P261" i="15" s="1"/>
  <c r="N230" i="15"/>
  <c r="O230" i="15" s="1"/>
  <c r="P230" i="15" s="1"/>
  <c r="N313" i="15"/>
  <c r="O313" i="15" s="1"/>
  <c r="P313" i="15" s="1"/>
  <c r="N181" i="15"/>
  <c r="O181" i="15" s="1"/>
  <c r="P181" i="15" s="1"/>
  <c r="N177" i="15"/>
  <c r="O177" i="15" s="1"/>
  <c r="P177" i="15" s="1"/>
  <c r="N204" i="15"/>
  <c r="O204" i="15" s="1"/>
  <c r="P204" i="15" s="1"/>
  <c r="N224" i="15"/>
  <c r="O224" i="15" s="1"/>
  <c r="P224" i="15" s="1"/>
  <c r="N220" i="15"/>
  <c r="O220" i="15" s="1"/>
  <c r="P220" i="15" s="1"/>
  <c r="N216" i="15"/>
  <c r="O216" i="15" s="1"/>
  <c r="P216" i="15" s="1"/>
  <c r="N208" i="15"/>
  <c r="O208" i="15" s="1"/>
  <c r="P208" i="15" s="1"/>
  <c r="N196" i="15"/>
  <c r="O196" i="15" s="1"/>
  <c r="P196" i="15" s="1"/>
  <c r="N190" i="15"/>
  <c r="O190" i="15" s="1"/>
  <c r="P190" i="15" s="1"/>
  <c r="N186" i="15"/>
  <c r="O186" i="15" s="1"/>
  <c r="P186" i="15" s="1"/>
  <c r="N155" i="15"/>
  <c r="O155" i="15" s="1"/>
  <c r="P155" i="15" s="1"/>
  <c r="N172" i="15"/>
  <c r="O172" i="15" s="1"/>
  <c r="P172" i="15" s="1"/>
  <c r="N164" i="15"/>
  <c r="O164" i="15" s="1"/>
  <c r="P164" i="15" s="1"/>
  <c r="N136" i="15"/>
  <c r="O136" i="15" s="1"/>
  <c r="P136" i="15" s="1"/>
  <c r="N126" i="15"/>
  <c r="O126" i="15" s="1"/>
  <c r="P126" i="15" s="1"/>
  <c r="N86" i="15"/>
  <c r="O86" i="15" s="1"/>
  <c r="P86" i="15" s="1"/>
  <c r="N81" i="15"/>
  <c r="O81" i="15" s="1"/>
  <c r="P81" i="15" s="1"/>
  <c r="N64" i="15"/>
  <c r="O64" i="15" s="1"/>
  <c r="P64" i="15" s="1"/>
  <c r="R182" i="15"/>
  <c r="R94" i="15"/>
  <c r="R84" i="15"/>
  <c r="R359" i="15"/>
  <c r="R332" i="15"/>
  <c r="N293" i="15"/>
  <c r="O293" i="15" s="1"/>
  <c r="P293" i="15" s="1"/>
  <c r="N314" i="15"/>
  <c r="O314" i="15" s="1"/>
  <c r="P314" i="15" s="1"/>
  <c r="N282" i="15"/>
  <c r="O282" i="15" s="1"/>
  <c r="P282" i="15" s="1"/>
  <c r="N264" i="15"/>
  <c r="O264" i="15" s="1"/>
  <c r="P264" i="15" s="1"/>
  <c r="N255" i="15"/>
  <c r="O255" i="15" s="1"/>
  <c r="P255" i="15" s="1"/>
  <c r="N316" i="15"/>
  <c r="O316" i="15" s="1"/>
  <c r="P316" i="15" s="1"/>
  <c r="N304" i="15"/>
  <c r="O304" i="15" s="1"/>
  <c r="P304" i="15" s="1"/>
  <c r="N215" i="15"/>
  <c r="O215" i="15" s="1"/>
  <c r="P215" i="15" s="1"/>
  <c r="N207" i="15"/>
  <c r="O207" i="15" s="1"/>
  <c r="P207" i="15" s="1"/>
  <c r="N189" i="15"/>
  <c r="O189" i="15" s="1"/>
  <c r="P189" i="15" s="1"/>
  <c r="N166" i="15"/>
  <c r="O166" i="15" s="1"/>
  <c r="P166" i="15" s="1"/>
  <c r="R330" i="15"/>
  <c r="N329" i="15"/>
  <c r="O329" i="15" s="1"/>
  <c r="P329" i="15" s="1"/>
  <c r="R328" i="15"/>
  <c r="N327" i="15"/>
  <c r="O327" i="15" s="1"/>
  <c r="P327" i="15" s="1"/>
  <c r="R299" i="15"/>
  <c r="R334" i="15"/>
  <c r="R351" i="15"/>
  <c r="N200" i="15"/>
  <c r="O200" i="15" s="1"/>
  <c r="P200" i="15" s="1"/>
  <c r="N118" i="15"/>
  <c r="O118" i="15" s="1"/>
  <c r="P118" i="15" s="1"/>
  <c r="N187" i="15"/>
  <c r="O187" i="15" s="1"/>
  <c r="P187" i="15" s="1"/>
  <c r="N161" i="15"/>
  <c r="O161" i="15" s="1"/>
  <c r="P161" i="15" s="1"/>
  <c r="N156" i="15"/>
  <c r="O156" i="15" s="1"/>
  <c r="P156" i="15" s="1"/>
  <c r="N152" i="15"/>
  <c r="O152" i="15" s="1"/>
  <c r="P152" i="15" s="1"/>
  <c r="N145" i="15"/>
  <c r="O145" i="15" s="1"/>
  <c r="P145" i="15" s="1"/>
  <c r="N165" i="15"/>
  <c r="O165" i="15" s="1"/>
  <c r="P165" i="15" s="1"/>
  <c r="N127" i="15"/>
  <c r="O127" i="15" s="1"/>
  <c r="P127" i="15" s="1"/>
  <c r="N87" i="15"/>
  <c r="O87" i="15" s="1"/>
  <c r="P87" i="15" s="1"/>
  <c r="N72" i="15"/>
  <c r="O72" i="15" s="1"/>
  <c r="P72" i="15" s="1"/>
  <c r="N71" i="15"/>
  <c r="O71" i="15" s="1"/>
  <c r="P71" i="15" s="1"/>
  <c r="N82" i="15"/>
  <c r="O82" i="15" s="1"/>
  <c r="P82" i="15" s="1"/>
  <c r="N78" i="15"/>
  <c r="O78" i="15" s="1"/>
  <c r="P78" i="15" s="1"/>
  <c r="N74" i="15"/>
  <c r="O74" i="15" s="1"/>
  <c r="P74" i="15" s="1"/>
  <c r="N68" i="15"/>
  <c r="O68" i="15" s="1"/>
  <c r="P68" i="15" s="1"/>
  <c r="N65" i="15"/>
  <c r="O65" i="15" s="1"/>
  <c r="P65" i="15" s="1"/>
  <c r="N60" i="15"/>
  <c r="O60" i="15" s="1"/>
  <c r="P60" i="15" s="1"/>
  <c r="N35" i="15"/>
  <c r="O35" i="15" s="1"/>
  <c r="P35" i="15" s="1"/>
  <c r="R333" i="15"/>
  <c r="N358" i="15"/>
  <c r="O358" i="15" s="1"/>
  <c r="P358" i="15" s="1"/>
  <c r="N309" i="14"/>
  <c r="O309" i="14" s="1"/>
  <c r="P309" i="14" s="1"/>
  <c r="N292" i="14"/>
  <c r="O292" i="14" s="1"/>
  <c r="P292" i="14" s="1"/>
  <c r="N280" i="14"/>
  <c r="O280" i="14" s="1"/>
  <c r="P280" i="14" s="1"/>
  <c r="R163" i="14"/>
  <c r="R94" i="14"/>
  <c r="R154" i="14"/>
  <c r="F21" i="13"/>
  <c r="R46" i="14"/>
  <c r="R54" i="14"/>
  <c r="R287" i="14"/>
  <c r="R106" i="14"/>
  <c r="N359" i="16"/>
  <c r="O359" i="16" s="1"/>
  <c r="P359" i="16" s="1"/>
  <c r="N276" i="16"/>
  <c r="O276" i="16" s="1"/>
  <c r="P276" i="16" s="1"/>
  <c r="N226" i="16"/>
  <c r="O226" i="16" s="1"/>
  <c r="P226" i="16" s="1"/>
  <c r="R161" i="14"/>
  <c r="R92" i="14"/>
  <c r="R270" i="14"/>
  <c r="R265" i="14"/>
  <c r="R74" i="14"/>
  <c r="R258" i="14"/>
  <c r="R152" i="14"/>
  <c r="R144" i="14"/>
  <c r="R136" i="14"/>
  <c r="R128" i="14"/>
  <c r="R52" i="14"/>
  <c r="R44" i="14"/>
  <c r="R36" i="14"/>
  <c r="R28" i="14"/>
  <c r="R2" i="14"/>
  <c r="R208" i="14"/>
  <c r="R168" i="14"/>
  <c r="R205" i="15"/>
  <c r="R106" i="15"/>
  <c r="R267" i="14"/>
  <c r="R146" i="14"/>
  <c r="R38" i="14"/>
  <c r="R68" i="14"/>
  <c r="R302" i="14"/>
  <c r="N292" i="16"/>
  <c r="O292" i="16" s="1"/>
  <c r="P292" i="16" s="1"/>
  <c r="N252" i="16"/>
  <c r="O252" i="16" s="1"/>
  <c r="P252" i="16" s="1"/>
  <c r="N138" i="16"/>
  <c r="O138" i="16" s="1"/>
  <c r="P138" i="16" s="1"/>
  <c r="N26" i="16"/>
  <c r="O26" i="16" s="1"/>
  <c r="P26" i="16" s="1"/>
  <c r="N228" i="14"/>
  <c r="O228" i="14" s="1"/>
  <c r="P228" i="14" s="1"/>
  <c r="N116" i="14"/>
  <c r="O116" i="14" s="1"/>
  <c r="P116" i="14" s="1"/>
  <c r="N63" i="14"/>
  <c r="O63" i="14" s="1"/>
  <c r="P63" i="14" s="1"/>
  <c r="N303" i="14"/>
  <c r="O303" i="14" s="1"/>
  <c r="P303" i="14" s="1"/>
  <c r="N193" i="14"/>
  <c r="O193" i="14" s="1"/>
  <c r="P193" i="14" s="1"/>
  <c r="N278" i="14"/>
  <c r="O278" i="14" s="1"/>
  <c r="P278" i="14" s="1"/>
  <c r="N164" i="14"/>
  <c r="O164" i="14" s="1"/>
  <c r="P164" i="14" s="1"/>
  <c r="N264" i="14"/>
  <c r="O264" i="14" s="1"/>
  <c r="P264" i="14" s="1"/>
  <c r="N147" i="14"/>
  <c r="O147" i="14" s="1"/>
  <c r="P147" i="14" s="1"/>
  <c r="N131" i="14"/>
  <c r="O131" i="14" s="1"/>
  <c r="P131" i="14" s="1"/>
  <c r="N39" i="14"/>
  <c r="O39" i="14" s="1"/>
  <c r="P39" i="14" s="1"/>
  <c r="R223" i="14"/>
  <c r="R215" i="14"/>
  <c r="R207" i="14"/>
  <c r="R199" i="14"/>
  <c r="N251" i="14"/>
  <c r="O251" i="14" s="1"/>
  <c r="P251" i="14" s="1"/>
  <c r="J11" i="13"/>
  <c r="J19" i="13"/>
  <c r="J24" i="13"/>
  <c r="J29" i="13"/>
  <c r="J34" i="13"/>
  <c r="R86" i="14"/>
  <c r="R138" i="14"/>
  <c r="R30" i="14"/>
  <c r="R61" i="14"/>
  <c r="R295" i="14"/>
  <c r="N351" i="16"/>
  <c r="O351" i="16" s="1"/>
  <c r="P351" i="16" s="1"/>
  <c r="N284" i="16"/>
  <c r="O284" i="16" s="1"/>
  <c r="P284" i="16" s="1"/>
  <c r="N236" i="16"/>
  <c r="O236" i="16" s="1"/>
  <c r="P236" i="16" s="1"/>
  <c r="N245" i="16"/>
  <c r="O245" i="16" s="1"/>
  <c r="P245" i="16" s="1"/>
  <c r="N311" i="14"/>
  <c r="O311" i="14" s="1"/>
  <c r="P311" i="14" s="1"/>
  <c r="N212" i="14"/>
  <c r="O212" i="14" s="1"/>
  <c r="P212" i="14" s="1"/>
  <c r="N70" i="14"/>
  <c r="O70" i="14" s="1"/>
  <c r="P70" i="14" s="1"/>
  <c r="N55" i="14"/>
  <c r="O55" i="14" s="1"/>
  <c r="P55" i="14" s="1"/>
  <c r="N301" i="14"/>
  <c r="O301" i="14" s="1"/>
  <c r="P301" i="14" s="1"/>
  <c r="N176" i="14"/>
  <c r="O176" i="14" s="1"/>
  <c r="P176" i="14" s="1"/>
  <c r="N95" i="14"/>
  <c r="O95" i="14" s="1"/>
  <c r="P95" i="14" s="1"/>
  <c r="N77" i="14"/>
  <c r="O77" i="14" s="1"/>
  <c r="P77" i="14" s="1"/>
  <c r="N139" i="14"/>
  <c r="O139" i="14" s="1"/>
  <c r="P139" i="14" s="1"/>
  <c r="N123" i="14"/>
  <c r="O123" i="14" s="1"/>
  <c r="P123" i="14" s="1"/>
  <c r="N31" i="14"/>
  <c r="O31" i="14" s="1"/>
  <c r="P31" i="14" s="1"/>
  <c r="N163" i="16"/>
  <c r="O163" i="16" s="1"/>
  <c r="P163" i="16" s="1"/>
  <c r="N356" i="14"/>
  <c r="O356" i="14" s="1"/>
  <c r="P356" i="14" s="1"/>
  <c r="N181" i="14"/>
  <c r="O181" i="14" s="1"/>
  <c r="P181" i="14" s="1"/>
  <c r="R203" i="14"/>
  <c r="R196" i="14"/>
  <c r="R222" i="14"/>
  <c r="R190" i="14"/>
  <c r="R280" i="14"/>
  <c r="R259" i="15"/>
  <c r="R149" i="15"/>
  <c r="R143" i="15"/>
  <c r="R138" i="15"/>
  <c r="R102" i="15"/>
  <c r="R329" i="14"/>
  <c r="N329" i="14"/>
  <c r="O329" i="14" s="1"/>
  <c r="P329" i="14" s="1"/>
  <c r="R84" i="14"/>
  <c r="R130" i="14"/>
  <c r="R4" i="14"/>
  <c r="R25" i="14"/>
  <c r="R349" i="14"/>
  <c r="R67" i="14"/>
  <c r="R310" i="15"/>
  <c r="N308" i="16"/>
  <c r="O308" i="16" s="1"/>
  <c r="P308" i="16" s="1"/>
  <c r="N268" i="16"/>
  <c r="O268" i="16" s="1"/>
  <c r="P268" i="16" s="1"/>
  <c r="N218" i="16"/>
  <c r="O218" i="16" s="1"/>
  <c r="P218" i="16" s="1"/>
  <c r="N220" i="14"/>
  <c r="O220" i="14" s="1"/>
  <c r="P220" i="14" s="1"/>
  <c r="N268" i="14"/>
  <c r="O268" i="14" s="1"/>
  <c r="P268" i="14" s="1"/>
  <c r="N179" i="16"/>
  <c r="O179" i="16" s="1"/>
  <c r="P179" i="16" s="1"/>
  <c r="N29" i="14"/>
  <c r="O29" i="14" s="1"/>
  <c r="N305" i="14"/>
  <c r="O305" i="14" s="1"/>
  <c r="P305" i="14" s="1"/>
  <c r="N224" i="14"/>
  <c r="O224" i="14" s="1"/>
  <c r="P224" i="14" s="1"/>
  <c r="N216" i="14"/>
  <c r="O216" i="14" s="1"/>
  <c r="P216" i="14" s="1"/>
  <c r="N208" i="14"/>
  <c r="O208" i="14" s="1"/>
  <c r="P208" i="14" s="1"/>
  <c r="N200" i="14"/>
  <c r="O200" i="14" s="1"/>
  <c r="P200" i="14" s="1"/>
  <c r="N120" i="14"/>
  <c r="O120" i="14" s="1"/>
  <c r="N66" i="14"/>
  <c r="O66" i="14" s="1"/>
  <c r="P66" i="14" s="1"/>
  <c r="N59" i="14"/>
  <c r="O59" i="14" s="1"/>
  <c r="P59" i="14" s="1"/>
  <c r="N16" i="14"/>
  <c r="O16" i="14" s="1"/>
  <c r="P16" i="14" s="1"/>
  <c r="N354" i="14"/>
  <c r="O354" i="14" s="1"/>
  <c r="P354" i="14" s="1"/>
  <c r="N300" i="14"/>
  <c r="O300" i="14" s="1"/>
  <c r="P300" i="14" s="1"/>
  <c r="N293" i="14"/>
  <c r="O293" i="14" s="1"/>
  <c r="P293" i="14" s="1"/>
  <c r="N285" i="14"/>
  <c r="O285" i="14" s="1"/>
  <c r="P285" i="14" s="1"/>
  <c r="N271" i="14"/>
  <c r="O271" i="14" s="1"/>
  <c r="P271" i="14" s="1"/>
  <c r="N168" i="14"/>
  <c r="O168" i="14" s="1"/>
  <c r="P168" i="14" s="1"/>
  <c r="N160" i="14"/>
  <c r="O160" i="14" s="1"/>
  <c r="P160" i="14" s="1"/>
  <c r="N91" i="14"/>
  <c r="O91" i="14" s="1"/>
  <c r="P91" i="14" s="1"/>
  <c r="N344" i="14"/>
  <c r="O344" i="14" s="1"/>
  <c r="P344" i="14" s="1"/>
  <c r="N257" i="14"/>
  <c r="O257" i="14" s="1"/>
  <c r="P257" i="14" s="1"/>
  <c r="N151" i="14"/>
  <c r="O151" i="14" s="1"/>
  <c r="P151" i="14" s="1"/>
  <c r="N143" i="14"/>
  <c r="O143" i="14" s="1"/>
  <c r="P143" i="14" s="1"/>
  <c r="N43" i="14"/>
  <c r="O43" i="14" s="1"/>
  <c r="P43" i="14" s="1"/>
  <c r="N35" i="14"/>
  <c r="O35" i="14" s="1"/>
  <c r="P35" i="14" s="1"/>
  <c r="N27" i="14"/>
  <c r="O27" i="14" s="1"/>
  <c r="P27" i="14" s="1"/>
  <c r="N322" i="15"/>
  <c r="O322" i="15" s="1"/>
  <c r="P322" i="15" s="1"/>
  <c r="N267" i="15"/>
  <c r="O267" i="15" s="1"/>
  <c r="P267" i="15" s="1"/>
  <c r="N92" i="15"/>
  <c r="O92" i="15" s="1"/>
  <c r="P92" i="15" s="1"/>
  <c r="N115" i="15"/>
  <c r="O115" i="15" s="1"/>
  <c r="P115" i="15" s="1"/>
  <c r="N105" i="15"/>
  <c r="O105" i="15" s="1"/>
  <c r="P105" i="15" s="1"/>
  <c r="N77" i="15"/>
  <c r="O77" i="15" s="1"/>
  <c r="P77" i="15" s="1"/>
  <c r="N67" i="15"/>
  <c r="O67" i="15" s="1"/>
  <c r="P67" i="15" s="1"/>
  <c r="N59" i="15"/>
  <c r="O59" i="15" s="1"/>
  <c r="P59" i="15" s="1"/>
  <c r="R300" i="15"/>
  <c r="R295" i="15"/>
  <c r="R287" i="15"/>
  <c r="R76" i="14"/>
  <c r="R122" i="14"/>
  <c r="R246" i="15"/>
  <c r="N260" i="16"/>
  <c r="O260" i="16" s="1"/>
  <c r="P260" i="16" s="1"/>
  <c r="N241" i="14"/>
  <c r="O241" i="14" s="1"/>
  <c r="P241" i="14" s="1"/>
  <c r="N109" i="14"/>
  <c r="O109" i="14" s="1"/>
  <c r="P109" i="14" s="1"/>
  <c r="N19" i="14"/>
  <c r="O19" i="14" s="1"/>
  <c r="P19" i="14" s="1"/>
  <c r="N297" i="14"/>
  <c r="O297" i="14" s="1"/>
  <c r="P297" i="14" s="1"/>
  <c r="N98" i="14"/>
  <c r="O98" i="14" s="1"/>
  <c r="P98" i="14" s="1"/>
  <c r="N87" i="14"/>
  <c r="O87" i="14" s="1"/>
  <c r="P87" i="14" s="1"/>
  <c r="N261" i="14"/>
  <c r="O261" i="14" s="1"/>
  <c r="P261" i="14" s="1"/>
  <c r="N47" i="14"/>
  <c r="O47" i="14" s="1"/>
  <c r="P47" i="14" s="1"/>
  <c r="N147" i="15"/>
  <c r="O147" i="15" s="1"/>
  <c r="P147" i="15" s="1"/>
  <c r="N142" i="15"/>
  <c r="O142" i="15" s="1"/>
  <c r="P142" i="15" s="1"/>
  <c r="N135" i="15"/>
  <c r="O135" i="15" s="1"/>
  <c r="P135" i="15" s="1"/>
  <c r="N124" i="15"/>
  <c r="O124" i="15" s="1"/>
  <c r="P124" i="15" s="1"/>
  <c r="N98" i="15"/>
  <c r="O98" i="15" s="1"/>
  <c r="P98" i="15" s="1"/>
  <c r="N97" i="15"/>
  <c r="O97" i="15" s="1"/>
  <c r="P97" i="15" s="1"/>
  <c r="N117" i="15"/>
  <c r="O117" i="15" s="1"/>
  <c r="P117" i="15" s="1"/>
  <c r="N108" i="15"/>
  <c r="O108" i="15" s="1"/>
  <c r="P108" i="15" s="1"/>
  <c r="N95" i="15"/>
  <c r="O95" i="15" s="1"/>
  <c r="P95" i="15" s="1"/>
  <c r="N80" i="15"/>
  <c r="O80" i="15" s="1"/>
  <c r="P80" i="15" s="1"/>
  <c r="N9" i="15"/>
  <c r="O9" i="15" s="1"/>
  <c r="P9" i="15" s="1"/>
  <c r="N7" i="15"/>
  <c r="O7" i="15" s="1"/>
  <c r="P7" i="15" s="1"/>
  <c r="R235" i="15"/>
  <c r="R141" i="15"/>
  <c r="R303" i="15"/>
  <c r="N358" i="16"/>
  <c r="O358" i="16" s="1"/>
  <c r="P358" i="16" s="1"/>
  <c r="N350" i="16"/>
  <c r="O350" i="16" s="1"/>
  <c r="P350" i="16" s="1"/>
  <c r="N307" i="16"/>
  <c r="O307" i="16" s="1"/>
  <c r="P307" i="16" s="1"/>
  <c r="N299" i="16"/>
  <c r="O299" i="16" s="1"/>
  <c r="P299" i="16" s="1"/>
  <c r="N291" i="16"/>
  <c r="O291" i="16" s="1"/>
  <c r="P291" i="16" s="1"/>
  <c r="N283" i="16"/>
  <c r="O283" i="16" s="1"/>
  <c r="P283" i="16" s="1"/>
  <c r="N275" i="16"/>
  <c r="O275" i="16" s="1"/>
  <c r="P275" i="16" s="1"/>
  <c r="N267" i="16"/>
  <c r="O267" i="16" s="1"/>
  <c r="P267" i="16" s="1"/>
  <c r="N259" i="16"/>
  <c r="O259" i="16" s="1"/>
  <c r="P259" i="16" s="1"/>
  <c r="N235" i="16"/>
  <c r="O235" i="16" s="1"/>
  <c r="P235" i="16" s="1"/>
  <c r="N225" i="16"/>
  <c r="O225" i="16" s="1"/>
  <c r="P225" i="16" s="1"/>
  <c r="N209" i="16"/>
  <c r="O209" i="16" s="1"/>
  <c r="P209" i="16" s="1"/>
  <c r="N201" i="16"/>
  <c r="O201" i="16" s="1"/>
  <c r="P201" i="16" s="1"/>
  <c r="N193" i="16"/>
  <c r="O193" i="16" s="1"/>
  <c r="P193" i="16" s="1"/>
  <c r="N169" i="16"/>
  <c r="O169" i="16" s="1"/>
  <c r="P169" i="16" s="1"/>
  <c r="N145" i="16"/>
  <c r="O145" i="16" s="1"/>
  <c r="P145" i="16" s="1"/>
  <c r="N137" i="16"/>
  <c r="O137" i="16" s="1"/>
  <c r="P137" i="16" s="1"/>
  <c r="N129" i="16"/>
  <c r="O129" i="16" s="1"/>
  <c r="P129" i="16" s="1"/>
  <c r="N121" i="16"/>
  <c r="O121" i="16" s="1"/>
  <c r="P121" i="16" s="1"/>
  <c r="N113" i="16"/>
  <c r="O113" i="16" s="1"/>
  <c r="P113" i="16" s="1"/>
  <c r="N105" i="16"/>
  <c r="O105" i="16" s="1"/>
  <c r="P105" i="16" s="1"/>
  <c r="N89" i="16"/>
  <c r="O89" i="16" s="1"/>
  <c r="P89" i="16" s="1"/>
  <c r="N81" i="16"/>
  <c r="O81" i="16" s="1"/>
  <c r="P81" i="16" s="1"/>
  <c r="N73" i="16"/>
  <c r="O73" i="16" s="1"/>
  <c r="P73" i="16" s="1"/>
  <c r="N65" i="16"/>
  <c r="O65" i="16" s="1"/>
  <c r="P65" i="16" s="1"/>
  <c r="N57" i="16"/>
  <c r="O57" i="16" s="1"/>
  <c r="P57" i="16" s="1"/>
  <c r="N49" i="16"/>
  <c r="O49" i="16" s="1"/>
  <c r="P49" i="16" s="1"/>
  <c r="N41" i="16"/>
  <c r="O41" i="16" s="1"/>
  <c r="P41" i="16" s="1"/>
  <c r="N33" i="16"/>
  <c r="O33" i="16" s="1"/>
  <c r="P33" i="16" s="1"/>
  <c r="N25" i="16"/>
  <c r="O25" i="16" s="1"/>
  <c r="P25" i="16" s="1"/>
  <c r="N17" i="16"/>
  <c r="O17" i="16" s="1"/>
  <c r="P17" i="16" s="1"/>
  <c r="N9" i="16"/>
  <c r="O9" i="16" s="1"/>
  <c r="P9" i="16" s="1"/>
  <c r="R253" i="16"/>
  <c r="R147" i="16"/>
  <c r="N340" i="14"/>
  <c r="O340" i="14" s="1"/>
  <c r="P340" i="14" s="1"/>
  <c r="N249" i="14"/>
  <c r="O249" i="14" s="1"/>
  <c r="P249" i="14" s="1"/>
  <c r="J26" i="13"/>
  <c r="J51" i="13"/>
  <c r="R322" i="14"/>
  <c r="R327" i="14"/>
  <c r="R319" i="14"/>
  <c r="N326" i="14"/>
  <c r="O326" i="14" s="1"/>
  <c r="P326" i="14" s="1"/>
  <c r="N318" i="14"/>
  <c r="O318" i="14" s="1"/>
  <c r="P318" i="14" s="1"/>
  <c r="R342" i="15"/>
  <c r="R326" i="15"/>
  <c r="R331" i="15"/>
  <c r="R323" i="15"/>
  <c r="N269" i="15"/>
  <c r="O269" i="15" s="1"/>
  <c r="P269" i="15" s="1"/>
  <c r="N325" i="15"/>
  <c r="O325" i="15" s="1"/>
  <c r="P325" i="15" s="1"/>
  <c r="R348" i="15"/>
  <c r="N350" i="15"/>
  <c r="O350" i="15" s="1"/>
  <c r="P350" i="15" s="1"/>
  <c r="N358" i="14"/>
  <c r="O358" i="14" s="1"/>
  <c r="R318" i="16"/>
  <c r="R310" i="16"/>
  <c r="N318" i="16"/>
  <c r="O318" i="16" s="1"/>
  <c r="P318" i="16" s="1"/>
  <c r="N310" i="16"/>
  <c r="O310" i="16" s="1"/>
  <c r="P310" i="16" s="1"/>
  <c r="R336" i="16"/>
  <c r="R346" i="16"/>
  <c r="R339" i="16"/>
  <c r="R332" i="16"/>
  <c r="N346" i="16"/>
  <c r="O346" i="16" s="1"/>
  <c r="P346" i="16" s="1"/>
  <c r="N338" i="16"/>
  <c r="O338" i="16" s="1"/>
  <c r="P338" i="16" s="1"/>
  <c r="N341" i="16"/>
  <c r="O341" i="16" s="1"/>
  <c r="P341" i="16" s="1"/>
  <c r="N333" i="16"/>
  <c r="O333" i="16" s="1"/>
  <c r="P333" i="16" s="1"/>
  <c r="R337" i="14"/>
  <c r="R359" i="14"/>
  <c r="N233" i="16"/>
  <c r="O233" i="16" s="1"/>
  <c r="P233" i="16" s="1"/>
  <c r="N31" i="15"/>
  <c r="O31" i="15" s="1"/>
  <c r="P31" i="15" s="1"/>
  <c r="R234" i="15"/>
  <c r="J10" i="13"/>
  <c r="J22" i="13"/>
  <c r="J18" i="13"/>
  <c r="J23" i="13"/>
  <c r="J28" i="13"/>
  <c r="J33" i="13"/>
  <c r="R321" i="14"/>
  <c r="R326" i="14"/>
  <c r="R318" i="14"/>
  <c r="R335" i="15"/>
  <c r="R341" i="15"/>
  <c r="R346" i="15"/>
  <c r="R242" i="16"/>
  <c r="R232" i="16"/>
  <c r="R224" i="16"/>
  <c r="R216" i="16"/>
  <c r="R208" i="16"/>
  <c r="R200" i="16"/>
  <c r="R192" i="16"/>
  <c r="R184" i="16"/>
  <c r="R176" i="16"/>
  <c r="R168" i="16"/>
  <c r="R160" i="16"/>
  <c r="R152" i="16"/>
  <c r="R144" i="16"/>
  <c r="R136" i="16"/>
  <c r="R128" i="16"/>
  <c r="R120" i="16"/>
  <c r="R112" i="16"/>
  <c r="R104" i="16"/>
  <c r="R96" i="16"/>
  <c r="R88" i="16"/>
  <c r="R80" i="16"/>
  <c r="R72" i="16"/>
  <c r="R64" i="16"/>
  <c r="R56" i="16"/>
  <c r="R48" i="16"/>
  <c r="R40" i="16"/>
  <c r="R32" i="16"/>
  <c r="R24" i="16"/>
  <c r="R16" i="16"/>
  <c r="R8" i="16"/>
  <c r="N106" i="15"/>
  <c r="O106" i="15" s="1"/>
  <c r="P106" i="15" s="1"/>
  <c r="R162" i="14"/>
  <c r="R266" i="14"/>
  <c r="R83" i="14"/>
  <c r="R259" i="14"/>
  <c r="R153" i="14"/>
  <c r="R145" i="14"/>
  <c r="R129" i="14"/>
  <c r="R53" i="14"/>
  <c r="R45" i="14"/>
  <c r="R29" i="14"/>
  <c r="R3" i="14"/>
  <c r="N250" i="15"/>
  <c r="O250" i="15" s="1"/>
  <c r="P250" i="15" s="1"/>
  <c r="N309" i="15"/>
  <c r="O309" i="15" s="1"/>
  <c r="P309" i="15" s="1"/>
  <c r="N201" i="15"/>
  <c r="O201" i="15" s="1"/>
  <c r="P201" i="15" s="1"/>
  <c r="N194" i="16"/>
  <c r="O194" i="16" s="1"/>
  <c r="P194" i="16" s="1"/>
  <c r="N114" i="16"/>
  <c r="O114" i="16" s="1"/>
  <c r="P114" i="16" s="1"/>
  <c r="N328" i="14"/>
  <c r="O328" i="14" s="1"/>
  <c r="P328" i="14" s="1"/>
  <c r="N279" i="15"/>
  <c r="O279" i="15" s="1"/>
  <c r="P279" i="15" s="1"/>
  <c r="N223" i="15"/>
  <c r="O223" i="15" s="1"/>
  <c r="P223" i="15" s="1"/>
  <c r="N243" i="16"/>
  <c r="O243" i="16" s="1"/>
  <c r="P243" i="16" s="1"/>
  <c r="N323" i="14"/>
  <c r="O323" i="14" s="1"/>
  <c r="P323" i="14" s="1"/>
  <c r="N83" i="15"/>
  <c r="O83" i="15" s="1"/>
  <c r="P83" i="15" s="1"/>
  <c r="N176" i="15"/>
  <c r="O176" i="15" s="1"/>
  <c r="P176" i="15" s="1"/>
  <c r="N185" i="15"/>
  <c r="O185" i="15" s="1"/>
  <c r="P185" i="15" s="1"/>
  <c r="N306" i="16"/>
  <c r="O306" i="16" s="1"/>
  <c r="P306" i="16" s="1"/>
  <c r="N48" i="16"/>
  <c r="O48" i="16" s="1"/>
  <c r="P48" i="16" s="1"/>
  <c r="N234" i="14"/>
  <c r="O234" i="14" s="1"/>
  <c r="P234" i="14" s="1"/>
  <c r="N76" i="14"/>
  <c r="O76" i="14" s="1"/>
  <c r="P76" i="14" s="1"/>
  <c r="N260" i="14"/>
  <c r="O260" i="14" s="1"/>
  <c r="P260" i="14" s="1"/>
  <c r="N268" i="15"/>
  <c r="O268" i="15" s="1"/>
  <c r="P268" i="15" s="1"/>
  <c r="N104" i="16"/>
  <c r="O104" i="16" s="1"/>
  <c r="P104" i="16" s="1"/>
  <c r="N251" i="16"/>
  <c r="O251" i="16" s="1"/>
  <c r="P251" i="16" s="1"/>
  <c r="N185" i="16"/>
  <c r="O185" i="16" s="1"/>
  <c r="P185" i="16" s="1"/>
  <c r="N253" i="14"/>
  <c r="O253" i="14" s="1"/>
  <c r="P253" i="14" s="1"/>
  <c r="N198" i="15"/>
  <c r="O198" i="15" s="1"/>
  <c r="P198" i="15" s="1"/>
  <c r="N210" i="14"/>
  <c r="O210" i="14" s="1"/>
  <c r="P210" i="14" s="1"/>
  <c r="N170" i="14"/>
  <c r="O170" i="14" s="1"/>
  <c r="P170" i="14" s="1"/>
  <c r="N145" i="14"/>
  <c r="O145" i="14" s="1"/>
  <c r="P145" i="14" s="1"/>
  <c r="N152" i="14"/>
  <c r="O152" i="14" s="1"/>
  <c r="N231" i="14"/>
  <c r="O231" i="14" s="1"/>
  <c r="P231" i="14" s="1"/>
  <c r="N23" i="14"/>
  <c r="O23" i="14" s="1"/>
  <c r="P23" i="14" s="1"/>
  <c r="R233" i="14"/>
  <c r="R226" i="14"/>
  <c r="R218" i="14"/>
  <c r="R210" i="14"/>
  <c r="R202" i="14"/>
  <c r="R195" i="14"/>
  <c r="N343" i="15"/>
  <c r="O343" i="15" s="1"/>
  <c r="P343" i="15" s="1"/>
  <c r="N299" i="15"/>
  <c r="O299" i="15" s="1"/>
  <c r="P299" i="15" s="1"/>
  <c r="N349" i="16"/>
  <c r="O349" i="16" s="1"/>
  <c r="P349" i="16" s="1"/>
  <c r="N177" i="16"/>
  <c r="O177" i="16" s="1"/>
  <c r="P177" i="16" s="1"/>
  <c r="N109" i="15"/>
  <c r="O109" i="15" s="1"/>
  <c r="P109" i="15" s="1"/>
  <c r="N239" i="15"/>
  <c r="O239" i="15" s="1"/>
  <c r="P239" i="15" s="1"/>
  <c r="N195" i="14"/>
  <c r="O195" i="14" s="1"/>
  <c r="P195" i="14" s="1"/>
  <c r="N162" i="14"/>
  <c r="O162" i="14" s="1"/>
  <c r="P162" i="14" s="1"/>
  <c r="N83" i="14"/>
  <c r="O83" i="14" s="1"/>
  <c r="P83" i="14" s="1"/>
  <c r="N3" i="14"/>
  <c r="O3" i="14" s="1"/>
  <c r="P3" i="14" s="1"/>
  <c r="N217" i="16"/>
  <c r="O217" i="16" s="1"/>
  <c r="P217" i="16" s="1"/>
  <c r="N200" i="16"/>
  <c r="O200" i="16" s="1"/>
  <c r="P200" i="16" s="1"/>
  <c r="N160" i="16"/>
  <c r="O160" i="16" s="1"/>
  <c r="P160" i="16" s="1"/>
  <c r="N309" i="16"/>
  <c r="O309" i="16" s="1"/>
  <c r="P309" i="16" s="1"/>
  <c r="N349" i="14"/>
  <c r="O349" i="14" s="1"/>
  <c r="P349" i="14" s="1"/>
  <c r="N266" i="14"/>
  <c r="O266" i="14" s="1"/>
  <c r="P266" i="14" s="1"/>
  <c r="R78" i="15"/>
  <c r="R77" i="15"/>
  <c r="R68" i="15"/>
  <c r="R52" i="15"/>
  <c r="R67" i="15"/>
  <c r="R59" i="15"/>
  <c r="R60" i="14"/>
  <c r="R24" i="14"/>
  <c r="R17" i="14"/>
  <c r="R355" i="14"/>
  <c r="R348" i="14"/>
  <c r="R294" i="14"/>
  <c r="R100" i="14"/>
  <c r="R186" i="14"/>
  <c r="R97" i="14"/>
  <c r="R273" i="14"/>
  <c r="R209" i="14"/>
  <c r="R201" i="14"/>
  <c r="R160" i="14"/>
  <c r="R344" i="14"/>
  <c r="R13" i="14"/>
  <c r="R81" i="14"/>
  <c r="R191" i="14"/>
  <c r="R184" i="14"/>
  <c r="R345" i="14"/>
  <c r="R167" i="14"/>
  <c r="R159" i="14"/>
  <c r="R256" i="14"/>
  <c r="R150" i="14"/>
  <c r="R142" i="14"/>
  <c r="R134" i="14"/>
  <c r="R126" i="14"/>
  <c r="R50" i="14"/>
  <c r="R42" i="14"/>
  <c r="R34" i="14"/>
  <c r="R227" i="15"/>
  <c r="R276" i="15"/>
  <c r="R261" i="15"/>
  <c r="R230" i="15"/>
  <c r="R313" i="15"/>
  <c r="R224" i="14"/>
  <c r="R216" i="14"/>
  <c r="R200" i="14"/>
  <c r="R113" i="14"/>
  <c r="R21" i="14"/>
  <c r="R220" i="15"/>
  <c r="R212" i="15"/>
  <c r="R197" i="15"/>
  <c r="R25" i="15"/>
  <c r="R38" i="15"/>
  <c r="R29" i="15"/>
  <c r="R357" i="15"/>
  <c r="N10" i="15"/>
  <c r="O10" i="15" s="1"/>
  <c r="P10" i="15" s="1"/>
  <c r="N8" i="15"/>
  <c r="O8" i="15" s="1"/>
  <c r="P8" i="15" s="1"/>
  <c r="N25" i="15"/>
  <c r="O25" i="15" s="1"/>
  <c r="P25" i="15" s="1"/>
  <c r="N18" i="15"/>
  <c r="O18" i="15" s="1"/>
  <c r="P18" i="15" s="1"/>
  <c r="N4" i="15"/>
  <c r="O4" i="15" s="1"/>
  <c r="P4" i="15" s="1"/>
  <c r="N314" i="14"/>
  <c r="O314" i="14" s="1"/>
  <c r="P314" i="14" s="1"/>
  <c r="N238" i="14"/>
  <c r="O238" i="14" s="1"/>
  <c r="P238" i="14" s="1"/>
  <c r="N230" i="14"/>
  <c r="O230" i="14" s="1"/>
  <c r="P230" i="14" s="1"/>
  <c r="N223" i="14"/>
  <c r="O223" i="14" s="1"/>
  <c r="P223" i="14" s="1"/>
  <c r="N215" i="14"/>
  <c r="O215" i="14" s="1"/>
  <c r="P215" i="14" s="1"/>
  <c r="N207" i="14"/>
  <c r="O207" i="14" s="1"/>
  <c r="P207" i="14" s="1"/>
  <c r="N199" i="14"/>
  <c r="O199" i="14" s="1"/>
  <c r="P199" i="14" s="1"/>
  <c r="N72" i="14"/>
  <c r="O72" i="14" s="1"/>
  <c r="P72" i="14" s="1"/>
  <c r="N104" i="14"/>
  <c r="O104" i="14" s="1"/>
  <c r="P104" i="14" s="1"/>
  <c r="N102" i="14"/>
  <c r="O102" i="14" s="1"/>
  <c r="P102" i="14" s="1"/>
  <c r="N58" i="14"/>
  <c r="O58" i="14" s="1"/>
  <c r="P58" i="14" s="1"/>
  <c r="N22" i="14"/>
  <c r="O22" i="14" s="1"/>
  <c r="P22" i="14" s="1"/>
  <c r="N353" i="14"/>
  <c r="O353" i="14" s="1"/>
  <c r="P353" i="14" s="1"/>
  <c r="N284" i="14"/>
  <c r="O284" i="14" s="1"/>
  <c r="P284" i="14" s="1"/>
  <c r="N191" i="14"/>
  <c r="O191" i="14" s="1"/>
  <c r="P191" i="14" s="1"/>
  <c r="N184" i="14"/>
  <c r="O184" i="14" s="1"/>
  <c r="P184" i="14" s="1"/>
  <c r="N345" i="14"/>
  <c r="O345" i="14" s="1"/>
  <c r="N275" i="14"/>
  <c r="O275" i="14" s="1"/>
  <c r="P275" i="14" s="1"/>
  <c r="N175" i="14"/>
  <c r="O175" i="14" s="1"/>
  <c r="P175" i="14" s="1"/>
  <c r="N167" i="14"/>
  <c r="O167" i="14" s="1"/>
  <c r="P167" i="14" s="1"/>
  <c r="N159" i="14"/>
  <c r="O159" i="14" s="1"/>
  <c r="P159" i="14" s="1"/>
  <c r="N90" i="14"/>
  <c r="O90" i="14" s="1"/>
  <c r="N343" i="14"/>
  <c r="O343" i="14" s="1"/>
  <c r="N9" i="14"/>
  <c r="O9" i="14" s="1"/>
  <c r="P9" i="14" s="1"/>
  <c r="N256" i="14"/>
  <c r="O256" i="14" s="1"/>
  <c r="P256" i="14" s="1"/>
  <c r="N150" i="14"/>
  <c r="O150" i="14" s="1"/>
  <c r="P150" i="14" s="1"/>
  <c r="N142" i="14"/>
  <c r="O142" i="14" s="1"/>
  <c r="P142" i="14" s="1"/>
  <c r="N134" i="14"/>
  <c r="O134" i="14" s="1"/>
  <c r="P134" i="14" s="1"/>
  <c r="N126" i="14"/>
  <c r="O126" i="14" s="1"/>
  <c r="P126" i="14" s="1"/>
  <c r="N50" i="14"/>
  <c r="O50" i="14" s="1"/>
  <c r="P50" i="14" s="1"/>
  <c r="N8" i="14"/>
  <c r="O8" i="14" s="1"/>
  <c r="P8" i="14" s="1"/>
  <c r="N313" i="14"/>
  <c r="O313" i="14" s="1"/>
  <c r="P313" i="14" s="1"/>
  <c r="N237" i="14"/>
  <c r="O237" i="14" s="1"/>
  <c r="P237" i="14" s="1"/>
  <c r="N304" i="14"/>
  <c r="O304" i="14" s="1"/>
  <c r="P304" i="14" s="1"/>
  <c r="N111" i="14"/>
  <c r="O111" i="14" s="1"/>
  <c r="P111" i="14" s="1"/>
  <c r="N103" i="14"/>
  <c r="O103" i="14" s="1"/>
  <c r="P103" i="14" s="1"/>
  <c r="N299" i="14"/>
  <c r="O299" i="14" s="1"/>
  <c r="P299" i="14" s="1"/>
  <c r="N291" i="14"/>
  <c r="O291" i="14" s="1"/>
  <c r="P291" i="14" s="1"/>
  <c r="N190" i="14"/>
  <c r="O190" i="14" s="1"/>
  <c r="P190" i="14" s="1"/>
  <c r="N89" i="14"/>
  <c r="O89" i="14" s="1"/>
  <c r="P89" i="14" s="1"/>
  <c r="N11" i="14"/>
  <c r="O11" i="14" s="1"/>
  <c r="P11" i="14" s="1"/>
  <c r="N263" i="14"/>
  <c r="O263" i="14" s="1"/>
  <c r="P263" i="14" s="1"/>
  <c r="N149" i="14"/>
  <c r="O149" i="14" s="1"/>
  <c r="P149" i="14" s="1"/>
  <c r="N125" i="14"/>
  <c r="O125" i="14" s="1"/>
  <c r="P125" i="14" s="1"/>
  <c r="N41" i="14"/>
  <c r="O41" i="14" s="1"/>
  <c r="P41" i="14" s="1"/>
  <c r="N33" i="14"/>
  <c r="O33" i="14" s="1"/>
  <c r="P33" i="14" s="1"/>
  <c r="R203" i="15"/>
  <c r="R196" i="15"/>
  <c r="R183" i="15"/>
  <c r="R161" i="15"/>
  <c r="R145" i="15"/>
  <c r="R5" i="15"/>
  <c r="N57" i="15"/>
  <c r="O57" i="15" s="1"/>
  <c r="P57" i="15" s="1"/>
  <c r="N33" i="15"/>
  <c r="O33" i="15" s="1"/>
  <c r="P33" i="15" s="1"/>
  <c r="R144" i="15"/>
  <c r="R160" i="15"/>
  <c r="R132" i="15"/>
  <c r="R101" i="15"/>
  <c r="R4" i="15"/>
  <c r="R302" i="15"/>
  <c r="R322" i="15"/>
  <c r="R298" i="15"/>
  <c r="R273" i="15"/>
  <c r="R193" i="15"/>
  <c r="R159" i="15"/>
  <c r="R152" i="15"/>
  <c r="J15" i="13"/>
  <c r="J42" i="13"/>
  <c r="J43" i="13"/>
  <c r="J47" i="13"/>
  <c r="J53" i="13"/>
  <c r="R277" i="15"/>
  <c r="R262" i="15"/>
  <c r="R247" i="15"/>
  <c r="R238" i="15"/>
  <c r="R151" i="15"/>
  <c r="R140" i="15"/>
  <c r="R133" i="15"/>
  <c r="R122" i="15"/>
  <c r="R60" i="15"/>
  <c r="N63" i="15"/>
  <c r="O63" i="15" s="1"/>
  <c r="P63" i="15" s="1"/>
  <c r="N62" i="15"/>
  <c r="O62" i="15" s="1"/>
  <c r="P62" i="15" s="1"/>
  <c r="N43" i="15"/>
  <c r="O43" i="15" s="1"/>
  <c r="P43" i="15" s="1"/>
  <c r="N42" i="15"/>
  <c r="O42" i="15" s="1"/>
  <c r="P42" i="15" s="1"/>
  <c r="N34" i="15"/>
  <c r="O34" i="15" s="1"/>
  <c r="P34" i="15" s="1"/>
  <c r="N11" i="15"/>
  <c r="O11" i="15" s="1"/>
  <c r="P11" i="15" s="1"/>
  <c r="N344" i="15"/>
  <c r="O344" i="15" s="1"/>
  <c r="P344" i="15" s="1"/>
  <c r="N253" i="15"/>
  <c r="O253" i="15" s="1"/>
  <c r="P253" i="15" s="1"/>
  <c r="N291" i="15"/>
  <c r="O291" i="15" s="1"/>
  <c r="P291" i="15" s="1"/>
  <c r="N236" i="15"/>
  <c r="O236" i="15" s="1"/>
  <c r="P236" i="15" s="1"/>
  <c r="N277" i="15"/>
  <c r="O277" i="15" s="1"/>
  <c r="P277" i="15" s="1"/>
  <c r="N247" i="15"/>
  <c r="O247" i="15" s="1"/>
  <c r="P247" i="15" s="1"/>
  <c r="N246" i="15"/>
  <c r="O246" i="15" s="1"/>
  <c r="P246" i="15" s="1"/>
  <c r="N238" i="15"/>
  <c r="O238" i="15" s="1"/>
  <c r="P238" i="15" s="1"/>
  <c r="N228" i="15"/>
  <c r="O228" i="15" s="1"/>
  <c r="P228" i="15" s="1"/>
  <c r="N170" i="15"/>
  <c r="O170" i="15" s="1"/>
  <c r="P170" i="15" s="1"/>
  <c r="N213" i="15"/>
  <c r="O213" i="15" s="1"/>
  <c r="P213" i="15" s="1"/>
  <c r="N205" i="15"/>
  <c r="O205" i="15" s="1"/>
  <c r="P205" i="15" s="1"/>
  <c r="N182" i="15"/>
  <c r="O182" i="15" s="1"/>
  <c r="P182" i="15" s="1"/>
  <c r="N183" i="15"/>
  <c r="O183" i="15" s="1"/>
  <c r="P183" i="15" s="1"/>
  <c r="N91" i="15"/>
  <c r="O91" i="15" s="1"/>
  <c r="P91" i="15" s="1"/>
  <c r="N357" i="15"/>
  <c r="O357" i="15" s="1"/>
  <c r="P357" i="15" s="1"/>
  <c r="N20" i="15"/>
  <c r="O20" i="15" s="1"/>
  <c r="P20" i="15" s="1"/>
  <c r="N5" i="15"/>
  <c r="O5" i="15" s="1"/>
  <c r="P5" i="15" s="1"/>
  <c r="R296" i="15"/>
  <c r="R179" i="15"/>
  <c r="R191" i="15"/>
  <c r="R171" i="15"/>
  <c r="R88" i="15"/>
  <c r="R83" i="15"/>
  <c r="R55" i="15"/>
  <c r="R36" i="15"/>
  <c r="R353" i="16"/>
  <c r="R326" i="16"/>
  <c r="R302" i="16"/>
  <c r="R294" i="16"/>
  <c r="R286" i="16"/>
  <c r="R278" i="16"/>
  <c r="R270" i="16"/>
  <c r="R262" i="16"/>
  <c r="R254" i="16"/>
  <c r="R246" i="16"/>
  <c r="R238" i="16"/>
  <c r="R228" i="16"/>
  <c r="R220" i="16"/>
  <c r="R212" i="16"/>
  <c r="R204" i="16"/>
  <c r="R196" i="16"/>
  <c r="R188" i="16"/>
  <c r="R180" i="16"/>
  <c r="R172" i="16"/>
  <c r="R164" i="16"/>
  <c r="R156" i="16"/>
  <c r="R148" i="16"/>
  <c r="R140" i="16"/>
  <c r="R132" i="16"/>
  <c r="R124" i="16"/>
  <c r="R116" i="16"/>
  <c r="R108" i="16"/>
  <c r="R100" i="16"/>
  <c r="R92" i="16"/>
  <c r="R84" i="16"/>
  <c r="R76" i="16"/>
  <c r="R68" i="16"/>
  <c r="R60" i="16"/>
  <c r="R52" i="16"/>
  <c r="R44" i="16"/>
  <c r="R36" i="16"/>
  <c r="R28" i="16"/>
  <c r="R20" i="16"/>
  <c r="R12" i="16"/>
  <c r="N323" i="15"/>
  <c r="O323" i="15" s="1"/>
  <c r="P323" i="15" s="1"/>
  <c r="R308" i="15"/>
  <c r="R217" i="15"/>
  <c r="R125" i="15"/>
  <c r="R103" i="15"/>
  <c r="R65" i="15"/>
  <c r="R47" i="15"/>
  <c r="R352" i="16"/>
  <c r="R325" i="16"/>
  <c r="R301" i="16"/>
  <c r="R293" i="16"/>
  <c r="R285" i="16"/>
  <c r="R277" i="16"/>
  <c r="R269" i="16"/>
  <c r="R261" i="16"/>
  <c r="R245" i="16"/>
  <c r="R237" i="16"/>
  <c r="R227" i="16"/>
  <c r="R219" i="16"/>
  <c r="R211" i="16"/>
  <c r="R203" i="16"/>
  <c r="R195" i="16"/>
  <c r="R187" i="16"/>
  <c r="R179" i="16"/>
  <c r="R171" i="16"/>
  <c r="R163" i="16"/>
  <c r="R155" i="16"/>
  <c r="R139" i="16"/>
  <c r="R131" i="16"/>
  <c r="R123" i="16"/>
  <c r="R115" i="16"/>
  <c r="R107" i="16"/>
  <c r="R99" i="16"/>
  <c r="R91" i="16"/>
  <c r="R83" i="16"/>
  <c r="R75" i="16"/>
  <c r="R67" i="16"/>
  <c r="R59" i="16"/>
  <c r="R51" i="16"/>
  <c r="R43" i="16"/>
  <c r="R35" i="16"/>
  <c r="R19" i="16"/>
  <c r="R11" i="16"/>
  <c r="R3" i="16"/>
  <c r="J8" i="13"/>
  <c r="J20" i="13"/>
  <c r="J35" i="13"/>
  <c r="N352" i="14"/>
  <c r="O352" i="14" s="1"/>
  <c r="P352" i="14" s="1"/>
  <c r="N79" i="14"/>
  <c r="O79" i="14" s="1"/>
  <c r="P79" i="14" s="1"/>
  <c r="N49" i="14"/>
  <c r="O49" i="14" s="1"/>
  <c r="P49" i="14" s="1"/>
  <c r="N7" i="14"/>
  <c r="O7" i="14" s="1"/>
  <c r="P7" i="14" s="1"/>
  <c r="R166" i="14"/>
  <c r="R158" i="14"/>
  <c r="R89" i="14"/>
  <c r="R342" i="14"/>
  <c r="R11" i="14"/>
  <c r="R255" i="14"/>
  <c r="R149" i="14"/>
  <c r="R141" i="14"/>
  <c r="R41" i="14"/>
  <c r="R33" i="14"/>
  <c r="R7" i="14"/>
  <c r="R213" i="14"/>
  <c r="R205" i="14"/>
  <c r="R121" i="14"/>
  <c r="R64" i="14"/>
  <c r="R298" i="14"/>
  <c r="R189" i="14"/>
  <c r="R182" i="14"/>
  <c r="R279" i="14"/>
  <c r="R88" i="14"/>
  <c r="R269" i="14"/>
  <c r="R10" i="14"/>
  <c r="R148" i="14"/>
  <c r="R140" i="14"/>
  <c r="R132" i="14"/>
  <c r="R124" i="14"/>
  <c r="R40" i="14"/>
  <c r="R6" i="14"/>
  <c r="R286" i="15"/>
  <c r="R275" i="15"/>
  <c r="R260" i="15"/>
  <c r="R251" i="15"/>
  <c r="R312" i="15"/>
  <c r="R170" i="15"/>
  <c r="R221" i="15"/>
  <c r="R167" i="15"/>
  <c r="R139" i="15"/>
  <c r="R131" i="15"/>
  <c r="R100" i="15"/>
  <c r="R49" i="15"/>
  <c r="R51" i="15"/>
  <c r="N300" i="15"/>
  <c r="O300" i="15" s="1"/>
  <c r="P300" i="15" s="1"/>
  <c r="N252" i="15"/>
  <c r="O252" i="15" s="1"/>
  <c r="P252" i="15" s="1"/>
  <c r="N284" i="15"/>
  <c r="O284" i="15" s="1"/>
  <c r="P284" i="15" s="1"/>
  <c r="N272" i="15"/>
  <c r="O272" i="15" s="1"/>
  <c r="P272" i="15" s="1"/>
  <c r="N258" i="15"/>
  <c r="O258" i="15" s="1"/>
  <c r="P258" i="15" s="1"/>
  <c r="N232" i="15"/>
  <c r="O232" i="15" s="1"/>
  <c r="P232" i="15" s="1"/>
  <c r="N178" i="15"/>
  <c r="O178" i="15" s="1"/>
  <c r="P178" i="15" s="1"/>
  <c r="N19" i="15"/>
  <c r="O19" i="15" s="1"/>
  <c r="P19" i="15" s="1"/>
  <c r="N355" i="15"/>
  <c r="O355" i="15" s="1"/>
  <c r="P355" i="15" s="1"/>
  <c r="N289" i="15"/>
  <c r="O289" i="15" s="1"/>
  <c r="P289" i="15" s="1"/>
  <c r="N234" i="15"/>
  <c r="O234" i="15" s="1"/>
  <c r="P234" i="15" s="1"/>
  <c r="N104" i="15"/>
  <c r="O104" i="15" s="1"/>
  <c r="P104" i="15" s="1"/>
  <c r="N37" i="15"/>
  <c r="O37" i="15" s="1"/>
  <c r="P37" i="15" s="1"/>
  <c r="N54" i="15"/>
  <c r="O54" i="15" s="1"/>
  <c r="P54" i="15" s="1"/>
  <c r="N312" i="14"/>
  <c r="O312" i="14" s="1"/>
  <c r="P312" i="14" s="1"/>
  <c r="N282" i="14"/>
  <c r="O282" i="14" s="1"/>
  <c r="P282" i="14" s="1"/>
  <c r="N10" i="14"/>
  <c r="O10" i="14" s="1"/>
  <c r="P10" i="14" s="1"/>
  <c r="N132" i="14"/>
  <c r="O132" i="14" s="1"/>
  <c r="P132" i="14" s="1"/>
  <c r="R310" i="14"/>
  <c r="R187" i="14"/>
  <c r="R252" i="15"/>
  <c r="R181" i="15"/>
  <c r="R204" i="15"/>
  <c r="R213" i="15"/>
  <c r="R92" i="15"/>
  <c r="R50" i="15"/>
  <c r="R39" i="15"/>
  <c r="R30" i="15"/>
  <c r="N347" i="15"/>
  <c r="O347" i="15" s="1"/>
  <c r="P347" i="15" s="1"/>
  <c r="N294" i="15"/>
  <c r="O294" i="15" s="1"/>
  <c r="P294" i="15" s="1"/>
  <c r="N280" i="15"/>
  <c r="O280" i="15" s="1"/>
  <c r="P280" i="15" s="1"/>
  <c r="N240" i="15"/>
  <c r="O240" i="15" s="1"/>
  <c r="P240" i="15" s="1"/>
  <c r="N257" i="15"/>
  <c r="O257" i="15" s="1"/>
  <c r="P257" i="15" s="1"/>
  <c r="N248" i="15"/>
  <c r="O248" i="15" s="1"/>
  <c r="P248" i="15" s="1"/>
  <c r="N307" i="15"/>
  <c r="O307" i="15" s="1"/>
  <c r="P307" i="15" s="1"/>
  <c r="R4" i="16"/>
  <c r="N328" i="16"/>
  <c r="O328" i="16" s="1"/>
  <c r="P328" i="16" s="1"/>
  <c r="N348" i="16"/>
  <c r="O348" i="16" s="1"/>
  <c r="P348" i="16" s="1"/>
  <c r="N297" i="16"/>
  <c r="O297" i="16" s="1"/>
  <c r="P297" i="16" s="1"/>
  <c r="N289" i="16"/>
  <c r="O289" i="16" s="1"/>
  <c r="P289" i="16" s="1"/>
  <c r="N281" i="16"/>
  <c r="O281" i="16" s="1"/>
  <c r="P281" i="16" s="1"/>
  <c r="N273" i="16"/>
  <c r="O273" i="16" s="1"/>
  <c r="P273" i="16" s="1"/>
  <c r="N265" i="16"/>
  <c r="O265" i="16" s="1"/>
  <c r="P265" i="16" s="1"/>
  <c r="N241" i="16"/>
  <c r="O241" i="16" s="1"/>
  <c r="P241" i="16" s="1"/>
  <c r="N215" i="16"/>
  <c r="O215" i="16" s="1"/>
  <c r="P215" i="16" s="1"/>
  <c r="N199" i="16"/>
  <c r="O199" i="16" s="1"/>
  <c r="P199" i="16" s="1"/>
  <c r="N191" i="16"/>
  <c r="O191" i="16" s="1"/>
  <c r="P191" i="16" s="1"/>
  <c r="N175" i="16"/>
  <c r="O175" i="16" s="1"/>
  <c r="P175" i="16" s="1"/>
  <c r="N167" i="16"/>
  <c r="O167" i="16" s="1"/>
  <c r="P167" i="16" s="1"/>
  <c r="N159" i="16"/>
  <c r="O159" i="16" s="1"/>
  <c r="P159" i="16" s="1"/>
  <c r="N151" i="16"/>
  <c r="O151" i="16" s="1"/>
  <c r="P151" i="16" s="1"/>
  <c r="N143" i="16"/>
  <c r="O143" i="16" s="1"/>
  <c r="P143" i="16" s="1"/>
  <c r="N135" i="16"/>
  <c r="O135" i="16" s="1"/>
  <c r="P135" i="16" s="1"/>
  <c r="N127" i="16"/>
  <c r="O127" i="16" s="1"/>
  <c r="P127" i="16" s="1"/>
  <c r="N119" i="16"/>
  <c r="O119" i="16" s="1"/>
  <c r="P119" i="16" s="1"/>
  <c r="N111" i="16"/>
  <c r="O111" i="16" s="1"/>
  <c r="P111" i="16" s="1"/>
  <c r="N95" i="16"/>
  <c r="O95" i="16" s="1"/>
  <c r="P95" i="16" s="1"/>
  <c r="N87" i="16"/>
  <c r="O87" i="16" s="1"/>
  <c r="P87" i="16" s="1"/>
  <c r="N79" i="16"/>
  <c r="O79" i="16" s="1"/>
  <c r="P79" i="16" s="1"/>
  <c r="N71" i="16"/>
  <c r="O71" i="16" s="1"/>
  <c r="P71" i="16" s="1"/>
  <c r="N63" i="16"/>
  <c r="O63" i="16" s="1"/>
  <c r="P63" i="16" s="1"/>
  <c r="N55" i="16"/>
  <c r="O55" i="16" s="1"/>
  <c r="P55" i="16" s="1"/>
  <c r="N47" i="16"/>
  <c r="O47" i="16" s="1"/>
  <c r="P47" i="16" s="1"/>
  <c r="N31" i="16"/>
  <c r="O31" i="16" s="1"/>
  <c r="N23" i="16"/>
  <c r="O23" i="16" s="1"/>
  <c r="P23" i="16" s="1"/>
  <c r="N15" i="16"/>
  <c r="O15" i="16" s="1"/>
  <c r="P15" i="16" s="1"/>
  <c r="I361" i="16"/>
  <c r="R358" i="16"/>
  <c r="R350" i="16"/>
  <c r="R307" i="16"/>
  <c r="R299" i="16"/>
  <c r="R291" i="16"/>
  <c r="R283" i="16"/>
  <c r="R275" i="16"/>
  <c r="R267" i="16"/>
  <c r="R259" i="16"/>
  <c r="R251" i="16"/>
  <c r="R243" i="16"/>
  <c r="R235" i="16"/>
  <c r="R225" i="16"/>
  <c r="R217" i="16"/>
  <c r="R209" i="16"/>
  <c r="R201" i="16"/>
  <c r="R193" i="16"/>
  <c r="R185" i="16"/>
  <c r="R177" i="16"/>
  <c r="R169" i="16"/>
  <c r="R161" i="16"/>
  <c r="R153" i="16"/>
  <c r="R145" i="16"/>
  <c r="R137" i="16"/>
  <c r="R129" i="16"/>
  <c r="R121" i="16"/>
  <c r="R113" i="16"/>
  <c r="R105" i="16"/>
  <c r="R97" i="16"/>
  <c r="R89" i="16"/>
  <c r="R81" i="16"/>
  <c r="R73" i="16"/>
  <c r="R65" i="16"/>
  <c r="R57" i="16"/>
  <c r="R49" i="16"/>
  <c r="R41" i="16"/>
  <c r="R33" i="16"/>
  <c r="R25" i="16"/>
  <c r="R17" i="16"/>
  <c r="R9" i="16"/>
  <c r="R250" i="14"/>
  <c r="J16" i="13"/>
  <c r="J27" i="13"/>
  <c r="R320" i="14"/>
  <c r="N320" i="14"/>
  <c r="O320" i="14" s="1"/>
  <c r="P320" i="14" s="1"/>
  <c r="N322" i="14"/>
  <c r="O322" i="14" s="1"/>
  <c r="P322" i="14" s="1"/>
  <c r="R269" i="15"/>
  <c r="R325" i="15"/>
  <c r="N324" i="15"/>
  <c r="O324" i="15" s="1"/>
  <c r="P324" i="15" s="1"/>
  <c r="R307" i="15"/>
  <c r="R190" i="15"/>
  <c r="R276" i="16"/>
  <c r="R260" i="16"/>
  <c r="R236" i="16"/>
  <c r="R146" i="16"/>
  <c r="R106" i="16"/>
  <c r="R42" i="16"/>
  <c r="R18" i="16"/>
  <c r="R265" i="16"/>
  <c r="R257" i="16"/>
  <c r="R249" i="16"/>
  <c r="R231" i="16"/>
  <c r="R143" i="16"/>
  <c r="R127" i="16"/>
  <c r="R63" i="16"/>
  <c r="J36" i="13"/>
  <c r="N336" i="15"/>
  <c r="O336" i="15" s="1"/>
  <c r="P336" i="15" s="1"/>
  <c r="N119" i="14"/>
  <c r="O119" i="14" s="1"/>
  <c r="P119" i="14" s="1"/>
  <c r="N93" i="15"/>
  <c r="O93" i="15" s="1"/>
  <c r="P93" i="15" s="1"/>
  <c r="N12" i="14"/>
  <c r="O12" i="14" s="1"/>
  <c r="P12" i="14" s="1"/>
  <c r="N347" i="14"/>
  <c r="O347" i="14" s="1"/>
  <c r="F51" i="13"/>
  <c r="D48" i="13"/>
  <c r="N330" i="16"/>
  <c r="O330" i="16" s="1"/>
  <c r="P330" i="16" s="1"/>
  <c r="N333" i="14"/>
  <c r="O333" i="14" s="1"/>
  <c r="P333" i="14" s="1"/>
  <c r="R350" i="15"/>
  <c r="N351" i="15"/>
  <c r="O351" i="15" s="1"/>
  <c r="P351" i="15" s="1"/>
  <c r="R312" i="16"/>
  <c r="N341" i="14"/>
  <c r="O341" i="14" s="1"/>
  <c r="P341" i="14" s="1"/>
  <c r="N80" i="14"/>
  <c r="O80" i="14" s="1"/>
  <c r="P80" i="14" s="1"/>
  <c r="J32" i="13"/>
  <c r="H39" i="13"/>
  <c r="N308" i="14"/>
  <c r="O308" i="14" s="1"/>
  <c r="P308" i="14" s="1"/>
  <c r="N206" i="14"/>
  <c r="O206" i="14" s="1"/>
  <c r="P206" i="14" s="1"/>
  <c r="N198" i="14"/>
  <c r="O198" i="14" s="1"/>
  <c r="P198" i="14" s="1"/>
  <c r="N65" i="14"/>
  <c r="O65" i="14" s="1"/>
  <c r="P65" i="14" s="1"/>
  <c r="N21" i="14"/>
  <c r="O21" i="14" s="1"/>
  <c r="P21" i="14" s="1"/>
  <c r="N14" i="14"/>
  <c r="O14" i="14" s="1"/>
  <c r="P14" i="14" s="1"/>
  <c r="N283" i="14"/>
  <c r="O283" i="14" s="1"/>
  <c r="P283" i="14" s="1"/>
  <c r="N178" i="14"/>
  <c r="O178" i="14" s="1"/>
  <c r="P178" i="14" s="1"/>
  <c r="N174" i="14"/>
  <c r="O174" i="14" s="1"/>
  <c r="P174" i="14" s="1"/>
  <c r="N166" i="14"/>
  <c r="O166" i="14" s="1"/>
  <c r="P166" i="14" s="1"/>
  <c r="N158" i="14"/>
  <c r="O158" i="14" s="1"/>
  <c r="N342" i="14"/>
  <c r="O342" i="14" s="1"/>
  <c r="N255" i="14"/>
  <c r="O255" i="14" s="1"/>
  <c r="P255" i="14" s="1"/>
  <c r="R73" i="15"/>
  <c r="N96" i="15"/>
  <c r="O96" i="15" s="1"/>
  <c r="P96" i="15" s="1"/>
  <c r="N307" i="14"/>
  <c r="O307" i="14" s="1"/>
  <c r="P307" i="14" s="1"/>
  <c r="N236" i="14"/>
  <c r="O236" i="14" s="1"/>
  <c r="P236" i="14" s="1"/>
  <c r="N229" i="14"/>
  <c r="O229" i="14" s="1"/>
  <c r="P229" i="14" s="1"/>
  <c r="N213" i="14"/>
  <c r="O213" i="14" s="1"/>
  <c r="P213" i="14" s="1"/>
  <c r="N205" i="14"/>
  <c r="O205" i="14" s="1"/>
  <c r="P205" i="14" s="1"/>
  <c r="N121" i="14"/>
  <c r="O121" i="14" s="1"/>
  <c r="P121" i="14" s="1"/>
  <c r="N117" i="14"/>
  <c r="O117" i="14" s="1"/>
  <c r="N110" i="14"/>
  <c r="O110" i="14" s="1"/>
  <c r="P110" i="14" s="1"/>
  <c r="N71" i="14"/>
  <c r="O71" i="14" s="1"/>
  <c r="P71" i="14" s="1"/>
  <c r="N20" i="14"/>
  <c r="O20" i="14" s="1"/>
  <c r="P20" i="14" s="1"/>
  <c r="N357" i="14"/>
  <c r="O357" i="14" s="1"/>
  <c r="P357" i="14" s="1"/>
  <c r="N298" i="14"/>
  <c r="O298" i="14" s="1"/>
  <c r="P298" i="14" s="1"/>
  <c r="N290" i="14"/>
  <c r="O290" i="14" s="1"/>
  <c r="P290" i="14" s="1"/>
  <c r="N189" i="14"/>
  <c r="O189" i="14" s="1"/>
  <c r="N182" i="14"/>
  <c r="O182" i="14" s="1"/>
  <c r="P182" i="14" s="1"/>
  <c r="N279" i="14"/>
  <c r="O279" i="14" s="1"/>
  <c r="N177" i="14"/>
  <c r="O177" i="14" s="1"/>
  <c r="N173" i="14"/>
  <c r="O173" i="14" s="1"/>
  <c r="P173" i="14" s="1"/>
  <c r="N165" i="14"/>
  <c r="O165" i="14" s="1"/>
  <c r="P165" i="14" s="1"/>
  <c r="N88" i="14"/>
  <c r="O88" i="14" s="1"/>
  <c r="P88" i="14" s="1"/>
  <c r="N269" i="14"/>
  <c r="O269" i="14" s="1"/>
  <c r="P269" i="14" s="1"/>
  <c r="N78" i="14"/>
  <c r="O78" i="14" s="1"/>
  <c r="P78" i="14" s="1"/>
  <c r="N262" i="14"/>
  <c r="O262" i="14" s="1"/>
  <c r="N148" i="14"/>
  <c r="O148" i="14" s="1"/>
  <c r="N140" i="14"/>
  <c r="O140" i="14" s="1"/>
  <c r="P140" i="14" s="1"/>
  <c r="N124" i="14"/>
  <c r="O124" i="14" s="1"/>
  <c r="P124" i="14" s="1"/>
  <c r="N48" i="14"/>
  <c r="O48" i="14" s="1"/>
  <c r="P48" i="14" s="1"/>
  <c r="N40" i="14"/>
  <c r="O40" i="14" s="1"/>
  <c r="P40" i="14" s="1"/>
  <c r="N32" i="14"/>
  <c r="O32" i="14" s="1"/>
  <c r="P32" i="14" s="1"/>
  <c r="N6" i="14"/>
  <c r="O6" i="14" s="1"/>
  <c r="P6" i="14" s="1"/>
  <c r="N101" i="15"/>
  <c r="O101" i="15" s="1"/>
  <c r="P101" i="15" s="1"/>
  <c r="L361" i="16"/>
  <c r="N235" i="14"/>
  <c r="O235" i="14" s="1"/>
  <c r="P235" i="14" s="1"/>
  <c r="N204" i="14"/>
  <c r="O204" i="14" s="1"/>
  <c r="P204" i="14" s="1"/>
  <c r="N197" i="14"/>
  <c r="O197" i="14" s="1"/>
  <c r="P197" i="14" s="1"/>
  <c r="N188" i="14"/>
  <c r="O188" i="14" s="1"/>
  <c r="P188" i="14" s="1"/>
  <c r="N172" i="14"/>
  <c r="O172" i="14" s="1"/>
  <c r="N155" i="14"/>
  <c r="O155" i="14" s="1"/>
  <c r="P155" i="14" s="1"/>
  <c r="N310" i="14"/>
  <c r="O310" i="14" s="1"/>
  <c r="P310" i="14" s="1"/>
  <c r="N203" i="14"/>
  <c r="O203" i="14" s="1"/>
  <c r="P203" i="14" s="1"/>
  <c r="N26" i="14"/>
  <c r="O26" i="14" s="1"/>
  <c r="P26" i="14" s="1"/>
  <c r="N226" i="14"/>
  <c r="O226" i="14" s="1"/>
  <c r="P226" i="14" s="1"/>
  <c r="N302" i="14"/>
  <c r="O302" i="14" s="1"/>
  <c r="P302" i="14" s="1"/>
  <c r="N321" i="14"/>
  <c r="O321" i="14" s="1"/>
  <c r="P321" i="14" s="1"/>
  <c r="N7" i="16"/>
  <c r="O7" i="16" s="1"/>
  <c r="P7" i="16" s="1"/>
  <c r="N34" i="14"/>
  <c r="O34" i="14" s="1"/>
  <c r="P34" i="14" s="1"/>
  <c r="N118" i="14"/>
  <c r="O118" i="14" s="1"/>
  <c r="P118" i="14" s="1"/>
  <c r="N332" i="14"/>
  <c r="O332" i="14" s="1"/>
  <c r="P332" i="14" s="1"/>
  <c r="N5" i="14"/>
  <c r="O5" i="14" s="1"/>
  <c r="P5" i="14" s="1"/>
  <c r="R71" i="14"/>
  <c r="R65" i="14"/>
  <c r="R57" i="14"/>
  <c r="R14" i="14"/>
  <c r="R352" i="14"/>
  <c r="R299" i="14"/>
  <c r="N159" i="15"/>
  <c r="O159" i="15" s="1"/>
  <c r="P159" i="15" s="1"/>
  <c r="N144" i="15"/>
  <c r="O144" i="15" s="1"/>
  <c r="P144" i="15" s="1"/>
  <c r="N160" i="15"/>
  <c r="O160" i="15" s="1"/>
  <c r="P160" i="15" s="1"/>
  <c r="N132" i="15"/>
  <c r="O132" i="15" s="1"/>
  <c r="P132" i="15" s="1"/>
  <c r="N100" i="15"/>
  <c r="O100" i="15" s="1"/>
  <c r="P100" i="15" s="1"/>
  <c r="R241" i="15"/>
  <c r="R284" i="15"/>
  <c r="R272" i="15"/>
  <c r="R258" i="15"/>
  <c r="R249" i="15"/>
  <c r="R225" i="15"/>
  <c r="R148" i="15"/>
  <c r="R127" i="15"/>
  <c r="N192" i="15"/>
  <c r="O192" i="15" s="1"/>
  <c r="P192" i="15" s="1"/>
  <c r="N114" i="15"/>
  <c r="O114" i="15" s="1"/>
  <c r="P114" i="15" s="1"/>
  <c r="Q361" i="16"/>
  <c r="N288" i="16"/>
  <c r="O288" i="16" s="1"/>
  <c r="P288" i="16" s="1"/>
  <c r="N206" i="16"/>
  <c r="O206" i="16" s="1"/>
  <c r="P206" i="16" s="1"/>
  <c r="N190" i="16"/>
  <c r="O190" i="16" s="1"/>
  <c r="P190" i="16" s="1"/>
  <c r="G361" i="16"/>
  <c r="E361" i="16"/>
  <c r="R157" i="14"/>
  <c r="R224" i="15"/>
  <c r="R70" i="15"/>
  <c r="R28" i="15"/>
  <c r="R34" i="15"/>
  <c r="R304" i="14"/>
  <c r="R214" i="14"/>
  <c r="R206" i="14"/>
  <c r="R198" i="14"/>
  <c r="R56" i="14"/>
  <c r="R290" i="14"/>
  <c r="R248" i="15"/>
  <c r="R81" i="15"/>
  <c r="N217" i="15"/>
  <c r="O217" i="15" s="1"/>
  <c r="P217" i="15" s="1"/>
  <c r="N209" i="15"/>
  <c r="O209" i="15" s="1"/>
  <c r="P209" i="15" s="1"/>
  <c r="N169" i="15"/>
  <c r="O169" i="15" s="1"/>
  <c r="P169" i="15" s="1"/>
  <c r="N148" i="15"/>
  <c r="O148" i="15" s="1"/>
  <c r="P148" i="15" s="1"/>
  <c r="N137" i="15"/>
  <c r="O137" i="15" s="1"/>
  <c r="P137" i="15" s="1"/>
  <c r="N125" i="15"/>
  <c r="O125" i="15" s="1"/>
  <c r="P125" i="15" s="1"/>
  <c r="N103" i="15"/>
  <c r="O103" i="15" s="1"/>
  <c r="P103" i="15" s="1"/>
  <c r="N47" i="15"/>
  <c r="O47" i="15" s="1"/>
  <c r="P47" i="15" s="1"/>
  <c r="N44" i="15"/>
  <c r="O44" i="15" s="1"/>
  <c r="P44" i="15" s="1"/>
  <c r="N32" i="15"/>
  <c r="O32" i="15" s="1"/>
  <c r="P32" i="15" s="1"/>
  <c r="R281" i="15"/>
  <c r="R263" i="15"/>
  <c r="R315" i="15"/>
  <c r="R214" i="15"/>
  <c r="R153" i="15"/>
  <c r="R195" i="15"/>
  <c r="R79" i="15"/>
  <c r="R61" i="15"/>
  <c r="R40" i="15"/>
  <c r="R347" i="15"/>
  <c r="N232" i="14"/>
  <c r="O232" i="14" s="1"/>
  <c r="P232" i="14" s="1"/>
  <c r="N217" i="14"/>
  <c r="O217" i="14" s="1"/>
  <c r="P217" i="14" s="1"/>
  <c r="N113" i="14"/>
  <c r="O113" i="14" s="1"/>
  <c r="P113" i="14" s="1"/>
  <c r="R99" i="15"/>
  <c r="N110" i="15"/>
  <c r="O110" i="15" s="1"/>
  <c r="P110" i="15" s="1"/>
  <c r="N70" i="15"/>
  <c r="O70" i="15" s="1"/>
  <c r="P70" i="15" s="1"/>
  <c r="R294" i="15"/>
  <c r="R69" i="15"/>
  <c r="R10" i="15"/>
  <c r="J31" i="13"/>
  <c r="N356" i="15"/>
  <c r="O356" i="15" s="1"/>
  <c r="P356" i="15" s="1"/>
  <c r="R320" i="16"/>
  <c r="N22" i="15"/>
  <c r="O22" i="15" s="1"/>
  <c r="P22" i="15" s="1"/>
  <c r="N221" i="15"/>
  <c r="O221" i="15" s="1"/>
  <c r="P221" i="15" s="1"/>
  <c r="N197" i="15"/>
  <c r="O197" i="15" s="1"/>
  <c r="P197" i="15" s="1"/>
  <c r="N140" i="15"/>
  <c r="O140" i="15" s="1"/>
  <c r="P140" i="15" s="1"/>
  <c r="N30" i="15"/>
  <c r="O30" i="15" s="1"/>
  <c r="P30" i="15" s="1"/>
  <c r="N231" i="16"/>
  <c r="O231" i="16" s="1"/>
  <c r="P231" i="16" s="1"/>
  <c r="N287" i="15"/>
  <c r="O287" i="15" s="1"/>
  <c r="P287" i="15" s="1"/>
  <c r="N157" i="16"/>
  <c r="O157" i="16" s="1"/>
  <c r="P157" i="16" s="1"/>
  <c r="N61" i="16"/>
  <c r="O61" i="16" s="1"/>
  <c r="P61" i="16" s="1"/>
  <c r="N45" i="16"/>
  <c r="O45" i="16" s="1"/>
  <c r="P45" i="16" s="1"/>
  <c r="N37" i="16"/>
  <c r="O37" i="16" s="1"/>
  <c r="P37" i="16" s="1"/>
  <c r="N355" i="16"/>
  <c r="O355" i="16" s="1"/>
  <c r="P355" i="16" s="1"/>
  <c r="N304" i="16"/>
  <c r="O304" i="16" s="1"/>
  <c r="P304" i="16" s="1"/>
  <c r="N296" i="16"/>
  <c r="O296" i="16" s="1"/>
  <c r="P296" i="16" s="1"/>
  <c r="N280" i="16"/>
  <c r="O280" i="16" s="1"/>
  <c r="P280" i="16" s="1"/>
  <c r="N272" i="16"/>
  <c r="O272" i="16" s="1"/>
  <c r="P272" i="16" s="1"/>
  <c r="N264" i="16"/>
  <c r="O264" i="16" s="1"/>
  <c r="P264" i="16" s="1"/>
  <c r="N256" i="16"/>
  <c r="O256" i="16" s="1"/>
  <c r="P256" i="16" s="1"/>
  <c r="N248" i="16"/>
  <c r="O248" i="16" s="1"/>
  <c r="P248" i="16" s="1"/>
  <c r="N240" i="16"/>
  <c r="O240" i="16" s="1"/>
  <c r="P240" i="16" s="1"/>
  <c r="N230" i="16"/>
  <c r="O230" i="16" s="1"/>
  <c r="N222" i="16"/>
  <c r="O222" i="16" s="1"/>
  <c r="P222" i="16" s="1"/>
  <c r="N214" i="16"/>
  <c r="O214" i="16" s="1"/>
  <c r="P214" i="16" s="1"/>
  <c r="N198" i="16"/>
  <c r="O198" i="16" s="1"/>
  <c r="P198" i="16" s="1"/>
  <c r="N174" i="16"/>
  <c r="O174" i="16" s="1"/>
  <c r="P174" i="16" s="1"/>
  <c r="N166" i="16"/>
  <c r="O166" i="16" s="1"/>
  <c r="P166" i="16" s="1"/>
  <c r="N158" i="16"/>
  <c r="O158" i="16" s="1"/>
  <c r="P158" i="16" s="1"/>
  <c r="N150" i="16"/>
  <c r="O150" i="16" s="1"/>
  <c r="P150" i="16" s="1"/>
  <c r="N142" i="16"/>
  <c r="O142" i="16" s="1"/>
  <c r="P142" i="16" s="1"/>
  <c r="N134" i="16"/>
  <c r="O134" i="16" s="1"/>
  <c r="P134" i="16" s="1"/>
  <c r="N126" i="16"/>
  <c r="O126" i="16" s="1"/>
  <c r="P126" i="16" s="1"/>
  <c r="N118" i="16"/>
  <c r="O118" i="16" s="1"/>
  <c r="P118" i="16" s="1"/>
  <c r="N110" i="16"/>
  <c r="O110" i="16" s="1"/>
  <c r="P110" i="16" s="1"/>
  <c r="N102" i="16"/>
  <c r="O102" i="16" s="1"/>
  <c r="P102" i="16" s="1"/>
  <c r="N94" i="16"/>
  <c r="O94" i="16" s="1"/>
  <c r="P94" i="16" s="1"/>
  <c r="N86" i="16"/>
  <c r="O86" i="16" s="1"/>
  <c r="P86" i="16" s="1"/>
  <c r="N78" i="16"/>
  <c r="O78" i="16" s="1"/>
  <c r="P78" i="16" s="1"/>
  <c r="N70" i="16"/>
  <c r="O70" i="16" s="1"/>
  <c r="P70" i="16" s="1"/>
  <c r="N62" i="16"/>
  <c r="O62" i="16" s="1"/>
  <c r="P62" i="16" s="1"/>
  <c r="N54" i="16"/>
  <c r="O54" i="16" s="1"/>
  <c r="P54" i="16" s="1"/>
  <c r="N46" i="16"/>
  <c r="O46" i="16" s="1"/>
  <c r="P46" i="16" s="1"/>
  <c r="N38" i="16"/>
  <c r="O38" i="16" s="1"/>
  <c r="P38" i="16" s="1"/>
  <c r="K361" i="16"/>
  <c r="N22" i="16"/>
  <c r="O22" i="16" s="1"/>
  <c r="P22" i="16" s="1"/>
  <c r="N14" i="16"/>
  <c r="O14" i="16" s="1"/>
  <c r="P14" i="16" s="1"/>
  <c r="N6" i="16"/>
  <c r="O6" i="16" s="1"/>
  <c r="P6" i="16" s="1"/>
  <c r="H361" i="16"/>
  <c r="F361" i="16"/>
  <c r="D361" i="16"/>
  <c r="B361" i="16"/>
  <c r="C361" i="16"/>
  <c r="J361" i="16"/>
  <c r="E17" i="13"/>
  <c r="N338" i="14"/>
  <c r="O338" i="14" s="1"/>
  <c r="P338" i="14" s="1"/>
  <c r="N235" i="15"/>
  <c r="O235" i="15" s="1"/>
  <c r="P235" i="15" s="1"/>
  <c r="N212" i="15"/>
  <c r="O212" i="15" s="1"/>
  <c r="P212" i="15" s="1"/>
  <c r="N151" i="15"/>
  <c r="O151" i="15" s="1"/>
  <c r="P151" i="15" s="1"/>
  <c r="N38" i="15"/>
  <c r="O38" i="15" s="1"/>
  <c r="P38" i="15" s="1"/>
  <c r="N303" i="15"/>
  <c r="O303" i="15" s="1"/>
  <c r="P303" i="15" s="1"/>
  <c r="I49" i="13"/>
  <c r="N26" i="15"/>
  <c r="O26" i="15" s="1"/>
  <c r="P26" i="15" s="1"/>
  <c r="N223" i="16"/>
  <c r="O223" i="16" s="1"/>
  <c r="P223" i="16" s="1"/>
  <c r="N41" i="15"/>
  <c r="O41" i="15" s="1"/>
  <c r="P41" i="15" s="1"/>
  <c r="N29" i="15"/>
  <c r="O29" i="15" s="1"/>
  <c r="P29" i="15" s="1"/>
  <c r="R27" i="16"/>
  <c r="S361" i="16"/>
  <c r="N327" i="16"/>
  <c r="O327" i="16" s="1"/>
  <c r="P327" i="16" s="1"/>
  <c r="N263" i="16"/>
  <c r="O263" i="16" s="1"/>
  <c r="P263" i="16" s="1"/>
  <c r="N359" i="15"/>
  <c r="O359" i="15" s="1"/>
  <c r="P359" i="15" s="1"/>
  <c r="N183" i="16"/>
  <c r="O183" i="16" s="1"/>
  <c r="P183" i="16" s="1"/>
  <c r="N330" i="15"/>
  <c r="O330" i="15" s="1"/>
  <c r="P330" i="15" s="1"/>
  <c r="J55" i="13"/>
  <c r="N257" i="16"/>
  <c r="O257" i="16" s="1"/>
  <c r="P257" i="16" s="1"/>
  <c r="F48" i="13"/>
  <c r="D42" i="13"/>
  <c r="N103" i="16"/>
  <c r="O103" i="16" s="1"/>
  <c r="P103" i="16" s="1"/>
  <c r="N182" i="16"/>
  <c r="O182" i="16" s="1"/>
  <c r="P182" i="16" s="1"/>
  <c r="N340" i="16"/>
  <c r="O340" i="16" s="1"/>
  <c r="P340" i="16" s="1"/>
  <c r="N262" i="15"/>
  <c r="O262" i="15" s="1"/>
  <c r="P262" i="15" s="1"/>
  <c r="N39" i="15"/>
  <c r="O39" i="15" s="1"/>
  <c r="P39" i="15" s="1"/>
  <c r="F25" i="13"/>
  <c r="F33" i="13"/>
  <c r="N241" i="15"/>
  <c r="O241" i="15" s="1"/>
  <c r="P241" i="15" s="1"/>
  <c r="N298" i="15"/>
  <c r="O298" i="15" s="1"/>
  <c r="P298" i="15" s="1"/>
  <c r="N244" i="15"/>
  <c r="O244" i="15" s="1"/>
  <c r="P244" i="15" s="1"/>
  <c r="N141" i="15"/>
  <c r="O141" i="15" s="1"/>
  <c r="P141" i="15" s="1"/>
  <c r="N356" i="16"/>
  <c r="O356" i="16" s="1"/>
  <c r="P356" i="16" s="1"/>
  <c r="F49" i="13"/>
  <c r="N30" i="16"/>
  <c r="O30" i="16" s="1"/>
  <c r="P30" i="16" s="1"/>
  <c r="N122" i="15"/>
  <c r="O122" i="15" s="1"/>
  <c r="P122" i="15" s="1"/>
  <c r="N94" i="15"/>
  <c r="O94" i="15" s="1"/>
  <c r="P94" i="15" s="1"/>
  <c r="R129" i="15"/>
  <c r="N302" i="15"/>
  <c r="O302" i="15" s="1"/>
  <c r="P302" i="15" s="1"/>
  <c r="N90" i="15"/>
  <c r="O90" i="15" s="1"/>
  <c r="N51" i="15"/>
  <c r="O51" i="15" s="1"/>
  <c r="P51" i="15" s="1"/>
  <c r="C39" i="13"/>
  <c r="D49" i="13"/>
  <c r="N334" i="15"/>
  <c r="O334" i="15" s="1"/>
  <c r="P334" i="15" s="1"/>
  <c r="N310" i="15"/>
  <c r="O310" i="15" s="1"/>
  <c r="P310" i="15" s="1"/>
  <c r="I48" i="13"/>
  <c r="N39" i="16"/>
  <c r="O39" i="16" s="1"/>
  <c r="P39" i="16" s="1"/>
  <c r="N249" i="16"/>
  <c r="O249" i="16" s="1"/>
  <c r="P249" i="16" s="1"/>
  <c r="N273" i="15"/>
  <c r="O273" i="15" s="1"/>
  <c r="P273" i="15" s="1"/>
  <c r="H56" i="13"/>
  <c r="N290" i="15"/>
  <c r="O290" i="15" s="1"/>
  <c r="P290" i="15" s="1"/>
  <c r="T361" i="16"/>
  <c r="N252" i="14"/>
  <c r="O252" i="14" s="1"/>
  <c r="P252" i="14" s="1"/>
  <c r="N84" i="15"/>
  <c r="O84" i="15" s="1"/>
  <c r="P84" i="15" s="1"/>
  <c r="N247" i="14"/>
  <c r="O247" i="14" s="1"/>
  <c r="P247" i="14" s="1"/>
  <c r="R309" i="15"/>
  <c r="R200" i="15"/>
  <c r="R233" i="15"/>
  <c r="R128" i="15"/>
  <c r="R288" i="15"/>
  <c r="R15" i="15"/>
  <c r="R265" i="15"/>
  <c r="R242" i="15"/>
  <c r="R226" i="15"/>
  <c r="R74" i="15"/>
  <c r="N225" i="15"/>
  <c r="O225" i="15" s="1"/>
  <c r="P225" i="15" s="1"/>
  <c r="R87" i="15"/>
  <c r="R48" i="15"/>
  <c r="N248" i="14"/>
  <c r="O248" i="14" s="1"/>
  <c r="R165" i="15"/>
  <c r="R72" i="15"/>
  <c r="R46" i="15"/>
  <c r="N319" i="15"/>
  <c r="O319" i="15" s="1"/>
  <c r="P319" i="15" s="1"/>
  <c r="N295" i="15"/>
  <c r="O295" i="15" s="1"/>
  <c r="P295" i="15" s="1"/>
  <c r="N249" i="15"/>
  <c r="O249" i="15" s="1"/>
  <c r="P249" i="15" s="1"/>
  <c r="N308" i="15"/>
  <c r="O308" i="15" s="1"/>
  <c r="P308" i="15" s="1"/>
  <c r="R187" i="15"/>
  <c r="R157" i="15"/>
  <c r="R319" i="15"/>
  <c r="R218" i="15"/>
  <c r="R156" i="15"/>
  <c r="R16" i="15"/>
  <c r="R250" i="15"/>
  <c r="R209" i="15"/>
  <c r="R32" i="15"/>
  <c r="N203" i="15"/>
  <c r="O203" i="15" s="1"/>
  <c r="P203" i="15" s="1"/>
  <c r="N174" i="15"/>
  <c r="O174" i="15" s="1"/>
  <c r="P174" i="15" s="1"/>
  <c r="R257" i="14"/>
  <c r="R151" i="14"/>
  <c r="R143" i="14"/>
  <c r="R135" i="14"/>
  <c r="R127" i="14"/>
  <c r="R51" i="14"/>
  <c r="R43" i="14"/>
  <c r="R35" i="14"/>
  <c r="R27" i="14"/>
  <c r="R333" i="14"/>
  <c r="R119" i="14"/>
  <c r="R72" i="14"/>
  <c r="R102" i="14"/>
  <c r="R22" i="14"/>
  <c r="R15" i="14"/>
  <c r="R353" i="14"/>
  <c r="R347" i="14"/>
  <c r="R292" i="14"/>
  <c r="R175" i="14"/>
  <c r="R343" i="14"/>
  <c r="R12" i="14"/>
  <c r="R9" i="14"/>
  <c r="I45" i="13"/>
  <c r="R278" i="15"/>
  <c r="R201" i="15"/>
  <c r="R163" i="15"/>
  <c r="R22" i="15"/>
  <c r="R14" i="15"/>
  <c r="R126" i="15"/>
  <c r="N337" i="15"/>
  <c r="O337" i="15" s="1"/>
  <c r="P337" i="15" s="1"/>
  <c r="R137" i="15"/>
  <c r="R31" i="15"/>
  <c r="N210" i="15"/>
  <c r="O210" i="15" s="1"/>
  <c r="P210" i="15" s="1"/>
  <c r="N149" i="15"/>
  <c r="O149" i="15" s="1"/>
  <c r="P149" i="15" s="1"/>
  <c r="N138" i="15"/>
  <c r="O138" i="15" s="1"/>
  <c r="P138" i="15" s="1"/>
  <c r="N88" i="15"/>
  <c r="O88" i="15" s="1"/>
  <c r="P88" i="15" s="1"/>
  <c r="N102" i="15"/>
  <c r="O102" i="15" s="1"/>
  <c r="P102" i="15" s="1"/>
  <c r="R2" i="15"/>
  <c r="R311" i="15"/>
  <c r="R229" i="15"/>
  <c r="R184" i="15"/>
  <c r="R146" i="15"/>
  <c r="R96" i="15"/>
  <c r="R53" i="15"/>
  <c r="R56" i="15"/>
  <c r="R357" i="16"/>
  <c r="R349" i="16"/>
  <c r="R306" i="16"/>
  <c r="R298" i="16"/>
  <c r="R290" i="16"/>
  <c r="R282" i="16"/>
  <c r="R274" i="16"/>
  <c r="R266" i="16"/>
  <c r="R258" i="16"/>
  <c r="R250" i="16"/>
  <c r="R353" i="15"/>
  <c r="R254" i="15"/>
  <c r="R285" i="15"/>
  <c r="R305" i="15"/>
  <c r="R232" i="15"/>
  <c r="R12" i="15"/>
  <c r="N199" i="15"/>
  <c r="O199" i="15" s="1"/>
  <c r="P199" i="15" s="1"/>
  <c r="R292" i="15"/>
  <c r="R274" i="15"/>
  <c r="R256" i="15"/>
  <c r="R222" i="15"/>
  <c r="R134" i="15"/>
  <c r="R35" i="15"/>
  <c r="R11" i="15"/>
  <c r="N250" i="14"/>
  <c r="O250" i="14" s="1"/>
  <c r="P250" i="14" s="1"/>
  <c r="R320" i="15"/>
  <c r="R237" i="15"/>
  <c r="R178" i="15"/>
  <c r="R210" i="15"/>
  <c r="R169" i="15"/>
  <c r="R6" i="15"/>
  <c r="Q15" i="13"/>
  <c r="F43" i="13"/>
  <c r="D51" i="13"/>
  <c r="D46" i="13"/>
  <c r="I53" i="13"/>
  <c r="F52" i="13"/>
  <c r="D30" i="13"/>
  <c r="R8" i="14"/>
  <c r="D36" i="13"/>
  <c r="D34" i="13"/>
  <c r="F28" i="13"/>
  <c r="D19" i="13"/>
  <c r="D20" i="13"/>
  <c r="F36" i="13"/>
  <c r="D25" i="13"/>
  <c r="D18" i="13"/>
  <c r="F35" i="13"/>
  <c r="F26" i="13"/>
  <c r="F8" i="13"/>
  <c r="F30" i="13"/>
  <c r="D24" i="13"/>
  <c r="D29" i="13"/>
  <c r="F9" i="13"/>
  <c r="D31" i="13"/>
  <c r="D21" i="13"/>
  <c r="D5" i="13"/>
  <c r="F16" i="13"/>
  <c r="D26" i="13"/>
  <c r="D8" i="13"/>
  <c r="D6" i="13"/>
  <c r="F10" i="13"/>
  <c r="D23" i="13"/>
  <c r="F6" i="13"/>
  <c r="D35" i="13"/>
  <c r="I5" i="13"/>
  <c r="F18" i="13"/>
  <c r="D14" i="13"/>
  <c r="I6" i="13"/>
  <c r="F11" i="13"/>
  <c r="F34" i="13"/>
  <c r="F23" i="13"/>
  <c r="D10" i="13"/>
  <c r="D9" i="13"/>
  <c r="D13" i="13"/>
  <c r="F15" i="13"/>
  <c r="F14" i="13"/>
  <c r="F19" i="13"/>
  <c r="D11" i="13"/>
  <c r="D38" i="13"/>
  <c r="F54" i="13"/>
  <c r="F45" i="13"/>
  <c r="I52" i="13"/>
  <c r="D52" i="13"/>
  <c r="I43" i="13"/>
  <c r="F42" i="13"/>
  <c r="I46" i="13"/>
  <c r="D43" i="13"/>
  <c r="K44" i="13"/>
  <c r="F29" i="13"/>
  <c r="D16" i="13"/>
  <c r="D33" i="13"/>
  <c r="I42" i="13"/>
  <c r="F46" i="13"/>
  <c r="F5" i="13"/>
  <c r="E22" i="13"/>
  <c r="F20" i="13"/>
  <c r="R174" i="15"/>
  <c r="D53" i="13"/>
  <c r="F53" i="13"/>
  <c r="I51" i="13"/>
  <c r="D45" i="13"/>
  <c r="F31" i="13"/>
  <c r="D15" i="13"/>
  <c r="D28" i="13"/>
  <c r="I54" i="13"/>
  <c r="D54" i="13"/>
  <c r="F13" i="13"/>
  <c r="F24" i="13"/>
  <c r="N14" i="15"/>
  <c r="O14" i="15" s="1"/>
  <c r="N331" i="14"/>
  <c r="O331" i="14" s="1"/>
  <c r="P331" i="14" s="1"/>
  <c r="N193" i="15"/>
  <c r="O193" i="15" s="1"/>
  <c r="P193" i="15" s="1"/>
  <c r="N52" i="15"/>
  <c r="O52" i="15" s="1"/>
  <c r="P52" i="15" s="1"/>
  <c r="N99" i="16"/>
  <c r="O99" i="16" s="1"/>
  <c r="P99" i="16" s="1"/>
  <c r="J21" i="13"/>
  <c r="N133" i="15"/>
  <c r="O133" i="15" s="1"/>
  <c r="P133" i="15" s="1"/>
  <c r="N283" i="15"/>
  <c r="O283" i="15" s="1"/>
  <c r="P283" i="15" s="1"/>
  <c r="N231" i="15"/>
  <c r="O231" i="15" s="1"/>
  <c r="P231" i="15" s="1"/>
  <c r="N99" i="15"/>
  <c r="O99" i="15" s="1"/>
  <c r="P99" i="15" s="1"/>
  <c r="N28" i="15"/>
  <c r="O28" i="15" s="1"/>
  <c r="P28" i="15" s="1"/>
  <c r="N21" i="15"/>
  <c r="O21" i="15" s="1"/>
  <c r="P21" i="15" s="1"/>
  <c r="N46" i="15"/>
  <c r="O46" i="15" s="1"/>
  <c r="P46" i="15" s="1"/>
  <c r="N6" i="15"/>
  <c r="L31" i="13" l="1"/>
  <c r="J25" i="19"/>
  <c r="L25" i="19" s="1"/>
  <c r="J24" i="19"/>
  <c r="L28" i="13"/>
  <c r="P262" i="14"/>
  <c r="J23" i="19"/>
  <c r="L23" i="19" s="1"/>
  <c r="P158" i="14"/>
  <c r="J21" i="19"/>
  <c r="L21" i="19" s="1"/>
  <c r="L30" i="13"/>
  <c r="N30" i="13" s="1"/>
  <c r="I56" i="13"/>
  <c r="G17" i="13"/>
  <c r="H5" i="17"/>
  <c r="G5" i="17"/>
  <c r="D5" i="17"/>
  <c r="F5" i="17"/>
  <c r="E5" i="17"/>
  <c r="G34" i="13"/>
  <c r="K14" i="13"/>
  <c r="P177" i="14"/>
  <c r="N37" i="13"/>
  <c r="E37" i="13"/>
  <c r="K37" i="13"/>
  <c r="M37" i="13" s="1"/>
  <c r="G37" i="13"/>
  <c r="G19" i="13"/>
  <c r="O2" i="15"/>
  <c r="N361" i="15"/>
  <c r="R361" i="15"/>
  <c r="R361" i="14"/>
  <c r="O2" i="14"/>
  <c r="N361" i="14"/>
  <c r="L46" i="13"/>
  <c r="N46" i="13" s="1"/>
  <c r="L54" i="13"/>
  <c r="N54" i="13" s="1"/>
  <c r="L48" i="13"/>
  <c r="N48" i="13" s="1"/>
  <c r="L51" i="13"/>
  <c r="N51" i="13" s="1"/>
  <c r="L43" i="13"/>
  <c r="N43" i="13" s="1"/>
  <c r="L45" i="13"/>
  <c r="N45" i="13" s="1"/>
  <c r="G31" i="13"/>
  <c r="N47" i="13"/>
  <c r="L53" i="13"/>
  <c r="N53" i="13" s="1"/>
  <c r="L49" i="13"/>
  <c r="N49" i="13" s="1"/>
  <c r="L52" i="13"/>
  <c r="N52" i="13" s="1"/>
  <c r="N50" i="13"/>
  <c r="N55" i="13"/>
  <c r="L23" i="13"/>
  <c r="L19" i="13"/>
  <c r="L25" i="13"/>
  <c r="N25" i="13" s="1"/>
  <c r="N22" i="13"/>
  <c r="L26" i="13"/>
  <c r="N26" i="13" s="1"/>
  <c r="N27" i="13"/>
  <c r="L24" i="13"/>
  <c r="N24" i="13" s="1"/>
  <c r="L20" i="13"/>
  <c r="L10" i="13"/>
  <c r="N10" i="13" s="1"/>
  <c r="L21" i="13"/>
  <c r="N21" i="13" s="1"/>
  <c r="L15" i="13"/>
  <c r="N15" i="13" s="1"/>
  <c r="L5" i="13"/>
  <c r="N5" i="13" s="1"/>
  <c r="N7" i="13"/>
  <c r="L6" i="13"/>
  <c r="N6" i="13" s="1"/>
  <c r="L9" i="13"/>
  <c r="N9" i="13" s="1"/>
  <c r="N12" i="13"/>
  <c r="L8" i="13"/>
  <c r="N8" i="13" s="1"/>
  <c r="L16" i="13"/>
  <c r="N16" i="13" s="1"/>
  <c r="L14" i="13"/>
  <c r="N14" i="13" s="1"/>
  <c r="N17" i="13"/>
  <c r="L13" i="13"/>
  <c r="N13" i="13" s="1"/>
  <c r="L18" i="13"/>
  <c r="N18" i="13" s="1"/>
  <c r="L11" i="13"/>
  <c r="N11" i="13" s="1"/>
  <c r="P345" i="14"/>
  <c r="P74" i="14"/>
  <c r="P347" i="14"/>
  <c r="P342" i="14"/>
  <c r="P107" i="14"/>
  <c r="P90" i="14"/>
  <c r="P29" i="14"/>
  <c r="P144" i="14"/>
  <c r="P101" i="14"/>
  <c r="P120" i="14"/>
  <c r="P239" i="14"/>
  <c r="P163" i="14"/>
  <c r="P227" i="14"/>
  <c r="P148" i="14"/>
  <c r="P36" i="14"/>
  <c r="P183" i="14"/>
  <c r="I43" i="19"/>
  <c r="J45" i="19"/>
  <c r="L45" i="19" s="1"/>
  <c r="I16" i="19"/>
  <c r="I21" i="19"/>
  <c r="I36" i="19"/>
  <c r="I41" i="19"/>
  <c r="J40" i="19"/>
  <c r="L40" i="19" s="1"/>
  <c r="J39" i="19"/>
  <c r="L39" i="19" s="1"/>
  <c r="I44" i="19"/>
  <c r="I38" i="19"/>
  <c r="I37" i="19"/>
  <c r="J37" i="19"/>
  <c r="L37" i="19" s="1"/>
  <c r="J41" i="19"/>
  <c r="L41" i="19" s="1"/>
  <c r="I40" i="19"/>
  <c r="J36" i="19"/>
  <c r="L36" i="19" s="1"/>
  <c r="J42" i="19"/>
  <c r="L42" i="19" s="1"/>
  <c r="J44" i="19"/>
  <c r="L44" i="19" s="1"/>
  <c r="I42" i="19"/>
  <c r="I45" i="19"/>
  <c r="I39" i="19"/>
  <c r="J38" i="19"/>
  <c r="L38" i="19" s="1"/>
  <c r="J43" i="19"/>
  <c r="L43" i="19" s="1"/>
  <c r="E12" i="19"/>
  <c r="I10" i="19"/>
  <c r="I8" i="19"/>
  <c r="I11" i="19"/>
  <c r="E14" i="19"/>
  <c r="I23" i="19"/>
  <c r="I13" i="19"/>
  <c r="I27" i="19"/>
  <c r="K27" i="19" s="1"/>
  <c r="I24" i="19"/>
  <c r="E15" i="19"/>
  <c r="I6" i="19"/>
  <c r="E11" i="19"/>
  <c r="J32" i="19"/>
  <c r="L32" i="19" s="1"/>
  <c r="J33" i="19"/>
  <c r="L33" i="19" s="1"/>
  <c r="J19" i="19"/>
  <c r="L19" i="19" s="1"/>
  <c r="J5" i="19"/>
  <c r="L5" i="19" s="1"/>
  <c r="J11" i="19"/>
  <c r="L11" i="19" s="1"/>
  <c r="J18" i="19"/>
  <c r="L18" i="19" s="1"/>
  <c r="L24" i="19"/>
  <c r="G46" i="19"/>
  <c r="I31" i="19"/>
  <c r="E6" i="19"/>
  <c r="I9" i="19"/>
  <c r="I18" i="19"/>
  <c r="I29" i="19"/>
  <c r="K29" i="19" s="1"/>
  <c r="E10" i="19"/>
  <c r="E7" i="19"/>
  <c r="E9" i="19"/>
  <c r="I12" i="19"/>
  <c r="I26" i="19"/>
  <c r="K26" i="19" s="1"/>
  <c r="J34" i="19"/>
  <c r="L34" i="19" s="1"/>
  <c r="J35" i="19"/>
  <c r="L35" i="19" s="1"/>
  <c r="J8" i="19"/>
  <c r="L8" i="19" s="1"/>
  <c r="J10" i="19"/>
  <c r="L10" i="19" s="1"/>
  <c r="J7" i="19"/>
  <c r="L7" i="19" s="1"/>
  <c r="J13" i="19"/>
  <c r="L13" i="19" s="1"/>
  <c r="J15" i="19"/>
  <c r="L15" i="19" s="1"/>
  <c r="J12" i="19"/>
  <c r="L12" i="19" s="1"/>
  <c r="L26" i="19"/>
  <c r="I32" i="19"/>
  <c r="I33" i="19"/>
  <c r="I5" i="19"/>
  <c r="E13" i="19"/>
  <c r="I15" i="19"/>
  <c r="I20" i="19"/>
  <c r="I17" i="19"/>
  <c r="I28" i="19"/>
  <c r="K28" i="19" s="1"/>
  <c r="L27" i="19"/>
  <c r="J20" i="19"/>
  <c r="L20" i="19" s="1"/>
  <c r="L28" i="19"/>
  <c r="I34" i="19"/>
  <c r="I35" i="19"/>
  <c r="I7" i="19"/>
  <c r="I25" i="19"/>
  <c r="K25" i="19" s="1"/>
  <c r="E8" i="19"/>
  <c r="E5" i="19"/>
  <c r="I22" i="19"/>
  <c r="K22" i="19" s="1"/>
  <c r="I14" i="19"/>
  <c r="I19" i="19"/>
  <c r="I30" i="19"/>
  <c r="K30" i="19" s="1"/>
  <c r="J31" i="19"/>
  <c r="L31" i="19" s="1"/>
  <c r="J14" i="19"/>
  <c r="L14" i="19" s="1"/>
  <c r="J9" i="19"/>
  <c r="L9" i="19" s="1"/>
  <c r="J16" i="19"/>
  <c r="L16" i="19" s="1"/>
  <c r="L29" i="19"/>
  <c r="L22" i="19"/>
  <c r="J17" i="19"/>
  <c r="L17" i="19" s="1"/>
  <c r="L30" i="19"/>
  <c r="G32" i="13"/>
  <c r="K11" i="13"/>
  <c r="K29" i="13"/>
  <c r="M29" i="13" s="1"/>
  <c r="M3" i="17"/>
  <c r="L3" i="17"/>
  <c r="G18" i="13"/>
  <c r="I4" i="17"/>
  <c r="K23" i="13"/>
  <c r="A5" i="17"/>
  <c r="C5" i="17" s="1"/>
  <c r="B6" i="17"/>
  <c r="K42" i="13"/>
  <c r="M42" i="13" s="1"/>
  <c r="G42" i="13"/>
  <c r="G33" i="13"/>
  <c r="G21" i="13"/>
  <c r="K28" i="13"/>
  <c r="N29" i="13"/>
  <c r="G29" i="13"/>
  <c r="G24" i="13"/>
  <c r="J39" i="13"/>
  <c r="B60" i="13" s="1"/>
  <c r="P117" i="14"/>
  <c r="P152" i="14"/>
  <c r="P172" i="14"/>
  <c r="P358" i="14"/>
  <c r="G20" i="13"/>
  <c r="N32" i="13"/>
  <c r="P279" i="14"/>
  <c r="P343" i="14"/>
  <c r="G25" i="13"/>
  <c r="G5" i="13"/>
  <c r="K17" i="13"/>
  <c r="J56" i="13"/>
  <c r="G49" i="13"/>
  <c r="N42" i="13"/>
  <c r="R361" i="16"/>
  <c r="K9" i="13"/>
  <c r="P189" i="14"/>
  <c r="P90" i="15"/>
  <c r="K48" i="13"/>
  <c r="G38" i="13"/>
  <c r="K49" i="13"/>
  <c r="N361" i="16"/>
  <c r="G48" i="13"/>
  <c r="G13" i="13"/>
  <c r="G14" i="13"/>
  <c r="F56" i="13"/>
  <c r="P248" i="14"/>
  <c r="P230" i="16"/>
  <c r="O361" i="16"/>
  <c r="N36" i="13"/>
  <c r="K13" i="13"/>
  <c r="G6" i="13"/>
  <c r="G36" i="13"/>
  <c r="K26" i="13"/>
  <c r="E50" i="13"/>
  <c r="K50" i="13"/>
  <c r="G50" i="13"/>
  <c r="K16" i="13"/>
  <c r="K24" i="13"/>
  <c r="P31" i="16"/>
  <c r="K31" i="13"/>
  <c r="M31" i="13" s="1"/>
  <c r="K34" i="13"/>
  <c r="M34" i="13" s="1"/>
  <c r="P14" i="15"/>
  <c r="K33" i="13"/>
  <c r="M33" i="13" s="1"/>
  <c r="G11" i="13"/>
  <c r="G9" i="13"/>
  <c r="G26" i="13"/>
  <c r="N28" i="13"/>
  <c r="N31" i="13"/>
  <c r="K38" i="13"/>
  <c r="M38" i="13" s="1"/>
  <c r="K27" i="13"/>
  <c r="K8" i="13"/>
  <c r="G35" i="13"/>
  <c r="K20" i="13"/>
  <c r="K51" i="13"/>
  <c r="G51" i="13"/>
  <c r="G54" i="13"/>
  <c r="K54" i="13"/>
  <c r="N33" i="13"/>
  <c r="E47" i="13"/>
  <c r="G47" i="13"/>
  <c r="K47" i="13"/>
  <c r="G16" i="13"/>
  <c r="K19" i="13"/>
  <c r="K30" i="13"/>
  <c r="G22" i="13"/>
  <c r="G55" i="13"/>
  <c r="K55" i="13"/>
  <c r="E55" i="13"/>
  <c r="O6" i="15"/>
  <c r="K45" i="13"/>
  <c r="G45" i="13"/>
  <c r="E44" i="13"/>
  <c r="G44" i="13"/>
  <c r="D56" i="13"/>
  <c r="E12" i="13"/>
  <c r="K12" i="13"/>
  <c r="G52" i="13"/>
  <c r="K52" i="13"/>
  <c r="K10" i="13"/>
  <c r="G10" i="13"/>
  <c r="K5" i="13"/>
  <c r="G12" i="13"/>
  <c r="G43" i="13"/>
  <c r="K43" i="13"/>
  <c r="G7" i="13"/>
  <c r="F39" i="13"/>
  <c r="G23" i="13"/>
  <c r="G27" i="13"/>
  <c r="K21" i="13"/>
  <c r="G30" i="13"/>
  <c r="K18" i="13"/>
  <c r="G28" i="13"/>
  <c r="K25" i="13"/>
  <c r="K46" i="13"/>
  <c r="G46" i="13"/>
  <c r="D39" i="13"/>
  <c r="E39" i="13" s="1"/>
  <c r="K7" i="13"/>
  <c r="E7" i="13"/>
  <c r="N35" i="13"/>
  <c r="K22" i="13"/>
  <c r="K15" i="13"/>
  <c r="G53" i="13"/>
  <c r="K53" i="13"/>
  <c r="N34" i="13"/>
  <c r="G15" i="13"/>
  <c r="K35" i="13"/>
  <c r="M35" i="13" s="1"/>
  <c r="K6" i="13"/>
  <c r="G8" i="13"/>
  <c r="K36" i="13"/>
  <c r="M36" i="13" s="1"/>
  <c r="K32" i="13"/>
  <c r="M32" i="13" s="1"/>
  <c r="N38" i="13"/>
  <c r="K24" i="19" l="1"/>
  <c r="M28" i="13"/>
  <c r="K23" i="19"/>
  <c r="K21" i="19"/>
  <c r="M30" i="13"/>
  <c r="D6" i="17"/>
  <c r="G6" i="17"/>
  <c r="H6" i="17"/>
  <c r="F6" i="17"/>
  <c r="E6" i="17"/>
  <c r="J6" i="19"/>
  <c r="L6" i="19" s="1"/>
  <c r="K39" i="13"/>
  <c r="B62" i="13" s="1"/>
  <c r="P2" i="15"/>
  <c r="O361" i="15"/>
  <c r="P2" i="14"/>
  <c r="P361" i="14" s="1"/>
  <c r="O361" i="14"/>
  <c r="E46" i="19"/>
  <c r="K34" i="19"/>
  <c r="K45" i="19"/>
  <c r="K42" i="19"/>
  <c r="K40" i="19"/>
  <c r="K39" i="19"/>
  <c r="K38" i="19"/>
  <c r="K41" i="19"/>
  <c r="K43" i="19"/>
  <c r="K37" i="19"/>
  <c r="K44" i="19"/>
  <c r="K36" i="19"/>
  <c r="K33" i="19"/>
  <c r="K19" i="19"/>
  <c r="K7" i="19"/>
  <c r="K35" i="19"/>
  <c r="K5" i="19"/>
  <c r="K8" i="19"/>
  <c r="K32" i="19"/>
  <c r="K15" i="19"/>
  <c r="K18" i="19"/>
  <c r="K14" i="19"/>
  <c r="J46" i="19"/>
  <c r="L46" i="19" s="1"/>
  <c r="K17" i="19"/>
  <c r="K12" i="19"/>
  <c r="K9" i="19"/>
  <c r="K16" i="19"/>
  <c r="K11" i="19"/>
  <c r="K10" i="19"/>
  <c r="I46" i="19"/>
  <c r="K20" i="19"/>
  <c r="K13" i="19"/>
  <c r="K31" i="19"/>
  <c r="N20" i="13"/>
  <c r="N19" i="13"/>
  <c r="M4" i="17"/>
  <c r="L4" i="17"/>
  <c r="N3" i="17"/>
  <c r="P3" i="17"/>
  <c r="M23" i="13"/>
  <c r="M24" i="13"/>
  <c r="I5" i="17"/>
  <c r="M26" i="13"/>
  <c r="M25" i="13"/>
  <c r="M52" i="13"/>
  <c r="N23" i="13"/>
  <c r="M27" i="13"/>
  <c r="M9" i="13"/>
  <c r="B7" i="17"/>
  <c r="A6" i="17"/>
  <c r="C6" i="17" s="1"/>
  <c r="M10" i="13"/>
  <c r="P361" i="16"/>
  <c r="M53" i="13"/>
  <c r="M5" i="13"/>
  <c r="M8" i="13"/>
  <c r="M15" i="13"/>
  <c r="M19" i="13"/>
  <c r="M50" i="13"/>
  <c r="M6" i="13"/>
  <c r="M18" i="13"/>
  <c r="M12" i="13"/>
  <c r="M16" i="13"/>
  <c r="M11" i="13"/>
  <c r="M13" i="13"/>
  <c r="M14" i="13"/>
  <c r="M45" i="13"/>
  <c r="M48" i="13"/>
  <c r="M49" i="13"/>
  <c r="M17" i="13"/>
  <c r="M20" i="13"/>
  <c r="M51" i="13"/>
  <c r="G39" i="13"/>
  <c r="M46" i="13"/>
  <c r="M22" i="13"/>
  <c r="E56" i="13"/>
  <c r="G56" i="13"/>
  <c r="M55" i="13"/>
  <c r="M47" i="13"/>
  <c r="L39" i="13"/>
  <c r="N39" i="13" s="1"/>
  <c r="M7" i="13"/>
  <c r="M43" i="13"/>
  <c r="M21" i="13"/>
  <c r="M44" i="13"/>
  <c r="K56" i="13"/>
  <c r="P6" i="15"/>
  <c r="L56" i="13"/>
  <c r="N56" i="13" s="1"/>
  <c r="N44" i="13"/>
  <c r="M54" i="13"/>
  <c r="H7" i="17" l="1"/>
  <c r="E7" i="17"/>
  <c r="D7" i="17"/>
  <c r="G7" i="17"/>
  <c r="F7" i="17"/>
  <c r="K6" i="19"/>
  <c r="P361" i="15"/>
  <c r="K46" i="19"/>
  <c r="Q3" i="17"/>
  <c r="M5" i="17"/>
  <c r="L5" i="17"/>
  <c r="N4" i="17"/>
  <c r="P4" i="17"/>
  <c r="Q4" i="17" s="1"/>
  <c r="I6" i="17"/>
  <c r="B8" i="17"/>
  <c r="A7" i="17"/>
  <c r="C7" i="17" s="1"/>
  <c r="M56" i="13"/>
  <c r="C62" i="13"/>
  <c r="M39" i="13"/>
  <c r="R4" i="17" l="1"/>
  <c r="F8" i="17"/>
  <c r="E8" i="17"/>
  <c r="D8" i="17"/>
  <c r="H8" i="17"/>
  <c r="G8" i="17"/>
  <c r="R3" i="17"/>
  <c r="M6" i="17"/>
  <c r="L6" i="17"/>
  <c r="P6" i="17" s="1"/>
  <c r="N5" i="17"/>
  <c r="P5" i="17"/>
  <c r="Q5" i="17" s="1"/>
  <c r="I7" i="17"/>
  <c r="B9" i="17"/>
  <c r="A8" i="17"/>
  <c r="C8" i="17" s="1"/>
  <c r="R5" i="17" l="1"/>
  <c r="F9" i="17"/>
  <c r="D9" i="17"/>
  <c r="E9" i="17"/>
  <c r="G9" i="17"/>
  <c r="H9" i="17"/>
  <c r="M7" i="17"/>
  <c r="L7" i="17"/>
  <c r="N6" i="17"/>
  <c r="Q6" i="17"/>
  <c r="I8" i="17"/>
  <c r="B10" i="17"/>
  <c r="B11" i="17" s="1"/>
  <c r="A9" i="17"/>
  <c r="C9" i="17" s="1"/>
  <c r="A11" i="17" l="1"/>
  <c r="C11" i="17" s="1"/>
  <c r="F11" i="17"/>
  <c r="G11" i="17"/>
  <c r="D11" i="17"/>
  <c r="E11" i="17"/>
  <c r="H11" i="17"/>
  <c r="R6" i="17"/>
  <c r="F10" i="17"/>
  <c r="F13" i="17" s="1"/>
  <c r="D10" i="17"/>
  <c r="D13" i="17" s="1"/>
  <c r="E10" i="17"/>
  <c r="E13" i="17" s="1"/>
  <c r="G10" i="17"/>
  <c r="H10" i="17"/>
  <c r="H13" i="17" s="1"/>
  <c r="L8" i="17"/>
  <c r="M8" i="17"/>
  <c r="P7" i="17"/>
  <c r="Q7" i="17" s="1"/>
  <c r="N7" i="17"/>
  <c r="A10" i="17"/>
  <c r="C10" i="17" s="1"/>
  <c r="I9" i="17"/>
  <c r="I11" i="17" l="1"/>
  <c r="R7" i="17"/>
  <c r="N8" i="17"/>
  <c r="P8" i="17"/>
  <c r="Q8" i="17" s="1"/>
  <c r="M9" i="17"/>
  <c r="L9" i="17"/>
  <c r="I10" i="17"/>
  <c r="I13" i="17" s="1"/>
  <c r="G13" i="17"/>
  <c r="M11" i="17" l="1"/>
  <c r="L11" i="17"/>
  <c r="R8" i="17"/>
  <c r="M10" i="17"/>
  <c r="M13" i="17" s="1"/>
  <c r="L10" i="17"/>
  <c r="N9" i="17"/>
  <c r="P9" i="17"/>
  <c r="Q9" i="17" s="1"/>
  <c r="P11" i="17" l="1"/>
  <c r="Q11" i="17" s="1"/>
  <c r="R11" i="17" s="1"/>
  <c r="N11" i="17"/>
  <c r="R9" i="17"/>
  <c r="N10" i="17"/>
  <c r="N13" i="17" s="1"/>
  <c r="P10" i="17"/>
  <c r="L13" i="17"/>
  <c r="Q10" i="17" l="1"/>
  <c r="P13" i="17"/>
  <c r="R10" i="17" l="1"/>
  <c r="R13" i="17" s="1"/>
  <c r="Q13"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Drake Swezey</author>
    <author>Gescina Richardsen</author>
  </authors>
  <commentList>
    <comment ref="E7" authorId="0" shapeId="0" xr:uid="{64743193-CA2A-4D23-989E-4BE1947A96A4}">
      <text>
        <r>
          <rPr>
            <b/>
            <sz val="9"/>
            <color indexed="81"/>
            <rFont val="Tahoma"/>
            <family val="2"/>
          </rPr>
          <t>Drake Swezey:</t>
        </r>
        <r>
          <rPr>
            <sz val="9"/>
            <color indexed="81"/>
            <rFont val="Tahoma"/>
            <family val="2"/>
          </rPr>
          <t xml:space="preserve">
Treat as fulfilled</t>
        </r>
      </text>
    </comment>
    <comment ref="E12" authorId="0" shapeId="0" xr:uid="{C958AF88-8813-4994-B52F-469056664C3D}">
      <text>
        <r>
          <rPr>
            <b/>
            <sz val="9"/>
            <color indexed="81"/>
            <rFont val="Tahoma"/>
            <family val="2"/>
          </rPr>
          <t>Drake Swezey:</t>
        </r>
        <r>
          <rPr>
            <sz val="9"/>
            <color indexed="81"/>
            <rFont val="Tahoma"/>
            <family val="2"/>
          </rPr>
          <t xml:space="preserve">
Treat as fulfilled</t>
        </r>
      </text>
    </comment>
    <comment ref="D17" authorId="1" shapeId="0" xr:uid="{DEE70A09-8EE7-4F9C-95FD-541DD43E86BB}">
      <text>
        <r>
          <rPr>
            <sz val="11"/>
            <color theme="1"/>
            <rFont val="Calibri"/>
            <family val="2"/>
            <scheme val="minor"/>
          </rPr>
          <t xml:space="preserve">Gescina Richardsen:
altered equation for investor reportng.
</t>
        </r>
      </text>
    </comment>
    <comment ref="E17" authorId="0" shapeId="0" xr:uid="{2AA0D786-D5BD-4CAA-BA9F-DA6CC5CDA1F7}">
      <text>
        <r>
          <rPr>
            <b/>
            <sz val="9"/>
            <color indexed="81"/>
            <rFont val="Tahoma"/>
            <family val="2"/>
          </rPr>
          <t>Drake Swezey:</t>
        </r>
        <r>
          <rPr>
            <sz val="9"/>
            <color indexed="81"/>
            <rFont val="Tahoma"/>
            <family val="2"/>
          </rPr>
          <t xml:space="preserve">
Treat as fulfilled</t>
        </r>
      </text>
    </comment>
    <comment ref="B37" authorId="1" shapeId="0" xr:uid="{1E7F45BE-9948-4453-90ED-00D728A44857}">
      <text>
        <r>
          <rPr>
            <sz val="11"/>
            <color theme="1"/>
            <rFont val="Calibri"/>
            <family val="2"/>
            <scheme val="minor"/>
          </rPr>
          <t xml:space="preserve">Gescina Richardsen:
As of 02/20/2025
Final close in DealMaker needs to be added still
</t>
        </r>
      </text>
    </comment>
    <comment ref="E56" authorId="0" shapeId="0" xr:uid="{C6E817D8-B59C-409B-9501-1BE50915898F}">
      <text>
        <r>
          <rPr>
            <b/>
            <sz val="9"/>
            <color indexed="81"/>
            <rFont val="Tahoma"/>
            <family val="2"/>
          </rPr>
          <t>Drake Swezey:</t>
        </r>
        <r>
          <rPr>
            <sz val="9"/>
            <color indexed="81"/>
            <rFont val="Tahoma"/>
            <family val="2"/>
          </rPr>
          <t xml:space="preserve">
Not part of outstanding obligation per Cathy, though numbers should remain the same.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tc={017E51A1-3155-4557-9ED9-56F98F096125}</author>
    <author>tc={1B2FBE5B-B7C7-4716-BD58-FAC263438495}</author>
    <author>Drake Swezey</author>
    <author>Gescina Richardsen</author>
    <author>Nicholas Gobbett</author>
    <author>tc={7BCD410C-7817-4A6E-8CD1-C1858159F00B}</author>
    <author>tc={CCC650C7-7C25-441D-B4D1-CAF948429223}</author>
  </authors>
  <commentList>
    <comment ref="AL1" authorId="0" shapeId="0" xr:uid="{017E51A1-3155-4557-9ED9-56F98F096125}">
      <text>
        <t>[Threaded comment]
Your version of Excel allows you to read this threaded comment; however, any edits to it will get removed if the file is opened in a newer version of Excel. Learn more: https://go.microsoft.com/fwlink/?linkid=870924
Comment:
    % based on observations and are estimates.
Reply:
    These Columns should stay as the master survival %/tree count columns. When we add future data, it should flow into these columns.</t>
      </text>
    </comment>
    <comment ref="AM1" authorId="1" shapeId="0" xr:uid="{1B2FBE5B-B7C7-4716-BD58-FAC263438495}">
      <text>
        <t>[Threaded comment]
Your version of Excel allows you to read this threaded comment; however, any edits to it will get removed if the file is opened in a newer version of Excel. Learn more: https://go.microsoft.com/fwlink/?linkid=870924
Comment:
    #Trees based on observations and are estimates
Reply:
    These Columns should stay as the master survival %/tree count columns. When we add future data, it should flow into these columns.</t>
      </text>
    </comment>
    <comment ref="BP1" authorId="2" shapeId="0" xr:uid="{D9E06AF0-5C20-4EDD-A809-D7ECC3857D79}">
      <text>
        <r>
          <rPr>
            <b/>
            <sz val="9"/>
            <color indexed="81"/>
            <rFont val="Tahoma"/>
            <family val="2"/>
          </rPr>
          <t>Drake Swezey:</t>
        </r>
        <r>
          <rPr>
            <sz val="9"/>
            <color indexed="81"/>
            <rFont val="Tahoma"/>
            <family val="2"/>
          </rPr>
          <t xml:space="preserve">
Growth is non-linear. The older the tree, the more accurate this will be.</t>
        </r>
      </text>
    </comment>
    <comment ref="D40" authorId="3" shapeId="0" xr:uid="{4609A442-61B0-4608-A5F7-50EF626C6E92}">
      <text>
        <r>
          <rPr>
            <sz val="11"/>
            <color theme="1"/>
            <rFont val="Calibri"/>
            <family val="2"/>
            <scheme val="minor"/>
          </rPr>
          <t>Gescina Richardsen:
17 USA contracts-formula includes Bruce Gamble)</t>
        </r>
      </text>
    </comment>
    <comment ref="G58" authorId="3" shapeId="0" xr:uid="{67F9E946-AA00-43EB-B1A5-0F5F84298294}">
      <text>
        <r>
          <rPr>
            <sz val="11"/>
            <color theme="1"/>
            <rFont val="Calibri"/>
            <family val="2"/>
            <scheme val="minor"/>
          </rPr>
          <t xml:space="preserve">Gescina Richardsen:
</t>
        </r>
      </text>
    </comment>
    <comment ref="Q166" authorId="4" shapeId="0" xr:uid="{BBE428E3-736D-49E2-9820-BDB9E2040D3D}">
      <text>
        <r>
          <rPr>
            <b/>
            <sz val="9"/>
            <color indexed="81"/>
            <rFont val="Tahoma"/>
            <family val="2"/>
          </rPr>
          <t>Nicholas Gobbett:</t>
        </r>
        <r>
          <rPr>
            <sz val="9"/>
            <color indexed="81"/>
            <rFont val="Tahoma"/>
            <family val="2"/>
          </rPr>
          <t xml:space="preserve">
GIS also shows 6 acres</t>
        </r>
      </text>
    </comment>
    <comment ref="AI182" authorId="3" shapeId="0" xr:uid="{0C47FD76-9184-4072-896A-BBF800DE5AA2}">
      <text>
        <r>
          <rPr>
            <sz val="11"/>
            <color theme="1"/>
            <rFont val="Calibri"/>
            <family val="2"/>
            <scheme val="minor"/>
          </rPr>
          <t>Gescina Richardsen:
formula was incorrect-Alejandro corrected 3/3/2025. Original inventory report showed 575 trees.</t>
        </r>
      </text>
    </comment>
    <comment ref="I192" authorId="3" shapeId="0" xr:uid="{9195E0C5-9E9B-41B6-8842-2C79F63DF317}">
      <text>
        <r>
          <rPr>
            <sz val="11"/>
            <color theme="1"/>
            <rFont val="Calibri"/>
            <family val="2"/>
            <scheme val="minor"/>
          </rPr>
          <t xml:space="preserve">Gescina Richardsen:
Farm was moved incorrectly to RFT status between March 20204 and May 2024. We have confirmed with Hugo that this farm is Active-corrected 1-16-2025
</t>
        </r>
      </text>
    </comment>
    <comment ref="A211" authorId="3" shapeId="0" xr:uid="{A0EEA48D-094F-428B-9AB8-083ACB74DE84}">
      <text>
        <r>
          <rPr>
            <sz val="11"/>
            <color theme="1"/>
            <rFont val="Calibri"/>
            <family val="2"/>
            <scheme val="minor"/>
          </rPr>
          <t xml:space="preserve">Gescina Richardsen:
farmer never planted or signed contract
</t>
        </r>
      </text>
    </comment>
    <comment ref="AG260" authorId="3" shapeId="0" xr:uid="{2ABFDF6A-1F8E-44AC-82C1-78085178FF99}">
      <text>
        <r>
          <rPr>
            <b/>
            <sz val="9"/>
            <color indexed="81"/>
            <rFont val="Tahoma"/>
            <family val="2"/>
          </rPr>
          <t>Gescina Richardsen:</t>
        </r>
        <r>
          <rPr>
            <sz val="9"/>
            <color indexed="81"/>
            <rFont val="Tahoma"/>
            <family val="2"/>
          </rPr>
          <t xml:space="preserve">
522 is not 95% of contract.
</t>
        </r>
      </text>
    </comment>
    <comment ref="AJ268" authorId="3" shapeId="0" xr:uid="{AF34F838-963E-4247-95BE-B932E76D0004}">
      <text>
        <r>
          <rPr>
            <sz val="11"/>
            <color theme="1"/>
            <rFont val="Calibri"/>
            <family val="2"/>
            <scheme val="minor"/>
          </rPr>
          <t xml:space="preserve">Gescina Richardsen:
found error in summary report in audit was 86% corrected 3/3/2025
</t>
        </r>
      </text>
    </comment>
    <comment ref="AL279" authorId="3" shapeId="0" xr:uid="{5C72A6F9-9A2B-4AEF-A6D9-911A230765DC}">
      <text>
        <r>
          <rPr>
            <sz val="11"/>
            <color theme="1"/>
            <rFont val="Calibri"/>
            <family val="2"/>
            <scheme val="minor"/>
          </rPr>
          <t xml:space="preserve">Gescina Richardsen:
made 82% in tree report to reflect replacements that were not allocated.
</t>
        </r>
      </text>
    </comment>
    <comment ref="AK283" authorId="5" shapeId="0" xr:uid="{7BCD410C-7817-4A6E-8CD1-C1858159F00B}">
      <text>
        <t>[Threaded comment]
Your version of Excel allows you to read this threaded comment; however, any edits to it will get removed if the file is opened in a newer version of Excel. Learn more: https://go.microsoft.com/fwlink/?linkid=870924
Comment:
    as per regional meeting 8/16. Farmer is no longer communicating. Hugo will try to set up a visit</t>
      </text>
    </comment>
    <comment ref="AL300" authorId="6" shapeId="0" xr:uid="{CCC650C7-7C25-441D-B4D1-CAF948429223}">
      <text>
        <t>[Threaded comment]
Your version of Excel allows you to read this threaded comment; however, any edits to it will get removed if the file is opened in a newer version of Excel. Learn more: https://go.microsoft.com/fwlink/?linkid=870924
Comment:
    Heather's trees are not growing well. Ashley D already explained the trees aren't growing as intended and we don't recommend spending more time and money on the project.​</t>
      </text>
    </comment>
    <comment ref="U313" authorId="3" shapeId="0" xr:uid="{BDE54407-652D-48D9-9325-4F04AFABEC6C}">
      <text>
        <r>
          <rPr>
            <sz val="11"/>
            <color theme="1"/>
            <rFont val="Calibri"/>
            <family val="2"/>
            <scheme val="minor"/>
          </rPr>
          <t xml:space="preserve">Gescina Richardsen:
17,909 trees planted in 2023 and remaining planted in late 2024
</t>
        </r>
      </text>
    </comment>
    <comment ref="U344" authorId="3" shapeId="0" xr:uid="{B83B11B3-6E6B-4828-973D-041632A03E16}">
      <text>
        <r>
          <rPr>
            <sz val="11"/>
            <color theme="1"/>
            <rFont val="Calibri"/>
            <family val="2"/>
            <scheme val="minor"/>
          </rPr>
          <t>Gescina Richardsen:
completed contracted with planting in 2024</t>
        </r>
      </text>
    </comment>
    <comment ref="U349" authorId="3" shapeId="0" xr:uid="{D3031F37-8818-41E2-99AC-B5D2D8CDA753}">
      <text>
        <r>
          <rPr>
            <sz val="11"/>
            <color theme="1"/>
            <rFont val="Calibri"/>
            <family val="2"/>
            <scheme val="minor"/>
          </rPr>
          <t xml:space="preserve">Gescina Richardsen:
6000 planted in 2023, remaining delivered and planted in 2024. Added 5000 trees 1/16/2025
</t>
        </r>
      </text>
    </comment>
    <comment ref="T353" authorId="4" shapeId="0" xr:uid="{EC37C1AE-D794-4740-8418-EA3F8298EEAC}">
      <text>
        <r>
          <rPr>
            <b/>
            <sz val="9"/>
            <color indexed="81"/>
            <rFont val="Tahoma"/>
            <family val="2"/>
          </rPr>
          <t>Nicholas Gobbett:</t>
        </r>
        <r>
          <rPr>
            <sz val="9"/>
            <color indexed="81"/>
            <rFont val="Tahoma"/>
            <family val="2"/>
          </rPr>
          <t xml:space="preserve">
Contract never signed</t>
        </r>
      </text>
    </comment>
    <comment ref="T355" authorId="4" shapeId="0" xr:uid="{0EC5416D-3940-4636-9E27-DC0C95C227A1}">
      <text>
        <r>
          <rPr>
            <b/>
            <sz val="9"/>
            <color indexed="81"/>
            <rFont val="Tahoma"/>
            <family val="2"/>
          </rPr>
          <t>Nicholas Gobbett:</t>
        </r>
        <r>
          <rPr>
            <sz val="9"/>
            <color indexed="81"/>
            <rFont val="Tahoma"/>
            <family val="2"/>
          </rPr>
          <t xml:space="preserve">
Contract never signed</t>
        </r>
      </text>
    </comment>
    <comment ref="W386" authorId="3" shapeId="0" xr:uid="{8492F8C8-E586-4B21-A71C-81C271E39E42}">
      <text>
        <r>
          <rPr>
            <sz val="11"/>
            <color theme="1"/>
            <rFont val="Calibri"/>
            <family val="2"/>
            <scheme val="minor"/>
          </rPr>
          <t>Gescina Richardsen:
original contract of 2475 trees was amended to 1820 trees 1.23.25</t>
        </r>
      </text>
    </comment>
    <comment ref="V390" authorId="3" shapeId="0" xr:uid="{1CEFE600-0B72-4425-8B90-2E2993107472}">
      <text>
        <r>
          <rPr>
            <sz val="11"/>
            <color theme="1"/>
            <rFont val="Calibri"/>
            <family val="2"/>
            <scheme val="minor"/>
          </rPr>
          <t>Gescina Richardsen:
Will complete planting in 2025</t>
        </r>
      </text>
    </comment>
    <comment ref="V397" authorId="3" shapeId="0" xr:uid="{C497F331-5036-41AA-BFDD-F0EC5CC4EE3B}">
      <text>
        <r>
          <rPr>
            <sz val="11"/>
            <color theme="1"/>
            <rFont val="Calibri"/>
            <family val="2"/>
            <scheme val="minor"/>
          </rPr>
          <t>Gescina Richardsen:
will complete planting in 2025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Drake Swezey</author>
    <author>Gescina Richardsen</author>
    <author>tc={7121CDF3-CA0B-4834-B0CF-D1E2F89DD978}</author>
    <author>tc={65332D0D-7C79-42D5-9652-2E8929C56B86}</author>
  </authors>
  <commentList>
    <comment ref="I10" authorId="0" shapeId="0" xr:uid="{25D263EF-4F14-476B-9C6A-56E67EAF4742}">
      <text>
        <r>
          <rPr>
            <sz val="11"/>
            <color theme="1"/>
            <rFont val="Calibri"/>
            <family val="2"/>
            <scheme val="minor"/>
          </rPr>
          <t xml:space="preserve">Drake Swezey:
Adjusted based on Cathy numbers.
Tree report: 242,965 </t>
        </r>
      </text>
    </comment>
    <comment ref="I11" authorId="0" shapeId="0" xr:uid="{7F37235E-9DC8-427D-AA5C-A0499BD78E94}">
      <text>
        <r>
          <rPr>
            <b/>
            <sz val="9"/>
            <color indexed="81"/>
            <rFont val="Tahoma"/>
            <family val="2"/>
          </rPr>
          <t>Drake Swezey:</t>
        </r>
        <r>
          <rPr>
            <sz val="9"/>
            <color indexed="81"/>
            <rFont val="Tahoma"/>
            <family val="2"/>
          </rPr>
          <t xml:space="preserve">
Adjusted based on Cathy numbers. </t>
        </r>
      </text>
    </comment>
    <comment ref="F14" authorId="1" shapeId="0" xr:uid="{24C05270-C716-4271-8F43-2ACF8B5528E4}">
      <text>
        <r>
          <rPr>
            <sz val="11"/>
            <color theme="1"/>
            <rFont val="Calibri"/>
            <family val="2"/>
            <scheme val="minor"/>
          </rPr>
          <t xml:space="preserve">Gescina Richardsen:
Obligation remaining from Hermans contracts is 9420 trees
</t>
        </r>
      </text>
    </comment>
    <comment ref="F17" authorId="1" shapeId="0" xr:uid="{9B83BBC1-C4E9-4B29-9514-1FB5017B78E1}">
      <text>
        <r>
          <rPr>
            <sz val="11"/>
            <color theme="1"/>
            <rFont val="Calibri"/>
            <family val="2"/>
            <scheme val="minor"/>
          </rPr>
          <t xml:space="preserve">Gescina Richardsen:
Obligation remaining from Hermans contracts is 9420 trees
</t>
        </r>
      </text>
    </comment>
    <comment ref="F18" authorId="2" shapeId="0" xr:uid="{7121CDF3-CA0B-4834-B0CF-D1E2F89DD978}">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@Gescina Richardsen Are these accurate? I think I saw something about it being low
Reply:
    They are accurate. It appears low because the contract for 9420 trees with the Hermans was not planted</t>
      </text>
    </comment>
    <comment ref="J56" authorId="3" shapeId="0" xr:uid="{65332D0D-7C79-42D5-9652-2E8929C56B86}">
      <text>
        <t>[Threaded comment]
Your version of Excel allows you to read this threaded comment; however, any edits to it will get removed if the file is opened in a newer version of Excel. Learn more: https://go.microsoft.com/fwlink/?linkid=870924
Comment:
    @Gescina Richardsen Let’s discuss the planting year. Because Cathy’s “contracted” number is significantly different we may need to change.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Gescina Richardsen</author>
  </authors>
  <commentList>
    <comment ref="K191" authorId="0" shapeId="0" xr:uid="{AB01BEFA-F21C-4999-B106-C9FA1AFD28C4}">
      <text>
        <r>
          <rPr>
            <sz val="11"/>
            <color theme="1"/>
            <rFont val="Calibri"/>
            <family val="2"/>
            <scheme val="minor"/>
          </rPr>
          <t xml:space="preserve">Gescina Richardsen:
1000 trees delivered but only 550 planted.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Gescina Richardsen</author>
  </authors>
  <commentList>
    <comment ref="D71" authorId="0" shapeId="0" xr:uid="{2422D71E-4C15-4609-B44F-BBFF040AA7FE}">
      <text>
        <r>
          <rPr>
            <sz val="11"/>
            <color theme="1"/>
            <rFont val="Calibri"/>
            <family val="2"/>
            <scheme val="minor"/>
          </rPr>
          <t xml:space="preserve">Gescina Richardsen:
we have 24 farms in Mexico allocated to the 2021 series, reported 23. Was a farm reallocated to 2021? MX0046 is highlighted in blue. These farms were planted in 2023 for 2021 ETP Series
</t>
        </r>
      </text>
    </comment>
    <comment ref="D72" authorId="0" shapeId="0" xr:uid="{B89E37F1-9827-4ABC-A6CE-B73C9552A221}">
      <text>
        <r>
          <rPr>
            <sz val="11"/>
            <color theme="1"/>
            <rFont val="Calibri"/>
            <family val="2"/>
            <scheme val="minor"/>
          </rPr>
          <t xml:space="preserve">Gescina Richardsen:
We have 39 farms allocated to 2021 ETP year in USA. One farm US0147 is highlighted blue. Was a change made in allocation?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Drake Swezey</author>
  </authors>
  <commentList>
    <comment ref="I3" authorId="0" shapeId="0" xr:uid="{4B60C2F5-2A4B-4F08-951C-473F8FCD4B74}">
      <text>
        <r>
          <rPr>
            <b/>
            <sz val="9"/>
            <color indexed="81"/>
            <rFont val="Tahoma"/>
            <family val="2"/>
          </rPr>
          <t>Drake Swezey:</t>
        </r>
        <r>
          <rPr>
            <sz val="9"/>
            <color indexed="81"/>
            <rFont val="Tahoma"/>
            <family val="2"/>
          </rPr>
          <t xml:space="preserve">
From 2025 Inventory</t>
        </r>
      </text>
    </comment>
  </commentList>
</comments>
</file>

<file path=xl/sharedStrings.xml><?xml version="1.0" encoding="utf-8"?>
<sst xmlns="http://schemas.openxmlformats.org/spreadsheetml/2006/main" count="5774" uniqueCount="2523">
  <si>
    <t>Effective Leaders Inspect Trees Every Day!</t>
  </si>
  <si>
    <t>US SERIES</t>
  </si>
  <si>
    <t>SERIES TREE OBLIGATION</t>
  </si>
  <si>
    <t>TOTAL CONTRACTS</t>
  </si>
  <si>
    <t>TOTAL TREES CONTRACTED</t>
  </si>
  <si>
    <t>TREES TO BE CONTRACTED</t>
  </si>
  <si>
    <t>TREES PLANTED</t>
  </si>
  <si>
    <t>CONTRACTED TREES TO BE PLANTED</t>
  </si>
  <si>
    <t>CONTRACT TERMINATED</t>
  </si>
  <si>
    <t>TREES TERMINATED</t>
  </si>
  <si>
    <t>CONTRACT ACTIVE</t>
  </si>
  <si>
    <t>TREES ACTIVE</t>
  </si>
  <si>
    <t>TREES SURVIVING</t>
  </si>
  <si>
    <t>TREES DEAD/MISSING</t>
  </si>
  <si>
    <t>CONTRACT SURVIVAL</t>
  </si>
  <si>
    <t>2016 Costa Rica</t>
  </si>
  <si>
    <t>2016 USA</t>
  </si>
  <si>
    <t>ETP 2016</t>
  </si>
  <si>
    <t>2018 Costa Rica</t>
  </si>
  <si>
    <t>2018 Guatemala</t>
  </si>
  <si>
    <t>2018 Mexico</t>
  </si>
  <si>
    <t>2018 USA</t>
  </si>
  <si>
    <t>ETP 2018</t>
  </si>
  <si>
    <t>2020 Costa Rica</t>
  </si>
  <si>
    <t>2020 Guatemala</t>
  </si>
  <si>
    <t>B17=</t>
  </si>
  <si>
    <t>C17=</t>
  </si>
  <si>
    <t>2020 Mexico</t>
  </si>
  <si>
    <t>2020 USA</t>
  </si>
  <si>
    <t>ETP 2020</t>
  </si>
  <si>
    <t>2021 Costa Rica</t>
  </si>
  <si>
    <t>2021 Guatemala</t>
  </si>
  <si>
    <t>2021 Mexico</t>
  </si>
  <si>
    <t>2021 USA</t>
  </si>
  <si>
    <t>ETP 2021</t>
  </si>
  <si>
    <t>2022 Costa Rica</t>
  </si>
  <si>
    <t>2022 Guatemala</t>
  </si>
  <si>
    <t>2022 Mexico</t>
  </si>
  <si>
    <t>2022 USA</t>
  </si>
  <si>
    <t>ETP 2022</t>
  </si>
  <si>
    <t>2023 Costa Rica</t>
  </si>
  <si>
    <t>2023 Guatemala</t>
  </si>
  <si>
    <t>2023 Mexico</t>
  </si>
  <si>
    <t>2023 USA</t>
  </si>
  <si>
    <t>ETP 2023</t>
  </si>
  <si>
    <t>2024 Costa Rica</t>
  </si>
  <si>
    <t>2024 Guatemala</t>
  </si>
  <si>
    <t>2024 Mexico</t>
  </si>
  <si>
    <t>2024 USA</t>
  </si>
  <si>
    <t>ETP 2024</t>
  </si>
  <si>
    <t>Unallocated</t>
  </si>
  <si>
    <t>TOTAL</t>
  </si>
  <si>
    <t>CAN SERIES</t>
  </si>
  <si>
    <t>TREE OBLIGATION TO BE PLANTED</t>
  </si>
  <si>
    <t>2015 Costa Rica</t>
  </si>
  <si>
    <t>2015 USA</t>
  </si>
  <si>
    <t>ETP 2015</t>
  </si>
  <si>
    <t>2017 Costa Rica</t>
  </si>
  <si>
    <t>2017 USA</t>
  </si>
  <si>
    <t>ETP 2017</t>
  </si>
  <si>
    <t>RECOMMENDED FOR TERMINATION</t>
  </si>
  <si>
    <t># contracts RFT</t>
  </si>
  <si>
    <t>% of contracts RFT</t>
  </si>
  <si>
    <t># trees RFT</t>
  </si>
  <si>
    <t>% trees RFT</t>
  </si>
  <si>
    <t>LAST UPDATE:</t>
  </si>
  <si>
    <t>Planting Year</t>
  </si>
  <si>
    <t>TREES DEAD</t>
  </si>
  <si>
    <t>2019 Costa Rica</t>
  </si>
  <si>
    <t>2019 Guatemala</t>
  </si>
  <si>
    <t>2019 Mexico</t>
  </si>
  <si>
    <t>2019 USA</t>
  </si>
  <si>
    <t>Contract Code</t>
  </si>
  <si>
    <t>ETP Year</t>
  </si>
  <si>
    <t>Harvest Year
(10 year)</t>
  </si>
  <si>
    <t>Representative</t>
  </si>
  <si>
    <t>Farmer#</t>
  </si>
  <si>
    <t>Contract Name</t>
  </si>
  <si>
    <t>Phone</t>
  </si>
  <si>
    <t>Status</t>
  </si>
  <si>
    <t>Email</t>
  </si>
  <si>
    <t>Address</t>
  </si>
  <si>
    <t>Shipping Address</t>
  </si>
  <si>
    <t>Region</t>
  </si>
  <si>
    <t>Land Location (GPS)</t>
  </si>
  <si>
    <t>Latitude</t>
  </si>
  <si>
    <t>Longitude</t>
  </si>
  <si>
    <t>Column1</t>
  </si>
  <si>
    <t>Column2</t>
  </si>
  <si>
    <t>Column3</t>
  </si>
  <si>
    <t>#TreesContract</t>
  </si>
  <si>
    <t>#Planted</t>
  </si>
  <si>
    <t>Planting Obligation</t>
  </si>
  <si>
    <t>Contract Amendment</t>
  </si>
  <si>
    <t>USA Allocation %</t>
  </si>
  <si>
    <t>USA trees/Allocation/Contracted</t>
  </si>
  <si>
    <t>USA trees/Allocation/Planted</t>
  </si>
  <si>
    <t>Canada Allocation %</t>
  </si>
  <si>
    <t>Canada Allocation-tree #'s</t>
  </si>
  <si>
    <t>Canada Allocation2017 %</t>
  </si>
  <si>
    <t>Can trees/Allocation 2017</t>
  </si>
  <si>
    <t>Total Can Allocation</t>
  </si>
  <si>
    <t>Survival% as of 12/31/23</t>
  </si>
  <si>
    <t>#Trees as of 12/31/23</t>
  </si>
  <si>
    <t>Trees as of 12/31/23-US allocation</t>
  </si>
  <si>
    <t>#Trees as of 12/31/24-master</t>
  </si>
  <si>
    <t>2024 Inventory Survival%-master</t>
  </si>
  <si>
    <t>2024 Estimated Survival%</t>
  </si>
  <si>
    <t>2024 Survival% Inventory + Estimate</t>
  </si>
  <si>
    <t>2024 #Trees Inventory + Estimate</t>
  </si>
  <si>
    <t xml:space="preserve">#Trees as of 2024/estimate -US allocation </t>
  </si>
  <si>
    <t>#Trees as of 2024/estimate-Can allocation</t>
  </si>
  <si>
    <t>#Trees as of 2024/estimate-Can allocation 2017</t>
  </si>
  <si>
    <t>AL+AM</t>
  </si>
  <si>
    <t>Species</t>
  </si>
  <si>
    <t>Strain</t>
  </si>
  <si>
    <t xml:space="preserve">% of Contract Replaced </t>
  </si>
  <si>
    <t>#Total Replacements</t>
  </si>
  <si>
    <t>#Replace 25</t>
  </si>
  <si>
    <t>#Replace 24</t>
  </si>
  <si>
    <t>#Replace 23</t>
  </si>
  <si>
    <t>#Replace 22</t>
  </si>
  <si>
    <t>#Replace 21</t>
  </si>
  <si>
    <t>#Replace 20</t>
  </si>
  <si>
    <t>#Replace 19</t>
  </si>
  <si>
    <t>#Replace 18</t>
  </si>
  <si>
    <t>#Replace 17</t>
  </si>
  <si>
    <t>#Replace 16</t>
  </si>
  <si>
    <t>ETP#s</t>
  </si>
  <si>
    <t>Audit#s</t>
  </si>
  <si>
    <t>Year of Inventory</t>
  </si>
  <si>
    <t>Average THT
(Feet)</t>
  </si>
  <si>
    <t>Average MHT
(Feet)</t>
  </si>
  <si>
    <t xml:space="preserve"> MHT % of Target</t>
  </si>
  <si>
    <t>Average DBH
(inches)</t>
  </si>
  <si>
    <t>DBH % of Target</t>
  </si>
  <si>
    <t>Average BF</t>
  </si>
  <si>
    <t>Total BF</t>
  </si>
  <si>
    <t>Projected DBH
(Extrapolated Growth/Year)</t>
  </si>
  <si>
    <t>Projected Average BF</t>
  </si>
  <si>
    <t>Projected Total BF</t>
  </si>
  <si>
    <t>ETP Offering Expected BF</t>
  </si>
  <si>
    <t>BF Deviation from Expected</t>
  </si>
  <si>
    <t>Annual DBH Growth Required to Hit Target</t>
  </si>
  <si>
    <t>US0001</t>
  </si>
  <si>
    <t>Bruce Gamble</t>
  </si>
  <si>
    <t>956-873-2487</t>
  </si>
  <si>
    <t>RFT</t>
  </si>
  <si>
    <t>brucegamblefarms@gmail.com</t>
  </si>
  <si>
    <t>10539 Mile 8 Road, LaFeria, TX, USA, 78559</t>
  </si>
  <si>
    <t>USA</t>
  </si>
  <si>
    <t>26.278008, -97.890074</t>
  </si>
  <si>
    <t>Fortunei</t>
  </si>
  <si>
    <t>TG Cool</t>
  </si>
  <si>
    <t>US0004</t>
  </si>
  <si>
    <t>Active</t>
  </si>
  <si>
    <t>26.275504, -97.890818</t>
  </si>
  <si>
    <t>US0005</t>
  </si>
  <si>
    <t>US0002</t>
  </si>
  <si>
    <t>Bob Miller</t>
  </si>
  <si>
    <t>Out of Program</t>
  </si>
  <si>
    <t>27.478449, -81.296945</t>
  </si>
  <si>
    <t>US0003</t>
  </si>
  <si>
    <t>Brian Lusnia</t>
  </si>
  <si>
    <t>45.321683 -122.533558</t>
  </si>
  <si>
    <t>US0006</t>
  </si>
  <si>
    <t>David Smith</t>
  </si>
  <si>
    <t>228-861-5711</t>
  </si>
  <si>
    <t>davidsmith@coastepa.com</t>
  </si>
  <si>
    <t>42 M K Layne  Poplarville  MS  39470-4337</t>
  </si>
  <si>
    <t>30.770056, -89.532565</t>
  </si>
  <si>
    <t>11, 13</t>
  </si>
  <si>
    <t>US0007</t>
  </si>
  <si>
    <t>Dennis Stoltzfoos</t>
  </si>
  <si>
    <t>30.13526 -83.18676</t>
  </si>
  <si>
    <t>US0008</t>
  </si>
  <si>
    <t>Eugene Martens</t>
  </si>
  <si>
    <t>334-646-0227, 334-885-6998</t>
  </si>
  <si>
    <t>emartens@teleclipse.net</t>
  </si>
  <si>
    <t>516 County Road 664, Roanoke, AL. 36274-5431</t>
  </si>
  <si>
    <t>33.146328, -85.297633</t>
  </si>
  <si>
    <t>11, 14</t>
  </si>
  <si>
    <t>US0009</t>
  </si>
  <si>
    <t>Jay Ridings</t>
  </si>
  <si>
    <t>901-619-5991, 901-476-1263, 901-313-9793</t>
  </si>
  <si>
    <t>jridings01@aol.com, jayspaintandbody@gmail.com, jridings01@aol.com</t>
  </si>
  <si>
    <t>1972 Leighs Chapel Rd, Covington, TN 38019-4522</t>
  </si>
  <si>
    <t>35.616983, -89.699598</t>
  </si>
  <si>
    <t>US0010</t>
  </si>
  <si>
    <t>Jonathan Walker</t>
  </si>
  <si>
    <t>33.77408, -85.77677</t>
  </si>
  <si>
    <t>US0011</t>
  </si>
  <si>
    <t>Joseph Hostetler</t>
  </si>
  <si>
    <t>724-946-2819 - message only, 234-567-1751</t>
  </si>
  <si>
    <t>47 B&amp;H Lane, New Wilmington PA 16142</t>
  </si>
  <si>
    <t>8080 Branch Rd SE Scio OH 43988-9552</t>
  </si>
  <si>
    <t>40.450392, -81.009647</t>
  </si>
  <si>
    <t>US0012</t>
  </si>
  <si>
    <t>Loretta Adderson</t>
  </si>
  <si>
    <t>33.121452, -82.197412</t>
  </si>
  <si>
    <t>US0013</t>
  </si>
  <si>
    <t>Nolan Bradford</t>
  </si>
  <si>
    <t>33.983918, -86.808292</t>
  </si>
  <si>
    <t>US0014</t>
  </si>
  <si>
    <t>Wayne Owen</t>
  </si>
  <si>
    <t>Todd H Owen</t>
  </si>
  <si>
    <t>901-356-4125</t>
  </si>
  <si>
    <t>292 Ralph Rd  Covington  TN  38019-4916</t>
  </si>
  <si>
    <t>35.551192, -89.559985</t>
  </si>
  <si>
    <t>12, 14</t>
  </si>
  <si>
    <t>CR0001</t>
  </si>
  <si>
    <t>Cecilia Sanders</t>
  </si>
  <si>
    <t>Cecilia Castillo Umaña</t>
  </si>
  <si>
    <t>Costa Rica</t>
  </si>
  <si>
    <t>P. fortunei</t>
  </si>
  <si>
    <t>CR0002</t>
  </si>
  <si>
    <t>Coopedota</t>
  </si>
  <si>
    <t>CR0003</t>
  </si>
  <si>
    <t xml:space="preserve">Erasmo Aguilera </t>
  </si>
  <si>
    <t>Agricola Los Robles de Naranjo S.A</t>
  </si>
  <si>
    <t>CR0004</t>
  </si>
  <si>
    <t xml:space="preserve">Esteban Chacon </t>
  </si>
  <si>
    <t>Fernando Esteban Chacon</t>
  </si>
  <si>
    <t>CR0005</t>
  </si>
  <si>
    <t>Juan Luis Chaves</t>
  </si>
  <si>
    <t xml:space="preserve">ASESORIA DE EMPRESAS TONAL S A, </t>
  </si>
  <si>
    <t>CR0006</t>
  </si>
  <si>
    <t>Minor Montero</t>
  </si>
  <si>
    <t>Jose Joaquin Montero Calderon</t>
  </si>
  <si>
    <t>CR0007</t>
  </si>
  <si>
    <t>William Guiterrez</t>
  </si>
  <si>
    <t>Segrufor Segundo Grupo Forestal, S.A</t>
  </si>
  <si>
    <t>CR0079</t>
  </si>
  <si>
    <t>Dennis Cordoba</t>
  </si>
  <si>
    <t>P.fortunei</t>
  </si>
  <si>
    <t>CR0093</t>
  </si>
  <si>
    <t>Roberto Solis</t>
  </si>
  <si>
    <t>Orsom Proyect S.A</t>
  </si>
  <si>
    <t>CR0094</t>
  </si>
  <si>
    <t>Mauro Solis</t>
  </si>
  <si>
    <t>Carlos Roberto Solis</t>
  </si>
  <si>
    <t>CR0095</t>
  </si>
  <si>
    <t>Mario Rodriguez</t>
  </si>
  <si>
    <t>Coopronaranjo R.L</t>
  </si>
  <si>
    <t>CR0096</t>
  </si>
  <si>
    <t>Daniel Ureña</t>
  </si>
  <si>
    <t>US0015</t>
  </si>
  <si>
    <t>Elvire Dembia</t>
  </si>
  <si>
    <t>Elvire Frank Dembia</t>
  </si>
  <si>
    <t>US0016</t>
  </si>
  <si>
    <t>Juan Zermeno</t>
  </si>
  <si>
    <t>US0017</t>
  </si>
  <si>
    <t>Larry Wilcoxen</t>
  </si>
  <si>
    <t>US0018</t>
  </si>
  <si>
    <t>Marlene Lewis</t>
  </si>
  <si>
    <t>Lewauta Landholdings Inc</t>
  </si>
  <si>
    <t>250-889-1343</t>
  </si>
  <si>
    <t>marlene@end-dyslexia.com, mmlewisaccess@gmail.com, marlene@empressacres.ca, petermlewis1@gmail.com</t>
  </si>
  <si>
    <t>2974 Haslam Road, Nanaimo, BC V9X 1T1, Canada</t>
  </si>
  <si>
    <t>49.06572, -123.854433</t>
  </si>
  <si>
    <t>US0019</t>
  </si>
  <si>
    <t>Paul Hartz</t>
  </si>
  <si>
    <t>US0020</t>
  </si>
  <si>
    <t>Richard Cumberland</t>
  </si>
  <si>
    <t>CR0015</t>
  </si>
  <si>
    <t>Juan Luis  Chaves</t>
  </si>
  <si>
    <t>CR0008</t>
  </si>
  <si>
    <t>Carlos Navarro</t>
  </si>
  <si>
    <t>CR0009</t>
  </si>
  <si>
    <t>David Gutierrez</t>
  </si>
  <si>
    <t>Edgar Gutierrez</t>
  </si>
  <si>
    <t>CR0010</t>
  </si>
  <si>
    <t>Edgar Ureña</t>
  </si>
  <si>
    <t>CR0011</t>
  </si>
  <si>
    <t>Fernando Altmann</t>
  </si>
  <si>
    <t>CR0012</t>
  </si>
  <si>
    <t>Francisco Mena</t>
  </si>
  <si>
    <t>Sumava de Lourdes, R.L</t>
  </si>
  <si>
    <t>CR0013</t>
  </si>
  <si>
    <t>Herberth Chacon</t>
  </si>
  <si>
    <t>h.chacon@hotmail.es, info@cafelaspenas.com</t>
  </si>
  <si>
    <t>Sabanilla, Provincia de Alajuela, Sabanilla, Costa Rica</t>
  </si>
  <si>
    <t>10.067475, -84.219483</t>
  </si>
  <si>
    <t>10.064184, -84.202693</t>
  </si>
  <si>
    <t>CR0016</t>
  </si>
  <si>
    <t>Krzysztof Adamski</t>
  </si>
  <si>
    <t>CR0017</t>
  </si>
  <si>
    <t>Manuel Rojas</t>
  </si>
  <si>
    <t xml:space="preserve">Rojas y Pacheco S.R.L, </t>
  </si>
  <si>
    <t>CR0018</t>
  </si>
  <si>
    <t>Martin Gutierrez</t>
  </si>
  <si>
    <t>CR0019</t>
  </si>
  <si>
    <t>Miguel Angel Cabezas</t>
  </si>
  <si>
    <t>Miriam Mora Salazar</t>
  </si>
  <si>
    <t>CR0020</t>
  </si>
  <si>
    <t xml:space="preserve">Fernando Chacon </t>
  </si>
  <si>
    <t xml:space="preserve">Esteban Fernando Chacon </t>
  </si>
  <si>
    <t>CR0021</t>
  </si>
  <si>
    <t>Oscar Viquez</t>
  </si>
  <si>
    <t>Oscar Viquez,María Isabel Quesada Víquez, Eraida Quesada Víquez, Estelia Quesada Víquez</t>
  </si>
  <si>
    <t>CR0022</t>
  </si>
  <si>
    <t>Susy Calderon</t>
  </si>
  <si>
    <t>CR0014</t>
  </si>
  <si>
    <t>Jorge Arrieta</t>
  </si>
  <si>
    <t>Olymar Santa Lucia</t>
  </si>
  <si>
    <t>US0023</t>
  </si>
  <si>
    <t>33.147101, -85.298481</t>
  </si>
  <si>
    <t>US0027</t>
  </si>
  <si>
    <t>49.065235, -123.856235</t>
  </si>
  <si>
    <t>US0021</t>
  </si>
  <si>
    <t>Brandon Bailey</t>
  </si>
  <si>
    <t>US0022</t>
  </si>
  <si>
    <t>Daniel Byrd</t>
  </si>
  <si>
    <t>Daniel Bryd</t>
  </si>
  <si>
    <t>270-261-2663</t>
  </si>
  <si>
    <t>dbyrd@plinsurance.com</t>
  </si>
  <si>
    <t>1456 Finney Rd Glasgow KY 42141-8796</t>
  </si>
  <si>
    <t>36.949087, -85.989939</t>
  </si>
  <si>
    <t>US0024</t>
  </si>
  <si>
    <t>=COUNTIFS(Table11[Region],$C66,Table11[ETP Year],2020,'Master Data Results'!B181,Table11[USA trees/Allocation/Planted],"&lt;&gt;")</t>
  </si>
  <si>
    <t>Grover Plunkett</t>
  </si>
  <si>
    <t>Southern Innovative Investments LLC</t>
  </si>
  <si>
    <t>334-462-4962, 334-324-6696, 334-322-7480 (Cody Bell Farm manager</t>
  </si>
  <si>
    <t>gplunkett@faulkner.edu, rebecca.plunkett2@gmail.com</t>
  </si>
  <si>
    <t>6464 Halcyon Dr  Montgomery  AL  36117-3416</t>
  </si>
  <si>
    <t>5129 New Harmony Rd, Arab, AL 35016, USA</t>
  </si>
  <si>
    <t xml:space="preserve">34.250719, -86.527252 </t>
  </si>
  <si>
    <t>11, 12, 14, 18</t>
  </si>
  <si>
    <t>US0025</t>
  </si>
  <si>
    <t>Jacob Schwartz</t>
  </si>
  <si>
    <t>417-935-2048, 417-859-6283, 417-840-1211, 417-766-1389</t>
  </si>
  <si>
    <t>908 Smith Rd  Seymour  MO  65746-8033</t>
  </si>
  <si>
    <t>37.21962, -92.693223</t>
  </si>
  <si>
    <t>US0026</t>
  </si>
  <si>
    <t>John Cline</t>
  </si>
  <si>
    <t>US0028</t>
  </si>
  <si>
    <t>Matthew Knox</t>
  </si>
  <si>
    <t>256-596-0663</t>
  </si>
  <si>
    <t>knoxbrothersllc@gmail.com, matthewknox1968@yahoo.com</t>
  </si>
  <si>
    <t>200 Tommy Hill Rd  Dadeville  AL  36853-4391</t>
  </si>
  <si>
    <t>32.674238, -85.847949</t>
  </si>
  <si>
    <t>14, 18</t>
  </si>
  <si>
    <t>US0029</t>
  </si>
  <si>
    <t>Tracy Sturgeon</t>
  </si>
  <si>
    <t>918-413-2680, 918-385-1914</t>
  </si>
  <si>
    <t>tracyl1a1sw@yahoo.com</t>
  </si>
  <si>
    <t>PO Box 70 Albion OK 74521</t>
  </si>
  <si>
    <t>14602 SE 1103 Ave  Tuskahoma, OK 74574</t>
  </si>
  <si>
    <t>34.702318, -95.141474</t>
  </si>
  <si>
    <t>US0030</t>
  </si>
  <si>
    <t>Wayne Crotty</t>
  </si>
  <si>
    <t>407-908-0643, 386-938-2468</t>
  </si>
  <si>
    <t>wayne@allproservicesco.com</t>
  </si>
  <si>
    <t>9451 Southwest Co Road 143, Jasper, FL, USA</t>
  </si>
  <si>
    <t>30.424531, -83.201936</t>
  </si>
  <si>
    <t>11, 12, 14</t>
  </si>
  <si>
    <t>US0031</t>
  </si>
  <si>
    <t>Wendell Lynn</t>
  </si>
  <si>
    <t>912-293-7679</t>
  </si>
  <si>
    <t>wdlynn99@gmail.com</t>
  </si>
  <si>
    <t>550 Hancock Landing Rd, Waynesboro GA 30830-3000</t>
  </si>
  <si>
    <t>2130 Cedar Creek Church Rd, Collins GA 30421-3240</t>
  </si>
  <si>
    <t>32.226497, -82.098965</t>
  </si>
  <si>
    <t>11, 18</t>
  </si>
  <si>
    <t>US0032</t>
  </si>
  <si>
    <t>Will Johnson</t>
  </si>
  <si>
    <t>Will and Amanda Johnson</t>
  </si>
  <si>
    <t>(386) 697-8079, 386-249-2134</t>
  </si>
  <si>
    <t>Trophyhillplantation@gmail.com</t>
  </si>
  <si>
    <t>7791 200th St, Mc Alpin, FL, USA 32062-2754</t>
  </si>
  <si>
    <t>30.090810, -82.909628</t>
  </si>
  <si>
    <t>11</t>
  </si>
  <si>
    <t>CR0025</t>
  </si>
  <si>
    <t>CR0026</t>
  </si>
  <si>
    <t xml:space="preserve">David Guiterrez </t>
  </si>
  <si>
    <t>CR0031</t>
  </si>
  <si>
    <t xml:space="preserve">Oscar Viquez </t>
  </si>
  <si>
    <t>CR0023</t>
  </si>
  <si>
    <t>Carlos Hernandez</t>
  </si>
  <si>
    <t>CR0024</t>
  </si>
  <si>
    <t>Carlos Montero</t>
  </si>
  <si>
    <t>CR0027</t>
  </si>
  <si>
    <t>Eduardo Gurdian</t>
  </si>
  <si>
    <t>CR0028</t>
  </si>
  <si>
    <t>Edgardo Matamoros</t>
  </si>
  <si>
    <t>Juan Manuel Sanchez</t>
  </si>
  <si>
    <t>506 88886685, 24500034, 24511126</t>
  </si>
  <si>
    <t>ematamoros@elcantaro.net, santaanita@elcantaro.net</t>
  </si>
  <si>
    <t>800 metros del cementerio de candelaria de Naranjo Cualquier</t>
  </si>
  <si>
    <t>San Juan de Naranjo, Costa Rica</t>
  </si>
  <si>
    <t>10.0115921398, -84.0836667227</t>
  </si>
  <si>
    <t>CR0029</t>
  </si>
  <si>
    <t>María Julia Ramirez</t>
  </si>
  <si>
    <t>506 24500063, +506 83565043</t>
  </si>
  <si>
    <t>mariajulia00@yahoo.com.mx, asis.lamerced@gmail.com</t>
  </si>
  <si>
    <t>500 metros norte colegio de naranjo</t>
  </si>
  <si>
    <t>San Rafael de Naranjo, Costa Rica</t>
  </si>
  <si>
    <t>10.1081763406, -84.3811140226</t>
  </si>
  <si>
    <t>P.elongata and P.fortunei</t>
  </si>
  <si>
    <t>CR0030</t>
  </si>
  <si>
    <t>Mayela Quesada</t>
  </si>
  <si>
    <t>50683838815, 83838815</t>
  </si>
  <si>
    <t>mquesada@agricoladelcafetal.com</t>
  </si>
  <si>
    <t>Lourdes de Naranjo, 709, Alajuela Province, Naranjo de Alajuela, Costa Rica</t>
  </si>
  <si>
    <t>10.1525978335, -84.3586197692; 10,1552646 -843609432</t>
  </si>
  <si>
    <t>10.1525978335, -84.3586197692</t>
  </si>
  <si>
    <t>CR0032</t>
  </si>
  <si>
    <t>Rene Ceciliano</t>
  </si>
  <si>
    <t>Inversiones Los Alpinos S.A</t>
  </si>
  <si>
    <t>CR0033</t>
  </si>
  <si>
    <t>Ricardo Simpson</t>
  </si>
  <si>
    <t>CR0034</t>
  </si>
  <si>
    <t>Richard Valverde</t>
  </si>
  <si>
    <t>US0042</t>
  </si>
  <si>
    <t>34.241776, -86.527479</t>
  </si>
  <si>
    <t>US0033</t>
  </si>
  <si>
    <t>Alfie Kelly</t>
  </si>
  <si>
    <t>US0034</t>
  </si>
  <si>
    <t>Billy Whittaker</t>
  </si>
  <si>
    <t>229-243-3487, 229 400 2304</t>
  </si>
  <si>
    <t>whihm@aol.com</t>
  </si>
  <si>
    <t>7701 Reynolds Landing Rd Donalsonville GA 39845-6928</t>
  </si>
  <si>
    <t>30.820767, -84.808612</t>
  </si>
  <si>
    <t>US0035</t>
  </si>
  <si>
    <t>Billy Whittaker and Joyce P Earnest</t>
  </si>
  <si>
    <t>30.836336, -84.884128</t>
  </si>
  <si>
    <t>US0036</t>
  </si>
  <si>
    <t>Two Rivers Timbers LLC</t>
  </si>
  <si>
    <t>US0037</t>
  </si>
  <si>
    <t>Cheryl Meserole</t>
  </si>
  <si>
    <t>334-885-6662</t>
  </si>
  <si>
    <t>cyarbrough@teleclipse.net</t>
  </si>
  <si>
    <t>545 County Road 664 Roanoke AL 36274-5439</t>
  </si>
  <si>
    <t>33.151431, -85.297489</t>
  </si>
  <si>
    <t>US0038</t>
  </si>
  <si>
    <t>Dan McClure</t>
  </si>
  <si>
    <t>The Langdon Group WW LLC</t>
  </si>
  <si>
    <t>509-520-2957, 509-520-2957</t>
  </si>
  <si>
    <t>mccluredan4@gmail.com, sarahdale.mcclure@gmail.com, cbmcclure22@gmail.com</t>
  </si>
  <si>
    <t>2994 Barney Rd, Touchet, WA 99360-9681</t>
  </si>
  <si>
    <t>46.018121, -118.631065</t>
  </si>
  <si>
    <t>11, 12, 13, 14, 18, TG Cool</t>
  </si>
  <si>
    <t>US0039</t>
  </si>
  <si>
    <t>David Chang</t>
  </si>
  <si>
    <t>769-475-0772</t>
  </si>
  <si>
    <t>lungs111@yahoo.com, lungs111@gmail.com</t>
  </si>
  <si>
    <t>2561 Legends Row, Mobile, AL, USA 36618-4819</t>
  </si>
  <si>
    <t>4019 Stringfellow Road, Lucedale, MS 39452, USA</t>
  </si>
  <si>
    <t>31.046150, -88.514616</t>
  </si>
  <si>
    <t>US0040</t>
  </si>
  <si>
    <t>David Peterson</t>
  </si>
  <si>
    <t>334-651-3521</t>
  </si>
  <si>
    <t>davpete82@yahoo.com</t>
  </si>
  <si>
    <t>1028 Old Georgia Plank Road, Wetumpka, AL 36092-5962, USA</t>
  </si>
  <si>
    <t>32.570194, -86.139344</t>
  </si>
  <si>
    <t>14</t>
  </si>
  <si>
    <t>US0041</t>
  </si>
  <si>
    <t>Derek Bass</t>
  </si>
  <si>
    <t>334-657-2856</t>
  </si>
  <si>
    <t>wdb359@aol.com</t>
  </si>
  <si>
    <t>359 Sunny Lane Loop, Wetumpka, AL, USA 36092</t>
  </si>
  <si>
    <t>32.643850, -86.087211</t>
  </si>
  <si>
    <t>US0043</t>
  </si>
  <si>
    <t>Jason Humphries</t>
  </si>
  <si>
    <t>(205) 369-9295, (205) 915-1310</t>
  </si>
  <si>
    <t>13biscuit@gmail.com, ahumphries0731@gmail.com, 4hplantation@gmail.com</t>
  </si>
  <si>
    <t>1457 Ballantrae Club Dr. Pelham AL 35124-6255</t>
  </si>
  <si>
    <t>897 Berry Road, Valley Grande, AL, USA</t>
  </si>
  <si>
    <t>32.493119, -87.035615</t>
  </si>
  <si>
    <t>13</t>
  </si>
  <si>
    <t>US0044</t>
  </si>
  <si>
    <t>Jimmy Aplin</t>
  </si>
  <si>
    <t>US0045</t>
  </si>
  <si>
    <t>Michael Masengil</t>
  </si>
  <si>
    <t>423-453-1271</t>
  </si>
  <si>
    <t>mlmasengil@gmail.com</t>
  </si>
  <si>
    <t>945 County Road 461,  Englewood TN 37329-5242</t>
  </si>
  <si>
    <t>35.414436, -84.455699</t>
  </si>
  <si>
    <t>12, 13, 18</t>
  </si>
  <si>
    <t>US0046</t>
  </si>
  <si>
    <t>Ricky and Darcy Dollar</t>
  </si>
  <si>
    <t>Ricky and/or Darcy Dollar</t>
  </si>
  <si>
    <t>479-216-3092</t>
  </si>
  <si>
    <t>rickytodddollar@gmail.com, darcydollar@yahoo.com</t>
  </si>
  <si>
    <t>211 Polk Rd 193, Mena, AR 71953-8196, USA</t>
  </si>
  <si>
    <t>34.606751, -94.057801</t>
  </si>
  <si>
    <t>2, 11, 14</t>
  </si>
  <si>
    <t>US0047</t>
  </si>
  <si>
    <t>Scott Willis</t>
  </si>
  <si>
    <t>205-287-1554</t>
  </si>
  <si>
    <t>fishdraft@yahoo.com</t>
  </si>
  <si>
    <t>33303 County Rd. 51 Clanton Al 35046</t>
  </si>
  <si>
    <t>455 County Road 537, Verbena, AL 36091, USA</t>
  </si>
  <si>
    <t>32.718296, -86.462519</t>
  </si>
  <si>
    <t>US0048</t>
  </si>
  <si>
    <t>Shawn Harrison</t>
  </si>
  <si>
    <t>US0049</t>
  </si>
  <si>
    <t>Steven Whittaker</t>
  </si>
  <si>
    <t>229-254-3319</t>
  </si>
  <si>
    <t>jarviswhittaker@icloud.com</t>
  </si>
  <si>
    <t>7688 Reynolds Landing Rd, Donalsonville, GA 39845-6925, USA</t>
  </si>
  <si>
    <t>30.822035, -84.810527</t>
  </si>
  <si>
    <t>US0050</t>
  </si>
  <si>
    <t>Teddy Meeks</t>
  </si>
  <si>
    <t>770-468-1878</t>
  </si>
  <si>
    <t>Wilddaisyfarm109@gmail.com</t>
  </si>
  <si>
    <t>1506 GA Highway 109, Molena GA 30258-3234</t>
  </si>
  <si>
    <t>20 Spring Rd, Molena, GA 30258, USA</t>
  </si>
  <si>
    <t>12, 13, 14</t>
  </si>
  <si>
    <t>US0051</t>
  </si>
  <si>
    <t>Wayne Moseley</t>
  </si>
  <si>
    <t>251-769-2778, 251-246-4346</t>
  </si>
  <si>
    <t>2045 Pruitt Rd, Leroy, AL, USA 36548-5010</t>
  </si>
  <si>
    <t>31.507085, -88.018129</t>
  </si>
  <si>
    <t>CR0085</t>
  </si>
  <si>
    <t>CR0083</t>
  </si>
  <si>
    <t>CR0080</t>
  </si>
  <si>
    <t>Carlos Batalla</t>
  </si>
  <si>
    <t>CR0081</t>
  </si>
  <si>
    <t>Carlos Castro Solano</t>
  </si>
  <si>
    <t>Corporacion Lummal S.A</t>
  </si>
  <si>
    <t>50683178860, 5067005-9832</t>
  </si>
  <si>
    <t>corporacionlumal@hotmail.com</t>
  </si>
  <si>
    <t>San José Province, Vuelta de Jorco, Costa Rica</t>
  </si>
  <si>
    <t>9.808026349, -84.1160400027</t>
  </si>
  <si>
    <t>CR0082</t>
  </si>
  <si>
    <t>Gustavo Arias</t>
  </si>
  <si>
    <t>Carlos Luis Arias</t>
  </si>
  <si>
    <t>javier.arias.chaves@hotmail.com, gustavoariaschaves@gmail.com</t>
  </si>
  <si>
    <t>Alajuela Province, Sarchi, Costa Rica</t>
  </si>
  <si>
    <t>10.1442903528, -84.3388900105</t>
  </si>
  <si>
    <t>P.elongata</t>
  </si>
  <si>
    <t>CR0084</t>
  </si>
  <si>
    <t>Carmelita Soto</t>
  </si>
  <si>
    <t>carmelitasn21@gmail.com</t>
  </si>
  <si>
    <t>Puntarenas Province, San Vito, Costa Rica</t>
  </si>
  <si>
    <t>8.81043499972, -82.9855150001</t>
  </si>
  <si>
    <t>CR0086</t>
  </si>
  <si>
    <t>Agner Chinchlla</t>
  </si>
  <si>
    <t xml:space="preserve">Edgar Chinchilla Quesada </t>
  </si>
  <si>
    <t>5068952-7886</t>
  </si>
  <si>
    <t>agnerchinchilla64@gmail.com</t>
  </si>
  <si>
    <t>Sabalito, Puntarenas Province, Costa Rica</t>
  </si>
  <si>
    <t>8.845435,-82.895748</t>
  </si>
  <si>
    <t>CR0087</t>
  </si>
  <si>
    <t>Francisco Flores</t>
  </si>
  <si>
    <t>Beneficio La Guaria S.A</t>
  </si>
  <si>
    <t>50685334949, 50624484800, 50683822204</t>
  </si>
  <si>
    <t>beneguaria@ice.co.cr, brasacha@gmail.com</t>
  </si>
  <si>
    <t>San Rafael de Poas, Alajuela Province, San Rafael, Costa Rica</t>
  </si>
  <si>
    <t>10.094975, -84.2569388889</t>
  </si>
  <si>
    <t>CR0088</t>
  </si>
  <si>
    <t>Leonardo Cordero</t>
  </si>
  <si>
    <t>Greivin Cordero</t>
  </si>
  <si>
    <t>leonardocrdr986@gmail.com</t>
  </si>
  <si>
    <t>Tuis, Cartago Province, Turrialba, Costa Rica</t>
  </si>
  <si>
    <t>9.85458385907, -83.5665219867</t>
  </si>
  <si>
    <t>CR0089</t>
  </si>
  <si>
    <t>Miguel Corrales Venegas</t>
  </si>
  <si>
    <t>50689876752, 50688005783</t>
  </si>
  <si>
    <t>vialca81@gmail.com, nanocv77@gmail.com</t>
  </si>
  <si>
    <t>La Potenciana, San José Province, Costa Rica</t>
  </si>
  <si>
    <t>9.79456599997, -84.4494810002</t>
  </si>
  <si>
    <t>CR0090</t>
  </si>
  <si>
    <t>Omar Cascante</t>
  </si>
  <si>
    <t>CR0091</t>
  </si>
  <si>
    <t>William Mora</t>
  </si>
  <si>
    <t>GT0001</t>
  </si>
  <si>
    <t xml:space="preserve">José Scheel </t>
  </si>
  <si>
    <t>Ada Patricia Scheel Bartlett</t>
  </si>
  <si>
    <t>+502 57031213</t>
  </si>
  <si>
    <t>s_hpatricia@hotmail.com</t>
  </si>
  <si>
    <t>AVENIDA LAS AMERICAS 7-62, ZONA 3, EDIFICIO TORRE PRADE-RA XELA, OCTAVO NIVEL, OFICINA 801, QUETZALTENANGO, GUATEMALA</t>
  </si>
  <si>
    <t>FINCA SAN JOSÉ, MUNICIPIO DE FLORES COSTA CUCA, DEPARTAMENTO DE QUETZALTENANGO</t>
  </si>
  <si>
    <t>Guatemala</t>
  </si>
  <si>
    <t>14.673889, -91.808333</t>
  </si>
  <si>
    <t>Elongata</t>
  </si>
  <si>
    <t>GT0002</t>
  </si>
  <si>
    <t>Christopher Michael Schwart Marklan</t>
  </si>
  <si>
    <t>GT0003</t>
  </si>
  <si>
    <t>Edgar Rodolfo Grisolia</t>
  </si>
  <si>
    <t>GT0004</t>
  </si>
  <si>
    <t>Jorge Guillermo Castillo Mastahinich</t>
  </si>
  <si>
    <t>GT0005</t>
  </si>
  <si>
    <t>Jose Antonio Mombiela Mastahinich</t>
  </si>
  <si>
    <t>GT0006</t>
  </si>
  <si>
    <t>Luis Fernando Morán Peréz</t>
  </si>
  <si>
    <t>+50254114650</t>
  </si>
  <si>
    <t>lmoran@inversionesluys.com</t>
  </si>
  <si>
    <t>A VENIDA LAS AMERICAS 7-62, ZONA 3, EDIFICIO TORRE PRADE­RA XELA, OCTAVO NIVEL, OFICINA 813, MUNICIPIO DE QUETZALTENANGO, DEPARTAMENTO DE  QUETZAL TENANGO</t>
  </si>
  <si>
    <t>FINCA ENTRE RIOS, MUNICIPIO DE EL PALMAR, DEPARTAMENTO DE QUETZALTENANGO</t>
  </si>
  <si>
    <t>14.680103, -91.609028</t>
  </si>
  <si>
    <t>Elongata, CL502, 18K</t>
  </si>
  <si>
    <t>GT0007</t>
  </si>
  <si>
    <t>Miguel Roberto Mombiela Bruni</t>
  </si>
  <si>
    <t>+502 30098257</t>
  </si>
  <si>
    <t>mrmombiela@gmail.com</t>
  </si>
  <si>
    <t>2ª calle 4A-40 zona 9, La Floresta, Quetzaltenango</t>
  </si>
  <si>
    <t>Municipio de Génova, departamento de Quetzaltenango</t>
  </si>
  <si>
    <t>14.662500, -91.613889; 14.606417, -91.840889</t>
  </si>
  <si>
    <t>GT0008</t>
  </si>
  <si>
    <t>Pablo Antonio Castillo Mastahinich</t>
  </si>
  <si>
    <t>GT0009</t>
  </si>
  <si>
    <t xml:space="preserve">Pedro Antonio Mombiela De León </t>
  </si>
  <si>
    <t>(502) 55178198</t>
  </si>
  <si>
    <t>pedroantoniomombiela@yahoo.com.mx</t>
  </si>
  <si>
    <t>AGRO E INDUSTRIAS LAS MARIAS, COLOMBA COSTA CUCA QUETZALTENANGO,GT</t>
  </si>
  <si>
    <t>14.716111, -91.743611</t>
  </si>
  <si>
    <t>Elongata (in 2021 CL502)</t>
  </si>
  <si>
    <t>GT0010</t>
  </si>
  <si>
    <t>Pedro Maximiliano Mombiela De Leon</t>
  </si>
  <si>
    <t>GT0011</t>
  </si>
  <si>
    <t xml:space="preserve">Erick Cienfuegos </t>
  </si>
  <si>
    <t>Rudy Israel Cienfuegos Cordón</t>
  </si>
  <si>
    <t>+(502) 50010308</t>
  </si>
  <si>
    <t>rudy-cem@hotmail.com</t>
  </si>
  <si>
    <t>5ª CALLE B 2-01, ZONA 3, COLONIA LOS ANGELES, MUNICIPIO DE CHIQUIMULA, DEPARTAMENTO DE CHIQUIMULA</t>
  </si>
  <si>
    <t>MUNICIPIO DE LA UNIÓN, DEPARTAMENTO DE ZACAPA</t>
  </si>
  <si>
    <t>14.949444, -89.331667</t>
  </si>
  <si>
    <t>MX0001</t>
  </si>
  <si>
    <t>Jose Angel Hurtado Márquez</t>
  </si>
  <si>
    <t>Mexico</t>
  </si>
  <si>
    <t>MX0002</t>
  </si>
  <si>
    <t>José Francisco Sánchez Rojas</t>
  </si>
  <si>
    <t>US0056</t>
  </si>
  <si>
    <t>30.814991, -84.811270</t>
  </si>
  <si>
    <t>US0062</t>
  </si>
  <si>
    <t>31.044872, -88.515002</t>
  </si>
  <si>
    <t>US0063</t>
  </si>
  <si>
    <t>32.645386, -86.086846</t>
  </si>
  <si>
    <t>US0086</t>
  </si>
  <si>
    <t>Janet Whittaker</t>
  </si>
  <si>
    <t>30.909772, -84.752342</t>
  </si>
  <si>
    <t>US0087</t>
  </si>
  <si>
    <t>30.819041, -84.808993</t>
  </si>
  <si>
    <t>US0052</t>
  </si>
  <si>
    <t>Andy Youngblood</t>
  </si>
  <si>
    <t>479-243-5423</t>
  </si>
  <si>
    <t>info@youngbloodfarm.com</t>
  </si>
  <si>
    <t>173 Polk Rd 252, Grannis, AR, USA 71944</t>
  </si>
  <si>
    <t>173 Polk Rd 252, Grannis, AR 71944, USA</t>
  </si>
  <si>
    <t>34.2594, -94.2761</t>
  </si>
  <si>
    <t>US0053</t>
  </si>
  <si>
    <t>Anthony Cowart</t>
  </si>
  <si>
    <t>Jimmy A Cowart, Steve Anthony Cowart, and Christy Cowart Murphy</t>
  </si>
  <si>
    <t>912-245-0476</t>
  </si>
  <si>
    <t>cowartinc1@bellsouth.net, cowartinc2@bellsouth.net</t>
  </si>
  <si>
    <t>816 GA Highway 56 W Lyons GA 30436-5945</t>
  </si>
  <si>
    <t>11, 14, 18</t>
  </si>
  <si>
    <t>US0054</t>
  </si>
  <si>
    <t>William Franklin</t>
  </si>
  <si>
    <t>334-850-6700, 334-320-1545</t>
  </si>
  <si>
    <t>sherifffranklin@elmoreso.com, luke2a21@gmail.com</t>
  </si>
  <si>
    <t>410 Fortner Rd Wetumpka AL 36092-4229</t>
  </si>
  <si>
    <t>32.627857, -86.179914</t>
  </si>
  <si>
    <t>US0055</t>
  </si>
  <si>
    <t>Billy Strange</t>
  </si>
  <si>
    <t>318-481-1835, 318-481-1833</t>
  </si>
  <si>
    <t>riza_strange@yahoo.com</t>
  </si>
  <si>
    <t>1142 Good Road, Jonesville, Louisiana 71343</t>
  </si>
  <si>
    <t>31.623947, -91.865519</t>
  </si>
  <si>
    <t>12, 18</t>
  </si>
  <si>
    <t>US0057</t>
  </si>
  <si>
    <t>Carl Womack</t>
  </si>
  <si>
    <t>334-701-8363</t>
  </si>
  <si>
    <t>carlwomack1@yahoo.com</t>
  </si>
  <si>
    <t>2536 S County Road 75, Pansey AL 36370-4922</t>
  </si>
  <si>
    <t>31.166019, -85.103106</t>
  </si>
  <si>
    <t>12, 13</t>
  </si>
  <si>
    <t>US0058</t>
  </si>
  <si>
    <t>Chad Payne</t>
  </si>
  <si>
    <t>Chadwin Payne</t>
  </si>
  <si>
    <t>706-741-5396</t>
  </si>
  <si>
    <t>cdpayne1@gmail.com</t>
  </si>
  <si>
    <t>2467 Boyt Rd Yatesville GA 31097-3911</t>
  </si>
  <si>
    <t>32.943417, -84.155063</t>
  </si>
  <si>
    <t>US0059</t>
  </si>
  <si>
    <t>Dale Ratliff</t>
  </si>
  <si>
    <t>W.D. Ratliff</t>
  </si>
  <si>
    <t>386-590-1822, 386-590-1821</t>
  </si>
  <si>
    <t>ratliff4@windstream.net, dratliff50@gmail.com, fallonratliff97@hotmail.com, daleratliff50@gmail.com</t>
  </si>
  <si>
    <t>15949 68th St, Live Oak, FL 32060, USA</t>
  </si>
  <si>
    <t>30.328607, -83.079026</t>
  </si>
  <si>
    <t>13, 14</t>
  </si>
  <si>
    <t>US0060</t>
  </si>
  <si>
    <t>Daniel Perez</t>
  </si>
  <si>
    <t>813-727-1896</t>
  </si>
  <si>
    <t>dpjr01@gmail.com</t>
  </si>
  <si>
    <t>457 Herndon Rd  Lumpkin GA 31815-4702</t>
  </si>
  <si>
    <t>31.942337, -84.868611</t>
  </si>
  <si>
    <t>12</t>
  </si>
  <si>
    <t>US0061</t>
  </si>
  <si>
    <t>Darren Beachem</t>
  </si>
  <si>
    <t>334-782-6461</t>
  </si>
  <si>
    <t>darren.beachem22@gmail.com, darren.beachem@yahoo.com</t>
  </si>
  <si>
    <t>3022 Autumn Wood Dr NW Apt B Huntsville AL 35816-3120</t>
  </si>
  <si>
    <t>22316 US-82 Union Springs, AL 36089-6279</t>
  </si>
  <si>
    <t>32.144117, -85.580865</t>
  </si>
  <si>
    <t>13, 14, 18</t>
  </si>
  <si>
    <t>US0064</t>
  </si>
  <si>
    <t>Ed Davenport</t>
  </si>
  <si>
    <t>770-712-9831</t>
  </si>
  <si>
    <t>davenported91@gmail.com, mnmtrailers@gmail.com</t>
  </si>
  <si>
    <t>490 Whites Bottom Rd Pendergrass GA 30567-2816</t>
  </si>
  <si>
    <t>34.147730, -83.731530</t>
  </si>
  <si>
    <t>US0065</t>
  </si>
  <si>
    <t>Glenn Sanders</t>
  </si>
  <si>
    <t>Glen Sanders</t>
  </si>
  <si>
    <t>706-714-4180</t>
  </si>
  <si>
    <t>gsand1956@gmail.com</t>
  </si>
  <si>
    <t>184 Bunker Hill Rd Crawford GA 30630-2410</t>
  </si>
  <si>
    <t>3345 Robert Hardeman Rd, Winterville, GA 30683, USA</t>
  </si>
  <si>
    <t>33.925245, -83.275859</t>
  </si>
  <si>
    <t>US0066</t>
  </si>
  <si>
    <t>Glenn Preskitt</t>
  </si>
  <si>
    <t>334-652-5278, 334-567-5600</t>
  </si>
  <si>
    <t>mattpreskitt@gmail.com</t>
  </si>
  <si>
    <t>4536 Grier Rd Wetumpka AL 36092-6104</t>
  </si>
  <si>
    <t>3990 Grier Rd. Wetumpka AL 36092-4214</t>
  </si>
  <si>
    <t>11, 12, 13, 14, 18</t>
  </si>
  <si>
    <t>US0067</t>
  </si>
  <si>
    <t>Guy Goodson</t>
  </si>
  <si>
    <t>334-726-4064</t>
  </si>
  <si>
    <t>gcgoodson@yahoo.com</t>
  </si>
  <si>
    <t>6810 N County 33 Rd, Columbia AL 36319-4026</t>
  </si>
  <si>
    <t>2148 Hunter Rd, Columbia, AL 36319, USA</t>
  </si>
  <si>
    <t>31.246499, -85.161864</t>
  </si>
  <si>
    <t>2, 12, 18</t>
  </si>
  <si>
    <t>US0068</t>
  </si>
  <si>
    <t>Jeff Barnes</t>
  </si>
  <si>
    <t>Richard and Trudie Barnes</t>
  </si>
  <si>
    <t>334-312-5528</t>
  </si>
  <si>
    <t>jmbarnes65@gmail.com</t>
  </si>
  <si>
    <t>6170 Vine Dr Andalusia AL 36420-6714</t>
  </si>
  <si>
    <t>31.080472, -86.570887</t>
  </si>
  <si>
    <t>US0069</t>
  </si>
  <si>
    <t>Jeff George</t>
  </si>
  <si>
    <t>601-527-1366, 601-743-2647</t>
  </si>
  <si>
    <t>jeff@tjsubway.net</t>
  </si>
  <si>
    <t>8834 Highway 495 S, De Kalb, MS 39328-7173</t>
  </si>
  <si>
    <t>32.675524, -88.847579</t>
  </si>
  <si>
    <t>11, 13, 14</t>
  </si>
  <si>
    <t>US0070</t>
  </si>
  <si>
    <t>Jeff Rice</t>
  </si>
  <si>
    <t>Jeffrey Rice</t>
  </si>
  <si>
    <t>334-728-3304</t>
  </si>
  <si>
    <t>Jetney7@gmail.com</t>
  </si>
  <si>
    <t>376 County Shop Rd Dadeville AL 36853-3706</t>
  </si>
  <si>
    <t>31.26, -89.8300000</t>
  </si>
  <si>
    <t>2, 12, 14</t>
  </si>
  <si>
    <t>US0071</t>
  </si>
  <si>
    <t>Jim West</t>
  </si>
  <si>
    <t>706-200-6522</t>
  </si>
  <si>
    <t>westjb@hotmail.com</t>
  </si>
  <si>
    <t>2984 Highway 255 South, Sautee Nacoochee, GA 30571, USA</t>
  </si>
  <si>
    <t>2984 Georgia 255, Sautee Nacoochee, GA, USA</t>
  </si>
  <si>
    <t>34.704052, -83.659809</t>
  </si>
  <si>
    <t>US0072</t>
  </si>
  <si>
    <t>John Hayes</t>
  </si>
  <si>
    <t>Hayes Farms LLC</t>
  </si>
  <si>
    <t>334-726-8074</t>
  </si>
  <si>
    <t>john.hayes09@icloud.com</t>
  </si>
  <si>
    <t>5053 Pansey Rd Pansey AL 36370-4059</t>
  </si>
  <si>
    <t>31.157609, -85.167070</t>
  </si>
  <si>
    <t>US0073</t>
  </si>
  <si>
    <t>Joseph Garrett</t>
  </si>
  <si>
    <t>334-726-5737</t>
  </si>
  <si>
    <t>trac9to8r@yahoo.com</t>
  </si>
  <si>
    <t>1033 McDaniel Rd, Ashford AL 36312-5627</t>
  </si>
  <si>
    <t>31.157525, -85.197849</t>
  </si>
  <si>
    <t>US0074</t>
  </si>
  <si>
    <t>Josh Allen</t>
  </si>
  <si>
    <t>770-826-1573</t>
  </si>
  <si>
    <t>jlabowhunter@yahoo.com</t>
  </si>
  <si>
    <t>1924 County Road 104 Muscadine AL 36269-3198</t>
  </si>
  <si>
    <t>33.685657, -85.343371</t>
  </si>
  <si>
    <t>US0075</t>
  </si>
  <si>
    <t>Justin Brewer</t>
  </si>
  <si>
    <t>229-947-9400</t>
  </si>
  <si>
    <t>brewer_justin90@yahoo.com</t>
  </si>
  <si>
    <t>134 Powers Rd, Cordele, Georgia, 31015-7904</t>
  </si>
  <si>
    <t>32.019754, -83.626989</t>
  </si>
  <si>
    <t>US0076</t>
  </si>
  <si>
    <t>Kim Martens</t>
  </si>
  <si>
    <t>608-852-5395, 678-595-0537</t>
  </si>
  <si>
    <t>kmartens8482@gmail.com, kim.empressenterprise@gmail.com, kim@empressenterprise.net</t>
  </si>
  <si>
    <t>516 County Road 664, Roanoke, AL 36274, USA</t>
  </si>
  <si>
    <t>33.148289, -85.301667</t>
  </si>
  <si>
    <t>US0077</t>
  </si>
  <si>
    <t>Mike Porter</t>
  </si>
  <si>
    <t>Mike Porter and Teri Galardi</t>
  </si>
  <si>
    <t>702-406-7479</t>
  </si>
  <si>
    <t>mikeporter64@gmail.com</t>
  </si>
  <si>
    <t>2146 Highway 42 S Flovilla GA 30216-2318</t>
  </si>
  <si>
    <t>33.218413, -83.932813</t>
  </si>
  <si>
    <t>2, 11, 12</t>
  </si>
  <si>
    <t>US0078</t>
  </si>
  <si>
    <t>Pete Preskitt</t>
  </si>
  <si>
    <t>334-651-1377</t>
  </si>
  <si>
    <t>ppreskitt@icloud.com</t>
  </si>
  <si>
    <t>2140 Weoka Rd Wetumpka AL 36092-4520</t>
  </si>
  <si>
    <t>32.617043, -86.203639</t>
  </si>
  <si>
    <t>US0079</t>
  </si>
  <si>
    <t>Peter Kampmann</t>
  </si>
  <si>
    <t>530-514-5947, 530-520-0961</t>
  </si>
  <si>
    <t>heartkamp@gmail.com</t>
  </si>
  <si>
    <t>4955 Wilson Hill Road, Manton, California 96059, USA</t>
  </si>
  <si>
    <t>40.450869, -121.877380</t>
  </si>
  <si>
    <t>2, 11, 12, 13, 14, 20, TG Cool</t>
  </si>
  <si>
    <t>US0080</t>
  </si>
  <si>
    <t>Randy Grant</t>
  </si>
  <si>
    <t>334-504-8494</t>
  </si>
  <si>
    <t>bigoak2019@gmail.com</t>
  </si>
  <si>
    <t>4264 Morgan Mill Rd Brantley AL 36009-3207</t>
  </si>
  <si>
    <t>31.452362, -86.213403</t>
  </si>
  <si>
    <t>2, 12, 13, 14, 18</t>
  </si>
  <si>
    <t>US0081</t>
  </si>
  <si>
    <t>Ricky Mitchell</t>
  </si>
  <si>
    <t>334-654-4553</t>
  </si>
  <si>
    <t>mitchellricky799@gmail.com, 754mitchell@gmail.com</t>
  </si>
  <si>
    <t>29306 US Highway 331 Opp AL 36467-5640</t>
  </si>
  <si>
    <t>32.49, -86.5100000</t>
  </si>
  <si>
    <t>US0082</t>
  </si>
  <si>
    <t>Ronnie and Kent Mathis</t>
  </si>
  <si>
    <t>Ronnie Mathis</t>
  </si>
  <si>
    <t>706-499-6493, 706 499 1501</t>
  </si>
  <si>
    <t>ronmountainearthfarms@gmail.com, kentrm1@yahoo.com</t>
  </si>
  <si>
    <t>PO Box 1592 Cornelia GA 30531-1026</t>
  </si>
  <si>
    <t>260 Hollywood Hwy Clarkesville GA 30523-4731</t>
  </si>
  <si>
    <t>34.43919, -83.23246</t>
  </si>
  <si>
    <t>2, 14, 18</t>
  </si>
  <si>
    <t>US0083</t>
  </si>
  <si>
    <t>Russell and Sedalia Nelson</t>
  </si>
  <si>
    <t>251-747-0140, 251-269-8749</t>
  </si>
  <si>
    <t>russell17852@gmail.com</t>
  </si>
  <si>
    <t>1154 Hunter Rd Columbia AL 36319-4018</t>
  </si>
  <si>
    <t>31.246976, -85.178192</t>
  </si>
  <si>
    <t>US0084</t>
  </si>
  <si>
    <t>Scott Fenn</t>
  </si>
  <si>
    <t>334 546 8921</t>
  </si>
  <si>
    <t>scottf@southerngrowers.com, fennjam@hotmail.com</t>
  </si>
  <si>
    <t>Southern Growers, 3601 Wetumpka Highway, Montgomery, AL 36110, USA</t>
  </si>
  <si>
    <t>3601 Wetumpka Highway Montgomery AL 36110</t>
  </si>
  <si>
    <t>31.9851774, -85.5246404</t>
  </si>
  <si>
    <t>US0085</t>
  </si>
  <si>
    <t>Scott Landreau</t>
  </si>
  <si>
    <t>Cidney Scott and Stuart Page Landreau</t>
  </si>
  <si>
    <t>334-303-0827</t>
  </si>
  <si>
    <t>landreauinc@yahoo.com, scott2lallc@yahoo.com, Mklandreau@yahoo.com</t>
  </si>
  <si>
    <t>3063 Little Road, Tallassee, AL 36078-3267</t>
  </si>
  <si>
    <t>494 State Hwy 26, Hatchechubbee, AL, USA</t>
  </si>
  <si>
    <t>32.278489, -85.247919</t>
  </si>
  <si>
    <t>2, 11, 14, 18</t>
  </si>
  <si>
    <t>US0088</t>
  </si>
  <si>
    <t>Will Allen</t>
  </si>
  <si>
    <t>256-846-0777</t>
  </si>
  <si>
    <t>willallen78@gmail.com</t>
  </si>
  <si>
    <t>516 Co Rd 482, Heflin, AL, USA</t>
  </si>
  <si>
    <t>County Road 482, Heflin, AL 36264, USA</t>
  </si>
  <si>
    <t>33.621869, -85.456980</t>
  </si>
  <si>
    <t>11, 12</t>
  </si>
  <si>
    <t>CR0061</t>
  </si>
  <si>
    <t>CR0035</t>
  </si>
  <si>
    <t>Alex Donato Arguedas Arroyo</t>
  </si>
  <si>
    <t>(506) 8393-8278, (506)-8386-1055</t>
  </si>
  <si>
    <t>ganaderiada@gmail.com</t>
  </si>
  <si>
    <t>500m Oeste del supermercado La Canastica, La Guácima, Alajuela.</t>
  </si>
  <si>
    <t>el distrito 3-Rita cantón 2-Pococi de la provincia de Limón</t>
  </si>
  <si>
    <t>10.3787110, -83.8081410</t>
  </si>
  <si>
    <t>CR0036</t>
  </si>
  <si>
    <t>Alexander Abarca Ortega</t>
  </si>
  <si>
    <t>El Edén de los Abarca S.A</t>
  </si>
  <si>
    <t>8694-3131</t>
  </si>
  <si>
    <t>03abarca@gmail.com, adavidabarca@gmail.com</t>
  </si>
  <si>
    <t>Limón Pocosí Guápiles, de la iglesia católica de Toro Amarillo 200m norte y 75 este</t>
  </si>
  <si>
    <t>DISTRITO 2- BATAN CANTON 5-MATINA DE LA PROVINCIA DE LIMON, Costa Rica,</t>
  </si>
  <si>
    <t>10.061023, -83.390802</t>
  </si>
  <si>
    <t>CR0037</t>
  </si>
  <si>
    <t>Ana Wolfe Arce</t>
  </si>
  <si>
    <t>Hermanos Wolfe Arce S.A</t>
  </si>
  <si>
    <t>506 84963507, +506 61159707, 84963507</t>
  </si>
  <si>
    <t>aiwa1069@hotmail.com</t>
  </si>
  <si>
    <t>Limón, Matina, Batan, 28 millas 75m al este de la escuela</t>
  </si>
  <si>
    <t>10.1003100, -83.3830780</t>
  </si>
  <si>
    <t>CR0038</t>
  </si>
  <si>
    <t>Anastacio Castillo</t>
  </si>
  <si>
    <t>CR0039</t>
  </si>
  <si>
    <t>Mauricio Alvarado</t>
  </si>
  <si>
    <t>Ania Monge Chavarria </t>
  </si>
  <si>
    <t>8449-5753, 506 8443 5753</t>
  </si>
  <si>
    <t>agus1092@hotmail.com</t>
  </si>
  <si>
    <t>San Ignacio de Acosta 1 km al oeste de la iglesia de Chirraca</t>
  </si>
  <si>
    <t>el distrito 3-Palmichal cantón 12-Acosta de la provincia de San José, Costa Rica</t>
  </si>
  <si>
    <t>9.814743, -84.175211</t>
  </si>
  <si>
    <t>CR0040</t>
  </si>
  <si>
    <t>Marco Pacheco</t>
  </si>
  <si>
    <t>Aracelly Sanchez Rojas</t>
  </si>
  <si>
    <t>8858-1627, 8503-2348, 2259-6150</t>
  </si>
  <si>
    <t>Yarima.sandoval@gmail.com</t>
  </si>
  <si>
    <t>San José, Desamparados, Urbanización Monte Claro, casa D5-1</t>
  </si>
  <si>
    <t>9.937280, -84.4446730</t>
  </si>
  <si>
    <t>CR0041</t>
  </si>
  <si>
    <t>Carlos Peña</t>
  </si>
  <si>
    <t>506-6076-0838</t>
  </si>
  <si>
    <t>carlosdec@gmail.com</t>
  </si>
  <si>
    <t>Rohrmoser, Pavas, costado norte del Colegio Humbolt, 4ta casa a mano izquierda</t>
  </si>
  <si>
    <t>DISTRITO 3-SAN JUAN CANTON 7-ABANGARES DE LA PROVINCIA DE GUANACASTE, Costa Rica</t>
  </si>
  <si>
    <t>10.2500530, -84.8776320</t>
  </si>
  <si>
    <t>CR0042</t>
  </si>
  <si>
    <t>Didier Alfaro Alvarado</t>
  </si>
  <si>
    <t>Didier Jose Alfaro Alvarado</t>
  </si>
  <si>
    <t>506-8521-1397, 506-8551-4454</t>
  </si>
  <si>
    <t>didier-alfaro@hotmail.es, alexis.aa@gmail.com</t>
  </si>
  <si>
    <t>300m SO del bar la Central en San Juan, Bolivar de Grecia</t>
  </si>
  <si>
    <t>el distrito 13-pocosol Canton 10-San Carlos de la provincia de Alajuela, Costa Rica</t>
  </si>
  <si>
    <t>10.7701, -84.5141</t>
  </si>
  <si>
    <t>CR0043</t>
  </si>
  <si>
    <t>Diego Gerardo Fernandez Barboza</t>
  </si>
  <si>
    <t>87512200</t>
  </si>
  <si>
    <t>diegobarboza2062@gmail.com</t>
  </si>
  <si>
    <t>900 m Norte de la escuela los Ceibos en la unión de Guatuso</t>
  </si>
  <si>
    <t>EL DISTRITO 2-BUENA VISTA CANTON 15-GUATUSO DE LA PROVINCIA DE ALAJUELA, Costa Rica</t>
  </si>
  <si>
    <t>10.7950000, -084.8700000</t>
  </si>
  <si>
    <t>CR0044</t>
  </si>
  <si>
    <t>Diogenes Cubero</t>
  </si>
  <si>
    <t>8312-1516</t>
  </si>
  <si>
    <t>dioqbero@gmail.com</t>
  </si>
  <si>
    <t>Pijije de Bagaces, Guanacaste, 800m suroeste de la escuela, casa amarilla, mano izquierda</t>
  </si>
  <si>
    <t>DISTRITO 6-ESQUIPULAS CANTON 7-PALMARES DE LA PROVINCIA DE ALAJUELA, Costa Rica,</t>
  </si>
  <si>
    <t>10.070442, -84.415962</t>
  </si>
  <si>
    <t>CR0045</t>
  </si>
  <si>
    <t>Donald Diaz Rojas</t>
  </si>
  <si>
    <t>8899-9775, 5712-2326.</t>
  </si>
  <si>
    <t>donalddr79@gmail.com</t>
  </si>
  <si>
    <t>150m al sur del colegio técnico, San José de San Pablo, Turrubares.</t>
  </si>
  <si>
    <t>DISTRITO 5-CUREÑA CANTON 10-SARAPIQUI DE LA PROVINCIA DE HEREDIA, Costa Rica</t>
  </si>
  <si>
    <t>10.681722, -84.068329</t>
  </si>
  <si>
    <t>CR0046</t>
  </si>
  <si>
    <t>Enrique Quiroz</t>
  </si>
  <si>
    <t>Elia Araya Guzman</t>
  </si>
  <si>
    <t>83063090 , 7021-3625</t>
  </si>
  <si>
    <t>eligas8@gmail.com</t>
  </si>
  <si>
    <t>Alajuela, San Carlos, Cuidad Quesada, calle Gamboa, 150m este del taller Chicho.</t>
  </si>
  <si>
    <t>EL DISTRITO 3-EL AMPARO CANTON 14-LOS CHILES DE LA PROVINCIA DE ALAJUELA, Costa Rica</t>
  </si>
  <si>
    <t>10.8096, -84.6369</t>
  </si>
  <si>
    <t>CR0047</t>
  </si>
  <si>
    <t>Francisco Ramirez</t>
  </si>
  <si>
    <t>Emidey Ramirez</t>
  </si>
  <si>
    <t>506-8718-4363</t>
  </si>
  <si>
    <t>fr308099@gmail.com</t>
  </si>
  <si>
    <t>De la escuela Los Ángeles de Colinas de Puntarenas 700m al Sur Oeste</t>
  </si>
  <si>
    <t>El distrito 6- Colinas Cantón 3-Buenos Aires de la provincia de Puntarenas Costa Rica</t>
  </si>
  <si>
    <t>9.0522990, -83.4801100</t>
  </si>
  <si>
    <t>CR0048</t>
  </si>
  <si>
    <t xml:space="preserve">Marijose Apestegui </t>
  </si>
  <si>
    <t>El anillo de doña Emilia S.A</t>
  </si>
  <si>
    <t>6345-6387</t>
  </si>
  <si>
    <t>marijoseapestegui@gmail.com</t>
  </si>
  <si>
    <t>Palmira, Carrillo, Guanacaste. Del Lagar Dolt Center 500m NO. Entrada de piedra a mano izquierda finca Linares</t>
  </si>
  <si>
    <t>el distrito 2-palmira canton 5-carrillo de la provincia de guanacaste, costa rica</t>
  </si>
  <si>
    <t>10.5613210, -85.5959160</t>
  </si>
  <si>
    <t>CR0049</t>
  </si>
  <si>
    <t>Gregorio Corella</t>
  </si>
  <si>
    <t>8775-4304</t>
  </si>
  <si>
    <t>corella30g@gmail.com</t>
  </si>
  <si>
    <t>Asentamiento el Paraíso, 300 m Suroeste bazar Sandra</t>
  </si>
  <si>
    <t>EL DISTRITO 14-SARAPIQUI CANTON 1-ALAJUELA DE LA PROVINCIA DE ALAJUELA, Costa Rica</t>
  </si>
  <si>
    <t>10.4020950, -84.1630570</t>
  </si>
  <si>
    <t>CR0050</t>
  </si>
  <si>
    <t xml:space="preserve">Ismael Chaves </t>
  </si>
  <si>
    <t>8394-1098</t>
  </si>
  <si>
    <t>ismaelchaves59@hotmail.com</t>
  </si>
  <si>
    <t>00m sur y  100m oeste del Scotiabank, Liberia, Guanacaste</t>
  </si>
  <si>
    <t>el distrito 6-dos rios canton 13-upala de la provincia de alajuela, Costa rica</t>
  </si>
  <si>
    <t>10.94816, -85.378762</t>
  </si>
  <si>
    <t>CR0051</t>
  </si>
  <si>
    <t>Jeison Espinoza</t>
  </si>
  <si>
    <t>6033-5997</t>
  </si>
  <si>
    <t>Jespinoza@colonos.com</t>
  </si>
  <si>
    <t>750m NO de la iglesia Catolica de Tukankir 1, Guatuso Alajuela</t>
  </si>
  <si>
    <t>el distrito 4-Katira Canton 15-Guatuso de la provincia de Alajuela</t>
  </si>
  <si>
    <t>10.7634470, -84.8849640</t>
  </si>
  <si>
    <t>CR0052</t>
  </si>
  <si>
    <t>Jerry Myers</t>
  </si>
  <si>
    <t>Tengo Fuera S.A</t>
  </si>
  <si>
    <t>506 8626 5530, 506-8910-8202, 239-851-2700</t>
  </si>
  <si>
    <t>amaninchedda96@gmail.com, ily0523@hotmail.com, jerry.myers@gmail.com</t>
  </si>
  <si>
    <t>Barrio Vasquez, San Rafael de Santa Ana. Del Centro de Desarrollo Humano 50m NO. Apartado postal: 75-6150 Santa Ana, San Jose, Costa Rica</t>
  </si>
  <si>
    <t>el distrito 2-Desmonte canton 4-San Mateo de la provincia de Alajuela, Costa Rica</t>
  </si>
  <si>
    <t>9.948961, -84.476863</t>
  </si>
  <si>
    <t>CR0053</t>
  </si>
  <si>
    <t xml:space="preserve">Jose Eduardo Esquivel </t>
  </si>
  <si>
    <t>8820-9988, 8920-9639</t>
  </si>
  <si>
    <t>Fernando.esquivel.arce@gmail.com, pardosc123@gmail.com</t>
  </si>
  <si>
    <t>150m noreste del puente la cazuela, San Pablo. Ciudad Quesada.</t>
  </si>
  <si>
    <t>Bajo de Chilamate, del rancho Magallanes 800m este, 200m sur y 400m este</t>
  </si>
  <si>
    <t>10.4592560, -84.0859000</t>
  </si>
  <si>
    <t>CR0054</t>
  </si>
  <si>
    <t>Karlos Bolaños</t>
  </si>
  <si>
    <t>CR0055</t>
  </si>
  <si>
    <t>Laura Blanco</t>
  </si>
  <si>
    <t>8642-5654</t>
  </si>
  <si>
    <t>laublanco29383@gmail.com</t>
  </si>
  <si>
    <t>Pejibaye, Perez Zeledon</t>
  </si>
  <si>
    <t>el distrito 7-pejibaye canton 19-perez zeledon de la provincia de san jose, costa rica</t>
  </si>
  <si>
    <t>9.154319, -83.550926</t>
  </si>
  <si>
    <t>CR0056</t>
  </si>
  <si>
    <t>Luis Alonso Salazar Rodriguez</t>
  </si>
  <si>
    <t>LKC Arrendamientos S.A</t>
  </si>
  <si>
    <t>8469-6085</t>
  </si>
  <si>
    <t>asalazar@salazarabogados.net</t>
  </si>
  <si>
    <t>San José Province, San Pablo, Costa Rica</t>
  </si>
  <si>
    <t>el distrito 3- San Juan de Mata, cantón 16-Turrubares de la provincia de San José, Costa Rica</t>
  </si>
  <si>
    <t>9.813735,-84.521880</t>
  </si>
  <si>
    <t>CR0057</t>
  </si>
  <si>
    <t>Marco Fiorio</t>
  </si>
  <si>
    <t>8770-9822, (506) 8615-4445</t>
  </si>
  <si>
    <t>marco.f.fiorio@gmail.com</t>
  </si>
  <si>
    <t>1 Km Oeste de la escuela de Hamacas, Pittier Coto Brus</t>
  </si>
  <si>
    <t>Pittier de Coto Brus, Puntarenas, Costa Rica</t>
  </si>
  <si>
    <t>8.994306, -82.996704</t>
  </si>
  <si>
    <t>CR0058</t>
  </si>
  <si>
    <t>Marco Mora</t>
  </si>
  <si>
    <t>8584-2076</t>
  </si>
  <si>
    <t>info@cgextintores.com</t>
  </si>
  <si>
    <t>Salitral de Santa Ana cincuenta metros oeste de la delegación de Fuerza Pública.</t>
  </si>
  <si>
    <t>el distrito segundo Salitral, cantón noveno, Santa Ana de la provincia de San José, Costa Rica</t>
  </si>
  <si>
    <t>9.9029650, -84.1790050</t>
  </si>
  <si>
    <t>CR0059</t>
  </si>
  <si>
    <t>Marianela Campos</t>
  </si>
  <si>
    <t>Marianela Campos Campos</t>
  </si>
  <si>
    <t>506-8580-1567, 506-8525-3436</t>
  </si>
  <si>
    <t>vane18ka471@gmail.com</t>
  </si>
  <si>
    <t>Upala Centro, 150m Norte del MAG</t>
  </si>
  <si>
    <t>el distrito 2-Cano Negro, canton 14-Los Chiles de la provincia de Alajuela, Costa Rica</t>
  </si>
  <si>
    <t>10.8637164, -84.8670888</t>
  </si>
  <si>
    <t>CR0060</t>
  </si>
  <si>
    <t>Marleni Oporta Castillo</t>
  </si>
  <si>
    <t>8577-7454</t>
  </si>
  <si>
    <t>sibethlopez2001@gmail.com</t>
  </si>
  <si>
    <t>De la escuela San Luis 600m Norte, parcela 33. San Luis de Dos Rios</t>
  </si>
  <si>
    <t>el distrito 6-dos rios canton 13-upala de la provincia de alajuela, Costa Rica</t>
  </si>
  <si>
    <t>10.937500, -85.365000</t>
  </si>
  <si>
    <t>CR0062</t>
  </si>
  <si>
    <t>Mercedes Barboza</t>
  </si>
  <si>
    <t>Mercedez Barboza</t>
  </si>
  <si>
    <t>87512200, 8363-3137</t>
  </si>
  <si>
    <t>900m de la escuela los Ceibos, la Unión de Guatuso</t>
  </si>
  <si>
    <t>el distrito 2-Buena Vista, cantón 15-Guatuso de la provincia de Alajuela, Costa Rica</t>
  </si>
  <si>
    <t>10.7950000, -84.8722222</t>
  </si>
  <si>
    <t>CR0063</t>
  </si>
  <si>
    <t>Olger Monge</t>
  </si>
  <si>
    <t>7132-5754, 87123143</t>
  </si>
  <si>
    <t>ser1229@yahoo.es, olgermonge04@gmail.com</t>
  </si>
  <si>
    <t>San José de Acosta Chirraca, contiguo a la terminal de buses Monge, casa color amarilla</t>
  </si>
  <si>
    <t>distrito 3-Palmichal, cantón 12-Acosta de la provincia de San José, Costa Rica</t>
  </si>
  <si>
    <t>9.822226, -84.173046</t>
  </si>
  <si>
    <t>CR0064</t>
  </si>
  <si>
    <t>Marvin Chavarria</t>
  </si>
  <si>
    <t>Oswaldo Alvarez</t>
  </si>
  <si>
    <t>(506) 8877-7710, (506) 7075-0880</t>
  </si>
  <si>
    <t>begocarrental@gmail.com</t>
  </si>
  <si>
    <t>Media Vuelta, 400m Norte de la Iglesia Catolica. Sarapiqui, Heredia</t>
  </si>
  <si>
    <t>el distrito 1-Puerto Viejo, Canton 10-Sarapiqui de la provincia de Heredia, Costa Rica</t>
  </si>
  <si>
    <t>10.38712, -83.57776</t>
  </si>
  <si>
    <t>CR0065</t>
  </si>
  <si>
    <t>Roy Damian Campos</t>
  </si>
  <si>
    <t>89805576</t>
  </si>
  <si>
    <t>cazuca.czc@gmail.com</t>
  </si>
  <si>
    <t>300 metros oeste de la Gasolinera La Lucha, La Tigra San Carlos</t>
  </si>
  <si>
    <t>EN EL DISTRITO 8-ANGELES CANTON 2-SAN RAMON DE LA PROVINCIA DE ALAJUELA</t>
  </si>
  <si>
    <t>10.3508, -84.6472</t>
  </si>
  <si>
    <t>CR0066</t>
  </si>
  <si>
    <t>Victor Godinez</t>
  </si>
  <si>
    <t>AGRICOLA BUENA VISTA EL ALTO S.A</t>
  </si>
  <si>
    <t>506 8868-9602, 8868-9602</t>
  </si>
  <si>
    <t>buenavistaagricola@gmail.com</t>
  </si>
  <si>
    <t>100N de la esucla de San Lorenzo de Tarrazu, San Jose, Costa Rica</t>
  </si>
  <si>
    <t>9.584145, -84.044777</t>
  </si>
  <si>
    <t>CR0067</t>
  </si>
  <si>
    <t>Victor Sibaja Elizondo</t>
  </si>
  <si>
    <t>8542-3910, 8498-8324</t>
  </si>
  <si>
    <t>sibajaelizondovictor@gmail.com</t>
  </si>
  <si>
    <t>1 km al este de la escuela de Esquipulas</t>
  </si>
  <si>
    <t>el distrito 11-Cutris Canton 10-San Carlos de la provincia de Alajuela, Costa Rica</t>
  </si>
  <si>
    <t>10.6152, -84.3317</t>
  </si>
  <si>
    <t>CR0068</t>
  </si>
  <si>
    <t>Wilberth Jesus Alfaro</t>
  </si>
  <si>
    <t>506-8983-8148, 506-8505-5669, 506-8318-5891</t>
  </si>
  <si>
    <t>eve_728@hotmail.com</t>
  </si>
  <si>
    <t>Diagonal a ferreteria Canlete en Canelete de Upala</t>
  </si>
  <si>
    <t>el distrito 8-Canalete canton 13-Uplala de la provincia de Alajuela, Costa Rica</t>
  </si>
  <si>
    <t>10.8283, -85.0779</t>
  </si>
  <si>
    <t>CR0069</t>
  </si>
  <si>
    <t>Wilman Alvarado</t>
  </si>
  <si>
    <t>506-8875-4687</t>
  </si>
  <si>
    <t>wtecnifrutas@gmail.com</t>
  </si>
  <si>
    <t>Santa Isabel Rio Cuarto de Alajuela</t>
  </si>
  <si>
    <t>10.058027, -84.456474</t>
  </si>
  <si>
    <t>10.057484, -84.4583290</t>
  </si>
  <si>
    <t>GT0022</t>
  </si>
  <si>
    <t>GT0012</t>
  </si>
  <si>
    <t>Alvaro Antonio Guzman Rodas</t>
  </si>
  <si>
    <t>(502) 46849832</t>
  </si>
  <si>
    <t>alvaroguzmanrodas@gmail.com</t>
  </si>
  <si>
    <t>3ª AVENIDA 8-73, ZONA 1, MUNICIPIO DE ESQUIPULAS, DEPAR-TAMENTO DE CHIQUIMULA</t>
  </si>
  <si>
    <t>CRUZ ALTA, ALDEA CRUZ ALTA, MUNICIPIO DE ESQUIPULAS, DEPARTA-MENTO DE CHIQUIMULA</t>
  </si>
  <si>
    <t>14.569028, -89.387389</t>
  </si>
  <si>
    <t>GT0013</t>
  </si>
  <si>
    <t>Axel Duarte Duarte</t>
  </si>
  <si>
    <t>Axel Gamaliel Duarte Duarte</t>
  </si>
  <si>
    <t>(502) 57827512</t>
  </si>
  <si>
    <t>darinelld@hotmail.com</t>
  </si>
  <si>
    <t>2ª CALLE C 0-57, ZONA 2, BARRIO DE LA ESPERANZA, MUNICIPIO DE JALAPA, DEPARTAMENTO DE JALAPA, GUATEMALA</t>
  </si>
  <si>
    <t>ALDEA SAN IGNACIO, MUNIPICIO DE JALAPA, DEPARTAMENTO DE JALAPA</t>
  </si>
  <si>
    <t>14.7226790, -90.0106004</t>
  </si>
  <si>
    <t>GT0014</t>
  </si>
  <si>
    <t>Boris Garza</t>
  </si>
  <si>
    <t>Borigar S.A. Carmen Lucía Garza López</t>
  </si>
  <si>
    <t>+502 41231219, (502) 79430065</t>
  </si>
  <si>
    <t>gerenciadenegocios@gmail.com</t>
  </si>
  <si>
    <t>3ª CALLE 1-85, ZONA 3, MUNICIPIO DE ESQUIPULAS, DEPARTA-MENTO DE CHIQUIMULA</t>
  </si>
  <si>
    <t>Finca La Papayera, aldea Cidabenque, Melchor de Mencos, El Petén</t>
  </si>
  <si>
    <t>14.5684073, -89.3669417; 17.004972, -89.243806</t>
  </si>
  <si>
    <t>GT0015</t>
  </si>
  <si>
    <t>Carlos López</t>
  </si>
  <si>
    <t>Carlos Adolfo López Letona</t>
  </si>
  <si>
    <t>(502) 55163538</t>
  </si>
  <si>
    <t>carloslopezletona@gmail.com</t>
  </si>
  <si>
    <t>Lotificación Guayacán, 7ª calle final, Casa # 2, Coatepeque, Quetzaltenango</t>
  </si>
  <si>
    <t>Municipio de Flores Costa Cuca, departamento Quetzaltenango</t>
  </si>
  <si>
    <t>14.670583, -91.861889</t>
  </si>
  <si>
    <t>GT0016</t>
  </si>
  <si>
    <t>Ricardo Chacón</t>
  </si>
  <si>
    <t xml:space="preserve">Cartago S.A./ Elsa De Chacón </t>
  </si>
  <si>
    <t>(502) 40603843</t>
  </si>
  <si>
    <t>rchacony@cartagofresh.com</t>
  </si>
  <si>
    <t>FINCA 16095 FOLIO 112 LIBRO 84 DE SANTA ROSA</t>
  </si>
  <si>
    <t>Aldea las violetas, municipio de taxisco, dept de santa rosa, Guatemala</t>
  </si>
  <si>
    <t>14.075889, -90.571944</t>
  </si>
  <si>
    <t>GT0017</t>
  </si>
  <si>
    <t>David Horacio Estrada - Asoverde</t>
  </si>
  <si>
    <t>(502) 56940037</t>
  </si>
  <si>
    <t>estradahoracio@yahoo.es</t>
  </si>
  <si>
    <t>ASOCIACION DE DESARROLLO VERDE DE GUATEMALA - ASOVERDE, CASA NÚMERO 4, COLONIA PRADOS DE CANNAN, MUNICIPIO DE CHIQUIMULA, DEPARTAMENTO DE CHIQUIMULA</t>
  </si>
  <si>
    <t>ALDEA EL DURAZNO, MUNICIPIO DE CHIQUIMULA, DEPARTAMENTO DE CHIQUIMULA</t>
  </si>
  <si>
    <t>14.8485947, -89.6783307</t>
  </si>
  <si>
    <t>GT0018</t>
  </si>
  <si>
    <t>Emilia Beatriz Lopez Letona</t>
  </si>
  <si>
    <t>(502) 54049842</t>
  </si>
  <si>
    <t>bittylopez@hotmail.com</t>
  </si>
  <si>
    <t>FINCA PANAMÁ, MUNICIPIO DE FLORES COSTA CUCA, DEPARTAMENTO DE QUETZALTENANGO</t>
  </si>
  <si>
    <t>14.664795, -91.860090</t>
  </si>
  <si>
    <t>GT0019</t>
  </si>
  <si>
    <t>Hamblin Duarte</t>
  </si>
  <si>
    <t>Emilsa Natalia Guzman Leiva</t>
  </si>
  <si>
    <t>GT0020</t>
  </si>
  <si>
    <t>Giovanni Musella</t>
  </si>
  <si>
    <t>GT0021</t>
  </si>
  <si>
    <t>Jaime Rolando Maximino Perez Hernández</t>
  </si>
  <si>
    <t>(502) 57744044</t>
  </si>
  <si>
    <t>ca.shell@yahoo.com</t>
  </si>
  <si>
    <t>KM 13 CARRETERA A EL SALVADOR, CONDOMINIO LAS LUCES LIRIOS 8, MUNICIPIO DE SANTA CATARINA PINULA, DEPARTAMENTO DE GUATEMALA</t>
  </si>
  <si>
    <t>LOTE 11 DE SANTO TOMAS DE CASTILLA, MUNICIPIO DE PUERTO BA-RRIOS, DEPARTAMENTO DE IZABAL</t>
  </si>
  <si>
    <t>15.6174366, -88.550626</t>
  </si>
  <si>
    <t>GT0023</t>
  </si>
  <si>
    <t>José Francisco Castillo Vásquez</t>
  </si>
  <si>
    <t>(502) 56900614</t>
  </si>
  <si>
    <t>aecv2003@hotmail.com</t>
  </si>
  <si>
    <t>14 AVENIDA A 0-77, ZONA 1, MUNICIPIO DE QUETZALTENANGO, DEPARTAMENTO DE QUETZALTENANGO</t>
  </si>
  <si>
    <t>FINCA LA SOLA, LAS PASCUAS, MUNICIPIO DE SAN CRISTOBAL CUCHO, DEPARTAMENTO DE SAN MARCOS</t>
  </si>
  <si>
    <t>14.844633, -91.779992</t>
  </si>
  <si>
    <t>GT0024a</t>
  </si>
  <si>
    <t>Julio Francisco Morán Pérez</t>
  </si>
  <si>
    <t>(502) 56972396</t>
  </si>
  <si>
    <t>julmora213@gmail.com</t>
  </si>
  <si>
    <t>14 A VENIDA LAS AMERICAS 7-62, ZONA 3, EDIFICIO TORRE PRADE­RA XELA, OCTAVO NTVEL, OFTCTNA 812, MUNTCTPTO DE QUETZALTENANGO, DEPARTAMENTO DE QUETZAL TENA NGO</t>
  </si>
  <si>
    <t>FTNCA 4 PTLARES DE LAS PAULOWNTAS, MUNTCTPTO DE EL PALMAR, DEPARTAMENTO DE QUETZALTENANGO</t>
  </si>
  <si>
    <t>14.696111, -91.608056</t>
  </si>
  <si>
    <t>GT0025</t>
  </si>
  <si>
    <t>Marvin Rodolfo Porras Calderon</t>
  </si>
  <si>
    <t>(502) 54135219</t>
  </si>
  <si>
    <t>mayalsmiscelanea@hotmail.com</t>
  </si>
  <si>
    <t>Barrio El Centro zona 1, municipio de San Luis Jilotepeque, departamento de Jalapa</t>
  </si>
  <si>
    <t>Aldea El Zapote, municipio de San Luis, departamento de Petén</t>
  </si>
  <si>
    <t>16.074253, -89.729667</t>
  </si>
  <si>
    <t>GT0026</t>
  </si>
  <si>
    <t>Pablo Castillo (Novio Laura María Morán)</t>
  </si>
  <si>
    <t>Olga Victoria Herrera Sanjuan</t>
  </si>
  <si>
    <t>GT0027</t>
  </si>
  <si>
    <t>Richard Steven Callaway Ayau - Eco Energía H20</t>
  </si>
  <si>
    <t>Richard Steven Callaway Ayau</t>
  </si>
  <si>
    <t>(502) 52063353</t>
  </si>
  <si>
    <t>rcallaway@armaviacion.com</t>
  </si>
  <si>
    <t>AVENIDA HINCAPIE, ZONA 13, HANGAR K2, MUNICIPIO DE GUA-TEMALA, DEPARTAMENTO DE GUATEMALA</t>
  </si>
  <si>
    <t>MUNICIPIO DE BARBERENA, DEPARTAMENTO DE SANTA ROSA</t>
  </si>
  <si>
    <t>14.323333, -90.434028</t>
  </si>
  <si>
    <t>GT0028</t>
  </si>
  <si>
    <t>Rolando Chinchilla Buezo</t>
  </si>
  <si>
    <t>(502) 30220730</t>
  </si>
  <si>
    <t>hamblin.duarte@gmail.com</t>
  </si>
  <si>
    <t>1ª AVENIDA 8-22, ZONA 1, MUNICIPIO DE ESQUIPULAS, DEPAR-TAMENTO DE CHIQUIMULA</t>
  </si>
  <si>
    <t>ALDEA TIMUSHAN, MUNICIPIO DE ESQUIPULAS, DEPARTAMENTO DE CHIQUIMULA</t>
  </si>
  <si>
    <t>14.7237050, -89.1903883</t>
  </si>
  <si>
    <t>MX0004</t>
  </si>
  <si>
    <t>Felipe Ramirez Flores</t>
  </si>
  <si>
    <t>Aniceto Ramírez Flores and  Gilberto Hernandez Ayala</t>
  </si>
  <si>
    <t>MX0005</t>
  </si>
  <si>
    <t>Arturo Arguelles Barradas</t>
  </si>
  <si>
    <t>287.110.7413</t>
  </si>
  <si>
    <t>aarguelles03b@gmail.com</t>
  </si>
  <si>
    <t>Calle Rio Jaltepec no . 7 4, fraccionamiento Lomas del Rio Medio 3, Zamora, Veracruz. 91809. Mex ico</t>
  </si>
  <si>
    <t>Calle Rio Jaltepec no . 74, fraccionamiento Lomas del R io Med io 3, Zamora, Veracruz. 91809, Mexico</t>
  </si>
  <si>
    <t>17.523197, -95.390517</t>
  </si>
  <si>
    <t>MX0006</t>
  </si>
  <si>
    <t>Cesar Aaron Olquin Jimenez</t>
  </si>
  <si>
    <t>MX0007</t>
  </si>
  <si>
    <t>2020-NA/BA</t>
  </si>
  <si>
    <t>MX0008</t>
  </si>
  <si>
    <t>Heriberto Mendoza Villegas</t>
  </si>
  <si>
    <t>Dionicio Mendoza Rinconcillo</t>
  </si>
  <si>
    <t>MX0010</t>
  </si>
  <si>
    <t>Víctor Manuel Godínez Martínez</t>
  </si>
  <si>
    <t>Jesus Enriquez Magana</t>
  </si>
  <si>
    <t>MX0011</t>
  </si>
  <si>
    <t>Jose Dolores Hugo Torres Hernandez</t>
  </si>
  <si>
    <t>Miguel Angel García Torres</t>
  </si>
  <si>
    <t>MX0012</t>
  </si>
  <si>
    <t>Juan Carlos Cardoso Vargas</t>
  </si>
  <si>
    <t>429-103-2060</t>
  </si>
  <si>
    <t>cardosoproduceyagave@gmail.com</t>
  </si>
  <si>
    <t>Vicente Guerrero s/n. Rancho Guadalupe, Huanimaro, Guanajuato CP 36998, Mexico</t>
  </si>
  <si>
    <t>Ojo de Agua, Municipio de Abasolo, Guanajuato 36987, Mexico. La Loma, Municipio de Huanfmaro CP 36998, Mexico</t>
  </si>
  <si>
    <t>20.389148,-101.579335</t>
  </si>
  <si>
    <t>MX0013</t>
  </si>
  <si>
    <t>Juan Chavez Calderon</t>
  </si>
  <si>
    <t>352-107-7863</t>
  </si>
  <si>
    <t>jcagronegocios022@hotmail.com</t>
  </si>
  <si>
    <t>Blvd. Adolfo Lopez Mateos, Centro, La Piedad, Michoacan. CP 59300. Mexico</t>
  </si>
  <si>
    <t>Presa Vieja y el Guamuchil, Taguiscuareo, La Piedad, Michoacan. CP 59300, Mexico</t>
  </si>
  <si>
    <t>20.253389, -102.084111</t>
  </si>
  <si>
    <t>MX0014</t>
  </si>
  <si>
    <t>Norma Pérez González</t>
  </si>
  <si>
    <t>Juan Luis Villeda Gayosso</t>
  </si>
  <si>
    <t>4493482975</t>
  </si>
  <si>
    <t>villedajuanluis@gmail.com</t>
  </si>
  <si>
    <t>Salvador Duran Castanedo N° 409, Col. VNSA, Aguascalientes, Aqs. Mexico. CP 20126</t>
  </si>
  <si>
    <t>Sector de producción 2, Ejido el Tule, Asientos, Aguascalientes 20704, México</t>
  </si>
  <si>
    <t>22.114167, -102.098228</t>
  </si>
  <si>
    <t>MX0015</t>
  </si>
  <si>
    <t>Lucila Morales Druallet</t>
  </si>
  <si>
    <t>MX0016</t>
  </si>
  <si>
    <t>Miguel Angel Parada Fuentes</t>
  </si>
  <si>
    <t>MX0017</t>
  </si>
  <si>
    <t>Modesto Negrete Almeida</t>
  </si>
  <si>
    <t>MX0018</t>
  </si>
  <si>
    <t>Omar Ulises Guerrero Aboytes</t>
  </si>
  <si>
    <t>412-121-3850</t>
  </si>
  <si>
    <t>u.gro.abts@gmail.com</t>
  </si>
  <si>
    <t>Benito Juarez #23. Comunidad Neutla, Como nfort, Guanajuato, CP 38220, Mexico</t>
  </si>
  <si>
    <t>El Capulin, Neutla, Comonfort, Guanajuato. CP 38220, Mexico</t>
  </si>
  <si>
    <t>20.715003, -100.847181</t>
  </si>
  <si>
    <t>MX0019</t>
  </si>
  <si>
    <t>Rogelio Rizo Velázquez</t>
  </si>
  <si>
    <t>4773863295</t>
  </si>
  <si>
    <t>carisrs@hotmail.com</t>
  </si>
  <si>
    <t>Fraccionamiento Villas del Vergel, Comunidad de Jesus del Monte, San Francisco del Rincon, Guanajuato 36460, Mexico</t>
  </si>
  <si>
    <t>San Diego N° 115. Col. Puerta San Rafael. Leon. Guanajuato. Mexico</t>
  </si>
  <si>
    <t>20.926944, -101.754167</t>
  </si>
  <si>
    <t>MX0020</t>
  </si>
  <si>
    <t>Victor Manuel Godinez Martinez</t>
  </si>
  <si>
    <t>US0093</t>
  </si>
  <si>
    <t xml:space="preserve">Billy Whittaker </t>
  </si>
  <si>
    <t>US0092</t>
  </si>
  <si>
    <t>US0105</t>
  </si>
  <si>
    <t>US0116</t>
  </si>
  <si>
    <t>US0117</t>
  </si>
  <si>
    <t>US0119</t>
  </si>
  <si>
    <t>US0089</t>
  </si>
  <si>
    <t>Andy Thomas</t>
  </si>
  <si>
    <t>Andy  Thomas</t>
  </si>
  <si>
    <t>912-381-3658</t>
  </si>
  <si>
    <t>athomas31552@gmail.com, athomas@elixirext.com</t>
  </si>
  <si>
    <t>4610 Andrew Tanner Rd Nicholls GA 31554-6371</t>
  </si>
  <si>
    <t>2, 13</t>
  </si>
  <si>
    <t>US0090</t>
  </si>
  <si>
    <t>Beau Dixon</t>
  </si>
  <si>
    <t>Don Dixon</t>
  </si>
  <si>
    <t>334-321-1984</t>
  </si>
  <si>
    <t>beau526@hotmail.com, ddtreefarm6@gmail.com</t>
  </si>
  <si>
    <t>255 Zion Hill Road, Hatchechubbee, AL  36858</t>
  </si>
  <si>
    <t>32.268004, -85.276762</t>
  </si>
  <si>
    <t>US0091</t>
  </si>
  <si>
    <t>Billy Gordie</t>
  </si>
  <si>
    <t>334-791-5944</t>
  </si>
  <si>
    <t>billygordie@gmail.com</t>
  </si>
  <si>
    <t>11517 E State Highway 52 Webb AL 36376-6465</t>
  </si>
  <si>
    <t>31.264032, -85.211331</t>
  </si>
  <si>
    <t>2, 11</t>
  </si>
  <si>
    <t>US0094</t>
  </si>
  <si>
    <t>Bobby Searcy</t>
  </si>
  <si>
    <t>Bobby  Searcy</t>
  </si>
  <si>
    <t>334-405-2409, 334.618.1380</t>
  </si>
  <si>
    <t>searcyfarmsangus@gmail.com</t>
  </si>
  <si>
    <t>115 Livingston Loop Webb AL 36376-6435</t>
  </si>
  <si>
    <t>31.258754, -85.252275</t>
  </si>
  <si>
    <t>US0095</t>
  </si>
  <si>
    <t>Brent Stiehl</t>
  </si>
  <si>
    <t>Brent  Stiehl</t>
  </si>
  <si>
    <t>678-378-7574</t>
  </si>
  <si>
    <t>Drstiehl@stiehldental.com</t>
  </si>
  <si>
    <t>2577 Highway 54 Moreland GA 30259-2808</t>
  </si>
  <si>
    <t>33.118028, -84.690333</t>
  </si>
  <si>
    <t>US0096</t>
  </si>
  <si>
    <t>Chris Bolen</t>
  </si>
  <si>
    <t>Chris  Bolen</t>
  </si>
  <si>
    <t>678-478-2288</t>
  </si>
  <si>
    <t>jcbolen73@gmail.com</t>
  </si>
  <si>
    <t>1751 Heidi Trl Buckhead GA 30625-1530</t>
  </si>
  <si>
    <t>Fawn Rd, Jackson, GA, USA</t>
  </si>
  <si>
    <t>33.220833, -83.948611</t>
  </si>
  <si>
    <t>US0097</t>
  </si>
  <si>
    <t>Chris Hoehn</t>
  </si>
  <si>
    <t>Chris  Hoehn</t>
  </si>
  <si>
    <t>256-366-1612</t>
  </si>
  <si>
    <t>chris.d.hoehn@gmail.com</t>
  </si>
  <si>
    <t>4923 Jenna Cir SE Owens Cross Roads AL 35763-9165</t>
  </si>
  <si>
    <t>348 Nix Mill Pond Rd Phil Campbell AL 35581-4433</t>
  </si>
  <si>
    <t>34.355772, -87.809977</t>
  </si>
  <si>
    <t>US0098</t>
  </si>
  <si>
    <t>David Fordham</t>
  </si>
  <si>
    <t>David  Fordham</t>
  </si>
  <si>
    <t>912-685-5887</t>
  </si>
  <si>
    <t>fordhaminsurance@yahoo.com</t>
  </si>
  <si>
    <t>7357 Harvest Rd Metter GA 30439-8914</t>
  </si>
  <si>
    <t>32.461693, -82.125609</t>
  </si>
  <si>
    <t>13, 18</t>
  </si>
  <si>
    <t>US0099</t>
  </si>
  <si>
    <t>Ivette Alcoba</t>
  </si>
  <si>
    <t>Ivette  Alcoba</t>
  </si>
  <si>
    <t>786-877-2208</t>
  </si>
  <si>
    <t>ivettealcoba1@gmail.com, ialcoba@yahoo.com, ivettealcoba1@gmail.com</t>
  </si>
  <si>
    <t>2451 Brickell Ave Apt 15H Miami FL 33129-2421</t>
  </si>
  <si>
    <t>0 cane Mill Rd LL 305 and 334 14th LD.</t>
  </si>
  <si>
    <t>32.087257, -83.779869</t>
  </si>
  <si>
    <t>US0100</t>
  </si>
  <si>
    <t>James Cochran</t>
  </si>
  <si>
    <t>James  Cochran</t>
  </si>
  <si>
    <t>864-903-1919</t>
  </si>
  <si>
    <t>jncmd90@gmx.com</t>
  </si>
  <si>
    <t>235 Scenic Heights Rd West Union SC 29696-3134</t>
  </si>
  <si>
    <t>34.771515, -83.016177</t>
  </si>
  <si>
    <t>US0101</t>
  </si>
  <si>
    <t>Jamie Hayes</t>
  </si>
  <si>
    <t>Jamie  Hayes</t>
  </si>
  <si>
    <t>205-229-8176</t>
  </si>
  <si>
    <t>bayraynay@gmail.com</t>
  </si>
  <si>
    <t>31840 Shoal Water Dr Orange Beach AL 36561-3770</t>
  </si>
  <si>
    <t>4111 County Road 5 Thorsby AL 35171-7051</t>
  </si>
  <si>
    <t>32.899323, -86.760369</t>
  </si>
  <si>
    <t>2, 12</t>
  </si>
  <si>
    <t>US0102</t>
  </si>
  <si>
    <t>Jared Lilly</t>
  </si>
  <si>
    <t>Jared  Lilly</t>
  </si>
  <si>
    <t>850-643-8515</t>
  </si>
  <si>
    <t>jjlilly13@gmail.com</t>
  </si>
  <si>
    <t>15779 NW Ashley Shiver Rd Altha FL 32421-4815</t>
  </si>
  <si>
    <t>30.503376, -85.128196</t>
  </si>
  <si>
    <t>US0103</t>
  </si>
  <si>
    <t>Anthony Lea</t>
  </si>
  <si>
    <t>anthonylearph@gmail.com</t>
  </si>
  <si>
    <t>130 Bertel Dr Covington LA 70433-4815</t>
  </si>
  <si>
    <t>30.512148, -90.149143</t>
  </si>
  <si>
    <t>US0104</t>
  </si>
  <si>
    <t>Joe Lilly</t>
  </si>
  <si>
    <t>850-693-3946</t>
  </si>
  <si>
    <t>joelilly1953@gmail.com</t>
  </si>
  <si>
    <t>7701 SE Marysville School Rd Blountstown FL 32424-5623</t>
  </si>
  <si>
    <t>30.296870,-85.118840</t>
  </si>
  <si>
    <t>US0106</t>
  </si>
  <si>
    <t>John Wilson</t>
  </si>
  <si>
    <t>334-324-3475, 334-799-4219</t>
  </si>
  <si>
    <t>johntammy72289@gmail.com</t>
  </si>
  <si>
    <t>761 Old Farm Rd Deatsville AL 36022-5853</t>
  </si>
  <si>
    <t>32.629858, -86.343719</t>
  </si>
  <si>
    <t>US0107</t>
  </si>
  <si>
    <t>Jordy McMahan</t>
  </si>
  <si>
    <t>Jordy and Kim P McMahan</t>
  </si>
  <si>
    <t>470-351-8043, 256-201-9099</t>
  </si>
  <si>
    <t>jordy@barco-us.com, KMcMahan@alfains.com</t>
  </si>
  <si>
    <t>PO Box 113 Heflin AL 36264-0113</t>
  </si>
  <si>
    <t>6568 Highway 78 Heflin AL 36264-2422; 2444 Steadman Rd, Tallapoosa, GA 30176</t>
  </si>
  <si>
    <t>33.669076, -85.558646</t>
  </si>
  <si>
    <t>US0108</t>
  </si>
  <si>
    <t>33.817511, -85.333604</t>
  </si>
  <si>
    <t>US0109</t>
  </si>
  <si>
    <t>Keith Bell</t>
  </si>
  <si>
    <t>Keith  Bell</t>
  </si>
  <si>
    <t>334-494-4395</t>
  </si>
  <si>
    <t>ecurrencykeith@gmail.com, keith.b.bell@centurytel.net</t>
  </si>
  <si>
    <t>1156-1368 Co Rd 224 Elba, AL 36323</t>
  </si>
  <si>
    <t>1156 Co Rd 224 Elba, AL 36323</t>
  </si>
  <si>
    <t>31.511507, -86.030343</t>
  </si>
  <si>
    <t>US0110</t>
  </si>
  <si>
    <t>Kyle Flint</t>
  </si>
  <si>
    <t>RD Land and Materials LLC</t>
  </si>
  <si>
    <t>405-215-8195</t>
  </si>
  <si>
    <t>kyle.flint@bhboring.com</t>
  </si>
  <si>
    <t>301 James Dean Dr Norman OK 73072-9793</t>
  </si>
  <si>
    <t>2450 Cox City Rd Rush Springs OK 73082-3122</t>
  </si>
  <si>
    <t>US0111</t>
  </si>
  <si>
    <t>Loren Raymer</t>
  </si>
  <si>
    <t>Loren  Raymer</t>
  </si>
  <si>
    <t>469-404-3681, 214-334-6829</t>
  </si>
  <si>
    <t>loren.raymer@gmail.com</t>
  </si>
  <si>
    <t>10031 FM Rd, 1390 Scurry TX 75158</t>
  </si>
  <si>
    <t>US0112</t>
  </si>
  <si>
    <t>Lori Fults</t>
  </si>
  <si>
    <t>Lori &amp; Don Fults</t>
  </si>
  <si>
    <t>541-660-0190</t>
  </si>
  <si>
    <t>caprith@live.com</t>
  </si>
  <si>
    <t>91722 Prairie Meadows, Junction City, OR 97448, USA</t>
  </si>
  <si>
    <t>91722 Prairie Rd Junction City OR 97448-9419</t>
  </si>
  <si>
    <t>44.153595, -123.184589</t>
  </si>
  <si>
    <t>11, TG Cool</t>
  </si>
  <si>
    <t>US0113</t>
  </si>
  <si>
    <t>Mac Alexander</t>
  </si>
  <si>
    <t>Mac  Alexander</t>
  </si>
  <si>
    <t>205-999-4665</t>
  </si>
  <si>
    <t>alexaar3457@gmail.com, macalex79@gmail.com</t>
  </si>
  <si>
    <t>1802 Dudleyville Rd Dadeville AL 36853-3700</t>
  </si>
  <si>
    <t>32.847766, -85.747348</t>
  </si>
  <si>
    <t>US0114</t>
  </si>
  <si>
    <t>Marty Causseaux</t>
  </si>
  <si>
    <t>Marty  Causseaux</t>
  </si>
  <si>
    <t>850-251-7047</t>
  </si>
  <si>
    <t>martyhq02@gmail.com</t>
  </si>
  <si>
    <t>10644 Woodville Hwy Tallahassee FL 32305-1960</t>
  </si>
  <si>
    <t>161 Centerline Rd Crawfordville FL 32327-5408</t>
  </si>
  <si>
    <t>30.281944, -84.261389</t>
  </si>
  <si>
    <t>US0115</t>
  </si>
  <si>
    <t>Michael Roe</t>
  </si>
  <si>
    <t>Michael  Roe</t>
  </si>
  <si>
    <t>504-210-6684</t>
  </si>
  <si>
    <t>michael@WindmillNurseryLLC.com</t>
  </si>
  <si>
    <t>12398 Highway 25 Franklinton LA 70438-4602</t>
  </si>
  <si>
    <t>30.7101463, -90.1702716</t>
  </si>
  <si>
    <t>US0118</t>
  </si>
  <si>
    <t>Roy Price</t>
  </si>
  <si>
    <t>Roy  Price</t>
  </si>
  <si>
    <t>334-799-3713</t>
  </si>
  <si>
    <t>roy@priceceiling.com</t>
  </si>
  <si>
    <t>350 Price Drive, Clanton, AL, 35046</t>
  </si>
  <si>
    <t>32.884628, -86.619910</t>
  </si>
  <si>
    <t>US0120</t>
  </si>
  <si>
    <t>Scotty Mckenzie</t>
  </si>
  <si>
    <t>Scotty  Mckenzie</t>
  </si>
  <si>
    <t>478-960-3760</t>
  </si>
  <si>
    <t>mac12.5@windstream.net</t>
  </si>
  <si>
    <t>0 Cane Mill Rd, Elko, GA, 31025</t>
  </si>
  <si>
    <t>32.294732, -83.771057</t>
  </si>
  <si>
    <t>US0121</t>
  </si>
  <si>
    <t>Sisay Souphom</t>
  </si>
  <si>
    <t>Sisay  Souphom</t>
  </si>
  <si>
    <t>334-220-2957</t>
  </si>
  <si>
    <t>ssouphom@gmail.com</t>
  </si>
  <si>
    <t>625 Fern Rd Wetumpka AL 36092-7465</t>
  </si>
  <si>
    <t>789 Fern Rd Wetumpka, Al 36092</t>
  </si>
  <si>
    <t>32.619274, -86.316458</t>
  </si>
  <si>
    <t>US0122</t>
  </si>
  <si>
    <t>Stephen Andrews</t>
  </si>
  <si>
    <t>Stephen  Andrews</t>
  </si>
  <si>
    <t>912-658-9372</t>
  </si>
  <si>
    <t>sda308@aol.com</t>
  </si>
  <si>
    <t>242 Rivercrest Dr, Brooklet, GA, 30415-5691</t>
  </si>
  <si>
    <t>1001 North 2nd Street, Stillmore, GA, USA</t>
  </si>
  <si>
    <t>US0123</t>
  </si>
  <si>
    <t>Steven Hunter</t>
  </si>
  <si>
    <t>Steven and Christy Hunter</t>
  </si>
  <si>
    <t>205-405-0233</t>
  </si>
  <si>
    <t>stevenhunter@protonmail.com</t>
  </si>
  <si>
    <t>PO Box 395 Maplesville AL 36750-0395</t>
  </si>
  <si>
    <t>2645 State Highway 139, Maplesville, Alabama 36750, USA</t>
  </si>
  <si>
    <t>32.819540, -86.884327</t>
  </si>
  <si>
    <t>2</t>
  </si>
  <si>
    <t>US0124</t>
  </si>
  <si>
    <t>Teresa Beam</t>
  </si>
  <si>
    <t>Teresa and Josh Beam</t>
  </si>
  <si>
    <t>704-530-8581, 704-530-8587</t>
  </si>
  <si>
    <t>beamberrypatch@gmail.com</t>
  </si>
  <si>
    <t>963 Sunbeam Dr Lincolnton NC 28092-9749</t>
  </si>
  <si>
    <t>5224 7 Pines Rd, Lawndale, NC 28090, USA</t>
  </si>
  <si>
    <t>35.469667, -81.623418</t>
  </si>
  <si>
    <t>US0125</t>
  </si>
  <si>
    <t>Tim Harper</t>
  </si>
  <si>
    <t>Tim  Harper</t>
  </si>
  <si>
    <t>334-726-9624</t>
  </si>
  <si>
    <t>fld120_1994@yahoo.com</t>
  </si>
  <si>
    <t>4471 E County Road 8 Pansey AL 36370-6043</t>
  </si>
  <si>
    <t>US0126</t>
  </si>
  <si>
    <t>Wendy Muhammad</t>
  </si>
  <si>
    <t>678-571-7763, 404.219.8878</t>
  </si>
  <si>
    <t>farmsforliving@gmail.com</t>
  </si>
  <si>
    <t>177 Porter Rd Fayetteville GA 30215-3053</t>
  </si>
  <si>
    <t>33.355810, -84.466823</t>
  </si>
  <si>
    <t>US0127</t>
  </si>
  <si>
    <t>Wesley and Stanley Todd</t>
  </si>
  <si>
    <t>256-452-1441</t>
  </si>
  <si>
    <t>wesleytodd95@gmail.com</t>
  </si>
  <si>
    <t>1658 Dailey St Piedmont AL 36272-7582</t>
  </si>
  <si>
    <t>33.902222, -85.603611</t>
  </si>
  <si>
    <t>CR0071</t>
  </si>
  <si>
    <t>CR0070</t>
  </si>
  <si>
    <t>Alfonso Carranza</t>
  </si>
  <si>
    <t>60760838, +506-61778830, +506- 84447590</t>
  </si>
  <si>
    <t>Abangares Campo de Oro, 3km al sur de la escuela 50702</t>
  </si>
  <si>
    <t>Abangares Campo de Oro, 3km al sur de la escuela</t>
  </si>
  <si>
    <t>10.3576690, -84.9288100</t>
  </si>
  <si>
    <t>CR0072</t>
  </si>
  <si>
    <t>Christian Miranda</t>
  </si>
  <si>
    <t>Colegio Tecnico Ricardo Beer</t>
  </si>
  <si>
    <t>24277051, 86559870</t>
  </si>
  <si>
    <t>cristian.miranda.alpizar@mep.go.cr</t>
  </si>
  <si>
    <t>Alajuela Province, Orotina, Costa Rica</t>
  </si>
  <si>
    <t>9.907088488496681, -84.53383254232823</t>
  </si>
  <si>
    <t>CR0073</t>
  </si>
  <si>
    <t>Geiner Araya Guzman</t>
  </si>
  <si>
    <t>50662444795, 506-8694-6846</t>
  </si>
  <si>
    <t>manfrito8@gmail.com</t>
  </si>
  <si>
    <t>50m este de Polloiandia, El Pavon, Los Chiles Alajuela 21401</t>
  </si>
  <si>
    <t>el distrito 3-El Amparo Canton 14-Los Chiles de la provincia de Alajuela</t>
  </si>
  <si>
    <t>10.798889, -84.645000</t>
  </si>
  <si>
    <t>CR0074</t>
  </si>
  <si>
    <t xml:space="preserve">Luis Alonso Garita Hidalgo </t>
  </si>
  <si>
    <t>Ubuntu GH  S.A</t>
  </si>
  <si>
    <t>506 60030444, 506 88239449</t>
  </si>
  <si>
    <t>lagaritah@gmail.com, christian.garita@gmail.com</t>
  </si>
  <si>
    <t>Heredia Central Ulloa condominio Terrafé lote 83</t>
  </si>
  <si>
    <t>4-SAN JORGE CANTON 14-LOS CHILES DE LA PROVINCIA DE ALAJUELA</t>
  </si>
  <si>
    <t>10.717385, -84.684209</t>
  </si>
  <si>
    <t>CR0075</t>
  </si>
  <si>
    <t>Oldemar Perez</t>
  </si>
  <si>
    <t>kapp241087@gmail.com</t>
  </si>
  <si>
    <t>Aguas Claras, Alajuela Province, Costa Rica</t>
  </si>
  <si>
    <t>10.819479, -85.239038</t>
  </si>
  <si>
    <t>CR0076</t>
  </si>
  <si>
    <t xml:space="preserve">Olga Chavarria </t>
  </si>
  <si>
    <t>50687125265, 506-8568-1948</t>
  </si>
  <si>
    <t>ldiegocastillo@hotmail.com</t>
  </si>
  <si>
    <t>125 metros sur y 50 este del cruce a Las Quebredas, Rincon de Zaragoza, Palmares Alajuela 20702</t>
  </si>
  <si>
    <t>1.5km al norte y 2km al este de la Escuela de Alto Lopez, Barrio San Jose Sur, Atenas, Alajuela</t>
  </si>
  <si>
    <t>10.025055, -84.395242</t>
  </si>
  <si>
    <t>CR0077</t>
  </si>
  <si>
    <t>Rafael Quiroz</t>
  </si>
  <si>
    <t>fvindas1974@gmail.com</t>
  </si>
  <si>
    <t>Limón Po­cocí La Rita comunidad la Suerte, 70203</t>
  </si>
  <si>
    <t>La suerte de la Rita de Pococi. un kilómetro de la escuela</t>
  </si>
  <si>
    <t>9.957288, -84.191905</t>
  </si>
  <si>
    <t>CR0078</t>
  </si>
  <si>
    <t>Xinia Moya</t>
  </si>
  <si>
    <t>gabrielquiros059@gmail.com</t>
  </si>
  <si>
    <t>El Bosque de Guacimo, Limón</t>
  </si>
  <si>
    <t>10.262187, -83.684872</t>
  </si>
  <si>
    <t>CR0092</t>
  </si>
  <si>
    <t>Christian Araya</t>
  </si>
  <si>
    <t>506-8335-4070, 506-7285-3817</t>
  </si>
  <si>
    <t>miravalles1085@gmail.com</t>
  </si>
  <si>
    <t>350m sur de la iglesia catollca de Guacallto, Canalete de Upala. 21301</t>
  </si>
  <si>
    <t>10.804139,-85.107325</t>
  </si>
  <si>
    <t>GT0030</t>
  </si>
  <si>
    <t>CL502, 18K</t>
  </si>
  <si>
    <t>GT0038</t>
  </si>
  <si>
    <t>GT0040</t>
  </si>
  <si>
    <t>CL502</t>
  </si>
  <si>
    <t>GT0029</t>
  </si>
  <si>
    <t>GT0032</t>
  </si>
  <si>
    <t>-89.3669417;</t>
  </si>
  <si>
    <t>GT0033</t>
  </si>
  <si>
    <t>GT0024b</t>
  </si>
  <si>
    <t>GT0039</t>
  </si>
  <si>
    <t>Marvin Rodolfo Porras Calderón</t>
  </si>
  <si>
    <t>GT0031a</t>
  </si>
  <si>
    <t>Derek José Herman Gordillo</t>
  </si>
  <si>
    <t>Agroindustrias Nativa S.A./Derek José Herman Gordillo</t>
  </si>
  <si>
    <t>+502 40117762</t>
  </si>
  <si>
    <t>hermangster@gmail.com, dherman@grupoadh.com</t>
  </si>
  <si>
    <t>Aldea Laguna Bermeja, Granja San Luis, Condominio Laguna del Bosque Casa '1169, zona 7, Santa Cata­rina Pinula, Guatemala</t>
  </si>
  <si>
    <t>Aldea El Parafso, municipio de Sayaxche, Departamento de Peten</t>
  </si>
  <si>
    <t>16.490000, -90.127200</t>
  </si>
  <si>
    <t>GT0034</t>
  </si>
  <si>
    <t>Edin Leonel Chávez Rodriguez</t>
  </si>
  <si>
    <t>+502 58063533</t>
  </si>
  <si>
    <t>chadievalleverde@yahoo.com</t>
  </si>
  <si>
    <t>Barrio Chidesaaj, municipio de Cobán, departamento de Alta Verapaz</t>
  </si>
  <si>
    <t>Aldea Palestina, municipio Las Cruces, departamento de El Petén</t>
  </si>
  <si>
    <t>16.739722, -90.462361</t>
  </si>
  <si>
    <t>GT0035</t>
  </si>
  <si>
    <t>Sergio Gordillo</t>
  </si>
  <si>
    <t>El Paste S.A./Elisa Janeth Salguero Pineda De Gordillo</t>
  </si>
  <si>
    <t>57151628</t>
  </si>
  <si>
    <t>cheiomilo@gmail.com</t>
  </si>
  <si>
    <t>Finca San diego, La Fragua, Zacapa, Guatamala</t>
  </si>
  <si>
    <t>FINCA DOLORES , MUNICIPIO DE LA UNION, DEPARTAMENTO DE ZACAPA</t>
  </si>
  <si>
    <t>14.965472, -89.280583</t>
  </si>
  <si>
    <t>GT0036</t>
  </si>
  <si>
    <t>Edilsar García</t>
  </si>
  <si>
    <t>Eloisa Amparo García Barrios</t>
  </si>
  <si>
    <t>+502 56408432</t>
  </si>
  <si>
    <t>edilsargarcia78@gmail.com</t>
  </si>
  <si>
    <t>Aldea Sigüila, San Juán Ostuncalco, Quetzaltenango</t>
  </si>
  <si>
    <t>Playa Grande cabecera municipal del Municipio Ixcán, Departamento de El Quiché</t>
  </si>
  <si>
    <t>16.008611, -90.842000</t>
  </si>
  <si>
    <t>GT0037</t>
  </si>
  <si>
    <t>Jorge Mario De León Alconero</t>
  </si>
  <si>
    <t>+502 52044476</t>
  </si>
  <si>
    <t>alconerodeleonjm@gmail.com</t>
  </si>
  <si>
    <t>11 avenida 3-09 zona 9, Barrio Garibaldi, Quetzaltenango</t>
  </si>
  <si>
    <t>Municipio de San José El Rodeo, departamento de San Marcos</t>
  </si>
  <si>
    <t>14.990889, -91.990889</t>
  </si>
  <si>
    <t>18K, CL502</t>
  </si>
  <si>
    <t>MX0003</t>
  </si>
  <si>
    <t>Ana Paulina Hurtado Castro</t>
  </si>
  <si>
    <t>4777271251</t>
  </si>
  <si>
    <t>pavizh@gmail.com</t>
  </si>
  <si>
    <t>Calle Novello #107 Fraccionamiento Residencial Piamonte. Co Ionia Llacienda Santa Fe. Leon, Guanajuato. Mexico, 37299</t>
  </si>
  <si>
    <t>El Potrerito, Ca bras de Guadelupe, Municipio de Ocampo, Guanajuato. CP 37640</t>
  </si>
  <si>
    <t>22.446450, -101.494247</t>
  </si>
  <si>
    <t>MX0009</t>
  </si>
  <si>
    <t>Dolores Ramirez Rodriguez</t>
  </si>
  <si>
    <t>ramirez032175@hotmail.com</t>
  </si>
  <si>
    <t>C Juan Escutia 42 col Francisco I Madero, Minatitlan, Veracruz 96770, Mexico</t>
  </si>
  <si>
    <t>17.568433, -95.317894</t>
  </si>
  <si>
    <t>MX0021</t>
  </si>
  <si>
    <t>Alvaro Hernandez Suarez</t>
  </si>
  <si>
    <t>2831131385</t>
  </si>
  <si>
    <t>olgalidia_sm@live.com.mx</t>
  </si>
  <si>
    <t>Av. Ferrocarril S/N, Localidad Los Tigres, C.P. 95680, Juan Rodriguez Clara, Veracruz, Mexico</t>
  </si>
  <si>
    <t>Predio rustico "Algodonal y Angostura, Municipio de San Juan Evangelista, Distrito de Acayucan, Veracruz, Mexico</t>
  </si>
  <si>
    <t>17.817750, -95.269309</t>
  </si>
  <si>
    <t>MX0022</t>
  </si>
  <si>
    <t>Gregorio Martinez Sebastian</t>
  </si>
  <si>
    <t>9991054657</t>
  </si>
  <si>
    <t>martinezsg@hotmail.com</t>
  </si>
  <si>
    <t>Colonia agricola. "General Miguel Aleman". Municipio de las Choapas. Estado de Veracruz. Mexico</t>
  </si>
  <si>
    <t>17.773121, -94.070394</t>
  </si>
  <si>
    <t>MX0023</t>
  </si>
  <si>
    <t>Guadelupe Morales Cordova</t>
  </si>
  <si>
    <t>9241443056</t>
  </si>
  <si>
    <t>romfrojas2012@gmail.com</t>
  </si>
  <si>
    <t>Calle Miguel Hidalgo S/N, Localidad La Soledad, San Juan Evangelista, Veracruz, Me­xico</t>
  </si>
  <si>
    <t>Parcela 131 Z-1 P-4. Ejido Zapotitancillo de Juarez. Santiago Yaveo. Oaxaca. Mexico</t>
  </si>
  <si>
    <t>17.613268, -95.2580050</t>
  </si>
  <si>
    <t>MX0024</t>
  </si>
  <si>
    <t>José Baruche Rodríguez Zuñiga</t>
  </si>
  <si>
    <t>Mayolo Rodríguez Mendoza</t>
  </si>
  <si>
    <t>+529921073276, 9921310372</t>
  </si>
  <si>
    <t>jbaruch15@hotmail.com</t>
  </si>
  <si>
    <t>Calle Primera Poniente Sur No. 83, Barrio Ramajal, C.P. 29410, Teopisca, Chiapas, Mexico</t>
  </si>
  <si>
    <t>Barrio Ramjal de la Villa de Teopisca, Municipio, Teopis ca, Chiapas, Mexico</t>
  </si>
  <si>
    <t>16.534257, -92.474401</t>
  </si>
  <si>
    <t>MX0025</t>
  </si>
  <si>
    <t>Francisco Crivelli</t>
  </si>
  <si>
    <t>Teresa Morales Román</t>
  </si>
  <si>
    <t>2831042417</t>
  </si>
  <si>
    <t>Calle Pipila S/N, Localidad Los Tigres, C.P. 95680, Juan Rodriguez Clara, Veracruz, Mexico</t>
  </si>
  <si>
    <t>Rancho San Antonio, Municiopio Juan Rodriguez Clara, Veracruz, Mexico</t>
  </si>
  <si>
    <t>17.933919, -95.322563</t>
  </si>
  <si>
    <t>US0137</t>
  </si>
  <si>
    <t>US0129</t>
  </si>
  <si>
    <t>US0130</t>
  </si>
  <si>
    <t>2, 14,13</t>
  </si>
  <si>
    <t>US0135</t>
  </si>
  <si>
    <t>34.778478, -97.835937</t>
  </si>
  <si>
    <t>2, 11, 13, 18</t>
  </si>
  <si>
    <t>US0141</t>
  </si>
  <si>
    <t>32.619274,-86.316458</t>
  </si>
  <si>
    <t>US0142</t>
  </si>
  <si>
    <t>US0128</t>
  </si>
  <si>
    <t>Belinda Twohig</t>
  </si>
  <si>
    <t>865-603-0451</t>
  </si>
  <si>
    <t>doubletalpacas@gmail.com</t>
  </si>
  <si>
    <t>210 County Road 292 Niota TN 37826-2064</t>
  </si>
  <si>
    <t>210 County Road 292, Niota, TN, USA 37826</t>
  </si>
  <si>
    <t>35.624443, -84.560837</t>
  </si>
  <si>
    <t>13, 14, CV</t>
  </si>
  <si>
    <t>US0131</t>
  </si>
  <si>
    <t>David Hall</t>
  </si>
  <si>
    <t>229-416-8076</t>
  </si>
  <si>
    <t>dhall123@netzero.net</t>
  </si>
  <si>
    <t>2975 Herring Buckhole Rd Donalsonville GA 39845-6025</t>
  </si>
  <si>
    <t>30.959732, -84.864059</t>
  </si>
  <si>
    <t>US0132</t>
  </si>
  <si>
    <t>David Lewis</t>
  </si>
  <si>
    <t>850-910-0141</t>
  </si>
  <si>
    <t>dlewis63@att.net</t>
  </si>
  <si>
    <t>6981 Ranchers Cove Trl Milton FL 32570-5597</t>
  </si>
  <si>
    <t>Eagle Drive, Milton, FL, USA gate code 0720#</t>
  </si>
  <si>
    <t>30.694789, -87.088518</t>
  </si>
  <si>
    <t>US0133</t>
  </si>
  <si>
    <t>Heather Rule</t>
  </si>
  <si>
    <t>303-984-1014, 719-271-4390</t>
  </si>
  <si>
    <t>calantini@live.com, calantini@aol.com</t>
  </si>
  <si>
    <t>3404 S Pierce St, Lakewood, CO 80227, USA</t>
  </si>
  <si>
    <t>111 Myer Rd Morton WA 98356-9504</t>
  </si>
  <si>
    <t>46.537576, -122.354751</t>
  </si>
  <si>
    <t>2, 11, 12, 13, 14, 18, 20, TG</t>
  </si>
  <si>
    <t>US0134</t>
  </si>
  <si>
    <t>Kennsel Bennett</t>
  </si>
  <si>
    <t>912-387-8919</t>
  </si>
  <si>
    <t>kennselb@gmail.com</t>
  </si>
  <si>
    <t>2592 Seminole Trail, Waycross, GA 31501, USA</t>
  </si>
  <si>
    <t>1341 Manor Millwood Rd N, Manor, GA 31550, USA</t>
  </si>
  <si>
    <t>31.220170, -82.632183</t>
  </si>
  <si>
    <t>US0136</t>
  </si>
  <si>
    <t>Michele Dominguez</t>
  </si>
  <si>
    <t>540-905-5647</t>
  </si>
  <si>
    <t>jacknimbel@aol.com</t>
  </si>
  <si>
    <t>2530 Ayers Rd Moneta VA 24121-3522</t>
  </si>
  <si>
    <t>37.159784, -79.564229</t>
  </si>
  <si>
    <t>2, CV</t>
  </si>
  <si>
    <t>US0138</t>
  </si>
  <si>
    <t>Rick Griffis</t>
  </si>
  <si>
    <t>229 834 8941</t>
  </si>
  <si>
    <t>rickgriffis53@gmail.com, rickgriffis@gmail.com</t>
  </si>
  <si>
    <t>3272 GA Highway 135 N Lake Park GA 31636-6137</t>
  </si>
  <si>
    <t>30.824649, -83.054345</t>
  </si>
  <si>
    <t>US0139</t>
  </si>
  <si>
    <t>Rob Cason</t>
  </si>
  <si>
    <t>352-494-3072</t>
  </si>
  <si>
    <t>robc@cheneybrothers.com</t>
  </si>
  <si>
    <t>12060 NE County Road 237 Lake Butler FL 32054-5200</t>
  </si>
  <si>
    <t>30.047118, -82.259403</t>
  </si>
  <si>
    <t>US0140</t>
  </si>
  <si>
    <t>Scott Hamilton</t>
  </si>
  <si>
    <t>562-857-1953</t>
  </si>
  <si>
    <t>Scott.hamilton@enpinstitute.com</t>
  </si>
  <si>
    <t>689 High Falls Road, Jackson, GA, USA 30233</t>
  </si>
  <si>
    <t>689 High Falls Road, Jackson, GA, USA</t>
  </si>
  <si>
    <t>33.191421, -84.068182</t>
  </si>
  <si>
    <t>US0143</t>
  </si>
  <si>
    <t>Todd McCarley</t>
  </si>
  <si>
    <t>334-657-8505</t>
  </si>
  <si>
    <t>toddm87413@gmail.com</t>
  </si>
  <si>
    <t>818 Foreman Rd Deatsville AL 36022-3546</t>
  </si>
  <si>
    <t>32.646970, -86.381339</t>
  </si>
  <si>
    <t>US0144</t>
  </si>
  <si>
    <t>William (Cliff) Scales</t>
  </si>
  <si>
    <t>478-955-0051</t>
  </si>
  <si>
    <t>cliff.scales@outlook.com</t>
  </si>
  <si>
    <t>45B Old Milledgeville Rd Hawkinsville GA 31036-6706</t>
  </si>
  <si>
    <t>32.329099, -83.418513</t>
  </si>
  <si>
    <t>CR0097</t>
  </si>
  <si>
    <t>Alvaro Vargas</t>
  </si>
  <si>
    <t>506 87912122</t>
  </si>
  <si>
    <t>acastromeza943@gmail.com</t>
  </si>
  <si>
    <t>Provincia de Puntarenas, Buenos Aires, Costa Rica</t>
  </si>
  <si>
    <t>9.1788952,-83.3352067</t>
  </si>
  <si>
    <t>CR0098</t>
  </si>
  <si>
    <t>Jacobo Pardo Jara</t>
  </si>
  <si>
    <t>Grettel Jara Lara</t>
  </si>
  <si>
    <t>506 72048081</t>
  </si>
  <si>
    <t>jacparja@gmail.com</t>
  </si>
  <si>
    <t>Bijagua</t>
  </si>
  <si>
    <t>10.737670, -85.045668</t>
  </si>
  <si>
    <t>CR0099</t>
  </si>
  <si>
    <t>Corporacion Comercial San Miguel del Pacifico S.A</t>
  </si>
  <si>
    <t>Jose Francisco Angulo</t>
  </si>
  <si>
    <t>federnais2000@gmail.com]</t>
  </si>
  <si>
    <t>Pozos de Santa Ana. De la esquina la Chispa 100m N y 75m E</t>
  </si>
  <si>
    <t>9.708597,-84.486891</t>
  </si>
  <si>
    <t>GT0042</t>
  </si>
  <si>
    <t>GT0043</t>
  </si>
  <si>
    <t>GT0031b</t>
  </si>
  <si>
    <t>GT0041</t>
  </si>
  <si>
    <t>Trapiche de la Vega S.A. /María Isabel Agüero</t>
  </si>
  <si>
    <t>502 59910111</t>
  </si>
  <si>
    <t>maguero@grupotecun.com</t>
  </si>
  <si>
    <t>23 av enida 6 72, zona 15, Vista Hermosa I</t>
  </si>
  <si>
    <t>14.355278, -90.460000</t>
  </si>
  <si>
    <t>18K</t>
  </si>
  <si>
    <t>MX0026</t>
  </si>
  <si>
    <t>Caralampio Arreola López</t>
  </si>
  <si>
    <t>922 227 2099</t>
  </si>
  <si>
    <t>hvargasforestal@hotmail.com</t>
  </si>
  <si>
    <t>17.213206, -94.592429</t>
  </si>
  <si>
    <t>MX0027</t>
  </si>
  <si>
    <t>Carlos Carbajal</t>
  </si>
  <si>
    <t>992 186 2852</t>
  </si>
  <si>
    <t>icarbaial. q@hotmai l.co m</t>
  </si>
  <si>
    <t>17.502881, -94.437142</t>
  </si>
  <si>
    <t>MX0028</t>
  </si>
  <si>
    <t>Cirilo Carbajal Hernandez</t>
  </si>
  <si>
    <t>carvajalcirilo37@gmail.com</t>
  </si>
  <si>
    <t>17.511583, -94.450417</t>
  </si>
  <si>
    <t>MX0029</t>
  </si>
  <si>
    <t>Francisco Contreras</t>
  </si>
  <si>
    <t>993 117 2791__</t>
  </si>
  <si>
    <t>proye.spazios@gmail.com</t>
  </si>
  <si>
    <t>17.547283, -93.072147</t>
  </si>
  <si>
    <t>MX0030</t>
  </si>
  <si>
    <t>Heradio Hernandez Jímenez</t>
  </si>
  <si>
    <t>Heradio Hernandez Jimenez</t>
  </si>
  <si>
    <t>heradiohernandes@gmail.com; rubendhj@hotmail.com</t>
  </si>
  <si>
    <t xml:space="preserve">Av. Francisco I madero N° 39, Col. Centro, Municipio de Ostuacán, Estado de </t>
  </si>
  <si>
    <t>17.359914, -93.325036</t>
  </si>
  <si>
    <t>MX0031</t>
  </si>
  <si>
    <t>Jesus Rauda Gutierrez</t>
  </si>
  <si>
    <t>922207 7454</t>
  </si>
  <si>
    <t>brd1392@outlook.com</t>
  </si>
  <si>
    <t>Chiapas. CP 29550.</t>
  </si>
  <si>
    <t>17.547844, -94.467956</t>
  </si>
  <si>
    <t>MX0032</t>
  </si>
  <si>
    <t>Jose Armando Carbajal Ocampo</t>
  </si>
  <si>
    <t>922 286 5063</t>
  </si>
  <si>
    <t>iosea rmandoca rvajalocam po@gma i l.com</t>
  </si>
  <si>
    <t>17.515256, -94.456917</t>
  </si>
  <si>
    <t>MX0033</t>
  </si>
  <si>
    <t>Lucas Raudas Guitierrez</t>
  </si>
  <si>
    <t>ofeliagamboa12345@gmail.com</t>
  </si>
  <si>
    <t>17.567000, -94.448319</t>
  </si>
  <si>
    <t>MX0034</t>
  </si>
  <si>
    <t>Pedro Molina Sanchez</t>
  </si>
  <si>
    <t>17.242739, -94.827503</t>
  </si>
  <si>
    <t>MX0035</t>
  </si>
  <si>
    <t>Rafael Hernández Hernández</t>
  </si>
  <si>
    <t>556 897 8244</t>
  </si>
  <si>
    <t>taizonhernandez181@gmail.com</t>
  </si>
  <si>
    <t>17.5192162, -94.4582382</t>
  </si>
  <si>
    <t>MX0036</t>
  </si>
  <si>
    <t>Tito Soria</t>
  </si>
  <si>
    <t>‎soriapereztito@gmail.com;facturastitosoria@gmail.com</t>
  </si>
  <si>
    <t>17.796072, -93.463639</t>
  </si>
  <si>
    <t>MX0037</t>
  </si>
  <si>
    <t>Ubaldo Guillermo Pérez Cruz</t>
  </si>
  <si>
    <t>932 106 9604</t>
  </si>
  <si>
    <t>ugperez@hotmail.com;memosum56@outlook.com</t>
  </si>
  <si>
    <t>17.489817, -92.894725</t>
  </si>
  <si>
    <t>US0151</t>
  </si>
  <si>
    <t>34.7043556, -83.6595083</t>
  </si>
  <si>
    <t>US0152</t>
  </si>
  <si>
    <t>2450 Cox City Rd, Rush Springs, OK, USA</t>
  </si>
  <si>
    <t>35.023722, -97.734500</t>
  </si>
  <si>
    <t>US0148</t>
  </si>
  <si>
    <t>US0153</t>
  </si>
  <si>
    <t>US0145</t>
  </si>
  <si>
    <t>Andy McCormick</t>
  </si>
  <si>
    <t>256-201-1839</t>
  </si>
  <si>
    <t>grandmastersx32x@yahoo.com</t>
  </si>
  <si>
    <t>380 County Road 923 Heflin AL 36264-3658</t>
  </si>
  <si>
    <t>33.544381, -85.638128</t>
  </si>
  <si>
    <t>US0146</t>
  </si>
  <si>
    <t>Clinton Hardie</t>
  </si>
  <si>
    <t>Anita J Hardie</t>
  </si>
  <si>
    <t>478-808-1458</t>
  </si>
  <si>
    <t>awnfarms@hotmail.com</t>
  </si>
  <si>
    <t>177 Hwy 243 Ivey GA. 31031</t>
  </si>
  <si>
    <t>181 GA-243, Ivey, GA 31031, USA</t>
  </si>
  <si>
    <t>32.9159, -83.2916</t>
  </si>
  <si>
    <t>US0147</t>
  </si>
  <si>
    <t>Colin McCulley</t>
  </si>
  <si>
    <t>478-457-6214</t>
  </si>
  <si>
    <t>mcc120797@gmail.com</t>
  </si>
  <si>
    <t>23780 U.S. 441, Milledgeville, GA 31061</t>
  </si>
  <si>
    <t>32.950704, -83.201976</t>
  </si>
  <si>
    <t>US0149</t>
  </si>
  <si>
    <t>Greg Lumpkin</t>
  </si>
  <si>
    <t>WT Lumpkin Farms</t>
  </si>
  <si>
    <t>229-317-3926</t>
  </si>
  <si>
    <t>gregtlumpkin@yahoo.com</t>
  </si>
  <si>
    <t>274 Snapper Rd, Cuthbert GA, 39840</t>
  </si>
  <si>
    <t>31.6476889, -84.8328527</t>
  </si>
  <si>
    <t>US0150</t>
  </si>
  <si>
    <t>Jim Lamberth</t>
  </si>
  <si>
    <t>James Lamberth</t>
  </si>
  <si>
    <t>615-351-6509</t>
  </si>
  <si>
    <t>jim@sunshinepoolstn.com</t>
  </si>
  <si>
    <t>901 Clearview Rd, COTTONTOWN, TN, 37048</t>
  </si>
  <si>
    <t>36.547, -86.5798</t>
  </si>
  <si>
    <t>US0154</t>
  </si>
  <si>
    <t>Steve Carson</t>
  </si>
  <si>
    <t>813-731-1266</t>
  </si>
  <si>
    <t>makanifl@verizon.net</t>
  </si>
  <si>
    <t>9024 Breland Dr Tampa FL 33626-2974</t>
  </si>
  <si>
    <t>1631 Georgia Highway 253, Donalsonville 39845 USA</t>
  </si>
  <si>
    <t>31.002013, -84.443413</t>
  </si>
  <si>
    <t>11,12</t>
  </si>
  <si>
    <t>CR0100</t>
  </si>
  <si>
    <t>Samuel Wards</t>
  </si>
  <si>
    <t>Samule Wards</t>
  </si>
  <si>
    <t>506-6298-7677</t>
  </si>
  <si>
    <t>ward_samuel@yahoo.com</t>
  </si>
  <si>
    <t>Frente a la Iglesia Metodista de Pacuarito de Siquirres, Limón</t>
  </si>
  <si>
    <t>10.106916, -83.469906</t>
  </si>
  <si>
    <t>CR0101</t>
  </si>
  <si>
    <t>Leonardo Barquero</t>
  </si>
  <si>
    <t>Tecamachalco S.A</t>
  </si>
  <si>
    <t>52 55 70698839</t>
  </si>
  <si>
    <t>barqueroj@gmail.com, ravenard@yahoo.com</t>
  </si>
  <si>
    <t>De la Cruz Roja de Santa Ana, 400m Oeste, 300m Norte y 200 m oeste. Condominio La Hacienda #22</t>
  </si>
  <si>
    <t>9.9405556, -84.4611111</t>
  </si>
  <si>
    <t>CR0102</t>
  </si>
  <si>
    <t>William Romero</t>
  </si>
  <si>
    <t>Karen Vargas Fernandez y William Romero Fernandez</t>
  </si>
  <si>
    <t>506 8392-9488, 506 8867-9772</t>
  </si>
  <si>
    <t>brprecision@hotmail.com</t>
  </si>
  <si>
    <t>Heredia, Ulloa: Calle la Carpintera, de lubricentro Freddy 400mts sur-oeste, tapia color gris a mano izquierda</t>
  </si>
  <si>
    <t>10.311763, -85.032074</t>
  </si>
  <si>
    <t>CR0103</t>
  </si>
  <si>
    <t>Jorge Alberto Cole</t>
  </si>
  <si>
    <t>Himalaya Verde  LTDA</t>
  </si>
  <si>
    <t>506 8599-3617</t>
  </si>
  <si>
    <t>guanabanasdeosa@gmail.com</t>
  </si>
  <si>
    <t>Puntarenas Province, Ciudad Cortés, Costa Rica</t>
  </si>
  <si>
    <t>8.948962,-83.454376</t>
  </si>
  <si>
    <t>CR0104</t>
  </si>
  <si>
    <t>Emmanuel Manuel Ruiz</t>
  </si>
  <si>
    <t>Jose Manuel Ruiz</t>
  </si>
  <si>
    <t>506 8357-0986</t>
  </si>
  <si>
    <t>emaruiztorres@gmail.com</t>
  </si>
  <si>
    <t>Heredia Province, La Virgen, Costa Rica</t>
  </si>
  <si>
    <t>10.357575,-84.067108</t>
  </si>
  <si>
    <t>CR0105</t>
  </si>
  <si>
    <t>Johaner Rosales Flores</t>
  </si>
  <si>
    <t>506 8323-6963</t>
  </si>
  <si>
    <t>johaner.rf@gmail.com</t>
  </si>
  <si>
    <t>Valle de la estrella</t>
  </si>
  <si>
    <t>9.681389, -82.927467</t>
  </si>
  <si>
    <t>GT0044</t>
  </si>
  <si>
    <t>David Horacio Estrada Jeréz</t>
  </si>
  <si>
    <t>14.131222, -90.386278</t>
  </si>
  <si>
    <t>GT0031c</t>
  </si>
  <si>
    <t>GT0045</t>
  </si>
  <si>
    <t>Trapiche de la Vega Sociedad Anónima / Walesca María Isabel Agüero Urruela de Maegli</t>
  </si>
  <si>
    <t>MX0042</t>
  </si>
  <si>
    <t>17.211378, -94.592932</t>
  </si>
  <si>
    <t>MX0043</t>
  </si>
  <si>
    <t>Carlos Carbajal Gutiérrez</t>
  </si>
  <si>
    <t>jcarbajal.g@hotmail.com</t>
  </si>
  <si>
    <t>17.502994, -94.439860</t>
  </si>
  <si>
    <t>MX0048</t>
  </si>
  <si>
    <t>Pedro Molina Sánchez</t>
  </si>
  <si>
    <t>molina_2155@hotmail.com</t>
  </si>
  <si>
    <t>17.242757, -94.827848</t>
  </si>
  <si>
    <t>MX0051</t>
  </si>
  <si>
    <t>Tito Soria Pérez</t>
  </si>
  <si>
    <t>‎soriapereztito@gmail.com</t>
  </si>
  <si>
    <t>17.799281, -93.462602</t>
  </si>
  <si>
    <t>MX0038</t>
  </si>
  <si>
    <t>Abraham Arreola Salto</t>
  </si>
  <si>
    <t>917 109 7180</t>
  </si>
  <si>
    <t>banchearreola@hotmail.com</t>
  </si>
  <si>
    <t>17.6007097, -94.5515989</t>
  </si>
  <si>
    <t>MX0039</t>
  </si>
  <si>
    <t>Agustín Ayala Torres</t>
  </si>
  <si>
    <t>Joseayalavazquez911@gmail.com</t>
  </si>
  <si>
    <t>17.5162635, -94.4338635</t>
  </si>
  <si>
    <t>MX0040</t>
  </si>
  <si>
    <t>Angela López Cruz</t>
  </si>
  <si>
    <t>cruzambrosio370@gmail.com </t>
  </si>
  <si>
    <t>17.491062, -94.436408</t>
  </si>
  <si>
    <t>MX0041</t>
  </si>
  <si>
    <t>Aquiles Augusto Del Río Radilla</t>
  </si>
  <si>
    <t>17.680469, -94.024183</t>
  </si>
  <si>
    <t>MX0044</t>
  </si>
  <si>
    <t>Eduardo Romero Aguilar</t>
  </si>
  <si>
    <t>17.6514457, -93.7004533</t>
  </si>
  <si>
    <t>MX0045</t>
  </si>
  <si>
    <t>Juan Ramón Aguilar Rodríguez</t>
  </si>
  <si>
    <t>MX0046</t>
  </si>
  <si>
    <t>Lorenzo Rodríguez Osorio</t>
  </si>
  <si>
    <t>17.1850153, -94.2047243</t>
  </si>
  <si>
    <t>MX0047</t>
  </si>
  <si>
    <t>Moisés Jacinto Felipe</t>
  </si>
  <si>
    <t>jacintofelipemoises16@gmail.com</t>
  </si>
  <si>
    <t>17.2663584, -94.8070242</t>
  </si>
  <si>
    <t>MX0049</t>
  </si>
  <si>
    <t>Roberta Felipe Cruz</t>
  </si>
  <si>
    <t>17.2702675, -94.8103548</t>
  </si>
  <si>
    <t>MX0050</t>
  </si>
  <si>
    <t>Sofía Bautista Bustos</t>
  </si>
  <si>
    <t>dalarconb@hotmail.com</t>
  </si>
  <si>
    <t>17.581839, -95.235197</t>
  </si>
  <si>
    <t>MX0052</t>
  </si>
  <si>
    <t>Victorico Ortega Cohetero</t>
  </si>
  <si>
    <t>Victoricoortegacohetero@gmail.com</t>
  </si>
  <si>
    <t>17.216251, -94.217917</t>
  </si>
  <si>
    <t>US0155</t>
  </si>
  <si>
    <t>Jacqueline and Anthony Lea</t>
  </si>
  <si>
    <t>225-939-2710</t>
  </si>
  <si>
    <t>41190 Cannon Road, Gonzales, LA 70737</t>
  </si>
  <si>
    <t>Gretchen Lane Off, Covington, LA 70435</t>
  </si>
  <si>
    <t>30.512792, -90.144444</t>
  </si>
  <si>
    <t>2,12,13,14,18</t>
  </si>
  <si>
    <t>US0165</t>
  </si>
  <si>
    <t>Steven and
Christy Hunter</t>
  </si>
  <si>
    <t>2645 State Highway 139, Maplesville, Alabama
36750, USA</t>
  </si>
  <si>
    <t>AL HWY 139, Maplesville, AL</t>
  </si>
  <si>
    <t>32.8212800, -86.8920200</t>
  </si>
  <si>
    <t xml:space="preserve">18, </t>
  </si>
  <si>
    <t>US0163</t>
  </si>
  <si>
    <t>Martha and Rick Griffis</t>
  </si>
  <si>
    <t>229-834-8941</t>
  </si>
  <si>
    <t>rickgriffis53@gmail.com</t>
  </si>
  <si>
    <t>US0159</t>
  </si>
  <si>
    <t>274 Snapper rd Coleman Ga 39836</t>
  </si>
  <si>
    <t>274 Snapper Rd, Coleman GA, 39840</t>
  </si>
  <si>
    <t>31.6701278, -84.811122</t>
  </si>
  <si>
    <t>US0164</t>
  </si>
  <si>
    <t>makanifl78@yahoo.com</t>
  </si>
  <si>
    <t>31.00422383,-84.4464961</t>
  </si>
  <si>
    <t>US0156</t>
  </si>
  <si>
    <t>Austin Stacy</t>
  </si>
  <si>
    <t>S&amp;S Timber Farms, Inc</t>
  </si>
  <si>
    <t>678-943-7687</t>
  </si>
  <si>
    <t>greggstacy2@aol.com , austinstacy25@gmail.com</t>
  </si>
  <si>
    <t>5334 Birchland Court Buford GA 30518</t>
  </si>
  <si>
    <t>1321 Ga Highway 15 S, Adrian, GA, 31002</t>
  </si>
  <si>
    <t>32.5623385, -82.6182654</t>
  </si>
  <si>
    <t>US0157</t>
  </si>
  <si>
    <t>Cortney and Josh Chancey</t>
  </si>
  <si>
    <t>334-202-2441</t>
  </si>
  <si>
    <t>cmp926@gmail.com</t>
  </si>
  <si>
    <t>521 County Road 20 East, Marbury, AL 36051</t>
  </si>
  <si>
    <t>521 County Road 20 E, Marbury, AL 36051</t>
  </si>
  <si>
    <t>32.706608, -86.430760</t>
  </si>
  <si>
    <t>18, 13</t>
  </si>
  <si>
    <t>US0158</t>
  </si>
  <si>
    <t>Gary Goldsmith</t>
  </si>
  <si>
    <t>Gary Goldsmith and
Chester Dooly</t>
  </si>
  <si>
    <t>850-240-0780, 850-305-3985</t>
  </si>
  <si>
    <t>gmgoldsmith@hotmail.com, chester.dooly@conlanacres.com</t>
  </si>
  <si>
    <t>211 Avondale Circle, Warner Robins, GA 31088</t>
  </si>
  <si>
    <t>5690 Pine Level Road, Oglethorpe, GA 31068</t>
  </si>
  <si>
    <t>32.42897, -84.09932</t>
  </si>
  <si>
    <t>US0160</t>
  </si>
  <si>
    <t>Keller Galpin</t>
  </si>
  <si>
    <t>229-220-9169</t>
  </si>
  <si>
    <t>kwgalpin@gmail.com</t>
  </si>
  <si>
    <t>2113 Blacklake Circle, Bainbridge, Ga 39819</t>
  </si>
  <si>
    <t>Off Sharber Rd, Bainbridge, GA, 39817</t>
  </si>
  <si>
    <t>30.9439, -84.52606</t>
  </si>
  <si>
    <t>US0161</t>
  </si>
  <si>
    <t>Ken English</t>
  </si>
  <si>
    <t>334-447-1046</t>
  </si>
  <si>
    <t>kenenglish27@gmail.com</t>
  </si>
  <si>
    <t>285 County Road 247, Elba, AL, USA</t>
  </si>
  <si>
    <t>31.44218, -85.98702</t>
  </si>
  <si>
    <t>US0162</t>
  </si>
  <si>
    <t>Manuel Folsom</t>
  </si>
  <si>
    <t>850-624-2222</t>
  </si>
  <si>
    <t>manuel.folsom@yahoo.com</t>
  </si>
  <si>
    <t>4213 De Len Drive, Panama City, FL 32404</t>
  </si>
  <si>
    <t>3821 Southwest County Road 534, Mayo, FL, USA</t>
  </si>
  <si>
    <t>30.08279, -83.29082</t>
  </si>
  <si>
    <t>CR0110</t>
  </si>
  <si>
    <t>eraulangulo@gmail.com;fedemais2000@gmail.com</t>
  </si>
  <si>
    <t>9.715530, -84.493030</t>
  </si>
  <si>
    <t>CR0106</t>
  </si>
  <si>
    <t>Eduardo Trejos</t>
  </si>
  <si>
    <t>eduardotrejosobando@gmail.com</t>
  </si>
  <si>
    <t>La Rita de Guapiles</t>
  </si>
  <si>
    <t>10.331239, -83.715675</t>
  </si>
  <si>
    <t>Elongata CR</t>
  </si>
  <si>
    <t>CR0107</t>
  </si>
  <si>
    <t>Rodrigo Mora</t>
  </si>
  <si>
    <t>roalmoa@gmail.com</t>
  </si>
  <si>
    <t>CR0108</t>
  </si>
  <si>
    <t>Andrey Castro</t>
  </si>
  <si>
    <t>Leidy Judith de la Trinidad Villalobos Arias, Carolina Castro</t>
  </si>
  <si>
    <t>83120389 and 84152315</t>
  </si>
  <si>
    <t>serviciosvillalobos94@gmail,com</t>
  </si>
  <si>
    <t>10.7182, -84.8363</t>
  </si>
  <si>
    <t>CR0109</t>
  </si>
  <si>
    <t>Carlos Garcia</t>
  </si>
  <si>
    <t>506-85998467,50663441753</t>
  </si>
  <si>
    <t>cgarcia.rodriguez.75@gmail.com;marlenyrodcam@gmail.com</t>
  </si>
  <si>
    <t>10.4297514509, -84.4295795273</t>
  </si>
  <si>
    <t>CR0111</t>
  </si>
  <si>
    <t>Ricardo Blanco</t>
  </si>
  <si>
    <t>provial.ro@gmail.com</t>
  </si>
  <si>
    <t>10.393608, -84.433483</t>
  </si>
  <si>
    <t>MX0084</t>
  </si>
  <si>
    <t>Angela Lopez Cruz</t>
  </si>
  <si>
    <t>MX0053</t>
  </si>
  <si>
    <t>Alfonso Juan Durán</t>
  </si>
  <si>
    <t>Ejido Los Liberales, Municipio de Uxpanapa, Estado de Veracruz.</t>
  </si>
  <si>
    <t>17.3173835, -94.126369</t>
  </si>
  <si>
    <t>MX0054</t>
  </si>
  <si>
    <t>Virginia Torrecilla Castillo</t>
  </si>
  <si>
    <t>Ejido Los Liberales, Municipio de Uxpanapa, Estado de Veracruz. CP 96998</t>
  </si>
  <si>
    <t>17.30949, -94.158382</t>
  </si>
  <si>
    <t>MX0055</t>
  </si>
  <si>
    <t>Casto De la Cruz Francisco</t>
  </si>
  <si>
    <t>Venustiano Lino Sisto</t>
  </si>
  <si>
    <t>delacruz5castro@gmail.com</t>
  </si>
  <si>
    <t>17.217334, -94.629938</t>
  </si>
  <si>
    <t>MX0056</t>
  </si>
  <si>
    <t>Tomás García Rodríguez</t>
  </si>
  <si>
    <t>17.3168959, -94.1362131</t>
  </si>
  <si>
    <t>MX0057</t>
  </si>
  <si>
    <t>Reyna Rangel Cruz</t>
  </si>
  <si>
    <t>17.3227256, -94.1536424</t>
  </si>
  <si>
    <t>MX0058</t>
  </si>
  <si>
    <t>Miguel Felipe Mauro</t>
  </si>
  <si>
    <t>17.2219009, -94.6369167</t>
  </si>
  <si>
    <t>MX0059</t>
  </si>
  <si>
    <t>Mauricio Maya Chávez</t>
  </si>
  <si>
    <t>17.300934, -94.173452</t>
  </si>
  <si>
    <t>MX0060</t>
  </si>
  <si>
    <t>Marcelino De la Cruz Olarte</t>
  </si>
  <si>
    <t>17.2373253, -946166264</t>
  </si>
  <si>
    <t>MX0061</t>
  </si>
  <si>
    <t>eddiel279@hotmail.com</t>
  </si>
  <si>
    <t>Ejido N.C.P.E. La Horqueta, Municipio de Uxpanapa, Estado de Veracruz. CP 96998</t>
  </si>
  <si>
    <t>17.2390516, -94.1949683</t>
  </si>
  <si>
    <t>MX0062</t>
  </si>
  <si>
    <t>Justino Cruz</t>
  </si>
  <si>
    <t>Justino Cruz Mendoza</t>
  </si>
  <si>
    <t>greenway.stonemasonry@gmail.com</t>
  </si>
  <si>
    <t>17.2068758, -94.7027043</t>
  </si>
  <si>
    <t>MX0063</t>
  </si>
  <si>
    <t xml:space="preserve">José Pastor Gutiérrez Rodríguez </t>
  </si>
  <si>
    <t>17.3242687, -94.1495566</t>
  </si>
  <si>
    <t>MX0064</t>
  </si>
  <si>
    <t>José De la Cruz Olarte</t>
  </si>
  <si>
    <t>17.217873, -94.638552</t>
  </si>
  <si>
    <t>MX0065</t>
  </si>
  <si>
    <t>José Becerra García</t>
  </si>
  <si>
    <t>17.3139202, -94.1468291</t>
  </si>
  <si>
    <t>MX0066</t>
  </si>
  <si>
    <t>Irma García Camacho</t>
  </si>
  <si>
    <t>17.310944, -94.149801</t>
  </si>
  <si>
    <t>MX0067</t>
  </si>
  <si>
    <t>Félix Álvarez Vázquez</t>
  </si>
  <si>
    <t>Ejido Plan de Arroyos, Municipio de Uxpanapa, Estado de Veracruz De La Llave. CP 96997</t>
  </si>
  <si>
    <t>17.2322696, -94.6381162</t>
  </si>
  <si>
    <t>MX0068</t>
  </si>
  <si>
    <t>Facundo Medina Delgado</t>
  </si>
  <si>
    <t>17.3314977, -94.1353051</t>
  </si>
  <si>
    <t>MX0069</t>
  </si>
  <si>
    <t>Facundo De la Cruz Francisco</t>
  </si>
  <si>
    <t>17.23549747, -94.63290514</t>
  </si>
  <si>
    <t>MX0070</t>
  </si>
  <si>
    <t>Eugenia Vargas Hernández</t>
  </si>
  <si>
    <t>17.324828, -94.138915</t>
  </si>
  <si>
    <t>MX0071</t>
  </si>
  <si>
    <t>Emma Barrios Goméz</t>
  </si>
  <si>
    <t>17.3628535, -94.4446755</t>
  </si>
  <si>
    <t>MX0072</t>
  </si>
  <si>
    <t>Ciro Martínez Gutiérrez</t>
  </si>
  <si>
    <t>Ejido General Valerio Trujano, Municipio de Uxpanapa, Estado de Veracruz. CP 96998</t>
  </si>
  <si>
    <t>17.32442, -94.1406212</t>
  </si>
  <si>
    <t>MX0073</t>
  </si>
  <si>
    <t>17.23688551, -94.62315052</t>
  </si>
  <si>
    <t>MX0074</t>
  </si>
  <si>
    <t>Carolina García García</t>
  </si>
  <si>
    <t>17.3095507, -94.1507831</t>
  </si>
  <si>
    <t>MX0075</t>
  </si>
  <si>
    <t>Calixtro Cruz Silva</t>
  </si>
  <si>
    <t>17.3284854, -94.1451928</t>
  </si>
  <si>
    <t>MX0076</t>
  </si>
  <si>
    <t>Benita Rendón Ambrocio</t>
  </si>
  <si>
    <t>17.3251813, -94.138121</t>
  </si>
  <si>
    <t>MX0077</t>
  </si>
  <si>
    <t>Rosario Sánchez</t>
  </si>
  <si>
    <t>Rosario Sánchez Miravete</t>
  </si>
  <si>
    <t>chayo052574@gmail.com</t>
  </si>
  <si>
    <t>17.4844392236139, -95.5933437605206</t>
  </si>
  <si>
    <t>MX0078</t>
  </si>
  <si>
    <t>Rubén Fernández Méndez</t>
  </si>
  <si>
    <t>bulbarela12345@gmail.com</t>
  </si>
  <si>
    <t>Localidad La Soledad, Juan Rodríguez Clara, Veracruz, México. CP 95676.</t>
  </si>
  <si>
    <t>17.9506003, -95.3010965</t>
  </si>
  <si>
    <t>MX0079</t>
  </si>
  <si>
    <t>Marcelo Sánchez Miravete</t>
  </si>
  <si>
    <t>30sanchez.12345@gmail.com</t>
  </si>
  <si>
    <t>17.4764004478068, -95.6063100675299</t>
  </si>
  <si>
    <t>MX0080</t>
  </si>
  <si>
    <t>María Álvarez Rivera</t>
  </si>
  <si>
    <t>Leonel Mendoza Moreno</t>
  </si>
  <si>
    <t>mariaalvarezrivera321@gmail.com</t>
  </si>
  <si>
    <t>Predio Rústico Santa Sofía, Tuxtepec, Oaxaca.</t>
  </si>
  <si>
    <t>17.8019092, -95.8793005</t>
  </si>
  <si>
    <t>MX0081</t>
  </si>
  <si>
    <t>Francisco Ramírez Zamorano</t>
  </si>
  <si>
    <t>18.0043718449499, -95.6316656587739</t>
  </si>
  <si>
    <t>MX0082</t>
  </si>
  <si>
    <t>Angel Gomez Mendez</t>
  </si>
  <si>
    <t>MX0083</t>
  </si>
  <si>
    <t>Alberto Amezcua</t>
  </si>
  <si>
    <t>Alberto Amezcua Chávez</t>
  </si>
  <si>
    <t>alberto-aac@hotmail.com</t>
  </si>
  <si>
    <t>Colonia Agrícola y Ganadera Coahuila, del municipio de Playa Vicente, Veracruz.</t>
  </si>
  <si>
    <t>17.6995652, -95.5325522</t>
  </si>
  <si>
    <t>MX0085</t>
  </si>
  <si>
    <t>Delfino Cruz Mil</t>
  </si>
  <si>
    <t>Gonzalo Cruz Jiménez</t>
  </si>
  <si>
    <t>trujillojuana798@gmail.com</t>
  </si>
  <si>
    <t>Ejido Candido Aguilar, Municipio de Minatitlan, Veracruz, México, C.P. 96700</t>
  </si>
  <si>
    <t>17.4902304, -94.4526763</t>
  </si>
  <si>
    <t>MX0086</t>
  </si>
  <si>
    <t>Valente Zamora Utrera</t>
  </si>
  <si>
    <t xml:space="preserve">Ejido Pueblo Viejo. Las Choapas, Veracruz de la Llave. </t>
  </si>
  <si>
    <t>17.38913629, -93.77397504</t>
  </si>
  <si>
    <t>MX0087</t>
  </si>
  <si>
    <t>Samuel Domínguez Gómez</t>
  </si>
  <si>
    <t>Ej. Benito Juárez S/N, Las Choapas, Veracruz.</t>
  </si>
  <si>
    <t>17.3189185, -93.7432548</t>
  </si>
  <si>
    <t>MX0088</t>
  </si>
  <si>
    <t>Roberto Morales Domínguez</t>
  </si>
  <si>
    <t>923 117 6486</t>
  </si>
  <si>
    <t>17.3262367, -93.7438911</t>
  </si>
  <si>
    <t>MX0089</t>
  </si>
  <si>
    <t>Milton Domínguez Morales</t>
  </si>
  <si>
    <t>17.3617901, -93.78557324</t>
  </si>
  <si>
    <t>MX0090</t>
  </si>
  <si>
    <t>Leopoldo Torales González</t>
  </si>
  <si>
    <t>Predio Rústico San Juan Camalotal del Municipio de Las Choapas, Veracruz.</t>
  </si>
  <si>
    <t>17.42363581, -93.7994805</t>
  </si>
  <si>
    <t>MX0091</t>
  </si>
  <si>
    <t>José Enrique Lorenzo Solís</t>
  </si>
  <si>
    <t>17.34223477, -93.7660538</t>
  </si>
  <si>
    <t>MX0092</t>
  </si>
  <si>
    <t>José Crecencio Zamora Viveros</t>
  </si>
  <si>
    <t>17.39444359, -93.77239354</t>
  </si>
  <si>
    <t>MX0093</t>
  </si>
  <si>
    <t>Hugo Zamora Viveros</t>
  </si>
  <si>
    <t>Ejido Río Playas. Las Choapas, Veracruz.</t>
  </si>
  <si>
    <t>17.38856997, -93.77116978</t>
  </si>
  <si>
    <t>MX0094</t>
  </si>
  <si>
    <t>Gustavo David Zamora Utrera</t>
  </si>
  <si>
    <t>17.39534167, -93.77971765</t>
  </si>
  <si>
    <t>from 1100-1650</t>
  </si>
  <si>
    <t>MX0095</t>
  </si>
  <si>
    <t>Gelix Quirasco Sixteco</t>
  </si>
  <si>
    <t>Ejido N.C.P.A. Vicente Guerrero. Las Choapas, Veracruz.</t>
  </si>
  <si>
    <t>17.424491, -93.803707</t>
  </si>
  <si>
    <t>MX0096</t>
  </si>
  <si>
    <t>Ejido Cándido Aguilar, Municipio de Minatitlán, Veracruz, México, C.P. 96926</t>
  </si>
  <si>
    <t>17.4952513, -94.4474044</t>
  </si>
  <si>
    <t>MX0097</t>
  </si>
  <si>
    <t>Concepción Rueda Díaz</t>
  </si>
  <si>
    <t>17.35488148, -93.78831346</t>
  </si>
  <si>
    <t>MX0098</t>
  </si>
  <si>
    <t>Noel Zamora Viveros</t>
  </si>
  <si>
    <t>17.38517395, -93.77421711</t>
  </si>
  <si>
    <t>Inocente Zamora Utera</t>
  </si>
  <si>
    <t>17.3916399, -93.77523065</t>
  </si>
  <si>
    <t>Subtotal:</t>
  </si>
  <si>
    <t>May</t>
  </si>
  <si>
    <t>&lt;</t>
  </si>
  <si>
    <t>JUN</t>
  </si>
  <si>
    <t>&gt;</t>
  </si>
  <si>
    <t>Jul</t>
  </si>
  <si>
    <t>Trees by US ETP Raise</t>
  </si>
  <si>
    <t>Survival-based off  of planted</t>
  </si>
  <si>
    <t>Series Obligation</t>
  </si>
  <si>
    <t>Obligation Remaining</t>
  </si>
  <si>
    <t>Contracted</t>
  </si>
  <si>
    <t>Planted</t>
  </si>
  <si>
    <t>Surviving</t>
  </si>
  <si>
    <t>Fulfilled</t>
  </si>
  <si>
    <t>Total Contracted</t>
  </si>
  <si>
    <t>Total Planted</t>
  </si>
  <si>
    <t>Total obligation to plant from contracted</t>
  </si>
  <si>
    <t>Total Surviving</t>
  </si>
  <si>
    <t>Total Obligation Remaining</t>
  </si>
  <si>
    <t>Trees by Canadian ETP Raise</t>
  </si>
  <si>
    <t>Survival</t>
  </si>
  <si>
    <t>Split</t>
  </si>
  <si>
    <t>2017 formula different</t>
  </si>
  <si>
    <t>Trees by Planting Year</t>
  </si>
  <si>
    <t>2024 Series</t>
  </si>
  <si>
    <t>ACTUALS 10-31-2024</t>
  </si>
  <si>
    <t>Offering</t>
  </si>
  <si>
    <t>$Raised</t>
  </si>
  <si>
    <t>Amount Raised in 2024</t>
  </si>
  <si>
    <t>Amount Raised in 2025</t>
  </si>
  <si>
    <t>Units Issued</t>
  </si>
  <si>
    <t>#Acres</t>
  </si>
  <si>
    <t>#Trees (185/acre)</t>
  </si>
  <si>
    <t>#Trees (140/acre)</t>
  </si>
  <si>
    <t>Totals &gt;&gt;&gt;&gt;&gt;&gt;&gt;&gt;</t>
  </si>
  <si>
    <t xml:space="preserve"> $- </t>
  </si>
  <si>
    <t>If master list already changed-CH</t>
  </si>
  <si>
    <t>Pipedrive</t>
  </si>
  <si>
    <t>Contract master list</t>
  </si>
  <si>
    <t xml:space="preserve">Sharepoint </t>
  </si>
  <si>
    <t>Date</t>
  </si>
  <si>
    <t>Row</t>
  </si>
  <si>
    <t xml:space="preserve">Contract code </t>
  </si>
  <si>
    <t>Farmer #</t>
  </si>
  <si>
    <t>Farmer name</t>
  </si>
  <si>
    <t>Status Changed to</t>
  </si>
  <si>
    <t>Change in Contracted</t>
  </si>
  <si>
    <t>Change in Planted</t>
  </si>
  <si>
    <t>Change in ETP year</t>
  </si>
  <si>
    <t>Change in Replacements</t>
  </si>
  <si>
    <t>Change in Trees</t>
  </si>
  <si>
    <t>Trees % alive as of Q1 2024 audit</t>
  </si>
  <si>
    <t>Survival% Inventory + Estimate</t>
  </si>
  <si>
    <t>#Trees Inventory + Estimate</t>
  </si>
  <si>
    <t xml:space="preserve">Changer </t>
  </si>
  <si>
    <t>Notes</t>
  </si>
  <si>
    <t>NA</t>
  </si>
  <si>
    <t>GR</t>
  </si>
  <si>
    <t>waiting for mutual release</t>
  </si>
  <si>
    <t>moved to out of program</t>
  </si>
  <si>
    <t> </t>
  </si>
  <si>
    <t>2500 to 4000</t>
  </si>
  <si>
    <t xml:space="preserve">contract CR0024 and CR0083 numbers got mixed up in data base. </t>
  </si>
  <si>
    <t>4000 to 2500</t>
  </si>
  <si>
    <t>CH</t>
  </si>
  <si>
    <t xml:space="preserve">Axel Duarte Duarte </t>
  </si>
  <si>
    <t>Lucía Carmen Garza López/Boris Garza Guevara/BORIGAR S.A.</t>
  </si>
  <si>
    <t xml:space="preserve">Jaime Rolando Maximino Perez Hernández </t>
  </si>
  <si>
    <t>Erick and Rudy Israel Cienfuegos Cordón</t>
  </si>
  <si>
    <t>Teresa Morales Roman</t>
  </si>
  <si>
    <t>status was already set to out of program-returned to RFT</t>
  </si>
  <si>
    <t>Mauricio Alvarado y Ania Monge</t>
  </si>
  <si>
    <t>Agner Chinchilla</t>
  </si>
  <si>
    <t>PD description: This site has suffered little rainfall, exceptionally hot summers with temps frequently over 100 degrees, predation by caterpillars and deer, and poor seedling quality. They have tried replanting and using drip irrigation, but still the trees did not survive. There are other trees currently on site from planting years 2022 and 2023. We will not look to contract plantings in this region in the future. </t>
  </si>
  <si>
    <t>contracts says 1100 trees-saved as 1000 and data base 1000</t>
  </si>
  <si>
    <t>Heather's trees are not growing well. Ashley D already explained the trees aren't growing as intended and we don't recommend spending more time and money on the project.​</t>
  </si>
  <si>
    <t>Column V</t>
  </si>
  <si>
    <t>added a US tree allocation #</t>
  </si>
  <si>
    <t>Column Y</t>
  </si>
  <si>
    <t>added a Canadian tree allocation #</t>
  </si>
  <si>
    <t>as per regional meeting 8/16. Farmer is no longer communicating. Hugo will try to set up a visit</t>
  </si>
  <si>
    <t>Jaime Rolando Maximino Perez Hernández RFT GT0021</t>
  </si>
  <si>
    <t>confirmed POP-added to data base</t>
  </si>
  <si>
    <t>Cliff Scales</t>
  </si>
  <si>
    <t>trees planted had already been added before POP-2200  trees</t>
  </si>
  <si>
    <t>trees planted had already been added before POP-1100  trees</t>
  </si>
  <si>
    <t>Column "AB"</t>
  </si>
  <si>
    <t>Added # of trees 12/31/20024</t>
  </si>
  <si>
    <t>Colum "H"</t>
  </si>
  <si>
    <t>Added harvest year column</t>
  </si>
  <si>
    <t>DS</t>
  </si>
  <si>
    <t xml:space="preserve">Agner Chinchilla </t>
  </si>
  <si>
    <t>Courtney and Josh Chancey</t>
  </si>
  <si>
    <t>Column AD and AE</t>
  </si>
  <si>
    <t>added allocation columns based on survivability 12/31/23</t>
  </si>
  <si>
    <t>Tecamachalco S.A.</t>
  </si>
  <si>
    <t>Leidi Villalobos</t>
  </si>
  <si>
    <t>Alberto Cole</t>
  </si>
  <si>
    <t>visit from Gustavo counted 600 live trees</t>
  </si>
  <si>
    <t>AgnerChinchilla</t>
  </si>
  <si>
    <t>Out of program since inventory.</t>
  </si>
  <si>
    <t>Agroindustrias Nativa</t>
  </si>
  <si>
    <t xml:space="preserve">Belinda Twohig </t>
  </si>
  <si>
    <t xml:space="preserve">Bobby Searcy </t>
  </si>
  <si>
    <t>Borigar S.A Carmen</t>
  </si>
  <si>
    <t>Caralampio Arreola</t>
  </si>
  <si>
    <t xml:space="preserve">Carl Womack </t>
  </si>
  <si>
    <t>Cirilo Carbajal</t>
  </si>
  <si>
    <t xml:space="preserve">Dale Ratliff </t>
  </si>
  <si>
    <t xml:space="preserve">David Chang </t>
  </si>
  <si>
    <t xml:space="preserve">David Hall </t>
  </si>
  <si>
    <t>David Horacio Estrada</t>
  </si>
  <si>
    <t xml:space="preserve">David Lewis </t>
  </si>
  <si>
    <t xml:space="preserve">Derek Bass </t>
  </si>
  <si>
    <t>Didier Alfaro</t>
  </si>
  <si>
    <t>Donato Arguedas</t>
  </si>
  <si>
    <t>Eduardo Esquivel</t>
  </si>
  <si>
    <t>Elia Araya</t>
  </si>
  <si>
    <t>EmanuelRuiz</t>
  </si>
  <si>
    <t>Emidy Ramirez</t>
  </si>
  <si>
    <t>Genier Araya</t>
  </si>
  <si>
    <t xml:space="preserve">Glen Sanders </t>
  </si>
  <si>
    <t xml:space="preserve">Guy Goodson </t>
  </si>
  <si>
    <t>Heradio Hernandez</t>
  </si>
  <si>
    <t>Jacabo Pardo</t>
  </si>
  <si>
    <t xml:space="preserve">Janet Whittaker </t>
  </si>
  <si>
    <t xml:space="preserve">Jeffrey Rice </t>
  </si>
  <si>
    <t>Jesus Rauda</t>
  </si>
  <si>
    <t xml:space="preserve">Jim West </t>
  </si>
  <si>
    <t>Jose Armando Carbajal</t>
  </si>
  <si>
    <t xml:space="preserve">Joseph Garrett </t>
  </si>
  <si>
    <t>Julio Francisco Morán</t>
  </si>
  <si>
    <t xml:space="preserve">Justin Brewer </t>
  </si>
  <si>
    <t xml:space="preserve">Kennsel Bennett </t>
  </si>
  <si>
    <t>Lucas Raudas</t>
  </si>
  <si>
    <t>MarcoPacheco</t>
  </si>
  <si>
    <t>MarijoseApestegi</t>
  </si>
  <si>
    <t>Out of program after inventory</t>
  </si>
  <si>
    <t>MarleniOporta</t>
  </si>
  <si>
    <t xml:space="preserve">Mike Porter </t>
  </si>
  <si>
    <t>OlgaChavarria</t>
  </si>
  <si>
    <t>OlgerMonge</t>
  </si>
  <si>
    <t>Pedro Molina</t>
  </si>
  <si>
    <t xml:space="preserve">Pete Preskitt </t>
  </si>
  <si>
    <t>Rafael Hernández</t>
  </si>
  <si>
    <t>Rafael Quiróz</t>
  </si>
  <si>
    <t xml:space="preserve">Richard and Trudie Barnes </t>
  </si>
  <si>
    <t>Richard Stevn Callaway</t>
  </si>
  <si>
    <t xml:space="preserve">Ricky Mitchell </t>
  </si>
  <si>
    <t xml:space="preserve">Rob Cason </t>
  </si>
  <si>
    <t xml:space="preserve">Ronnie and Kent Mathis </t>
  </si>
  <si>
    <t>RoyDamian</t>
  </si>
  <si>
    <t xml:space="preserve">Russell and Sedalia Nelson </t>
  </si>
  <si>
    <t xml:space="preserve">Sisay Souphom </t>
  </si>
  <si>
    <t xml:space="preserve">Steven Hunter </t>
  </si>
  <si>
    <t xml:space="preserve">Steven Whittaker </t>
  </si>
  <si>
    <t xml:space="preserve">Todd McCarley </t>
  </si>
  <si>
    <t>Trapiche de la Vega S.A</t>
  </si>
  <si>
    <t>Ubaldo Pérez</t>
  </si>
  <si>
    <t>Ubuntu GH</t>
  </si>
  <si>
    <t>VictorGodinez</t>
  </si>
  <si>
    <t>Wilbert Alfaro</t>
  </si>
  <si>
    <t>Moved to out of program</t>
  </si>
  <si>
    <t>Regional meeting 10/21-Ashley D noted that there are currently only 20 trees surviving on stand-not going to RFT as Beau wants to keep trying and many farms close to Beau</t>
  </si>
  <si>
    <t>Regional meeting 10/21-Ashley D noted 50 % of trees surviving. Hard to get ahold of.  Challenging for us to get to Oklahoma- not going to do inventory (11.5 hour drive) and might RFT</t>
  </si>
  <si>
    <t>Regional meeting 10/21-Ashley D noted 50 % of trees surviving. Hard to get ahold of. Challenging for us to get to Oklahoma-not going to do inventory (11.5 hour drive) and might RFT</t>
  </si>
  <si>
    <t xml:space="preserve">Corporacion San Miguel </t>
  </si>
  <si>
    <t>waiting on POP</t>
  </si>
  <si>
    <t>RM 11/4/2024-Ashley D noted that fertilizer placed a few weeks after planting and trees burned up.</t>
  </si>
  <si>
    <t>Lost 20 trees in storm Helen-ripped from the root.</t>
  </si>
  <si>
    <t>moved from 2020 to 2020-NA/BA</t>
  </si>
  <si>
    <t>Tree 2020 discrepancy:</t>
  </si>
  <si>
    <t>Large planting year. We over contracted for that offer. We report survival not on contracted 2020 series but on our obligation to investors.</t>
  </si>
  <si>
    <t>I promise we will plant 100 trees and then plant 180 trees of those 180 loads die, I fulfilled planted 100. Year that we got lied to by Mexico operations. Big contracts. Will Schuman in September to inspect with Lui to on a tour. Got a fantastic report. Then assigned to 2020 contracts. Luis blowing smoke up Wills ass and faking. Instead of ding investors. Contracts won’t be a part of the 2020 series. Contacts show 282k obligations to investors 242k. Only report on the 242k. Take about 40,000 contracts instead of 2020 allocation mark as no allocation/ bad allocation- All Mexico</t>
  </si>
  <si>
    <t>No POP or POD on farms in Mexico yet. Asked to add farms before POP complete/ still need to add address and move to "Active" once verifified.</t>
  </si>
  <si>
    <t>Ruben Fernández Méndez</t>
  </si>
  <si>
    <t>Hilario Estrada Rodríguez</t>
  </si>
  <si>
    <t>Mike was originally set to RFT but after deciding to propogate root cuttings and replant trees in a new area, decided to move back into Active and see how the plantings turn out. Confirmed via Teams Ashley, Drake, Kara conversation.</t>
  </si>
  <si>
    <t>This farm was incorrectly moved to RFT status in earlt 2024. HAve had confirmation from Hugo that this farm is Active and should not be RFT.</t>
  </si>
  <si>
    <t>Allocations 2024 plantings</t>
  </si>
  <si>
    <t>Tito Soria Perez</t>
  </si>
  <si>
    <t>MX0099</t>
  </si>
  <si>
    <t>farmer is planting in 2025</t>
  </si>
  <si>
    <t>original summary said 575 surviving. This was found to be incorrect during audit. Alejandro corrected report and updated 2024 inventory to reflect correct number.</t>
  </si>
  <si>
    <t>original summary said 2481 surviving. This was found to be incorrect during audit. Alejandro corrected report and updated 2024 inventory to reflect correct number.</t>
  </si>
  <si>
    <t>Farmer Code</t>
  </si>
  <si>
    <t>Contract#</t>
  </si>
  <si>
    <t># Trees Allocated to US Series</t>
  </si>
  <si>
    <t># Planted for Allocated Portion</t>
  </si>
  <si>
    <t>Amendment</t>
  </si>
  <si>
    <t># Trees as of 12/31/23</t>
  </si>
  <si>
    <t># Replaced in 2024</t>
  </si>
  <si>
    <t>New Trees/Planted in 2024</t>
  </si>
  <si>
    <t>2024 Tree Losses</t>
  </si>
  <si>
    <t>Total Trees as of 12/31/24</t>
  </si>
  <si>
    <t>Tree Change as of 12/31/24</t>
  </si>
  <si>
    <t>#Total Replaced All Years</t>
  </si>
  <si>
    <t>Inventory/Smart Sheet count</t>
  </si>
  <si>
    <t>#Survival based on Inventory</t>
  </si>
  <si>
    <t>#Survival based on Last Year Estimate</t>
  </si>
  <si>
    <t>Survival % as of 12/31/21</t>
  </si>
  <si>
    <t>Audit</t>
  </si>
  <si>
    <t>Details for Sum of USA trees/Allocation/Planted - Region: USA, ETP Year: 2024</t>
  </si>
  <si>
    <t>Actual Area (In Acres)</t>
  </si>
  <si>
    <t>Estimated Area (In Acres)</t>
  </si>
  <si>
    <t>Polygon</t>
  </si>
  <si>
    <t>Z +AB</t>
  </si>
  <si>
    <t/>
  </si>
  <si>
    <t>Sum of Canada Allocation-tree #'s</t>
  </si>
  <si>
    <t>Sum of Can trees/Allocation 2017</t>
  </si>
  <si>
    <t>COP CAN</t>
  </si>
  <si>
    <t>(blank)</t>
  </si>
  <si>
    <t>Grand Total</t>
  </si>
  <si>
    <t>#Farm Contracts</t>
  </si>
  <si>
    <t># Farms Removed</t>
  </si>
  <si>
    <t># Farms still in Program</t>
  </si>
  <si>
    <t>Tree Survival</t>
  </si>
  <si>
    <t>Total</t>
  </si>
  <si>
    <t>Canadian Series/Surviving</t>
  </si>
  <si>
    <t>Sum of #Trees as of 2024/estimate-Can allocation</t>
  </si>
  <si>
    <t>Raised:</t>
  </si>
  <si>
    <t>Planted 35,872</t>
  </si>
  <si>
    <t>**2017 different formulas</t>
  </si>
  <si>
    <t>Raised: $673,000</t>
  </si>
  <si>
    <t>Planted: 30,573</t>
  </si>
  <si>
    <t>US Series Surviving</t>
  </si>
  <si>
    <t xml:space="preserve">Sum of #Trees as of 2024/estimate -US allocation </t>
  </si>
  <si>
    <t>Raised: $841,500</t>
  </si>
  <si>
    <t>Planted: 35,143</t>
  </si>
  <si>
    <t>US</t>
  </si>
  <si>
    <t>US Series planted</t>
  </si>
  <si>
    <t>Sum of USA trees/Allocation/Planted</t>
  </si>
  <si>
    <t>Raised: $130,000</t>
  </si>
  <si>
    <t>Planted: 10,860</t>
  </si>
  <si>
    <t>Raised $130,000</t>
  </si>
  <si>
    <t>Planted:</t>
  </si>
  <si>
    <t>Raised $1,166,596</t>
  </si>
  <si>
    <t>Raised: $1,166,596</t>
  </si>
  <si>
    <t>Planted: 65,618</t>
  </si>
  <si>
    <t xml:space="preserve">Trees Reported: </t>
  </si>
  <si>
    <t>Difference reported-database</t>
  </si>
  <si>
    <t>Raised: $6,008,123</t>
  </si>
  <si>
    <t>Planted: 242,965</t>
  </si>
  <si>
    <t>Raised: $6,041,892.55</t>
  </si>
  <si>
    <t>Raised: $5,802,538.54</t>
  </si>
  <si>
    <t>Raised: $5,802,539</t>
  </si>
  <si>
    <t>Planted: 183,729</t>
  </si>
  <si>
    <t>Raised: $2,730,142</t>
  </si>
  <si>
    <t>Planted: 18,290</t>
  </si>
  <si>
    <t>Raised: $2,730,142.04</t>
  </si>
  <si>
    <t>Raised $986,614</t>
  </si>
  <si>
    <t>Count of Contract Code</t>
  </si>
  <si>
    <t>Column Labels</t>
  </si>
  <si>
    <t>Row Labels</t>
  </si>
  <si>
    <t>Current Year</t>
  </si>
  <si>
    <t>Harvest Year (Q4)</t>
  </si>
  <si>
    <t>Sale Year</t>
  </si>
  <si>
    <t>Trees Planted</t>
  </si>
  <si>
    <t>Surviving US Trees</t>
  </si>
  <si>
    <t>Surviving CR Trees</t>
  </si>
  <si>
    <t>Surviving GT Trees</t>
  </si>
  <si>
    <t>Surviving MX Trees</t>
  </si>
  <si>
    <t>Total Surviving Trees</t>
  </si>
  <si>
    <t>% Harvestable</t>
  </si>
  <si>
    <t>Estimated Avg BF per Tree</t>
  </si>
  <si>
    <t>Proforma Version (196)</t>
  </si>
  <si>
    <t>Discrepancy</t>
  </si>
  <si>
    <t>Profit per BF</t>
  </si>
  <si>
    <t>Total Profit</t>
  </si>
  <si>
    <t>WT Profit</t>
  </si>
  <si>
    <t>Present Value</t>
  </si>
  <si>
    <t>TOTALS</t>
  </si>
  <si>
    <t>Sum of #TreesContract</t>
  </si>
  <si>
    <t>Sum of #Planted</t>
  </si>
  <si>
    <t>Sum of Planting Obligation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</si>
</sst>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 #,##0.00_-;_-* &quot;-&quot;??_-;_-@_-"/>
    <numFmt numFmtId="164" formatCode="&quot;$&quot;#,##0_);[Red]\(&quot;$&quot;#,##0\)"/>
    <numFmt numFmtId="165" formatCode="&quot;$&quot;#,##0.00_);[Red]\(&quot;$&quot;#,##0.00\)"/>
    <numFmt numFmtId="166" formatCode="_(&quot;$&quot;* #,##0.00_);_(&quot;$&quot;* \(#,##0.00\);_(&quot;$&quot;* &quot;-&quot;??_);_(@_)"/>
    <numFmt numFmtId="167" formatCode="_(* #,##0.00_);_(* \(#,##0.00\);_(* &quot;-&quot;??_);_(@_)"/>
    <numFmt numFmtId="168" formatCode="_(* #,##0_);_(* \(#,##0\);_(* &quot;-&quot;??_);_(@_)"/>
    <numFmt numFmtId="169" formatCode="_(* #,##0_)&quot;*&quot;;_(* \(#,##0\)&quot;*&quot;;_(* &quot;-&quot;??_)&quot;*&quot;;_(@_)&quot;*&quot;"/>
    <numFmt numFmtId="170" formatCode="_-* #,##0_-;\-* #,##0_-;_-* &quot;-&quot;??_-;_-@_-"/>
    <numFmt numFmtId="171" formatCode="_(&quot;$&quot;* #,##0_);_(&quot;$&quot;* \(#,##0\);_(&quot;$&quot;* &quot;-&quot;??_);_(@_)"/>
    <numFmt numFmtId="172" formatCode="0.0%"/>
    <numFmt numFmtId="173" formatCode="_-* #,##0.0_-;\-* #,##0.0_-;_-* &quot;-&quot;??_-;_-@_-"/>
    <numFmt numFmtId="174" formatCode="_-* #,##0.0_-;[Red]\-* #,##0.0_-;_-* &quot;-&quot;??_-;_-@_-"/>
    <numFmt numFmtId="175" formatCode="0.00000"/>
  </numFmts>
  <fonts count="61" x14ac:knownFonts="1">
    <font>
      <sz val="11"/>
      <color theme="1"/>
      <name val="Calibri"/>
      <family val="2"/>
      <scheme val="minor"/>
    </font>
    <font>
      <sz val="11"/>
      <color indexed="8"/>
      <name val="Calibri"/>
      <family val="2"/>
    </font>
    <font>
      <b/>
      <sz val="11"/>
      <color theme="1"/>
      <name val="Calibri"/>
      <family val="2"/>
    </font>
    <font>
      <b/>
      <sz val="9"/>
      <color indexed="81"/>
      <name val="Tahoma"/>
      <family val="2"/>
    </font>
    <font>
      <sz val="9"/>
      <color indexed="81"/>
      <name val="Tahoma"/>
      <family val="2"/>
    </font>
    <font>
      <sz val="11"/>
      <color theme="1"/>
      <name val="Calibri"/>
      <family val="2"/>
    </font>
    <font>
      <sz val="11"/>
      <color theme="1"/>
      <name val="Calibri"/>
      <family val="2"/>
      <scheme val="minor"/>
    </font>
    <font>
      <sz val="11"/>
      <color indexed="8"/>
      <name val="Calibri"/>
      <family val="2"/>
    </font>
    <font>
      <sz val="12"/>
      <color indexed="8"/>
      <name val="Calibri"/>
      <family val="2"/>
    </font>
    <font>
      <sz val="12"/>
      <color rgb="FF000000"/>
      <name val="Calibri"/>
      <family val="2"/>
      <scheme val="minor"/>
    </font>
    <font>
      <sz val="11"/>
      <color rgb="FF000000"/>
      <name val="Calibri"/>
      <family val="2"/>
      <scheme val="minor"/>
    </font>
    <font>
      <sz val="8"/>
      <name val="Calibri"/>
      <family val="2"/>
      <scheme val="minor"/>
    </font>
    <font>
      <b/>
      <sz val="14"/>
      <color theme="1"/>
      <name val="Calibri"/>
      <family val="2"/>
      <scheme val="minor"/>
    </font>
    <font>
      <b/>
      <sz val="12"/>
      <color theme="1"/>
      <name val="Calibri"/>
      <family val="2"/>
      <scheme val="minor"/>
    </font>
    <font>
      <sz val="12"/>
      <color theme="1"/>
      <name val="Calibri"/>
      <family val="2"/>
      <scheme val="minor"/>
    </font>
    <font>
      <b/>
      <sz val="11"/>
      <color theme="1"/>
      <name val="Calibri"/>
      <family val="2"/>
      <scheme val="minor"/>
    </font>
    <font>
      <b/>
      <sz val="12"/>
      <color rgb="FF000000"/>
      <name val="Calibri"/>
      <family val="2"/>
      <scheme val="minor"/>
    </font>
    <font>
      <sz val="12"/>
      <name val="Calibri"/>
      <family val="2"/>
      <scheme val="minor"/>
    </font>
    <font>
      <sz val="11"/>
      <color rgb="FF0000FF"/>
      <name val="Calibri"/>
      <family val="2"/>
      <scheme val="minor"/>
    </font>
    <font>
      <sz val="12"/>
      <color theme="9" tint="-0.249977111117893"/>
      <name val="Calibri"/>
      <family val="2"/>
      <scheme val="minor"/>
    </font>
    <font>
      <b/>
      <sz val="12"/>
      <color theme="9" tint="-0.249977111117893"/>
      <name val="Calibri"/>
      <family val="2"/>
      <scheme val="minor"/>
    </font>
    <font>
      <sz val="12"/>
      <color rgb="FFC00000"/>
      <name val="Calibri"/>
      <family val="2"/>
      <scheme val="minor"/>
    </font>
    <font>
      <b/>
      <sz val="12"/>
      <color rgb="FFC00000"/>
      <name val="Calibri"/>
      <family val="2"/>
      <scheme val="minor"/>
    </font>
    <font>
      <sz val="9"/>
      <color theme="1"/>
      <name val="Calibri"/>
      <family val="2"/>
      <scheme val="minor"/>
    </font>
    <font>
      <b/>
      <sz val="9"/>
      <color theme="1"/>
      <name val="Calibri"/>
      <family val="2"/>
      <scheme val="minor"/>
    </font>
    <font>
      <sz val="11"/>
      <name val="Calibri"/>
      <family val="2"/>
      <scheme val="minor"/>
    </font>
    <font>
      <sz val="10"/>
      <color theme="1"/>
      <name val="Calibri"/>
      <family val="2"/>
      <scheme val="minor"/>
    </font>
    <font>
      <b/>
      <sz val="10"/>
      <color theme="1"/>
      <name val="Calibri"/>
      <family val="2"/>
      <scheme val="minor"/>
    </font>
    <font>
      <b/>
      <sz val="10"/>
      <color theme="0"/>
      <name val="Calibri"/>
      <family val="2"/>
      <scheme val="minor"/>
    </font>
    <font>
      <b/>
      <i/>
      <sz val="11"/>
      <color theme="1"/>
      <name val="Calibri"/>
      <family val="2"/>
      <scheme val="minor"/>
    </font>
    <font>
      <sz val="11"/>
      <name val="Calibri"/>
      <family val="2"/>
    </font>
    <font>
      <sz val="12"/>
      <color rgb="FF0000FF"/>
      <name val="Calibri"/>
      <family val="2"/>
      <scheme val="minor"/>
    </font>
    <font>
      <i/>
      <sz val="11"/>
      <color theme="1"/>
      <name val="Calibri"/>
      <family val="2"/>
      <scheme val="minor"/>
    </font>
    <font>
      <i/>
      <sz val="11"/>
      <color rgb="FFFF0000"/>
      <name val="Calibri"/>
      <family val="2"/>
      <scheme val="minor"/>
    </font>
    <font>
      <b/>
      <i/>
      <sz val="11"/>
      <color rgb="FFFF0000"/>
      <name val="Calibri"/>
      <family val="2"/>
      <scheme val="minor"/>
    </font>
    <font>
      <u/>
      <sz val="11"/>
      <color theme="10"/>
      <name val="Calibri"/>
      <family val="2"/>
      <scheme val="minor"/>
    </font>
    <font>
      <sz val="11"/>
      <color rgb="FFC00000"/>
      <name val="Calibri"/>
      <family val="2"/>
      <scheme val="minor"/>
    </font>
    <font>
      <b/>
      <sz val="11"/>
      <color rgb="FF000000"/>
      <name val="Calibri"/>
      <family val="2"/>
    </font>
    <font>
      <sz val="11"/>
      <color rgb="FF000000"/>
      <name val="Calibri"/>
      <family val="2"/>
    </font>
    <font>
      <sz val="10"/>
      <color rgb="FFFF0000"/>
      <name val="Calibri"/>
      <family val="2"/>
      <scheme val="minor"/>
    </font>
    <font>
      <sz val="11"/>
      <color rgb="FFFF0000"/>
      <name val="Calibri"/>
      <family val="2"/>
      <scheme val="minor"/>
    </font>
    <font>
      <b/>
      <sz val="14"/>
      <color rgb="FF0000FF"/>
      <name val="Calibri"/>
      <family val="2"/>
    </font>
    <font>
      <b/>
      <sz val="14"/>
      <color rgb="FF00B050"/>
      <name val="Calibri"/>
      <family val="2"/>
    </font>
    <font>
      <b/>
      <sz val="12"/>
      <color rgb="FF000000"/>
      <name val="Calibri"/>
      <family val="2"/>
    </font>
    <font>
      <b/>
      <sz val="10"/>
      <color rgb="FF000000"/>
      <name val="Calibri"/>
      <family val="2"/>
    </font>
    <font>
      <b/>
      <sz val="10"/>
      <name val="Calibri"/>
      <family val="2"/>
    </font>
    <font>
      <b/>
      <sz val="11"/>
      <color rgb="FF0000FF"/>
      <name val="Calibri"/>
      <family val="2"/>
    </font>
    <font>
      <sz val="11"/>
      <color rgb="FFFF0000"/>
      <name val="Calibri"/>
      <family val="2"/>
    </font>
    <font>
      <sz val="8"/>
      <name val="Arial"/>
      <family val="2"/>
    </font>
    <font>
      <sz val="11"/>
      <color rgb="FFC00000"/>
      <name val="Calibri"/>
      <family val="2"/>
    </font>
    <font>
      <b/>
      <sz val="11"/>
      <name val="Calibri"/>
      <family val="2"/>
    </font>
    <font>
      <b/>
      <sz val="12"/>
      <color rgb="FF0000FF"/>
      <name val="Calibri"/>
      <family val="2"/>
      <scheme val="minor"/>
    </font>
    <font>
      <sz val="11"/>
      <color rgb="FF242424"/>
      <name val="Aptos Narrow"/>
      <family val="2"/>
    </font>
    <font>
      <b/>
      <sz val="11"/>
      <color rgb="FFFF0000"/>
      <name val="Calibri"/>
      <family val="2"/>
      <scheme val="minor"/>
    </font>
    <font>
      <b/>
      <sz val="11"/>
      <color rgb="FF000000"/>
      <name val="Calibri"/>
      <family val="2"/>
      <scheme val="minor"/>
    </font>
    <font>
      <sz val="12"/>
      <color theme="1"/>
      <name val="Aptos"/>
      <family val="2"/>
      <charset val="1"/>
    </font>
    <font>
      <sz val="12"/>
      <color rgb="FF000000"/>
      <name val="Aptos Narrow"/>
      <family val="2"/>
    </font>
    <font>
      <sz val="11"/>
      <color rgb="FF000000"/>
      <name val="Aptos Narrow"/>
      <family val="2"/>
    </font>
    <font>
      <sz val="9"/>
      <color rgb="FF000000"/>
      <name val="Calibri"/>
      <family val="2"/>
    </font>
    <font>
      <strike/>
      <sz val="11"/>
      <color rgb="FF000000"/>
      <name val="Calibri"/>
      <family val="2"/>
    </font>
    <font>
      <strike/>
      <sz val="11"/>
      <color theme="1"/>
      <name val="Calibri"/>
      <family val="2"/>
      <scheme val="minor"/>
    </font>
  </fonts>
  <fills count="35">
    <fill>
      <patternFill patternType="none"/>
    </fill>
    <fill>
      <patternFill patternType="gray125"/>
    </fill>
    <fill>
      <patternFill patternType="solid">
        <fgColor theme="0" tint="-0.14999847407452621"/>
        <bgColor indexed="64"/>
      </patternFill>
    </fill>
    <fill>
      <patternFill patternType="solid">
        <fgColor rgb="FF92D050"/>
        <bgColor indexed="64"/>
      </patternFill>
    </fill>
    <fill>
      <patternFill patternType="solid">
        <fgColor rgb="FF00B050"/>
        <bgColor indexed="64"/>
      </patternFill>
    </fill>
    <fill>
      <patternFill patternType="solid">
        <fgColor theme="0" tint="-4.9989318521683403E-2"/>
        <bgColor indexed="64"/>
      </patternFill>
    </fill>
    <fill>
      <patternFill patternType="solid">
        <fgColor rgb="FFFFFFFF"/>
        <bgColor indexed="64"/>
      </patternFill>
    </fill>
    <fill>
      <patternFill patternType="solid">
        <fgColor rgb="FFD9D9D9"/>
        <bgColor indexed="64"/>
      </patternFill>
    </fill>
    <fill>
      <patternFill patternType="solid">
        <fgColor theme="0" tint="-0.249977111117893"/>
        <bgColor indexed="64"/>
      </patternFill>
    </fill>
    <fill>
      <patternFill patternType="solid">
        <fgColor rgb="FFFFC000"/>
        <bgColor indexed="64"/>
      </patternFill>
    </fill>
    <fill>
      <patternFill patternType="solid">
        <fgColor theme="8" tint="0.39997558519241921"/>
        <bgColor indexed="64"/>
      </patternFill>
    </fill>
    <fill>
      <patternFill patternType="solid">
        <fgColor theme="2"/>
        <bgColor indexed="64"/>
      </patternFill>
    </fill>
    <fill>
      <patternFill patternType="solid">
        <fgColor theme="0" tint="-0.34998626667073579"/>
        <bgColor indexed="64"/>
      </patternFill>
    </fill>
    <fill>
      <patternFill patternType="solid">
        <fgColor theme="0" tint="-0.14999847407452621"/>
        <bgColor theme="0" tint="-0.14999847407452621"/>
      </patternFill>
    </fill>
    <fill>
      <patternFill patternType="solid">
        <fgColor theme="8"/>
        <bgColor indexed="64"/>
      </patternFill>
    </fill>
    <fill>
      <patternFill patternType="solid">
        <fgColor rgb="FFE2EFDA"/>
        <bgColor rgb="FF000000"/>
      </patternFill>
    </fill>
    <fill>
      <patternFill patternType="solid">
        <fgColor theme="9" tint="0.79998168889431442"/>
        <bgColor indexed="64"/>
      </patternFill>
    </fill>
    <fill>
      <patternFill patternType="solid">
        <fgColor rgb="FFD9E1F2"/>
        <bgColor rgb="FF000000"/>
      </patternFill>
    </fill>
    <fill>
      <patternFill patternType="solid">
        <fgColor rgb="FFFFFF00"/>
        <bgColor rgb="FF000000"/>
      </patternFill>
    </fill>
    <fill>
      <patternFill patternType="solid">
        <fgColor rgb="FFFFFFFF"/>
        <bgColor rgb="FF000000"/>
      </patternFill>
    </fill>
    <fill>
      <patternFill patternType="solid">
        <fgColor rgb="FFFF0101"/>
        <bgColor rgb="FF000000"/>
      </patternFill>
    </fill>
    <fill>
      <patternFill patternType="solid">
        <fgColor theme="0"/>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rgb="FFFCE4D6"/>
        <bgColor rgb="FF000000"/>
      </patternFill>
    </fill>
    <fill>
      <patternFill patternType="solid">
        <fgColor theme="9"/>
        <bgColor indexed="64"/>
      </patternFill>
    </fill>
    <fill>
      <patternFill patternType="solid">
        <fgColor theme="7" tint="0.79998168889431442"/>
        <bgColor indexed="64"/>
      </patternFill>
    </fill>
    <fill>
      <patternFill patternType="solid">
        <fgColor rgb="FFFFFF00"/>
        <bgColor indexed="64"/>
      </patternFill>
    </fill>
    <fill>
      <patternFill patternType="solid">
        <fgColor rgb="FF00B0F0"/>
        <bgColor indexed="64"/>
      </patternFill>
    </fill>
    <fill>
      <patternFill patternType="solid">
        <fgColor rgb="FF8ED973"/>
        <bgColor rgb="FF000000"/>
      </patternFill>
    </fill>
    <fill>
      <patternFill patternType="solid">
        <fgColor rgb="FFD9D9D9"/>
        <bgColor rgb="FFD9D9D9"/>
      </patternFill>
    </fill>
    <fill>
      <patternFill patternType="solid">
        <fgColor theme="9" tint="-0.249977111117893"/>
        <bgColor indexed="64"/>
      </patternFill>
    </fill>
    <fill>
      <patternFill patternType="solid">
        <fgColor theme="9" tint="0.59999389629810485"/>
        <bgColor indexed="64"/>
      </patternFill>
    </fill>
    <fill>
      <patternFill patternType="solid">
        <fgColor theme="8" tint="0.59999389629810485"/>
        <bgColor indexed="64"/>
      </patternFill>
    </fill>
  </fills>
  <borders count="86">
    <border>
      <left/>
      <right/>
      <top/>
      <bottom/>
      <diagonal/>
    </border>
    <border>
      <left/>
      <right/>
      <top/>
      <bottom style="medium">
        <color indexed="64"/>
      </bottom>
      <diagonal/>
    </border>
    <border>
      <left/>
      <right/>
      <top style="medium">
        <color indexed="64"/>
      </top>
      <bottom style="medium">
        <color indexed="64"/>
      </bottom>
      <diagonal/>
    </border>
    <border>
      <left/>
      <right style="thin">
        <color indexed="8"/>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bottom/>
      <diagonal/>
    </border>
    <border>
      <left/>
      <right style="thin">
        <color indexed="64"/>
      </right>
      <top/>
      <bottom/>
      <diagonal/>
    </border>
    <border>
      <left style="medium">
        <color rgb="FFD9D9D9"/>
      </left>
      <right style="medium">
        <color rgb="FFD9D9D9"/>
      </right>
      <top/>
      <bottom style="medium">
        <color rgb="FFD9D9D9"/>
      </bottom>
      <diagonal/>
    </border>
    <border>
      <left/>
      <right style="medium">
        <color rgb="FFD9D9D9"/>
      </right>
      <top/>
      <bottom style="medium">
        <color rgb="FFD9D9D9"/>
      </bottom>
      <diagonal/>
    </border>
    <border>
      <left style="medium">
        <color rgb="FFD9D9D9"/>
      </left>
      <right style="medium">
        <color rgb="FFD9D9D9"/>
      </right>
      <top/>
      <bottom/>
      <diagonal/>
    </border>
    <border>
      <left/>
      <right style="medium">
        <color rgb="FFD9D9D9"/>
      </right>
      <top/>
      <bottom/>
      <diagonal/>
    </border>
    <border>
      <left style="thin">
        <color indexed="64"/>
      </left>
      <right style="thin">
        <color indexed="64"/>
      </right>
      <top/>
      <bottom style="thin">
        <color indexed="64"/>
      </bottom>
      <diagonal/>
    </border>
    <border>
      <left/>
      <right/>
      <top/>
      <bottom style="thin">
        <color rgb="FF000000"/>
      </bottom>
      <diagonal/>
    </border>
    <border>
      <left style="medium">
        <color rgb="FFD9D9D9"/>
      </left>
      <right style="medium">
        <color rgb="FFD9D9D9"/>
      </right>
      <top style="thin">
        <color indexed="64"/>
      </top>
      <bottom style="double">
        <color indexed="64"/>
      </bottom>
      <diagonal/>
    </border>
    <border>
      <left/>
      <right style="medium">
        <color rgb="FFD9D9D9"/>
      </right>
      <top style="medium">
        <color rgb="FFD9D9D9"/>
      </top>
      <bottom/>
      <diagonal/>
    </border>
    <border>
      <left style="medium">
        <color rgb="FFD9D9D9"/>
      </left>
      <right style="medium">
        <color rgb="FFD9D9D9"/>
      </right>
      <top/>
      <bottom style="double">
        <color indexed="64"/>
      </bottom>
      <diagonal/>
    </border>
    <border>
      <left style="medium">
        <color rgb="FFD9D9D9"/>
      </left>
      <right style="medium">
        <color rgb="FFD9D9D9"/>
      </right>
      <top style="thin">
        <color indexed="64"/>
      </top>
      <bottom style="medium">
        <color indexed="64"/>
      </bottom>
      <diagonal/>
    </border>
    <border>
      <left/>
      <right style="medium">
        <color rgb="FFD9D9D9"/>
      </right>
      <top style="thin">
        <color indexed="64"/>
      </top>
      <bottom style="medium">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medium">
        <color rgb="FFD9D9D9"/>
      </right>
      <top/>
      <bottom style="double">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right/>
      <top/>
      <bottom style="thin">
        <color indexed="64"/>
      </bottom>
      <diagonal/>
    </border>
    <border>
      <left style="thin">
        <color rgb="FF375623"/>
      </left>
      <right style="thin">
        <color rgb="FF375623"/>
      </right>
      <top style="thin">
        <color rgb="FF375623"/>
      </top>
      <bottom style="thin">
        <color rgb="FF375623"/>
      </bottom>
      <diagonal/>
    </border>
    <border>
      <left/>
      <right style="thin">
        <color rgb="FF375623"/>
      </right>
      <top style="thin">
        <color rgb="FF375623"/>
      </top>
      <bottom style="thin">
        <color rgb="FF375623"/>
      </bottom>
      <diagonal/>
    </border>
    <border>
      <left style="thin">
        <color rgb="FF000000"/>
      </left>
      <right style="thin">
        <color rgb="FF000000"/>
      </right>
      <top style="thin">
        <color rgb="FF000000"/>
      </top>
      <bottom style="thin">
        <color rgb="FF000000"/>
      </bottom>
      <diagonal/>
    </border>
    <border>
      <left/>
      <right style="thin">
        <color indexed="64"/>
      </right>
      <top style="medium">
        <color indexed="64"/>
      </top>
      <bottom/>
      <diagonal/>
    </border>
    <border>
      <left style="medium">
        <color rgb="FF000000"/>
      </left>
      <right/>
      <top/>
      <bottom style="thin">
        <color indexed="64"/>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style="thin">
        <color rgb="FF000000"/>
      </left>
      <right/>
      <top style="thin">
        <color rgb="FF000000"/>
      </top>
      <bottom style="medium">
        <color indexed="64"/>
      </bottom>
      <diagonal/>
    </border>
    <border>
      <left/>
      <right/>
      <top style="thin">
        <color rgb="FF000000"/>
      </top>
      <bottom style="medium">
        <color indexed="64"/>
      </bottom>
      <diagonal/>
    </border>
    <border>
      <left/>
      <right style="thin">
        <color rgb="FF000000"/>
      </right>
      <top style="thin">
        <color rgb="FF000000"/>
      </top>
      <bottom style="medium">
        <color indexed="64"/>
      </bottom>
      <diagonal/>
    </border>
    <border>
      <left style="thin">
        <color rgb="FF000000"/>
      </left>
      <right/>
      <top style="medium">
        <color indexed="64"/>
      </top>
      <bottom style="medium">
        <color indexed="64"/>
      </bottom>
      <diagonal/>
    </border>
    <border>
      <left style="medium">
        <color indexed="64"/>
      </left>
      <right style="thin">
        <color rgb="FF000000"/>
      </right>
      <top style="medium">
        <color indexed="64"/>
      </top>
      <bottom/>
      <diagonal/>
    </border>
    <border>
      <left style="thin">
        <color rgb="FF000000"/>
      </left>
      <right/>
      <top style="thin">
        <color indexed="64"/>
      </top>
      <bottom style="thin">
        <color rgb="FF000000"/>
      </bottom>
      <diagonal/>
    </border>
    <border>
      <left/>
      <right/>
      <top style="thin">
        <color indexed="64"/>
      </top>
      <bottom style="thin">
        <color rgb="FF000000"/>
      </bottom>
      <diagonal/>
    </border>
    <border>
      <left/>
      <right style="thin">
        <color rgb="FF000000"/>
      </right>
      <top style="thin">
        <color rgb="FF000000"/>
      </top>
      <bottom style="thin">
        <color rgb="FF000000"/>
      </bottom>
      <diagonal/>
    </border>
    <border>
      <left style="medium">
        <color rgb="FF000000"/>
      </left>
      <right style="thin">
        <color rgb="FF808080"/>
      </right>
      <top style="medium">
        <color rgb="FF000000"/>
      </top>
      <bottom style="thin">
        <color rgb="FF808080"/>
      </bottom>
      <diagonal/>
    </border>
    <border>
      <left style="thin">
        <color rgb="FF808080"/>
      </left>
      <right style="thin">
        <color rgb="FF808080"/>
      </right>
      <top style="medium">
        <color rgb="FF000000"/>
      </top>
      <bottom style="thin">
        <color rgb="FF808080"/>
      </bottom>
      <diagonal/>
    </border>
    <border>
      <left style="thin">
        <color rgb="FF808080"/>
      </left>
      <right style="medium">
        <color rgb="FF000000"/>
      </right>
      <top style="medium">
        <color rgb="FF000000"/>
      </top>
      <bottom style="thin">
        <color rgb="FF808080"/>
      </bottom>
      <diagonal/>
    </border>
    <border>
      <left style="medium">
        <color rgb="FF000000"/>
      </left>
      <right/>
      <top style="thin">
        <color rgb="FF808080"/>
      </top>
      <bottom style="medium">
        <color rgb="FF000000"/>
      </bottom>
      <diagonal/>
    </border>
    <border>
      <left/>
      <right style="thin">
        <color rgb="FF808080"/>
      </right>
      <top/>
      <bottom style="medium">
        <color rgb="FF000000"/>
      </bottom>
      <diagonal/>
    </border>
    <border>
      <left style="thin">
        <color rgb="FF808080"/>
      </left>
      <right style="thin">
        <color rgb="FF808080"/>
      </right>
      <top style="thin">
        <color rgb="FF808080"/>
      </top>
      <bottom style="medium">
        <color rgb="FF000000"/>
      </bottom>
      <diagonal/>
    </border>
    <border>
      <left style="thin">
        <color rgb="FF808080"/>
      </left>
      <right style="medium">
        <color rgb="FF000000"/>
      </right>
      <top style="thin">
        <color rgb="FF808080"/>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right style="thin">
        <color rgb="FF000000"/>
      </right>
      <top/>
      <bottom/>
      <diagonal/>
    </border>
    <border>
      <left/>
      <right style="thin">
        <color rgb="FF000000"/>
      </right>
      <top/>
      <bottom style="medium">
        <color rgb="FF000000"/>
      </bottom>
      <diagonal/>
    </border>
    <border>
      <left style="medium">
        <color indexed="64"/>
      </left>
      <right style="thin">
        <color rgb="FF000000"/>
      </right>
      <top style="medium">
        <color indexed="64"/>
      </top>
      <bottom style="medium">
        <color indexed="64"/>
      </bottom>
      <diagonal/>
    </border>
    <border>
      <left/>
      <right style="thin">
        <color rgb="FF000000"/>
      </right>
      <top style="thin">
        <color indexed="64"/>
      </top>
      <bottom/>
      <diagonal/>
    </border>
    <border>
      <left/>
      <right/>
      <top style="medium">
        <color indexed="64"/>
      </top>
      <bottom style="medium">
        <color rgb="FF000000"/>
      </bottom>
      <diagonal/>
    </border>
    <border>
      <left/>
      <right style="thin">
        <color indexed="64"/>
      </right>
      <top style="medium">
        <color indexed="64"/>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thin">
        <color rgb="FF000000"/>
      </left>
      <right/>
      <top/>
      <bottom/>
      <diagonal/>
    </border>
    <border>
      <left/>
      <right style="thin">
        <color rgb="FF000000"/>
      </right>
      <top style="thin">
        <color indexed="64"/>
      </top>
      <bottom style="thin">
        <color rgb="FF000000"/>
      </bottom>
      <diagonal/>
    </border>
    <border>
      <left/>
      <right style="thin">
        <color rgb="FF000000"/>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thin">
        <color rgb="FF000000"/>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right style="thin">
        <color rgb="FF000000"/>
      </right>
      <top/>
      <bottom style="medium">
        <color indexed="64"/>
      </bottom>
      <diagonal/>
    </border>
    <border>
      <left style="thin">
        <color indexed="64"/>
      </left>
      <right style="medium">
        <color indexed="64"/>
      </right>
      <top/>
      <bottom style="medium">
        <color indexed="64"/>
      </bottom>
      <diagonal/>
    </border>
    <border>
      <left style="thin">
        <color indexed="64"/>
      </left>
      <right/>
      <top style="medium">
        <color indexed="64"/>
      </top>
      <bottom/>
      <diagonal/>
    </border>
    <border>
      <left style="thin">
        <color indexed="64"/>
      </left>
      <right/>
      <top/>
      <bottom style="medium">
        <color indexed="64"/>
      </bottom>
      <diagonal/>
    </border>
    <border>
      <left/>
      <right style="medium">
        <color rgb="FF000000"/>
      </right>
      <top/>
      <bottom/>
      <diagonal/>
    </border>
    <border>
      <left/>
      <right/>
      <top/>
      <bottom style="thin">
        <color theme="1"/>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thin">
        <color indexed="64"/>
      </left>
      <right/>
      <top style="medium">
        <color rgb="FF000000"/>
      </top>
      <bottom style="medium">
        <color rgb="FF000000"/>
      </bottom>
      <diagonal/>
    </border>
    <border>
      <left/>
      <right style="thin">
        <color indexed="64"/>
      </right>
      <top style="medium">
        <color rgb="FF000000"/>
      </top>
      <bottom style="medium">
        <color rgb="FF000000"/>
      </bottom>
      <diagonal/>
    </border>
    <border>
      <left/>
      <right style="medium">
        <color rgb="FF000000"/>
      </right>
      <top style="medium">
        <color rgb="FF000000"/>
      </top>
      <bottom style="medium">
        <color rgb="FF000000"/>
      </bottom>
      <diagonal/>
    </border>
  </borders>
  <cellStyleXfs count="9">
    <xf numFmtId="0" fontId="0" fillId="0" borderId="0"/>
    <xf numFmtId="9" fontId="1" fillId="0" borderId="0" applyFont="0" applyFill="0" applyBorder="0" applyAlignment="0" applyProtection="0"/>
    <xf numFmtId="9" fontId="6" fillId="0" borderId="0" applyFont="0" applyFill="0" applyBorder="0" applyAlignment="0" applyProtection="0"/>
    <xf numFmtId="0" fontId="7" fillId="0" borderId="0" applyNumberFormat="0" applyFill="0" applyBorder="0" applyProtection="0"/>
    <xf numFmtId="167" fontId="1" fillId="0" borderId="0" applyFont="0" applyFill="0" applyBorder="0" applyAlignment="0" applyProtection="0"/>
    <xf numFmtId="43" fontId="6" fillId="0" borderId="0" applyFont="0" applyFill="0" applyBorder="0" applyAlignment="0" applyProtection="0"/>
    <xf numFmtId="166" fontId="6" fillId="0" borderId="0" applyFont="0" applyFill="0" applyBorder="0" applyAlignment="0" applyProtection="0"/>
    <xf numFmtId="0" fontId="35" fillId="0" borderId="0" applyNumberFormat="0" applyFill="0" applyBorder="0" applyAlignment="0" applyProtection="0"/>
    <xf numFmtId="0" fontId="6" fillId="0" borderId="0"/>
  </cellStyleXfs>
  <cellXfs count="490">
    <xf numFmtId="0" fontId="0" fillId="0" borderId="0" xfId="0"/>
    <xf numFmtId="0" fontId="5" fillId="0" borderId="0" xfId="0" applyFont="1"/>
    <xf numFmtId="0" fontId="5" fillId="0" borderId="0" xfId="0" applyFont="1" applyAlignment="1">
      <alignment horizontal="center"/>
    </xf>
    <xf numFmtId="0" fontId="5" fillId="0" borderId="0" xfId="0" applyFont="1" applyAlignment="1" applyProtection="1">
      <alignment horizontal="center"/>
      <protection locked="0"/>
    </xf>
    <xf numFmtId="0" fontId="5" fillId="0" borderId="6" xfId="0" applyFont="1" applyBorder="1" applyAlignment="1">
      <alignment horizontal="center"/>
    </xf>
    <xf numFmtId="9" fontId="5" fillId="0" borderId="0" xfId="1" applyFont="1" applyFill="1" applyAlignment="1" applyProtection="1">
      <alignment horizontal="center"/>
    </xf>
    <xf numFmtId="9" fontId="5" fillId="0" borderId="5" xfId="1" applyFont="1" applyFill="1" applyBorder="1" applyAlignment="1" applyProtection="1">
      <alignment horizontal="center"/>
    </xf>
    <xf numFmtId="0" fontId="0" fillId="0" borderId="0" xfId="0" applyAlignment="1">
      <alignment horizontal="center"/>
    </xf>
    <xf numFmtId="9" fontId="0" fillId="0" borderId="0" xfId="0" applyNumberFormat="1"/>
    <xf numFmtId="0" fontId="10" fillId="7" borderId="0" xfId="0" applyFont="1" applyFill="1" applyAlignment="1">
      <alignment vertical="center"/>
    </xf>
    <xf numFmtId="49" fontId="8" fillId="5" borderId="11" xfId="0" applyNumberFormat="1" applyFont="1" applyFill="1" applyBorder="1" applyAlignment="1">
      <alignment horizontal="center" vertical="center" wrapText="1"/>
    </xf>
    <xf numFmtId="49" fontId="8" fillId="0" borderId="11" xfId="0" applyNumberFormat="1" applyFont="1" applyBorder="1" applyAlignment="1">
      <alignment horizontal="center" vertical="center" wrapText="1"/>
    </xf>
    <xf numFmtId="49" fontId="8" fillId="3" borderId="11" xfId="0" applyNumberFormat="1" applyFont="1" applyFill="1" applyBorder="1" applyAlignment="1">
      <alignment horizontal="center" vertical="center" wrapText="1"/>
    </xf>
    <xf numFmtId="168" fontId="8" fillId="3" borderId="11" xfId="4" applyNumberFormat="1" applyFont="1" applyFill="1" applyBorder="1" applyAlignment="1" applyProtection="1">
      <alignment horizontal="center" vertical="center" wrapText="1"/>
    </xf>
    <xf numFmtId="49" fontId="8" fillId="4" borderId="11" xfId="0" applyNumberFormat="1" applyFont="1" applyFill="1" applyBorder="1" applyAlignment="1">
      <alignment horizontal="center" vertical="center" wrapText="1"/>
    </xf>
    <xf numFmtId="0" fontId="0" fillId="0" borderId="12" xfId="0" applyBorder="1" applyAlignment="1">
      <alignment horizontal="center" vertical="center" wrapText="1"/>
    </xf>
    <xf numFmtId="1" fontId="0" fillId="0" borderId="0" xfId="0" applyNumberFormat="1"/>
    <xf numFmtId="9" fontId="0" fillId="0" borderId="0" xfId="1" applyFont="1" applyFill="1" applyAlignment="1" applyProtection="1"/>
    <xf numFmtId="9" fontId="1" fillId="0" borderId="0" xfId="0" applyNumberFormat="1" applyFont="1"/>
    <xf numFmtId="9" fontId="9" fillId="0" borderId="8" xfId="2" applyFont="1" applyBorder="1" applyAlignment="1">
      <alignment horizontal="center" vertical="center"/>
    </xf>
    <xf numFmtId="9" fontId="9" fillId="0" borderId="10" xfId="2" applyFont="1" applyBorder="1" applyAlignment="1">
      <alignment horizontal="center" vertical="center"/>
    </xf>
    <xf numFmtId="0" fontId="14" fillId="0" borderId="0" xfId="0" applyFont="1"/>
    <xf numFmtId="0" fontId="14" fillId="0" borderId="0" xfId="0" applyFont="1" applyAlignment="1">
      <alignment horizontal="center"/>
    </xf>
    <xf numFmtId="9" fontId="14" fillId="0" borderId="0" xfId="2" applyFont="1" applyAlignment="1">
      <alignment horizontal="center"/>
    </xf>
    <xf numFmtId="1" fontId="14" fillId="0" borderId="0" xfId="0" applyNumberFormat="1" applyFont="1" applyAlignment="1">
      <alignment horizontal="center"/>
    </xf>
    <xf numFmtId="0" fontId="0" fillId="8" borderId="0" xfId="0" applyFill="1"/>
    <xf numFmtId="0" fontId="14" fillId="2" borderId="0" xfId="0" applyFont="1" applyFill="1"/>
    <xf numFmtId="0" fontId="10" fillId="0" borderId="0" xfId="0" applyFont="1" applyAlignment="1">
      <alignment vertical="center"/>
    </xf>
    <xf numFmtId="9" fontId="10" fillId="0" borderId="0" xfId="0" applyNumberFormat="1" applyFont="1" applyAlignment="1">
      <alignment vertical="center"/>
    </xf>
    <xf numFmtId="0" fontId="10" fillId="0" borderId="0" xfId="0" applyFont="1" applyAlignment="1">
      <alignment horizontal="center" vertical="center"/>
    </xf>
    <xf numFmtId="1" fontId="10" fillId="7" borderId="0" xfId="0" applyNumberFormat="1" applyFont="1" applyFill="1" applyAlignment="1">
      <alignment vertical="center"/>
    </xf>
    <xf numFmtId="1" fontId="10" fillId="0" borderId="0" xfId="0" applyNumberFormat="1" applyFont="1" applyAlignment="1">
      <alignment vertical="center"/>
    </xf>
    <xf numFmtId="1" fontId="0" fillId="0" borderId="0" xfId="4" applyNumberFormat="1" applyFont="1" applyFill="1" applyAlignment="1" applyProtection="1"/>
    <xf numFmtId="1" fontId="1" fillId="0" borderId="0" xfId="0" applyNumberFormat="1" applyFont="1"/>
    <xf numFmtId="9" fontId="5" fillId="0" borderId="0" xfId="1" applyFont="1" applyFill="1" applyAlignment="1">
      <alignment horizontal="center"/>
    </xf>
    <xf numFmtId="1" fontId="5" fillId="0" borderId="0" xfId="1" applyNumberFormat="1" applyFont="1" applyFill="1" applyAlignment="1" applyProtection="1">
      <alignment horizontal="center"/>
    </xf>
    <xf numFmtId="49" fontId="2" fillId="0" borderId="2" xfId="0" applyNumberFormat="1" applyFont="1" applyBorder="1" applyAlignment="1">
      <alignment horizontal="center" vertical="center" wrapText="1"/>
    </xf>
    <xf numFmtId="49" fontId="2" fillId="0" borderId="4" xfId="0" applyNumberFormat="1" applyFont="1" applyBorder="1" applyAlignment="1">
      <alignment horizontal="center" vertical="center" wrapText="1"/>
    </xf>
    <xf numFmtId="0" fontId="2" fillId="0" borderId="2" xfId="0" applyFont="1" applyBorder="1" applyAlignment="1">
      <alignment horizontal="center" vertical="center" wrapText="1"/>
    </xf>
    <xf numFmtId="1" fontId="0" fillId="3" borderId="0" xfId="0" applyNumberFormat="1" applyFill="1"/>
    <xf numFmtId="0" fontId="2" fillId="9" borderId="1" xfId="0" applyFont="1" applyFill="1" applyBorder="1" applyAlignment="1">
      <alignment horizontal="center" vertical="center" wrapText="1"/>
    </xf>
    <xf numFmtId="0" fontId="14" fillId="2" borderId="0" xfId="0" applyFont="1" applyFill="1" applyAlignment="1">
      <alignment horizontal="right"/>
    </xf>
    <xf numFmtId="9" fontId="9" fillId="0" borderId="17" xfId="2" applyFont="1" applyBorder="1" applyAlignment="1">
      <alignment horizontal="center" vertical="center"/>
    </xf>
    <xf numFmtId="0" fontId="5" fillId="3" borderId="0" xfId="0" applyFont="1" applyFill="1" applyAlignment="1" applyProtection="1">
      <alignment horizontal="center"/>
      <protection locked="0"/>
    </xf>
    <xf numFmtId="14" fontId="0" fillId="0" borderId="0" xfId="0" applyNumberFormat="1"/>
    <xf numFmtId="0" fontId="10" fillId="0" borderId="0" xfId="0" applyFont="1" applyAlignment="1">
      <alignment horizontal="center"/>
    </xf>
    <xf numFmtId="0" fontId="13" fillId="2" borderId="0" xfId="0" applyFont="1" applyFill="1" applyAlignment="1">
      <alignment wrapText="1"/>
    </xf>
    <xf numFmtId="0" fontId="13" fillId="8" borderId="0" xfId="0" applyFont="1" applyFill="1" applyAlignment="1">
      <alignment horizontal="center" vertical="center" wrapText="1"/>
    </xf>
    <xf numFmtId="0" fontId="13" fillId="8" borderId="1" xfId="0" applyFont="1" applyFill="1" applyBorder="1" applyAlignment="1">
      <alignment horizontal="center" vertical="center" wrapText="1"/>
    </xf>
    <xf numFmtId="9" fontId="9" fillId="0" borderId="14" xfId="2" applyFont="1" applyBorder="1" applyAlignment="1">
      <alignment horizontal="center" vertical="center"/>
    </xf>
    <xf numFmtId="168" fontId="14" fillId="0" borderId="0" xfId="5" applyNumberFormat="1" applyFont="1"/>
    <xf numFmtId="168" fontId="13" fillId="8" borderId="1" xfId="5" applyNumberFormat="1" applyFont="1" applyFill="1" applyBorder="1" applyAlignment="1">
      <alignment horizontal="center" vertical="center" wrapText="1"/>
    </xf>
    <xf numFmtId="168" fontId="9" fillId="0" borderId="7" xfId="5" applyNumberFormat="1" applyFont="1" applyBorder="1" applyAlignment="1">
      <alignment horizontal="center" vertical="center"/>
    </xf>
    <xf numFmtId="168" fontId="9" fillId="0" borderId="8" xfId="5" applyNumberFormat="1" applyFont="1" applyBorder="1" applyAlignment="1">
      <alignment horizontal="center" vertical="center"/>
    </xf>
    <xf numFmtId="168" fontId="9" fillId="0" borderId="9" xfId="5" applyNumberFormat="1" applyFont="1" applyBorder="1" applyAlignment="1">
      <alignment horizontal="center" vertical="center"/>
    </xf>
    <xf numFmtId="168" fontId="9" fillId="0" borderId="14" xfId="5" applyNumberFormat="1" applyFont="1" applyBorder="1" applyAlignment="1">
      <alignment horizontal="center" vertical="center"/>
    </xf>
    <xf numFmtId="168" fontId="9" fillId="0" borderId="10" xfId="5" applyNumberFormat="1" applyFont="1" applyBorder="1" applyAlignment="1">
      <alignment horizontal="center" vertical="center"/>
    </xf>
    <xf numFmtId="168" fontId="9" fillId="0" borderId="16" xfId="5" applyNumberFormat="1" applyFont="1" applyBorder="1" applyAlignment="1">
      <alignment horizontal="center" vertical="center"/>
    </xf>
    <xf numFmtId="168" fontId="9" fillId="0" borderId="17" xfId="5" applyNumberFormat="1" applyFont="1" applyBorder="1" applyAlignment="1">
      <alignment horizontal="center" vertical="center"/>
    </xf>
    <xf numFmtId="168" fontId="9" fillId="6" borderId="17" xfId="5" applyNumberFormat="1" applyFont="1" applyFill="1" applyBorder="1" applyAlignment="1">
      <alignment horizontal="center" vertical="center"/>
    </xf>
    <xf numFmtId="168" fontId="9" fillId="6" borderId="8" xfId="5" applyNumberFormat="1" applyFont="1" applyFill="1" applyBorder="1" applyAlignment="1">
      <alignment horizontal="center" vertical="center"/>
    </xf>
    <xf numFmtId="168" fontId="9" fillId="6" borderId="10" xfId="5" applyNumberFormat="1" applyFont="1" applyFill="1" applyBorder="1" applyAlignment="1">
      <alignment horizontal="center" vertical="center"/>
    </xf>
    <xf numFmtId="168" fontId="16" fillId="0" borderId="13" xfId="5" applyNumberFormat="1" applyFont="1" applyBorder="1" applyAlignment="1">
      <alignment horizontal="center" vertical="center"/>
    </xf>
    <xf numFmtId="168" fontId="16" fillId="0" borderId="15" xfId="5" applyNumberFormat="1" applyFont="1" applyBorder="1" applyAlignment="1">
      <alignment horizontal="center" vertical="center"/>
    </xf>
    <xf numFmtId="9" fontId="16" fillId="0" borderId="13" xfId="2" applyFont="1" applyBorder="1" applyAlignment="1">
      <alignment horizontal="center" vertical="center"/>
    </xf>
    <xf numFmtId="0" fontId="15" fillId="0" borderId="0" xfId="0" applyFont="1"/>
    <xf numFmtId="0" fontId="0" fillId="0" borderId="0" xfId="0" applyAlignment="1">
      <alignment horizontal="left" vertical="center"/>
    </xf>
    <xf numFmtId="0" fontId="0" fillId="0" borderId="0" xfId="0" applyAlignment="1">
      <alignment horizontal="right" vertical="center"/>
    </xf>
    <xf numFmtId="9" fontId="0" fillId="0" borderId="0" xfId="2" applyFont="1"/>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11" xfId="0" quotePrefix="1" applyBorder="1" applyAlignment="1">
      <alignment horizontal="center"/>
    </xf>
    <xf numFmtId="0" fontId="0" fillId="0" borderId="0" xfId="0" applyAlignment="1" applyProtection="1">
      <alignment horizontal="center"/>
      <protection locked="0"/>
    </xf>
    <xf numFmtId="0" fontId="14" fillId="2" borderId="17" xfId="0" applyFont="1" applyFill="1" applyBorder="1"/>
    <xf numFmtId="0" fontId="13" fillId="2" borderId="21" xfId="0" applyFont="1" applyFill="1" applyBorder="1"/>
    <xf numFmtId="0" fontId="0" fillId="0" borderId="0" xfId="1" applyNumberFormat="1" applyFont="1" applyFill="1" applyAlignment="1" applyProtection="1"/>
    <xf numFmtId="0" fontId="15" fillId="0" borderId="0" xfId="0" applyFont="1" applyAlignment="1">
      <alignment horizontal="center" wrapText="1"/>
    </xf>
    <xf numFmtId="170" fontId="0" fillId="0" borderId="0" xfId="5" applyNumberFormat="1" applyFont="1" applyFill="1"/>
    <xf numFmtId="170" fontId="18" fillId="0" borderId="0" xfId="5" applyNumberFormat="1" applyFont="1" applyFill="1"/>
    <xf numFmtId="170" fontId="15" fillId="0" borderId="22" xfId="0" applyNumberFormat="1" applyFont="1" applyBorder="1"/>
    <xf numFmtId="0" fontId="15" fillId="0" borderId="22" xfId="0" applyFont="1" applyBorder="1"/>
    <xf numFmtId="170" fontId="15" fillId="0" borderId="22" xfId="5" applyNumberFormat="1" applyFont="1" applyFill="1" applyBorder="1"/>
    <xf numFmtId="9" fontId="18" fillId="0" borderId="0" xfId="2" applyFont="1" applyFill="1"/>
    <xf numFmtId="166" fontId="18" fillId="0" borderId="0" xfId="6" applyFont="1"/>
    <xf numFmtId="171" fontId="0" fillId="0" borderId="0" xfId="6" applyNumberFormat="1" applyFont="1"/>
    <xf numFmtId="2" fontId="5" fillId="0" borderId="0" xfId="0" applyNumberFormat="1" applyFont="1" applyAlignment="1">
      <alignment horizontal="center"/>
    </xf>
    <xf numFmtId="171" fontId="0" fillId="0" borderId="22" xfId="0" applyNumberFormat="1" applyBorder="1"/>
    <xf numFmtId="171" fontId="18" fillId="0" borderId="0" xfId="6" applyNumberFormat="1" applyFont="1"/>
    <xf numFmtId="168" fontId="9" fillId="0" borderId="8" xfId="5" applyNumberFormat="1" applyFont="1" applyFill="1" applyBorder="1" applyAlignment="1">
      <alignment horizontal="center" vertical="center"/>
    </xf>
    <xf numFmtId="9" fontId="9" fillId="0" borderId="8" xfId="2" applyFont="1" applyFill="1" applyBorder="1" applyAlignment="1">
      <alignment horizontal="center" vertical="center"/>
    </xf>
    <xf numFmtId="168" fontId="9" fillId="0" borderId="10" xfId="5" applyNumberFormat="1" applyFont="1" applyFill="1" applyBorder="1" applyAlignment="1">
      <alignment horizontal="center" vertical="center"/>
    </xf>
    <xf numFmtId="9" fontId="9" fillId="0" borderId="10" xfId="2" applyFont="1" applyFill="1" applyBorder="1" applyAlignment="1">
      <alignment horizontal="center" vertical="center"/>
    </xf>
    <xf numFmtId="168" fontId="9" fillId="0" borderId="17" xfId="5" applyNumberFormat="1" applyFont="1" applyFill="1" applyBorder="1" applyAlignment="1">
      <alignment horizontal="center" vertical="center"/>
    </xf>
    <xf numFmtId="168" fontId="9" fillId="0" borderId="16" xfId="5" applyNumberFormat="1" applyFont="1" applyFill="1" applyBorder="1" applyAlignment="1">
      <alignment horizontal="center" vertical="center"/>
    </xf>
    <xf numFmtId="9" fontId="9" fillId="0" borderId="17" xfId="2" applyFont="1" applyFill="1" applyBorder="1" applyAlignment="1">
      <alignment horizontal="center" vertical="center"/>
    </xf>
    <xf numFmtId="0" fontId="0" fillId="0" borderId="0" xfId="0" pivotButton="1"/>
    <xf numFmtId="0" fontId="0" fillId="0" borderId="0" xfId="0" applyAlignment="1">
      <alignment horizontal="left"/>
    </xf>
    <xf numFmtId="3" fontId="0" fillId="0" borderId="0" xfId="0" applyNumberFormat="1"/>
    <xf numFmtId="0" fontId="12" fillId="0" borderId="0" xfId="0" applyFont="1" applyAlignment="1">
      <alignment vertical="center"/>
    </xf>
    <xf numFmtId="168" fontId="19" fillId="0" borderId="17" xfId="5" applyNumberFormat="1" applyFont="1" applyBorder="1" applyAlignment="1">
      <alignment horizontal="center" vertical="center"/>
    </xf>
    <xf numFmtId="168" fontId="19" fillId="0" borderId="8" xfId="5" applyNumberFormat="1" applyFont="1" applyBorder="1" applyAlignment="1">
      <alignment horizontal="center" vertical="center"/>
    </xf>
    <xf numFmtId="168" fontId="19" fillId="0" borderId="10" xfId="5" applyNumberFormat="1" applyFont="1" applyBorder="1" applyAlignment="1">
      <alignment horizontal="center" vertical="center"/>
    </xf>
    <xf numFmtId="169" fontId="20" fillId="0" borderId="15" xfId="5" applyNumberFormat="1" applyFont="1" applyBorder="1" applyAlignment="1">
      <alignment horizontal="center" vertical="center"/>
    </xf>
    <xf numFmtId="168" fontId="21" fillId="0" borderId="8" xfId="5" applyNumberFormat="1" applyFont="1" applyBorder="1" applyAlignment="1">
      <alignment horizontal="center" vertical="center"/>
    </xf>
    <xf numFmtId="168" fontId="21" fillId="0" borderId="10" xfId="5" applyNumberFormat="1" applyFont="1" applyBorder="1" applyAlignment="1">
      <alignment horizontal="center" vertical="center"/>
    </xf>
    <xf numFmtId="168" fontId="21" fillId="0" borderId="17" xfId="5" applyNumberFormat="1" applyFont="1" applyBorder="1" applyAlignment="1">
      <alignment horizontal="center" vertical="center"/>
    </xf>
    <xf numFmtId="168" fontId="19" fillId="0" borderId="16" xfId="5" applyNumberFormat="1" applyFont="1" applyBorder="1" applyAlignment="1">
      <alignment horizontal="center" vertical="center"/>
    </xf>
    <xf numFmtId="168" fontId="21" fillId="0" borderId="16" xfId="5" applyNumberFormat="1" applyFont="1" applyFill="1" applyBorder="1" applyAlignment="1">
      <alignment horizontal="center" vertical="center"/>
    </xf>
    <xf numFmtId="168" fontId="21" fillId="0" borderId="8" xfId="5" applyNumberFormat="1" applyFont="1" applyFill="1" applyBorder="1" applyAlignment="1">
      <alignment horizontal="center" vertical="center"/>
    </xf>
    <xf numFmtId="168" fontId="21" fillId="0" borderId="10" xfId="5" applyNumberFormat="1" applyFont="1" applyFill="1" applyBorder="1" applyAlignment="1">
      <alignment horizontal="center" vertical="center"/>
    </xf>
    <xf numFmtId="168" fontId="21" fillId="0" borderId="16" xfId="5" applyNumberFormat="1" applyFont="1" applyBorder="1" applyAlignment="1">
      <alignment horizontal="center" vertical="center"/>
    </xf>
    <xf numFmtId="169" fontId="22" fillId="0" borderId="15" xfId="5" applyNumberFormat="1" applyFont="1" applyBorder="1" applyAlignment="1">
      <alignment horizontal="center" vertical="center"/>
    </xf>
    <xf numFmtId="168" fontId="17" fillId="0" borderId="16" xfId="5" applyNumberFormat="1" applyFont="1" applyFill="1" applyBorder="1" applyAlignment="1">
      <alignment horizontal="center" vertical="center"/>
    </xf>
    <xf numFmtId="168" fontId="17" fillId="0" borderId="8" xfId="5" applyNumberFormat="1" applyFont="1" applyFill="1" applyBorder="1" applyAlignment="1">
      <alignment horizontal="center" vertical="center"/>
    </xf>
    <xf numFmtId="168" fontId="17" fillId="0" borderId="10" xfId="5" applyNumberFormat="1" applyFont="1" applyFill="1" applyBorder="1" applyAlignment="1">
      <alignment horizontal="center" vertical="center"/>
    </xf>
    <xf numFmtId="168" fontId="17" fillId="0" borderId="8" xfId="5" applyNumberFormat="1" applyFont="1" applyBorder="1" applyAlignment="1">
      <alignment horizontal="center" vertical="center"/>
    </xf>
    <xf numFmtId="168" fontId="17" fillId="0" borderId="10" xfId="5" applyNumberFormat="1" applyFont="1" applyBorder="1" applyAlignment="1">
      <alignment horizontal="center" vertical="center"/>
    </xf>
    <xf numFmtId="168" fontId="17" fillId="0" borderId="16" xfId="5" applyNumberFormat="1" applyFont="1" applyBorder="1" applyAlignment="1">
      <alignment horizontal="center" vertical="center"/>
    </xf>
    <xf numFmtId="168" fontId="0" fillId="0" borderId="0" xfId="0" applyNumberFormat="1"/>
    <xf numFmtId="0" fontId="5" fillId="10" borderId="0" xfId="0" applyFont="1" applyFill="1" applyAlignment="1">
      <alignment horizontal="center"/>
    </xf>
    <xf numFmtId="0" fontId="25" fillId="0" borderId="0" xfId="0" applyFont="1" applyAlignment="1">
      <alignment horizontal="right" vertical="center"/>
    </xf>
    <xf numFmtId="14" fontId="25" fillId="0" borderId="0" xfId="0" applyNumberFormat="1" applyFont="1" applyAlignment="1">
      <alignment horizontal="center" vertical="center"/>
    </xf>
    <xf numFmtId="168" fontId="19" fillId="0" borderId="17" xfId="5" applyNumberFormat="1" applyFont="1" applyFill="1" applyBorder="1" applyAlignment="1">
      <alignment horizontal="center" vertical="center"/>
    </xf>
    <xf numFmtId="0" fontId="24" fillId="11" borderId="29" xfId="0" applyFont="1" applyFill="1" applyBorder="1" applyAlignment="1">
      <alignment horizontal="center"/>
    </xf>
    <xf numFmtId="170" fontId="26" fillId="0" borderId="0" xfId="5" applyNumberFormat="1" applyFont="1" applyBorder="1" applyAlignment="1">
      <alignment horizontal="center"/>
    </xf>
    <xf numFmtId="0" fontId="0" fillId="12" borderId="26" xfId="0" applyFill="1" applyBorder="1"/>
    <xf numFmtId="0" fontId="0" fillId="12" borderId="28" xfId="0" applyFill="1" applyBorder="1"/>
    <xf numFmtId="0" fontId="15" fillId="12" borderId="30" xfId="0" applyFont="1" applyFill="1" applyBorder="1" applyAlignment="1">
      <alignment horizontal="center" wrapText="1"/>
    </xf>
    <xf numFmtId="170" fontId="26" fillId="0" borderId="27" xfId="5" applyNumberFormat="1" applyFont="1" applyBorder="1" applyAlignment="1">
      <alignment horizontal="center"/>
    </xf>
    <xf numFmtId="9" fontId="26" fillId="0" borderId="27" xfId="2" applyFont="1" applyBorder="1" applyAlignment="1">
      <alignment horizontal="center"/>
    </xf>
    <xf numFmtId="170" fontId="26" fillId="0" borderId="31" xfId="5" applyNumberFormat="1" applyFont="1" applyBorder="1" applyAlignment="1">
      <alignment horizontal="center"/>
    </xf>
    <xf numFmtId="0" fontId="0" fillId="0" borderId="0" xfId="0" applyAlignment="1">
      <alignment wrapText="1"/>
    </xf>
    <xf numFmtId="0" fontId="24" fillId="11" borderId="2" xfId="0" applyFont="1" applyFill="1" applyBorder="1" applyAlignment="1">
      <alignment horizontal="center" wrapText="1"/>
    </xf>
    <xf numFmtId="0" fontId="15" fillId="12" borderId="26" xfId="0" applyFont="1" applyFill="1" applyBorder="1" applyAlignment="1">
      <alignment horizontal="center" wrapText="1"/>
    </xf>
    <xf numFmtId="0" fontId="0" fillId="0" borderId="32" xfId="0" applyBorder="1"/>
    <xf numFmtId="170" fontId="29" fillId="0" borderId="0" xfId="0" applyNumberFormat="1" applyFont="1"/>
    <xf numFmtId="0" fontId="5" fillId="9" borderId="0" xfId="0" applyFont="1" applyFill="1" applyAlignment="1">
      <alignment horizontal="center"/>
    </xf>
    <xf numFmtId="168" fontId="14" fillId="0" borderId="0" xfId="0" applyNumberFormat="1" applyFont="1"/>
    <xf numFmtId="9" fontId="5" fillId="0" borderId="0" xfId="2" applyFont="1" applyAlignment="1">
      <alignment horizontal="center"/>
    </xf>
    <xf numFmtId="9" fontId="5" fillId="0" borderId="0" xfId="2" applyFont="1" applyAlignment="1" applyProtection="1">
      <alignment horizontal="center"/>
      <protection locked="0"/>
    </xf>
    <xf numFmtId="170" fontId="0" fillId="0" borderId="0" xfId="0" applyNumberFormat="1"/>
    <xf numFmtId="168" fontId="31" fillId="0" borderId="17" xfId="5" applyNumberFormat="1" applyFont="1" applyBorder="1" applyAlignment="1">
      <alignment horizontal="center" vertical="center"/>
    </xf>
    <xf numFmtId="168" fontId="31" fillId="0" borderId="8" xfId="5" applyNumberFormat="1" applyFont="1" applyBorder="1" applyAlignment="1">
      <alignment horizontal="center" vertical="center"/>
    </xf>
    <xf numFmtId="168" fontId="31" fillId="0" borderId="10" xfId="5" applyNumberFormat="1" applyFont="1" applyBorder="1" applyAlignment="1">
      <alignment horizontal="center" vertical="center"/>
    </xf>
    <xf numFmtId="168" fontId="31" fillId="0" borderId="8" xfId="5" applyNumberFormat="1" applyFont="1" applyFill="1" applyBorder="1" applyAlignment="1">
      <alignment horizontal="center" vertical="center"/>
    </xf>
    <xf numFmtId="168" fontId="31" fillId="0" borderId="10" xfId="5" applyNumberFormat="1" applyFont="1" applyFill="1" applyBorder="1" applyAlignment="1">
      <alignment horizontal="center" vertical="center"/>
    </xf>
    <xf numFmtId="168" fontId="31" fillId="0" borderId="17" xfId="5" applyNumberFormat="1" applyFont="1" applyFill="1" applyBorder="1" applyAlignment="1">
      <alignment horizontal="center" vertical="center"/>
    </xf>
    <xf numFmtId="0" fontId="32" fillId="0" borderId="0" xfId="0" applyFont="1"/>
    <xf numFmtId="0" fontId="29" fillId="0" borderId="0" xfId="0" applyFont="1" applyAlignment="1">
      <alignment horizontal="center" wrapText="1"/>
    </xf>
    <xf numFmtId="170" fontId="32" fillId="0" borderId="0" xfId="5" applyNumberFormat="1" applyFont="1" applyFill="1"/>
    <xf numFmtId="170" fontId="29" fillId="0" borderId="22" xfId="5" applyNumberFormat="1" applyFont="1" applyFill="1" applyBorder="1"/>
    <xf numFmtId="170" fontId="33" fillId="0" borderId="0" xfId="0" applyNumberFormat="1" applyFont="1"/>
    <xf numFmtId="170" fontId="34" fillId="0" borderId="22" xfId="5" applyNumberFormat="1" applyFont="1" applyFill="1" applyBorder="1"/>
    <xf numFmtId="0" fontId="35" fillId="0" borderId="0" xfId="7"/>
    <xf numFmtId="0" fontId="0" fillId="0" borderId="0" xfId="0" applyAlignment="1">
      <alignment horizontal="left" indent="1"/>
    </xf>
    <xf numFmtId="172" fontId="0" fillId="0" borderId="0" xfId="2" applyNumberFormat="1" applyFont="1"/>
    <xf numFmtId="170" fontId="0" fillId="0" borderId="0" xfId="5" applyNumberFormat="1" applyFont="1"/>
    <xf numFmtId="0" fontId="5" fillId="13" borderId="0" xfId="0" applyFont="1" applyFill="1" applyAlignment="1">
      <alignment horizontal="center"/>
    </xf>
    <xf numFmtId="170" fontId="36" fillId="0" borderId="0" xfId="0" applyNumberFormat="1" applyFont="1"/>
    <xf numFmtId="170" fontId="36" fillId="0" borderId="0" xfId="5" applyNumberFormat="1" applyFont="1"/>
    <xf numFmtId="0" fontId="5" fillId="0" borderId="0" xfId="0" applyFont="1" applyAlignment="1">
      <alignment horizontal="right"/>
    </xf>
    <xf numFmtId="0" fontId="0" fillId="0" borderId="0" xfId="0" applyAlignment="1">
      <alignment horizontal="right"/>
    </xf>
    <xf numFmtId="1" fontId="5" fillId="0" borderId="0" xfId="1" applyNumberFormat="1" applyFont="1" applyFill="1" applyAlignment="1">
      <alignment horizontal="center"/>
    </xf>
    <xf numFmtId="1" fontId="2" fillId="16" borderId="4" xfId="0" applyNumberFormat="1" applyFont="1" applyFill="1" applyBorder="1" applyAlignment="1">
      <alignment horizontal="center" vertical="center" wrapText="1"/>
    </xf>
    <xf numFmtId="1" fontId="37" fillId="15" borderId="2" xfId="0" applyNumberFormat="1" applyFont="1" applyFill="1" applyBorder="1" applyAlignment="1">
      <alignment horizontal="center" vertical="center" wrapText="1"/>
    </xf>
    <xf numFmtId="0" fontId="38" fillId="15" borderId="0" xfId="0" applyFont="1" applyFill="1"/>
    <xf numFmtId="0" fontId="38" fillId="0" borderId="0" xfId="0" applyFont="1"/>
    <xf numFmtId="0" fontId="37" fillId="0" borderId="33" xfId="0" applyFont="1" applyBorder="1" applyAlignment="1">
      <alignment wrapText="1"/>
    </xf>
    <xf numFmtId="0" fontId="37" fillId="0" borderId="34" xfId="0" applyFont="1" applyBorder="1" applyAlignment="1">
      <alignment wrapText="1"/>
    </xf>
    <xf numFmtId="14" fontId="38" fillId="15" borderId="0" xfId="0" applyNumberFormat="1" applyFont="1" applyFill="1"/>
    <xf numFmtId="14" fontId="38" fillId="0" borderId="0" xfId="0" applyNumberFormat="1" applyFont="1"/>
    <xf numFmtId="9" fontId="38" fillId="15" borderId="0" xfId="0" applyNumberFormat="1" applyFont="1" applyFill="1"/>
    <xf numFmtId="9" fontId="38" fillId="0" borderId="0" xfId="0" applyNumberFormat="1" applyFont="1"/>
    <xf numFmtId="14" fontId="38" fillId="19" borderId="0" xfId="0" applyNumberFormat="1" applyFont="1" applyFill="1"/>
    <xf numFmtId="0" fontId="38" fillId="15" borderId="0" xfId="0" applyFont="1" applyFill="1" applyAlignment="1">
      <alignment horizontal="center"/>
    </xf>
    <xf numFmtId="0" fontId="37" fillId="0" borderId="33" xfId="0" applyFont="1" applyBorder="1" applyAlignment="1">
      <alignment horizontal="center" wrapText="1"/>
    </xf>
    <xf numFmtId="0" fontId="38" fillId="15" borderId="0" xfId="0" applyFont="1" applyFill="1" applyAlignment="1">
      <alignment horizontal="center"/>
      <extLst>
        <ext xmlns:xfpb="http://schemas.microsoft.com/office/spreadsheetml/2022/featurepropertybag" uri="{C7286773-470A-42A8-94C5-96B5CB345126}">
          <xfpb:xfComplement i="0"/>
        </ext>
      </extLst>
    </xf>
    <xf numFmtId="0" fontId="38" fillId="0" borderId="0" xfId="0" applyFont="1" applyAlignment="1">
      <alignment horizontal="center"/>
      <extLst>
        <ext xmlns:xfpb="http://schemas.microsoft.com/office/spreadsheetml/2022/featurepropertybag" uri="{C7286773-470A-42A8-94C5-96B5CB345126}">
          <xfpb:xfComplement i="0"/>
        </ext>
      </extLst>
    </xf>
    <xf numFmtId="0" fontId="38" fillId="0" borderId="0" xfId="0" applyFont="1" applyAlignment="1">
      <alignment horizontal="center"/>
    </xf>
    <xf numFmtId="0" fontId="37" fillId="0" borderId="34" xfId="0" applyFont="1" applyBorder="1" applyAlignment="1">
      <alignment horizontal="center" wrapText="1"/>
    </xf>
    <xf numFmtId="0" fontId="38" fillId="20" borderId="0" xfId="0" applyFont="1" applyFill="1" applyAlignment="1">
      <alignment horizontal="center"/>
    </xf>
    <xf numFmtId="0" fontId="37" fillId="0" borderId="34" xfId="0" applyFont="1" applyBorder="1" applyAlignment="1">
      <alignment horizontal="center" vertical="center" wrapText="1"/>
    </xf>
    <xf numFmtId="0" fontId="37" fillId="17" borderId="2" xfId="0" applyFont="1" applyFill="1" applyBorder="1" applyAlignment="1">
      <alignment horizontal="center" vertical="center" wrapText="1"/>
    </xf>
    <xf numFmtId="0" fontId="38" fillId="21" borderId="0" xfId="0" applyFont="1" applyFill="1" applyAlignment="1">
      <alignment horizontal="center"/>
      <extLst>
        <ext xmlns:xfpb="http://schemas.microsoft.com/office/spreadsheetml/2022/featurepropertybag" uri="{C7286773-470A-42A8-94C5-96B5CB345126}">
          <xfpb:xfComplement i="0"/>
        </ext>
      </extLst>
    </xf>
    <xf numFmtId="9" fontId="2" fillId="0" borderId="4" xfId="0" applyNumberFormat="1" applyFont="1" applyBorder="1" applyAlignment="1">
      <alignment horizontal="center" vertical="center"/>
    </xf>
    <xf numFmtId="9" fontId="2" fillId="0" borderId="4" xfId="0" applyNumberFormat="1" applyFont="1" applyBorder="1" applyAlignment="1">
      <alignment horizontal="center" vertical="center" wrapText="1"/>
    </xf>
    <xf numFmtId="9" fontId="2" fillId="0" borderId="3" xfId="0" applyNumberFormat="1" applyFont="1" applyBorder="1" applyAlignment="1">
      <alignment horizontal="center" vertical="center" wrapText="1"/>
    </xf>
    <xf numFmtId="0" fontId="35" fillId="0" borderId="0" xfId="7" applyAlignment="1">
      <alignment horizontal="center"/>
    </xf>
    <xf numFmtId="0" fontId="15" fillId="0" borderId="0" xfId="0" applyFont="1" applyAlignment="1">
      <alignment horizontal="center"/>
    </xf>
    <xf numFmtId="0" fontId="24" fillId="23" borderId="24" xfId="0" applyFont="1" applyFill="1" applyBorder="1" applyAlignment="1">
      <alignment horizontal="center" vertical="top" wrapText="1"/>
    </xf>
    <xf numFmtId="0" fontId="24" fillId="24" borderId="24" xfId="0" applyFont="1" applyFill="1" applyBorder="1" applyAlignment="1">
      <alignment horizontal="center" vertical="top" wrapText="1"/>
    </xf>
    <xf numFmtId="0" fontId="24" fillId="22" borderId="24" xfId="0" applyFont="1" applyFill="1" applyBorder="1" applyAlignment="1">
      <alignment horizontal="center" vertical="top" wrapText="1"/>
    </xf>
    <xf numFmtId="0" fontId="24" fillId="11" borderId="24" xfId="0" applyFont="1" applyFill="1" applyBorder="1" applyAlignment="1">
      <alignment horizontal="center" vertical="top" wrapText="1"/>
    </xf>
    <xf numFmtId="170" fontId="27" fillId="0" borderId="0" xfId="5" applyNumberFormat="1" applyFont="1" applyBorder="1" applyAlignment="1">
      <alignment horizontal="center"/>
    </xf>
    <xf numFmtId="9" fontId="26" fillId="0" borderId="0" xfId="2" applyFont="1" applyBorder="1" applyAlignment="1">
      <alignment horizontal="center"/>
    </xf>
    <xf numFmtId="0" fontId="29" fillId="0" borderId="24" xfId="0" applyFont="1" applyBorder="1"/>
    <xf numFmtId="170" fontId="29" fillId="0" borderId="24" xfId="0" applyNumberFormat="1" applyFont="1" applyBorder="1"/>
    <xf numFmtId="0" fontId="15" fillId="12" borderId="26" xfId="0" applyFont="1" applyFill="1" applyBorder="1" applyAlignment="1">
      <alignment horizontal="center"/>
    </xf>
    <xf numFmtId="0" fontId="40" fillId="0" borderId="0" xfId="0" applyFont="1"/>
    <xf numFmtId="170" fontId="26" fillId="0" borderId="35" xfId="5" applyNumberFormat="1" applyFont="1" applyBorder="1" applyAlignment="1">
      <alignment horizontal="center"/>
    </xf>
    <xf numFmtId="0" fontId="24" fillId="10" borderId="36" xfId="0" applyFont="1" applyFill="1" applyBorder="1" applyAlignment="1">
      <alignment horizontal="center" vertical="top" wrapText="1"/>
    </xf>
    <xf numFmtId="170" fontId="27" fillId="0" borderId="35" xfId="5" applyNumberFormat="1" applyFont="1" applyBorder="1" applyAlignment="1">
      <alignment horizontal="center"/>
    </xf>
    <xf numFmtId="0" fontId="0" fillId="12" borderId="37" xfId="0" applyFill="1" applyBorder="1"/>
    <xf numFmtId="0" fontId="15" fillId="12" borderId="38" xfId="0" applyFont="1" applyFill="1" applyBorder="1" applyAlignment="1">
      <alignment horizontal="center" wrapText="1"/>
    </xf>
    <xf numFmtId="0" fontId="24" fillId="11" borderId="25" xfId="0" applyFont="1" applyFill="1" applyBorder="1" applyAlignment="1">
      <alignment horizontal="center" vertical="top" wrapText="1"/>
    </xf>
    <xf numFmtId="0" fontId="24" fillId="11" borderId="23" xfId="0" applyFont="1" applyFill="1" applyBorder="1" applyAlignment="1">
      <alignment horizontal="center" vertical="top" wrapText="1"/>
    </xf>
    <xf numFmtId="0" fontId="23" fillId="12" borderId="44" xfId="0" applyFont="1" applyFill="1" applyBorder="1" applyAlignment="1">
      <alignment horizontal="center" wrapText="1"/>
    </xf>
    <xf numFmtId="0" fontId="24" fillId="11" borderId="45" xfId="0" applyFont="1" applyFill="1" applyBorder="1" applyAlignment="1">
      <alignment horizontal="center" vertical="top" wrapText="1"/>
    </xf>
    <xf numFmtId="0" fontId="15" fillId="12" borderId="46" xfId="0" applyFont="1" applyFill="1" applyBorder="1" applyAlignment="1">
      <alignment horizontal="center" wrapText="1"/>
    </xf>
    <xf numFmtId="0" fontId="0" fillId="0" borderId="47" xfId="0" applyBorder="1"/>
    <xf numFmtId="170" fontId="28" fillId="0" borderId="35" xfId="5" applyNumberFormat="1" applyFont="1" applyBorder="1" applyAlignment="1">
      <alignment horizontal="center"/>
    </xf>
    <xf numFmtId="9" fontId="26" fillId="0" borderId="35" xfId="2" applyFont="1" applyBorder="1" applyAlignment="1">
      <alignment horizontal="center"/>
    </xf>
    <xf numFmtId="170" fontId="27" fillId="0" borderId="48" xfId="5" applyNumberFormat="1" applyFont="1" applyBorder="1" applyAlignment="1">
      <alignment horizontal="center"/>
    </xf>
    <xf numFmtId="0" fontId="41" fillId="0" borderId="0" xfId="0" applyFont="1"/>
    <xf numFmtId="0" fontId="42" fillId="0" borderId="0" xfId="0" applyFont="1"/>
    <xf numFmtId="0" fontId="43" fillId="0" borderId="49" xfId="0" applyFont="1" applyBorder="1" applyAlignment="1">
      <alignment wrapText="1"/>
    </xf>
    <xf numFmtId="0" fontId="43" fillId="0" borderId="50" xfId="0" applyFont="1" applyBorder="1" applyAlignment="1">
      <alignment wrapText="1"/>
    </xf>
    <xf numFmtId="0" fontId="44" fillId="25" borderId="50" xfId="0" applyFont="1" applyFill="1" applyBorder="1" applyAlignment="1">
      <alignment wrapText="1"/>
    </xf>
    <xf numFmtId="0" fontId="43" fillId="0" borderId="52" xfId="0" applyFont="1" applyBorder="1"/>
    <xf numFmtId="164" fontId="45" fillId="15" borderId="53" xfId="0" applyNumberFormat="1" applyFont="1" applyFill="1" applyBorder="1"/>
    <xf numFmtId="0" fontId="44" fillId="25" borderId="54" xfId="0" applyFont="1" applyFill="1" applyBorder="1"/>
    <xf numFmtId="3" fontId="43" fillId="19" borderId="54" xfId="0" applyNumberFormat="1" applyFont="1" applyFill="1" applyBorder="1"/>
    <xf numFmtId="0" fontId="45" fillId="15" borderId="53" xfId="0" applyFont="1" applyFill="1" applyBorder="1"/>
    <xf numFmtId="0" fontId="37" fillId="16" borderId="55" xfId="0" applyFont="1" applyFill="1" applyBorder="1"/>
    <xf numFmtId="0" fontId="15" fillId="0" borderId="39" xfId="0" applyFont="1" applyBorder="1"/>
    <xf numFmtId="170" fontId="15" fillId="0" borderId="40" xfId="0" applyNumberFormat="1" applyFont="1" applyBorder="1"/>
    <xf numFmtId="9" fontId="0" fillId="0" borderId="56" xfId="0" applyNumberFormat="1" applyBorder="1" applyAlignment="1">
      <alignment horizontal="center"/>
    </xf>
    <xf numFmtId="170" fontId="27" fillId="0" borderId="0" xfId="5" applyNumberFormat="1" applyFont="1" applyAlignment="1">
      <alignment horizontal="center"/>
    </xf>
    <xf numFmtId="0" fontId="43" fillId="0" borderId="50" xfId="0" applyFont="1" applyBorder="1" applyAlignment="1">
      <alignment horizontal="center" vertical="center" wrapText="1"/>
    </xf>
    <xf numFmtId="0" fontId="43" fillId="0" borderId="51" xfId="0" applyFont="1" applyBorder="1" applyAlignment="1">
      <alignment horizontal="center" vertical="center" wrapText="1"/>
    </xf>
    <xf numFmtId="0" fontId="46" fillId="0" borderId="1" xfId="0" applyFont="1" applyBorder="1" applyAlignment="1">
      <alignment horizontal="center" vertical="center" wrapText="1"/>
    </xf>
    <xf numFmtId="0" fontId="47" fillId="0" borderId="0" xfId="0" applyFont="1" applyAlignment="1">
      <alignment horizontal="center"/>
    </xf>
    <xf numFmtId="0" fontId="48" fillId="0" borderId="0" xfId="0" applyFont="1"/>
    <xf numFmtId="173" fontId="2" fillId="0" borderId="1" xfId="5" applyNumberFormat="1" applyFont="1" applyBorder="1" applyAlignment="1">
      <alignment horizontal="center" vertical="center" wrapText="1"/>
    </xf>
    <xf numFmtId="173" fontId="5" fillId="0" borderId="0" xfId="5" applyNumberFormat="1" applyFont="1" applyAlignment="1">
      <alignment horizontal="center"/>
    </xf>
    <xf numFmtId="173" fontId="0" fillId="0" borderId="0" xfId="5" applyNumberFormat="1" applyFont="1"/>
    <xf numFmtId="0" fontId="49" fillId="0" borderId="0" xfId="0" applyFont="1" applyAlignment="1">
      <alignment horizontal="center"/>
    </xf>
    <xf numFmtId="9" fontId="2" fillId="0" borderId="1" xfId="2" applyFont="1" applyBorder="1" applyAlignment="1">
      <alignment horizontal="center" vertical="center" wrapText="1"/>
    </xf>
    <xf numFmtId="173" fontId="50" fillId="0" borderId="1" xfId="5" applyNumberFormat="1" applyFont="1" applyBorder="1" applyAlignment="1">
      <alignment horizontal="center" vertical="center" wrapText="1"/>
    </xf>
    <xf numFmtId="173" fontId="30" fillId="0" borderId="0" xfId="5" applyNumberFormat="1" applyFont="1" applyAlignment="1">
      <alignment horizontal="center"/>
    </xf>
    <xf numFmtId="173" fontId="25" fillId="0" borderId="0" xfId="5" applyNumberFormat="1" applyFont="1"/>
    <xf numFmtId="174" fontId="2" fillId="0" borderId="1" xfId="5" applyNumberFormat="1" applyFont="1" applyBorder="1" applyAlignment="1">
      <alignment horizontal="center" vertical="center" wrapText="1"/>
    </xf>
    <xf numFmtId="174" fontId="5" fillId="0" borderId="0" xfId="5" applyNumberFormat="1" applyFont="1" applyAlignment="1">
      <alignment horizontal="center"/>
    </xf>
    <xf numFmtId="174" fontId="0" fillId="0" borderId="0" xfId="5" applyNumberFormat="1" applyFont="1"/>
    <xf numFmtId="1" fontId="37" fillId="15" borderId="4" xfId="0" applyNumberFormat="1" applyFont="1" applyFill="1" applyBorder="1" applyAlignment="1">
      <alignment horizontal="center" vertical="center" wrapText="1"/>
    </xf>
    <xf numFmtId="14" fontId="37" fillId="0" borderId="34" xfId="0" applyNumberFormat="1" applyFont="1" applyBorder="1" applyAlignment="1">
      <alignment wrapText="1"/>
    </xf>
    <xf numFmtId="14" fontId="38" fillId="18" borderId="0" xfId="0" applyNumberFormat="1" applyFont="1" applyFill="1"/>
    <xf numFmtId="0" fontId="2" fillId="26" borderId="2" xfId="0" applyFont="1" applyFill="1" applyBorder="1" applyAlignment="1">
      <alignment horizontal="center" vertical="center" wrapText="1"/>
    </xf>
    <xf numFmtId="1" fontId="2" fillId="27" borderId="2" xfId="0" applyNumberFormat="1" applyFont="1" applyFill="1" applyBorder="1" applyAlignment="1">
      <alignment horizontal="center" vertical="center" wrapText="1"/>
    </xf>
    <xf numFmtId="0" fontId="2" fillId="27" borderId="2" xfId="0" applyFont="1" applyFill="1" applyBorder="1" applyAlignment="1">
      <alignment horizontal="center" vertical="center" wrapText="1"/>
    </xf>
    <xf numFmtId="170" fontId="26" fillId="0" borderId="57" xfId="5" applyNumberFormat="1" applyFont="1" applyBorder="1" applyAlignment="1">
      <alignment horizontal="center"/>
    </xf>
    <xf numFmtId="9" fontId="27" fillId="0" borderId="0" xfId="2" applyFont="1" applyBorder="1" applyAlignment="1">
      <alignment horizontal="center"/>
    </xf>
    <xf numFmtId="9" fontId="47" fillId="0" borderId="0" xfId="2" applyFont="1" applyAlignment="1">
      <alignment horizontal="center"/>
    </xf>
    <xf numFmtId="9" fontId="49" fillId="0" borderId="0" xfId="2" applyFont="1" applyAlignment="1">
      <alignment horizontal="center"/>
    </xf>
    <xf numFmtId="0" fontId="29" fillId="0" borderId="0" xfId="0" applyFont="1"/>
    <xf numFmtId="0" fontId="0" fillId="0" borderId="58" xfId="0" applyBorder="1"/>
    <xf numFmtId="0" fontId="0" fillId="0" borderId="59" xfId="0" applyBorder="1"/>
    <xf numFmtId="170" fontId="0" fillId="0" borderId="0" xfId="5" applyNumberFormat="1" applyFont="1" applyBorder="1" applyAlignment="1">
      <alignment horizontal="right"/>
    </xf>
    <xf numFmtId="170" fontId="26" fillId="0" borderId="40" xfId="5" applyNumberFormat="1" applyFont="1" applyBorder="1" applyAlignment="1">
      <alignment horizontal="right"/>
    </xf>
    <xf numFmtId="0" fontId="15" fillId="0" borderId="38" xfId="0" applyFont="1" applyBorder="1"/>
    <xf numFmtId="170" fontId="15" fillId="0" borderId="0" xfId="0" applyNumberFormat="1" applyFont="1"/>
    <xf numFmtId="0" fontId="23" fillId="12" borderId="60" xfId="0" applyFont="1" applyFill="1" applyBorder="1" applyAlignment="1">
      <alignment horizontal="center"/>
    </xf>
    <xf numFmtId="0" fontId="24" fillId="11" borderId="24" xfId="0" applyFont="1" applyFill="1" applyBorder="1" applyAlignment="1">
      <alignment horizontal="center"/>
    </xf>
    <xf numFmtId="0" fontId="0" fillId="0" borderId="61" xfId="0" applyBorder="1"/>
    <xf numFmtId="0" fontId="24" fillId="23" borderId="62" xfId="0" applyFont="1" applyFill="1" applyBorder="1" applyAlignment="1">
      <alignment horizontal="center" vertical="top" wrapText="1"/>
    </xf>
    <xf numFmtId="0" fontId="24" fillId="24" borderId="62" xfId="0" applyFont="1" applyFill="1" applyBorder="1" applyAlignment="1">
      <alignment horizontal="center" vertical="top" wrapText="1"/>
    </xf>
    <xf numFmtId="0" fontId="24" fillId="22" borderId="62" xfId="0" applyFont="1" applyFill="1" applyBorder="1" applyAlignment="1">
      <alignment horizontal="center" vertical="top" wrapText="1"/>
    </xf>
    <xf numFmtId="0" fontId="24" fillId="10" borderId="63" xfId="0" applyFont="1" applyFill="1" applyBorder="1" applyAlignment="1">
      <alignment horizontal="center" vertical="top" wrapText="1"/>
    </xf>
    <xf numFmtId="0" fontId="47" fillId="13" borderId="0" xfId="0" applyFont="1" applyFill="1" applyAlignment="1">
      <alignment horizontal="center"/>
    </xf>
    <xf numFmtId="1" fontId="5" fillId="0" borderId="0" xfId="1" applyNumberFormat="1" applyFont="1" applyAlignment="1">
      <alignment horizontal="center"/>
    </xf>
    <xf numFmtId="170" fontId="26" fillId="0" borderId="64" xfId="5" applyNumberFormat="1" applyFont="1" applyBorder="1" applyAlignment="1">
      <alignment horizontal="center"/>
    </xf>
    <xf numFmtId="170" fontId="26" fillId="0" borderId="65" xfId="5" applyNumberFormat="1" applyFont="1" applyBorder="1" applyAlignment="1">
      <alignment horizontal="right"/>
    </xf>
    <xf numFmtId="170" fontId="26" fillId="0" borderId="66" xfId="5" applyNumberFormat="1" applyFont="1" applyBorder="1" applyAlignment="1">
      <alignment horizontal="center"/>
    </xf>
    <xf numFmtId="0" fontId="24" fillId="11" borderId="25" xfId="0" applyFont="1" applyFill="1" applyBorder="1" applyAlignment="1">
      <alignment horizontal="center"/>
    </xf>
    <xf numFmtId="9" fontId="37" fillId="0" borderId="0" xfId="0" applyNumberFormat="1" applyFont="1" applyAlignment="1">
      <alignment horizontal="center" vertical="center" wrapText="1"/>
    </xf>
    <xf numFmtId="168" fontId="51" fillId="0" borderId="17" xfId="5" applyNumberFormat="1" applyFont="1" applyBorder="1" applyAlignment="1">
      <alignment horizontal="center" vertical="center"/>
    </xf>
    <xf numFmtId="9" fontId="29" fillId="0" borderId="0" xfId="0" applyNumberFormat="1" applyFont="1"/>
    <xf numFmtId="0" fontId="23" fillId="12" borderId="67" xfId="0" applyFont="1" applyFill="1" applyBorder="1" applyAlignment="1">
      <alignment horizontal="center" wrapText="1"/>
    </xf>
    <xf numFmtId="0" fontId="0" fillId="0" borderId="68" xfId="0" applyBorder="1"/>
    <xf numFmtId="0" fontId="0" fillId="0" borderId="69" xfId="0" applyBorder="1"/>
    <xf numFmtId="170" fontId="26" fillId="0" borderId="70" xfId="5" applyNumberFormat="1" applyFont="1" applyBorder="1" applyAlignment="1">
      <alignment horizontal="center"/>
    </xf>
    <xf numFmtId="170" fontId="26" fillId="0" borderId="71" xfId="5" applyNumberFormat="1" applyFont="1" applyBorder="1" applyAlignment="1">
      <alignment horizontal="right"/>
    </xf>
    <xf numFmtId="170" fontId="0" fillId="21" borderId="0" xfId="5" applyNumberFormat="1" applyFont="1" applyFill="1" applyBorder="1" applyAlignment="1">
      <alignment horizontal="right"/>
    </xf>
    <xf numFmtId="170" fontId="26" fillId="0" borderId="0" xfId="5" applyNumberFormat="1" applyFont="1" applyBorder="1" applyAlignment="1">
      <alignment horizontal="right"/>
    </xf>
    <xf numFmtId="0" fontId="23" fillId="12" borderId="23" xfId="0" applyFont="1" applyFill="1" applyBorder="1" applyAlignment="1">
      <alignment horizontal="center" wrapText="1"/>
    </xf>
    <xf numFmtId="0" fontId="24" fillId="11" borderId="24" xfId="0" applyFont="1" applyFill="1" applyBorder="1" applyAlignment="1">
      <alignment horizontal="center" wrapText="1"/>
    </xf>
    <xf numFmtId="0" fontId="24" fillId="10" borderId="24" xfId="0" applyFont="1" applyFill="1" applyBorder="1" applyAlignment="1">
      <alignment horizontal="center" vertical="top" wrapText="1"/>
    </xf>
    <xf numFmtId="0" fontId="15" fillId="12" borderId="23" xfId="0" applyFont="1" applyFill="1" applyBorder="1" applyAlignment="1">
      <alignment horizontal="center" wrapText="1"/>
    </xf>
    <xf numFmtId="0" fontId="0" fillId="0" borderId="72" xfId="0" applyBorder="1"/>
    <xf numFmtId="170" fontId="0" fillId="0" borderId="24" xfId="5" applyNumberFormat="1" applyFont="1" applyBorder="1" applyAlignment="1">
      <alignment horizontal="right"/>
    </xf>
    <xf numFmtId="170" fontId="28" fillId="0" borderId="73" xfId="5" applyNumberFormat="1" applyFont="1" applyBorder="1" applyAlignment="1">
      <alignment horizontal="right"/>
    </xf>
    <xf numFmtId="170" fontId="28" fillId="0" borderId="74" xfId="5" applyNumberFormat="1" applyFont="1" applyBorder="1" applyAlignment="1">
      <alignment horizontal="right"/>
    </xf>
    <xf numFmtId="0" fontId="0" fillId="0" borderId="75" xfId="0" applyBorder="1"/>
    <xf numFmtId="170" fontId="26" fillId="0" borderId="1" xfId="5" applyNumberFormat="1" applyFont="1" applyBorder="1" applyAlignment="1">
      <alignment horizontal="right"/>
    </xf>
    <xf numFmtId="170" fontId="27" fillId="0" borderId="76" xfId="5" applyNumberFormat="1" applyFont="1" applyBorder="1" applyAlignment="1">
      <alignment horizontal="right"/>
    </xf>
    <xf numFmtId="170" fontId="27" fillId="0" borderId="74" xfId="5" applyNumberFormat="1" applyFont="1" applyBorder="1" applyAlignment="1">
      <alignment horizontal="right"/>
    </xf>
    <xf numFmtId="170" fontId="27" fillId="0" borderId="77" xfId="5" applyNumberFormat="1" applyFont="1" applyBorder="1" applyAlignment="1">
      <alignment horizontal="right"/>
    </xf>
    <xf numFmtId="170" fontId="27" fillId="0" borderId="5" xfId="5" applyNumberFormat="1" applyFont="1" applyBorder="1" applyAlignment="1">
      <alignment horizontal="right"/>
    </xf>
    <xf numFmtId="170" fontId="27" fillId="0" borderId="78" xfId="5" applyNumberFormat="1" applyFont="1" applyBorder="1" applyAlignment="1">
      <alignment horizontal="right"/>
    </xf>
    <xf numFmtId="170" fontId="0" fillId="0" borderId="5" xfId="5" applyNumberFormat="1" applyFont="1" applyBorder="1" applyAlignment="1">
      <alignment horizontal="right"/>
    </xf>
    <xf numFmtId="170" fontId="26" fillId="0" borderId="78" xfId="5" applyNumberFormat="1" applyFont="1" applyBorder="1" applyAlignment="1">
      <alignment horizontal="right"/>
    </xf>
    <xf numFmtId="0" fontId="24" fillId="11" borderId="77" xfId="0" applyFont="1" applyFill="1" applyBorder="1" applyAlignment="1">
      <alignment horizontal="center" vertical="top" wrapText="1"/>
    </xf>
    <xf numFmtId="0" fontId="24" fillId="11" borderId="73" xfId="0" applyFont="1" applyFill="1" applyBorder="1" applyAlignment="1">
      <alignment horizontal="center" vertical="top" wrapText="1"/>
    </xf>
    <xf numFmtId="170" fontId="26" fillId="0" borderId="77" xfId="5" applyNumberFormat="1" applyFont="1" applyBorder="1" applyAlignment="1">
      <alignment horizontal="right"/>
    </xf>
    <xf numFmtId="170" fontId="26" fillId="0" borderId="5" xfId="5" applyNumberFormat="1" applyFont="1" applyBorder="1" applyAlignment="1">
      <alignment horizontal="right"/>
    </xf>
    <xf numFmtId="9" fontId="26" fillId="0" borderId="78" xfId="2" applyFont="1" applyBorder="1" applyAlignment="1">
      <alignment horizontal="right"/>
    </xf>
    <xf numFmtId="9" fontId="26" fillId="0" borderId="5" xfId="2" applyFont="1" applyBorder="1" applyAlignment="1">
      <alignment horizontal="right"/>
    </xf>
    <xf numFmtId="170" fontId="28" fillId="0" borderId="77" xfId="5" applyNumberFormat="1" applyFont="1" applyBorder="1" applyAlignment="1">
      <alignment horizontal="right"/>
    </xf>
    <xf numFmtId="170" fontId="28" fillId="0" borderId="5" xfId="5" applyNumberFormat="1" applyFont="1" applyBorder="1" applyAlignment="1">
      <alignment horizontal="right"/>
    </xf>
    <xf numFmtId="170" fontId="39" fillId="0" borderId="78" xfId="5" applyNumberFormat="1" applyFont="1" applyBorder="1" applyAlignment="1">
      <alignment horizontal="right"/>
    </xf>
    <xf numFmtId="170" fontId="39" fillId="0" borderId="76" xfId="5" applyNumberFormat="1" applyFont="1" applyBorder="1" applyAlignment="1">
      <alignment horizontal="right"/>
    </xf>
    <xf numFmtId="170" fontId="26" fillId="0" borderId="38" xfId="5" applyNumberFormat="1" applyFont="1" applyBorder="1" applyAlignment="1">
      <alignment horizontal="center"/>
    </xf>
    <xf numFmtId="170" fontId="26" fillId="0" borderId="39" xfId="5" applyNumberFormat="1" applyFont="1" applyBorder="1" applyAlignment="1">
      <alignment horizontal="right"/>
    </xf>
    <xf numFmtId="0" fontId="0" fillId="0" borderId="79" xfId="0" applyBorder="1"/>
    <xf numFmtId="9" fontId="26" fillId="0" borderId="71" xfId="5" applyNumberFormat="1" applyFont="1" applyBorder="1" applyAlignment="1">
      <alignment horizontal="center"/>
    </xf>
    <xf numFmtId="170" fontId="27" fillId="27" borderId="77" xfId="5" applyNumberFormat="1" applyFont="1" applyFill="1" applyBorder="1" applyAlignment="1">
      <alignment horizontal="right"/>
    </xf>
    <xf numFmtId="0" fontId="0" fillId="13" borderId="0" xfId="0" applyFill="1" applyAlignment="1">
      <alignment horizontal="center"/>
    </xf>
    <xf numFmtId="0" fontId="0" fillId="13" borderId="0" xfId="0" applyFill="1"/>
    <xf numFmtId="0" fontId="0" fillId="0" borderId="0" xfId="0" applyAlignment="1">
      <alignment horizontal="center" wrapText="1"/>
    </xf>
    <xf numFmtId="0" fontId="0" fillId="0" borderId="35" xfId="0" applyBorder="1" applyAlignment="1">
      <alignment horizontal="center"/>
    </xf>
    <xf numFmtId="0" fontId="0" fillId="0" borderId="35" xfId="0" applyBorder="1" applyAlignment="1">
      <alignment horizontal="center" wrapText="1"/>
    </xf>
    <xf numFmtId="0" fontId="0" fillId="0" borderId="35" xfId="0" applyBorder="1"/>
    <xf numFmtId="0" fontId="52" fillId="0" borderId="0" xfId="0" applyFont="1" applyAlignment="1">
      <alignment horizontal="center"/>
    </xf>
    <xf numFmtId="9" fontId="0" fillId="0" borderId="0" xfId="0" applyNumberFormat="1" applyAlignment="1">
      <alignment horizontal="center" wrapText="1"/>
    </xf>
    <xf numFmtId="9" fontId="0" fillId="0" borderId="35" xfId="0" applyNumberFormat="1" applyBorder="1" applyAlignment="1">
      <alignment horizontal="center" wrapText="1"/>
    </xf>
    <xf numFmtId="0" fontId="15" fillId="0" borderId="35" xfId="0" applyFont="1" applyBorder="1"/>
    <xf numFmtId="0" fontId="15" fillId="0" borderId="35" xfId="0" applyFont="1" applyBorder="1" applyAlignment="1">
      <alignment horizontal="center" wrapText="1"/>
    </xf>
    <xf numFmtId="9" fontId="15" fillId="0" borderId="35" xfId="0" applyNumberFormat="1" applyFont="1" applyBorder="1" applyAlignment="1">
      <alignment horizontal="center" wrapText="1"/>
    </xf>
    <xf numFmtId="0" fontId="10" fillId="0" borderId="35" xfId="0" applyFont="1" applyBorder="1" applyAlignment="1">
      <alignment horizontal="center" wrapText="1"/>
    </xf>
    <xf numFmtId="9" fontId="10" fillId="0" borderId="35" xfId="0" applyNumberFormat="1" applyFont="1" applyBorder="1" applyAlignment="1">
      <alignment horizontal="center" wrapText="1"/>
    </xf>
    <xf numFmtId="0" fontId="54" fillId="0" borderId="35" xfId="0" applyFont="1" applyBorder="1" applyAlignment="1">
      <alignment horizontal="center" wrapText="1"/>
    </xf>
    <xf numFmtId="9" fontId="54" fillId="0" borderId="35" xfId="0" applyNumberFormat="1" applyFont="1" applyBorder="1" applyAlignment="1">
      <alignment horizontal="center" wrapText="1"/>
    </xf>
    <xf numFmtId="0" fontId="0" fillId="8" borderId="0" xfId="0" applyFill="1" applyAlignment="1">
      <alignment vertical="center"/>
    </xf>
    <xf numFmtId="0" fontId="14" fillId="0" borderId="0" xfId="0" applyFont="1" applyAlignment="1">
      <alignment vertical="center"/>
    </xf>
    <xf numFmtId="168" fontId="9" fillId="28" borderId="16" xfId="5" applyNumberFormat="1" applyFont="1" applyFill="1" applyBorder="1" applyAlignment="1">
      <alignment horizontal="center" vertical="center"/>
    </xf>
    <xf numFmtId="168" fontId="9" fillId="28" borderId="7" xfId="5" applyNumberFormat="1" applyFont="1" applyFill="1" applyBorder="1" applyAlignment="1">
      <alignment horizontal="center" vertical="center"/>
    </xf>
    <xf numFmtId="168" fontId="9" fillId="28" borderId="9" xfId="5" applyNumberFormat="1" applyFont="1" applyFill="1" applyBorder="1" applyAlignment="1">
      <alignment horizontal="center" vertical="center"/>
    </xf>
    <xf numFmtId="168" fontId="16" fillId="28" borderId="15" xfId="5" applyNumberFormat="1" applyFont="1" applyFill="1" applyBorder="1" applyAlignment="1">
      <alignment horizontal="center" vertical="center"/>
    </xf>
    <xf numFmtId="168" fontId="16" fillId="28" borderId="13" xfId="5" applyNumberFormat="1" applyFont="1" applyFill="1" applyBorder="1" applyAlignment="1">
      <alignment horizontal="center" vertical="center"/>
    </xf>
    <xf numFmtId="0" fontId="55" fillId="0" borderId="0" xfId="0" applyFont="1"/>
    <xf numFmtId="1" fontId="5" fillId="0" borderId="0" xfId="0" applyNumberFormat="1" applyFont="1" applyAlignment="1">
      <alignment horizontal="center"/>
    </xf>
    <xf numFmtId="0" fontId="53" fillId="0" borderId="0" xfId="0" applyFont="1"/>
    <xf numFmtId="0" fontId="0" fillId="28" borderId="0" xfId="0" applyFill="1" applyAlignment="1">
      <alignment horizontal="center"/>
    </xf>
    <xf numFmtId="0" fontId="56" fillId="0" borderId="0" xfId="0" applyFont="1"/>
    <xf numFmtId="49" fontId="50" fillId="0" borderId="2" xfId="0" applyNumberFormat="1" applyFont="1" applyBorder="1" applyAlignment="1">
      <alignment vertical="center" wrapText="1"/>
    </xf>
    <xf numFmtId="0" fontId="0" fillId="28" borderId="0" xfId="0" applyFill="1"/>
    <xf numFmtId="49" fontId="2" fillId="0" borderId="2" xfId="0" applyNumberFormat="1" applyFont="1" applyBorder="1" applyAlignment="1">
      <alignment vertical="center" wrapText="1"/>
    </xf>
    <xf numFmtId="0" fontId="5" fillId="0" borderId="0" xfId="2" applyNumberFormat="1" applyFont="1" applyAlignment="1"/>
    <xf numFmtId="0" fontId="0" fillId="0" borderId="80" xfId="0" applyBorder="1"/>
    <xf numFmtId="0" fontId="35" fillId="30" borderId="0" xfId="7" applyFill="1" applyBorder="1" applyAlignment="1"/>
    <xf numFmtId="0" fontId="35" fillId="0" borderId="0" xfId="7" applyFill="1" applyBorder="1" applyAlignment="1"/>
    <xf numFmtId="0" fontId="35" fillId="31" borderId="0" xfId="7" applyFill="1" applyBorder="1" applyAlignment="1"/>
    <xf numFmtId="0" fontId="58" fillId="0" borderId="0" xfId="0" applyFont="1"/>
    <xf numFmtId="0" fontId="57" fillId="0" borderId="0" xfId="0" applyFont="1" applyAlignment="1">
      <alignment wrapText="1"/>
    </xf>
    <xf numFmtId="0" fontId="57" fillId="0" borderId="0" xfId="0" applyFont="1"/>
    <xf numFmtId="49" fontId="2" fillId="0" borderId="2" xfId="0" applyNumberFormat="1" applyFont="1" applyBorder="1" applyAlignment="1">
      <alignment horizontal="left" vertical="center" wrapText="1"/>
    </xf>
    <xf numFmtId="0" fontId="5" fillId="0" borderId="0" xfId="0" applyFont="1" applyAlignment="1">
      <alignment horizontal="left"/>
    </xf>
    <xf numFmtId="0" fontId="57" fillId="0" borderId="0" xfId="0" applyFont="1" applyAlignment="1">
      <alignment horizontal="left"/>
    </xf>
    <xf numFmtId="0" fontId="35" fillId="0" borderId="0" xfId="7" applyAlignment="1">
      <alignment horizontal="left"/>
    </xf>
    <xf numFmtId="0" fontId="58" fillId="0" borderId="0" xfId="0" applyFont="1" applyAlignment="1">
      <alignment horizontal="left"/>
    </xf>
    <xf numFmtId="1" fontId="58" fillId="0" borderId="0" xfId="0" applyNumberFormat="1" applyFont="1" applyAlignment="1">
      <alignment horizontal="left"/>
    </xf>
    <xf numFmtId="0" fontId="35" fillId="13" borderId="0" xfId="7" applyFill="1" applyAlignment="1">
      <alignment horizontal="left"/>
    </xf>
    <xf numFmtId="1" fontId="38" fillId="15" borderId="0" xfId="0" applyNumberFormat="1" applyFont="1" applyFill="1"/>
    <xf numFmtId="0" fontId="15" fillId="32" borderId="0" xfId="0" applyFont="1" applyFill="1" applyAlignment="1">
      <alignment horizontal="left"/>
    </xf>
    <xf numFmtId="0" fontId="15" fillId="32" borderId="0" xfId="0" applyFont="1" applyFill="1" applyAlignment="1">
      <alignment horizontal="center"/>
    </xf>
    <xf numFmtId="9" fontId="5" fillId="28" borderId="0" xfId="1" applyFont="1" applyFill="1" applyAlignment="1" applyProtection="1">
      <alignment horizontal="center"/>
    </xf>
    <xf numFmtId="1" fontId="5" fillId="28" borderId="0" xfId="1" applyNumberFormat="1" applyFont="1" applyFill="1" applyAlignment="1">
      <alignment horizontal="center"/>
    </xf>
    <xf numFmtId="0" fontId="0" fillId="28" borderId="35" xfId="0" applyFill="1" applyBorder="1" applyAlignment="1">
      <alignment horizontal="center" wrapText="1"/>
    </xf>
    <xf numFmtId="168" fontId="9" fillId="33" borderId="17" xfId="5" applyNumberFormat="1" applyFont="1" applyFill="1" applyBorder="1" applyAlignment="1">
      <alignment horizontal="center" vertical="center"/>
    </xf>
    <xf numFmtId="9" fontId="5" fillId="0" borderId="0" xfId="1" applyFont="1" applyAlignment="1">
      <alignment horizontal="center"/>
    </xf>
    <xf numFmtId="9" fontId="30" fillId="0" borderId="5" xfId="1" applyFont="1" applyBorder="1" applyAlignment="1">
      <alignment horizontal="center"/>
    </xf>
    <xf numFmtId="9" fontId="5" fillId="0" borderId="5" xfId="1" applyFont="1" applyBorder="1" applyAlignment="1">
      <alignment horizontal="center"/>
    </xf>
    <xf numFmtId="0" fontId="38" fillId="13" borderId="0" xfId="0" applyFont="1" applyFill="1"/>
    <xf numFmtId="0" fontId="5" fillId="13" borderId="0" xfId="0" applyFont="1" applyFill="1" applyAlignment="1">
      <alignment horizontal="right"/>
    </xf>
    <xf numFmtId="0" fontId="5" fillId="13" borderId="0" xfId="0" applyFont="1" applyFill="1"/>
    <xf numFmtId="2" fontId="5" fillId="13" borderId="0" xfId="0" applyNumberFormat="1" applyFont="1" applyFill="1" applyAlignment="1">
      <alignment horizontal="center"/>
    </xf>
    <xf numFmtId="9" fontId="5" fillId="13" borderId="0" xfId="1" applyFont="1" applyFill="1" applyAlignment="1">
      <alignment horizontal="center"/>
    </xf>
    <xf numFmtId="1" fontId="5" fillId="13" borderId="0" xfId="1" applyNumberFormat="1" applyFont="1" applyFill="1" applyAlignment="1">
      <alignment horizontal="center"/>
    </xf>
    <xf numFmtId="9" fontId="5" fillId="13" borderId="5" xfId="1" applyFont="1" applyFill="1" applyBorder="1" applyAlignment="1">
      <alignment horizontal="center"/>
    </xf>
    <xf numFmtId="0" fontId="5" fillId="13" borderId="6" xfId="0" applyFont="1" applyFill="1" applyBorder="1" applyAlignment="1">
      <alignment horizontal="center"/>
    </xf>
    <xf numFmtId="9" fontId="5" fillId="13" borderId="0" xfId="2" applyFont="1" applyFill="1" applyAlignment="1">
      <alignment horizontal="center"/>
    </xf>
    <xf numFmtId="173" fontId="5" fillId="13" borderId="0" xfId="5" applyNumberFormat="1" applyFont="1" applyFill="1" applyAlignment="1">
      <alignment horizontal="center"/>
    </xf>
    <xf numFmtId="173" fontId="30" fillId="13" borderId="0" xfId="5" applyNumberFormat="1" applyFont="1" applyFill="1" applyAlignment="1">
      <alignment horizontal="center"/>
    </xf>
    <xf numFmtId="174" fontId="5" fillId="13" borderId="0" xfId="5" applyNumberFormat="1" applyFont="1" applyFill="1" applyAlignment="1">
      <alignment horizontal="center"/>
    </xf>
    <xf numFmtId="0" fontId="38" fillId="0" borderId="0" xfId="0" applyFont="1">
      <extLst>
        <ext xmlns:xfpb="http://schemas.microsoft.com/office/spreadsheetml/2022/featurepropertybag" uri="{C7286773-470A-42A8-94C5-96B5CB345126}">
          <xfpb:xfComplement i="0"/>
        </ext>
      </extLst>
    </xf>
    <xf numFmtId="0" fontId="38" fillId="15" borderId="0" xfId="0" applyFont="1" applyFill="1">
      <extLst>
        <ext xmlns:xfpb="http://schemas.microsoft.com/office/spreadsheetml/2022/featurepropertybag" uri="{C7286773-470A-42A8-94C5-96B5CB345126}">
          <xfpb:xfComplement i="0"/>
        </ext>
      </extLst>
    </xf>
    <xf numFmtId="0" fontId="5" fillId="28" borderId="0" xfId="0" applyFont="1" applyFill="1"/>
    <xf numFmtId="0" fontId="5" fillId="28" borderId="0" xfId="0" applyFont="1" applyFill="1" applyAlignment="1">
      <alignment horizontal="center"/>
    </xf>
    <xf numFmtId="9" fontId="5" fillId="0" borderId="0" xfId="1" applyFont="1" applyFill="1" applyBorder="1" applyAlignment="1" applyProtection="1">
      <alignment horizontal="center"/>
    </xf>
    <xf numFmtId="0" fontId="0" fillId="0" borderId="35" xfId="0" applyBorder="1" applyAlignment="1">
      <alignment horizontal="right"/>
    </xf>
    <xf numFmtId="9" fontId="0" fillId="16" borderId="35" xfId="0" applyNumberFormat="1" applyFill="1" applyBorder="1"/>
    <xf numFmtId="9" fontId="0" fillId="0" borderId="35" xfId="0" applyNumberFormat="1" applyBorder="1"/>
    <xf numFmtId="1" fontId="0" fillId="0" borderId="35" xfId="0" applyNumberFormat="1" applyBorder="1"/>
    <xf numFmtId="9" fontId="15" fillId="21" borderId="35" xfId="0" applyNumberFormat="1" applyFont="1" applyFill="1" applyBorder="1" applyAlignment="1">
      <alignment horizontal="center" wrapText="1"/>
    </xf>
    <xf numFmtId="3" fontId="15" fillId="0" borderId="35" xfId="0" applyNumberFormat="1" applyFont="1" applyBorder="1"/>
    <xf numFmtId="1" fontId="15" fillId="0" borderId="35" xfId="0" applyNumberFormat="1" applyFont="1" applyBorder="1"/>
    <xf numFmtId="0" fontId="0" fillId="16" borderId="35" xfId="0" applyFill="1" applyBorder="1"/>
    <xf numFmtId="3" fontId="15" fillId="0" borderId="0" xfId="0" applyNumberFormat="1" applyFont="1"/>
    <xf numFmtId="164" fontId="15" fillId="0" borderId="0" xfId="0" applyNumberFormat="1" applyFont="1"/>
    <xf numFmtId="165" fontId="15" fillId="0" borderId="0" xfId="0" applyNumberFormat="1" applyFont="1"/>
    <xf numFmtId="0" fontId="38" fillId="0" borderId="0" xfId="0" applyFont="1" applyAlignment="1">
      <alignment horizontal="left"/>
    </xf>
    <xf numFmtId="0" fontId="5" fillId="0" borderId="0" xfId="7" applyFont="1" applyAlignment="1">
      <alignment horizontal="left"/>
    </xf>
    <xf numFmtId="1" fontId="0" fillId="21" borderId="35" xfId="0" applyNumberFormat="1" applyFill="1" applyBorder="1"/>
    <xf numFmtId="1" fontId="5" fillId="0" borderId="0" xfId="1" applyNumberFormat="1" applyFont="1" applyAlignment="1"/>
    <xf numFmtId="1" fontId="5" fillId="0" borderId="0" xfId="1" applyNumberFormat="1" applyFont="1" applyFill="1" applyAlignment="1" applyProtection="1"/>
    <xf numFmtId="0" fontId="59" fillId="0" borderId="0" xfId="0" applyFont="1">
      <extLst>
        <ext xmlns:xfpb="http://schemas.microsoft.com/office/spreadsheetml/2022/featurepropertybag" uri="{C7286773-470A-42A8-94C5-96B5CB345126}">
          <xfpb:xfComplement i="0"/>
        </ext>
      </extLst>
    </xf>
    <xf numFmtId="14" fontId="59" fillId="0" borderId="0" xfId="0" applyNumberFormat="1" applyFont="1"/>
    <xf numFmtId="0" fontId="59" fillId="0" borderId="0" xfId="0" applyFont="1"/>
    <xf numFmtId="0" fontId="60" fillId="0" borderId="0" xfId="0" applyFont="1"/>
    <xf numFmtId="0" fontId="2" fillId="29" borderId="2" xfId="0" applyFont="1" applyFill="1" applyBorder="1" applyAlignment="1">
      <alignment horizontal="center" vertical="center" wrapText="1"/>
    </xf>
    <xf numFmtId="9" fontId="0" fillId="0" borderId="0" xfId="0" applyNumberFormat="1" applyAlignment="1">
      <alignment horizontal="center"/>
    </xf>
    <xf numFmtId="9" fontId="0" fillId="28" borderId="0" xfId="0" applyNumberFormat="1" applyFill="1" applyAlignment="1">
      <alignment horizontal="center"/>
    </xf>
    <xf numFmtId="0" fontId="2" fillId="14" borderId="2" xfId="0" applyFont="1" applyFill="1" applyBorder="1" applyAlignment="1">
      <alignment horizontal="center" vertical="center" wrapText="1"/>
    </xf>
    <xf numFmtId="1" fontId="0" fillId="0" borderId="0" xfId="0" applyNumberFormat="1" applyAlignment="1">
      <alignment horizontal="center"/>
    </xf>
    <xf numFmtId="0" fontId="0" fillId="13" borderId="80" xfId="0" applyFill="1" applyBorder="1"/>
    <xf numFmtId="1" fontId="15" fillId="0" borderId="0" xfId="0" applyNumberFormat="1" applyFont="1" applyAlignment="1">
      <alignment horizontal="center" wrapText="1"/>
    </xf>
    <xf numFmtId="170" fontId="0" fillId="0" borderId="0" xfId="5" applyNumberFormat="1" applyFont="1" applyAlignment="1">
      <alignment horizontal="center" wrapText="1"/>
    </xf>
    <xf numFmtId="0" fontId="2" fillId="29" borderId="2" xfId="0" applyFont="1" applyFill="1" applyBorder="1" applyAlignment="1">
      <alignment vertical="center" wrapText="1"/>
    </xf>
    <xf numFmtId="0" fontId="0" fillId="21" borderId="0" xfId="0" applyFill="1"/>
    <xf numFmtId="1" fontId="5" fillId="13" borderId="0" xfId="1" applyNumberFormat="1" applyFont="1" applyFill="1" applyAlignment="1"/>
    <xf numFmtId="0" fontId="58" fillId="28" borderId="0" xfId="0" applyFont="1" applyFill="1"/>
    <xf numFmtId="0" fontId="5" fillId="28" borderId="0" xfId="0" applyFont="1" applyFill="1" applyAlignment="1">
      <alignment horizontal="right"/>
    </xf>
    <xf numFmtId="1" fontId="58" fillId="28" borderId="0" xfId="0" applyNumberFormat="1" applyFont="1" applyFill="1" applyAlignment="1">
      <alignment horizontal="left"/>
    </xf>
    <xf numFmtId="9" fontId="5" fillId="28" borderId="0" xfId="1" applyFont="1" applyFill="1" applyAlignment="1">
      <alignment horizontal="center"/>
    </xf>
    <xf numFmtId="9" fontId="5" fillId="28" borderId="5" xfId="1" applyFont="1" applyFill="1" applyBorder="1" applyAlignment="1" applyProtection="1">
      <alignment horizontal="center"/>
    </xf>
    <xf numFmtId="0" fontId="5" fillId="28" borderId="6" xfId="0" applyFont="1" applyFill="1" applyBorder="1" applyAlignment="1">
      <alignment horizontal="center"/>
    </xf>
    <xf numFmtId="1" fontId="0" fillId="28" borderId="0" xfId="0" applyNumberFormat="1" applyFill="1"/>
    <xf numFmtId="9" fontId="0" fillId="28" borderId="0" xfId="0" applyNumberFormat="1" applyFill="1"/>
    <xf numFmtId="173" fontId="0" fillId="28" borderId="0" xfId="5" applyNumberFormat="1" applyFont="1" applyFill="1"/>
    <xf numFmtId="9" fontId="0" fillId="28" borderId="0" xfId="2" applyFont="1" applyFill="1"/>
    <xf numFmtId="173" fontId="25" fillId="28" borderId="0" xfId="5" applyNumberFormat="1" applyFont="1" applyFill="1"/>
    <xf numFmtId="174" fontId="0" fillId="28" borderId="0" xfId="5" applyNumberFormat="1" applyFont="1" applyFill="1"/>
    <xf numFmtId="0" fontId="0" fillId="16" borderId="0" xfId="0" applyFill="1"/>
    <xf numFmtId="1" fontId="0" fillId="28" borderId="0" xfId="0" applyNumberFormat="1" applyFill="1" applyAlignment="1">
      <alignment horizontal="center"/>
    </xf>
    <xf numFmtId="1" fontId="5" fillId="34" borderId="0" xfId="1" applyNumberFormat="1" applyFont="1" applyFill="1" applyAlignment="1" applyProtection="1"/>
    <xf numFmtId="9" fontId="5" fillId="34" borderId="0" xfId="1" applyFont="1" applyFill="1" applyAlignment="1" applyProtection="1">
      <alignment horizontal="center"/>
    </xf>
    <xf numFmtId="1" fontId="5" fillId="34" borderId="0" xfId="1" applyNumberFormat="1" applyFont="1" applyFill="1" applyAlignment="1"/>
    <xf numFmtId="0" fontId="0" fillId="34" borderId="0" xfId="0" applyFill="1"/>
    <xf numFmtId="9" fontId="0" fillId="34" borderId="0" xfId="0" applyNumberFormat="1" applyFill="1" applyAlignment="1">
      <alignment horizontal="center"/>
    </xf>
    <xf numFmtId="0" fontId="0" fillId="34" borderId="0" xfId="0" applyFill="1" applyAlignment="1">
      <alignment horizontal="center"/>
    </xf>
    <xf numFmtId="0" fontId="15" fillId="0" borderId="81" xfId="0" applyFont="1" applyBorder="1" applyAlignment="1">
      <alignment horizontal="center"/>
    </xf>
    <xf numFmtId="0" fontId="2" fillId="0" borderId="82" xfId="0" applyFont="1" applyBorder="1" applyAlignment="1">
      <alignment horizontal="center"/>
    </xf>
    <xf numFmtId="0" fontId="15" fillId="0" borderId="82" xfId="0" applyFont="1" applyBorder="1" applyAlignment="1">
      <alignment horizontal="left"/>
    </xf>
    <xf numFmtId="0" fontId="2" fillId="0" borderId="82" xfId="0" applyFont="1" applyBorder="1" applyAlignment="1">
      <alignment horizontal="right"/>
    </xf>
    <xf numFmtId="0" fontId="15" fillId="0" borderId="82" xfId="0" applyFont="1" applyBorder="1"/>
    <xf numFmtId="0" fontId="2" fillId="0" borderId="82" xfId="0" applyFont="1" applyBorder="1" applyAlignment="1">
      <alignment horizontal="left"/>
    </xf>
    <xf numFmtId="0" fontId="2" fillId="0" borderId="82" xfId="0" applyFont="1" applyBorder="1"/>
    <xf numFmtId="2" fontId="2" fillId="0" borderId="82" xfId="0" applyNumberFormat="1" applyFont="1" applyBorder="1" applyAlignment="1">
      <alignment horizontal="center"/>
    </xf>
    <xf numFmtId="1" fontId="2" fillId="0" borderId="82" xfId="0" applyNumberFormat="1" applyFont="1" applyBorder="1" applyAlignment="1">
      <alignment horizontal="center"/>
    </xf>
    <xf numFmtId="9" fontId="2" fillId="0" borderId="82" xfId="1" applyFont="1" applyFill="1" applyBorder="1" applyAlignment="1">
      <alignment horizontal="center"/>
    </xf>
    <xf numFmtId="1" fontId="2" fillId="0" borderId="82" xfId="1" applyNumberFormat="1" applyFont="1" applyFill="1" applyBorder="1" applyAlignment="1">
      <alignment horizontal="center"/>
    </xf>
    <xf numFmtId="9" fontId="2" fillId="0" borderId="82" xfId="1" applyFont="1" applyFill="1" applyBorder="1" applyAlignment="1" applyProtection="1">
      <alignment horizontal="center"/>
    </xf>
    <xf numFmtId="1" fontId="2" fillId="0" borderId="82" xfId="1" applyNumberFormat="1" applyFont="1" applyFill="1" applyBorder="1" applyAlignment="1" applyProtection="1">
      <alignment horizontal="center"/>
    </xf>
    <xf numFmtId="1" fontId="2" fillId="0" borderId="82" xfId="1" applyNumberFormat="1" applyFont="1" applyFill="1" applyBorder="1" applyAlignment="1" applyProtection="1"/>
    <xf numFmtId="9" fontId="2" fillId="0" borderId="83" xfId="1" applyFont="1" applyFill="1" applyBorder="1" applyAlignment="1" applyProtection="1">
      <alignment horizontal="center"/>
    </xf>
    <xf numFmtId="0" fontId="2" fillId="0" borderId="84" xfId="0" applyFont="1" applyBorder="1" applyAlignment="1">
      <alignment horizontal="center"/>
    </xf>
    <xf numFmtId="0" fontId="2" fillId="0" borderId="82" xfId="0" applyFont="1" applyBorder="1" applyAlignment="1" applyProtection="1">
      <alignment horizontal="center"/>
      <protection locked="0"/>
    </xf>
    <xf numFmtId="0" fontId="15" fillId="0" borderId="82" xfId="0" applyFont="1" applyBorder="1" applyAlignment="1" applyProtection="1">
      <alignment horizontal="center"/>
      <protection locked="0"/>
    </xf>
    <xf numFmtId="9" fontId="2" fillId="0" borderId="82" xfId="2" applyFont="1" applyBorder="1" applyAlignment="1">
      <alignment horizontal="center"/>
    </xf>
    <xf numFmtId="173" fontId="2" fillId="0" borderId="82" xfId="5" applyNumberFormat="1" applyFont="1" applyBorder="1" applyAlignment="1">
      <alignment horizontal="center"/>
    </xf>
    <xf numFmtId="173" fontId="50" fillId="0" borderId="82" xfId="5" applyNumberFormat="1" applyFont="1" applyBorder="1" applyAlignment="1">
      <alignment horizontal="center"/>
    </xf>
    <xf numFmtId="173" fontId="2" fillId="0" borderId="85" xfId="5" applyNumberFormat="1" applyFont="1" applyBorder="1" applyAlignment="1">
      <alignment horizontal="center"/>
    </xf>
    <xf numFmtId="9" fontId="30" fillId="0" borderId="5" xfId="1" applyFont="1" applyFill="1" applyBorder="1" applyAlignment="1" applyProtection="1">
      <alignment horizontal="center"/>
    </xf>
    <xf numFmtId="0" fontId="15" fillId="0" borderId="0" xfId="0" applyFont="1" applyAlignment="1" applyProtection="1">
      <alignment horizontal="center"/>
      <protection locked="0"/>
    </xf>
    <xf numFmtId="0" fontId="15" fillId="0" borderId="0" xfId="0" applyFont="1" applyAlignment="1">
      <alignment horizontal="left"/>
    </xf>
    <xf numFmtId="9" fontId="5" fillId="0" borderId="0" xfId="1" applyFont="1" applyFill="1" applyBorder="1" applyAlignment="1">
      <alignment horizontal="center"/>
    </xf>
    <xf numFmtId="1" fontId="5" fillId="0" borderId="0" xfId="1" applyNumberFormat="1" applyFont="1" applyFill="1" applyBorder="1" applyAlignment="1">
      <alignment horizontal="center"/>
    </xf>
    <xf numFmtId="1" fontId="5" fillId="0" borderId="0" xfId="1" applyNumberFormat="1" applyFont="1" applyFill="1" applyBorder="1" applyAlignment="1" applyProtection="1">
      <alignment horizontal="center"/>
    </xf>
    <xf numFmtId="1" fontId="5" fillId="0" borderId="0" xfId="1" applyNumberFormat="1" applyFont="1" applyFill="1" applyBorder="1" applyAlignment="1" applyProtection="1"/>
    <xf numFmtId="9" fontId="5" fillId="0" borderId="0" xfId="2" applyFont="1" applyBorder="1" applyAlignment="1">
      <alignment horizontal="center"/>
    </xf>
    <xf numFmtId="173" fontId="5" fillId="0" borderId="0" xfId="5" applyNumberFormat="1" applyFont="1" applyBorder="1" applyAlignment="1">
      <alignment horizontal="center"/>
    </xf>
    <xf numFmtId="173" fontId="30" fillId="0" borderId="0" xfId="5" applyNumberFormat="1" applyFont="1" applyBorder="1" applyAlignment="1">
      <alignment horizontal="center"/>
    </xf>
    <xf numFmtId="0" fontId="59" fillId="15" borderId="0" xfId="0" applyFont="1" applyFill="1"/>
    <xf numFmtId="0" fontId="59" fillId="15" borderId="0" xfId="0" applyFont="1" applyFill="1">
      <extLst>
        <ext xmlns:xfpb="http://schemas.microsoft.com/office/spreadsheetml/2022/featurepropertybag" uri="{C7286773-470A-42A8-94C5-96B5CB345126}">
          <xfpb:xfComplement i="0"/>
        </ext>
      </extLst>
    </xf>
    <xf numFmtId="14" fontId="59" fillId="15" borderId="0" xfId="0" applyNumberFormat="1" applyFont="1" applyFill="1"/>
    <xf numFmtId="9" fontId="59" fillId="15" borderId="0" xfId="0" applyNumberFormat="1" applyFont="1" applyFill="1"/>
    <xf numFmtId="0" fontId="5" fillId="0" borderId="0" xfId="2" applyNumberFormat="1" applyFont="1"/>
    <xf numFmtId="1" fontId="5" fillId="34" borderId="0" xfId="1" applyNumberFormat="1" applyFont="1" applyFill="1"/>
    <xf numFmtId="9" fontId="5" fillId="34" borderId="0" xfId="1" applyFont="1" applyFill="1" applyAlignment="1">
      <alignment horizontal="center"/>
    </xf>
    <xf numFmtId="1" fontId="2" fillId="0" borderId="82" xfId="0" applyNumberFormat="1" applyFont="1" applyBorder="1"/>
    <xf numFmtId="1" fontId="2" fillId="0" borderId="82" xfId="1" applyNumberFormat="1" applyFont="1" applyBorder="1" applyAlignment="1">
      <alignment horizontal="center"/>
    </xf>
    <xf numFmtId="1" fontId="5" fillId="0" borderId="0" xfId="1" applyNumberFormat="1" applyFont="1" applyBorder="1" applyAlignment="1">
      <alignment horizontal="center"/>
    </xf>
    <xf numFmtId="175" fontId="5" fillId="0" borderId="0" xfId="0" applyNumberFormat="1" applyFont="1" applyAlignment="1">
      <alignment horizontal="center"/>
    </xf>
    <xf numFmtId="170" fontId="40" fillId="0" borderId="0" xfId="5" applyNumberFormat="1" applyFont="1" applyFill="1"/>
    <xf numFmtId="0" fontId="12" fillId="0" borderId="0" xfId="0" applyFont="1" applyAlignment="1">
      <alignment horizontal="center" vertical="center"/>
    </xf>
    <xf numFmtId="0" fontId="15" fillId="0" borderId="41" xfId="0" applyFont="1" applyBorder="1" applyAlignment="1">
      <alignment horizontal="center"/>
    </xf>
    <xf numFmtId="0" fontId="15" fillId="0" borderId="42" xfId="0" applyFont="1" applyBorder="1" applyAlignment="1">
      <alignment horizontal="center"/>
    </xf>
    <xf numFmtId="0" fontId="15" fillId="0" borderId="43" xfId="0" applyFont="1" applyBorder="1" applyAlignment="1">
      <alignment horizontal="center"/>
    </xf>
    <xf numFmtId="0" fontId="15" fillId="0" borderId="1" xfId="0" applyFont="1" applyBorder="1" applyAlignment="1">
      <alignment horizontal="center"/>
    </xf>
  </cellXfs>
  <cellStyles count="9">
    <cellStyle name="Comma" xfId="5" builtinId="3"/>
    <cellStyle name="Comma 2" xfId="4" xr:uid="{F1058A0C-1925-42FE-9166-86E842AA4CEB}"/>
    <cellStyle name="Currency" xfId="6" builtinId="4"/>
    <cellStyle name="Hyperlink" xfId="7" builtinId="8"/>
    <cellStyle name="Normal" xfId="0" builtinId="0"/>
    <cellStyle name="Normal 2" xfId="3" xr:uid="{C71BBD08-0271-4F4D-9A8E-A7C423B892F9}"/>
    <cellStyle name="Normal 5" xfId="8" xr:uid="{C41A1D37-ED7C-4209-9C70-19155DC3A8E3}"/>
    <cellStyle name="Percent" xfId="2" builtinId="5"/>
    <cellStyle name="Percent 2" xfId="1" xr:uid="{4E5BF60D-C208-4459-BC76-3E16F2D75261}"/>
  </cellStyles>
  <dxfs count="248">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ill>
        <patternFill>
          <bgColor theme="3"/>
        </patternFill>
      </fill>
    </dxf>
    <dxf>
      <fill>
        <patternFill>
          <bgColor theme="3"/>
        </patternFill>
      </fill>
    </dxf>
    <dxf>
      <fill>
        <patternFill>
          <bgColor theme="3"/>
        </patternFill>
      </fill>
    </dxf>
    <dxf>
      <font>
        <color rgb="FFC00000"/>
      </font>
    </dxf>
    <dxf>
      <font>
        <color rgb="FFC00000"/>
      </font>
    </dxf>
    <dxf>
      <numFmt numFmtId="170" formatCode="_-* #,##0_-;\-* #,##0_-;_-* &quot;-&quot;??_-;_-@_-"/>
    </dxf>
    <dxf>
      <numFmt numFmtId="170" formatCode="_-* #,##0_-;\-* #,##0_-;_-* &quot;-&quot;??_-;_-@_-"/>
    </dxf>
    <dxf>
      <font>
        <color rgb="FFC00000"/>
      </font>
    </dxf>
    <dxf>
      <font>
        <color rgb="FFC00000"/>
      </font>
    </dxf>
    <dxf>
      <numFmt numFmtId="170" formatCode="_-* #,##0_-;\-* #,##0_-;_-* &quot;-&quot;??_-;_-@_-"/>
    </dxf>
    <dxf>
      <numFmt numFmtId="170" formatCode="_-* #,##0_-;\-* #,##0_-;_-* &quot;-&quot;??_-;_-@_-"/>
    </dxf>
    <dxf>
      <numFmt numFmtId="170" formatCode="_-* #,##0_-;\-* #,##0_-;_-* &quot;-&quot;??_-;_-@_-"/>
    </dxf>
    <dxf>
      <numFmt numFmtId="170" formatCode="_-* #,##0_-;\-* #,##0_-;_-* &quot;-&quot;??_-;_-@_-"/>
    </dxf>
    <dxf>
      <numFmt numFmtId="170" formatCode="_-* #,##0_-;\-* #,##0_-;_-* &quot;-&quot;??_-;_-@_-"/>
    </dxf>
    <dxf>
      <numFmt numFmtId="170" formatCode="_-* #,##0_-;\-* #,##0_-;_-* &quot;-&quot;??_-;_-@_-"/>
    </dxf>
    <dxf>
      <numFmt numFmtId="1" formatCode="0"/>
    </dxf>
    <dxf>
      <numFmt numFmtId="1" formatCode="0"/>
    </dxf>
    <dxf>
      <border outline="0">
        <left style="thin">
          <color rgb="FF000000"/>
        </left>
        <right style="thin">
          <color rgb="FF000000"/>
        </right>
        <top style="thin">
          <color rgb="FF000000"/>
        </top>
        <bottom style="thin">
          <color rgb="FF000000"/>
        </bottom>
      </border>
    </dxf>
    <dxf>
      <border outline="0">
        <left style="thin">
          <color rgb="FF000000"/>
        </left>
        <right style="thin">
          <color rgb="FF000000"/>
        </right>
        <top style="thin">
          <color rgb="FF000000"/>
        </top>
        <bottom style="thin">
          <color rgb="FF000000"/>
        </bottom>
      </border>
    </dxf>
    <dxf>
      <border outline="0">
        <left style="thin">
          <color rgb="FF000000"/>
        </left>
        <right style="thin">
          <color rgb="FF000000"/>
        </right>
        <top style="thin">
          <color rgb="FF000000"/>
        </top>
        <bottom style="thin">
          <color rgb="FF000000"/>
        </bottom>
      </border>
    </dxf>
    <dxf>
      <numFmt numFmtId="1" formatCode="0"/>
    </dxf>
    <dxf>
      <numFmt numFmtId="1" formatCode="0"/>
    </dxf>
    <dxf>
      <numFmt numFmtId="1" formatCode="0"/>
    </dxf>
    <dxf>
      <numFmt numFmtId="1" formatCode="0"/>
    </dxf>
    <dxf>
      <numFmt numFmtId="1" formatCode="0"/>
    </dxf>
    <dxf>
      <fill>
        <patternFill patternType="solid">
          <fgColor indexed="64"/>
          <bgColor theme="0"/>
        </patternFill>
      </fill>
    </dxf>
    <dxf>
      <fill>
        <patternFill patternType="none"/>
      </fill>
    </dxf>
    <dxf>
      <fill>
        <patternFill patternType="solid">
          <fgColor indexed="64"/>
          <bgColor rgb="FFFFFF00"/>
        </patternFill>
      </fill>
    </dxf>
    <dxf>
      <border outline="0">
        <left style="thin">
          <color rgb="FF000000"/>
        </left>
        <right style="thin">
          <color rgb="FF000000"/>
        </right>
        <top style="thin">
          <color rgb="FF000000"/>
        </top>
        <bottom style="thin">
          <color rgb="FF000000"/>
        </bottom>
      </border>
    </dxf>
    <dxf>
      <border outline="0">
        <left style="thin">
          <color rgb="FF000000"/>
        </left>
        <right style="thin">
          <color rgb="FF000000"/>
        </right>
        <top style="thin">
          <color rgb="FF000000"/>
        </top>
        <bottom style="thin">
          <color rgb="FF000000"/>
        </bottom>
      </border>
    </dxf>
    <dxf>
      <border outline="0">
        <left style="thin">
          <color rgb="FF000000"/>
        </left>
        <right style="thin">
          <color rgb="FF000000"/>
        </right>
        <top style="thin">
          <color rgb="FF000000"/>
        </top>
        <bottom style="thin">
          <color rgb="FF000000"/>
        </bottom>
      </border>
    </dxf>
    <dxf>
      <numFmt numFmtId="1" formatCode="0"/>
    </dxf>
    <dxf>
      <numFmt numFmtId="1" formatCode="0"/>
    </dxf>
    <dxf>
      <numFmt numFmtId="1" formatCode="0"/>
    </dxf>
    <dxf>
      <numFmt numFmtId="1" formatCode="0"/>
    </dxf>
    <dxf>
      <border outline="0">
        <left style="thin">
          <color rgb="FF000000"/>
        </left>
        <right style="thin">
          <color rgb="FF000000"/>
        </right>
        <top style="thin">
          <color rgb="FF000000"/>
        </top>
        <bottom style="thin">
          <color rgb="FF000000"/>
        </bottom>
      </border>
    </dxf>
    <dxf>
      <border outline="0">
        <left style="thin">
          <color rgb="FF000000"/>
        </left>
        <right style="thin">
          <color rgb="FF000000"/>
        </right>
        <top style="thin">
          <color rgb="FF000000"/>
        </top>
        <bottom style="thin">
          <color rgb="FF000000"/>
        </bottom>
      </border>
    </dxf>
    <dxf>
      <border outline="0">
        <left style="thin">
          <color rgb="FF000000"/>
        </left>
        <right style="thin">
          <color rgb="FF000000"/>
        </right>
        <top style="thin">
          <color rgb="FF000000"/>
        </top>
        <bottom style="thin">
          <color rgb="FF000000"/>
        </bottom>
      </border>
    </dxf>
    <dxf>
      <numFmt numFmtId="1" formatCode="0"/>
    </dxf>
    <dxf>
      <numFmt numFmtId="1" formatCode="0"/>
    </dxf>
    <dxf>
      <numFmt numFmtId="1" formatCode="0"/>
    </dxf>
    <dxf>
      <numFmt numFmtId="1" formatCode="0"/>
    </dxf>
    <dxf>
      <numFmt numFmtId="1" formatCode="0"/>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alignment horizontal="center" vertical="bottom" textRotation="0" wrapText="0" indent="0" justifyLastLine="0" shrinkToFit="0" readingOrder="0"/>
    </dxf>
    <dxf>
      <numFmt numFmtId="0" formatCode="General"/>
      <fill>
        <patternFill patternType="none">
          <fgColor indexed="64"/>
          <bgColor auto="1"/>
        </patternFill>
      </fill>
      <alignment horizontal="center" vertical="bottom" textRotation="0" wrapText="0" indent="0" justifyLastLine="0" shrinkToFit="0" readingOrder="0"/>
    </dxf>
    <dxf>
      <numFmt numFmtId="1" formatCode="0"/>
    </dxf>
    <dxf>
      <numFmt numFmtId="1" formatCode="0"/>
      <fill>
        <patternFill patternType="none">
          <fgColor indexed="64"/>
          <bgColor auto="1"/>
        </patternFill>
      </fill>
    </dxf>
    <dxf>
      <numFmt numFmtId="1" formatCode="0"/>
    </dxf>
    <dxf>
      <numFmt numFmtId="1" formatCode="0"/>
      <fill>
        <patternFill patternType="none">
          <fgColor indexed="64"/>
          <bgColor auto="1"/>
        </patternFill>
      </fill>
    </dxf>
    <dxf>
      <numFmt numFmtId="1" formatCode="0"/>
    </dxf>
    <dxf>
      <numFmt numFmtId="1" formatCode="0"/>
      <fill>
        <patternFill patternType="none">
          <fgColor indexed="64"/>
          <bgColor auto="1"/>
        </patternFill>
      </fill>
    </dxf>
    <dxf>
      <numFmt numFmtId="1" formatCode="0"/>
    </dxf>
    <dxf>
      <numFmt numFmtId="1" formatCode="0"/>
      <fill>
        <patternFill patternType="none">
          <fgColor indexed="64"/>
          <bgColor auto="1"/>
        </patternFill>
      </fill>
    </dxf>
    <dxf>
      <numFmt numFmtId="1" formatCode="0"/>
    </dxf>
    <dxf>
      <numFmt numFmtId="1" formatCode="0"/>
      <fill>
        <patternFill patternType="none">
          <fgColor indexed="64"/>
          <bgColor auto="1"/>
        </patternFill>
      </fill>
    </dxf>
    <dxf>
      <numFmt numFmtId="1" formatCode="0"/>
      <fill>
        <patternFill patternType="solid">
          <fgColor indexed="64"/>
          <bgColor rgb="FF92D050"/>
        </patternFill>
      </fill>
    </dxf>
    <dxf>
      <numFmt numFmtId="1" formatCode="0"/>
      <fill>
        <patternFill patternType="none">
          <fgColor indexed="64"/>
          <bgColor auto="1"/>
        </patternFill>
      </fill>
    </dxf>
    <dxf>
      <numFmt numFmtId="1" formatCode="0"/>
    </dxf>
    <dxf>
      <numFmt numFmtId="1" formatCode="0"/>
      <fill>
        <patternFill patternType="none">
          <fgColor indexed="64"/>
          <bgColor auto="1"/>
        </patternFill>
      </fill>
    </dxf>
    <dxf>
      <numFmt numFmtId="1" formatCode="0"/>
    </dxf>
    <dxf>
      <numFmt numFmtId="1" formatCode="0"/>
      <fill>
        <patternFill patternType="none">
          <fgColor indexed="64"/>
          <bgColor auto="1"/>
        </patternFill>
      </fill>
    </dxf>
    <dxf>
      <numFmt numFmtId="1" formatCode="0"/>
    </dxf>
    <dxf>
      <numFmt numFmtId="1" formatCode="0"/>
      <fill>
        <patternFill patternType="none">
          <fgColor indexed="64"/>
          <bgColor auto="1"/>
        </patternFill>
      </fill>
    </dxf>
    <dxf>
      <numFmt numFmtId="1" formatCode="0"/>
    </dxf>
    <dxf>
      <numFmt numFmtId="1" formatCode="0"/>
      <fill>
        <patternFill patternType="none">
          <fgColor indexed="64"/>
          <bgColor auto="1"/>
        </patternFill>
      </fill>
    </dxf>
    <dxf>
      <numFmt numFmtId="1" formatCode="0"/>
    </dxf>
    <dxf>
      <numFmt numFmtId="1" formatCode="0"/>
      <fill>
        <patternFill patternType="none">
          <fgColor indexed="64"/>
          <bgColor auto="1"/>
        </patternFill>
      </fill>
    </dxf>
    <dxf>
      <numFmt numFmtId="1" formatCode="0"/>
      <fill>
        <patternFill patternType="solid">
          <fgColor indexed="64"/>
          <bgColor rgb="FF92D050"/>
        </patternFill>
      </fill>
    </dxf>
    <dxf>
      <numFmt numFmtId="1" formatCode="0"/>
      <fill>
        <patternFill patternType="none">
          <fgColor indexed="64"/>
          <bgColor auto="1"/>
        </patternFill>
      </fill>
    </dxf>
    <dxf>
      <numFmt numFmtId="1" formatCode="0"/>
      <fill>
        <patternFill patternType="solid">
          <fgColor indexed="64"/>
          <bgColor rgb="FF92D050"/>
        </patternFill>
      </fill>
    </dxf>
    <dxf>
      <numFmt numFmtId="1" formatCode="0"/>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border outline="0">
        <top style="thin">
          <color rgb="FF000000"/>
        </top>
      </border>
    </dxf>
    <dxf>
      <fill>
        <patternFill patternType="none">
          <fgColor indexed="64"/>
          <bgColor auto="1"/>
        </patternFill>
      </fill>
    </dxf>
    <dxf>
      <border outline="0">
        <bottom style="thin">
          <color indexed="64"/>
        </bottom>
      </border>
    </dxf>
    <dxf>
      <font>
        <b val="0"/>
        <i val="0"/>
        <strike val="0"/>
        <condense val="0"/>
        <extend val="0"/>
        <outline val="0"/>
        <shadow val="0"/>
        <u val="none"/>
        <vertAlign val="baseline"/>
        <sz val="12"/>
        <color indexed="8"/>
        <name val="Calibri"/>
        <family val="2"/>
        <scheme val="none"/>
      </font>
      <numFmt numFmtId="30" formatCode="@"/>
      <alignment horizontal="center" vertical="center" textRotation="0" wrapText="1" indent="0" justifyLastLine="0" shrinkToFit="0" readingOrder="0"/>
      <border diagonalUp="0" diagonalDown="0" outline="0">
        <left style="thin">
          <color indexed="64"/>
        </left>
        <right style="thin">
          <color indexed="64"/>
        </right>
        <top/>
        <bottom/>
      </border>
    </dxf>
    <dxf>
      <numFmt numFmtId="19" formatCode="yyyy/mm/dd"/>
    </dxf>
    <dxf>
      <numFmt numFmtId="0" formatCode="General"/>
      <fill>
        <patternFill patternType="none">
          <fgColor indexed="64"/>
          <bgColor auto="1"/>
        </patternFill>
      </fill>
      <alignment horizontal="center" vertical="bottom" textRotation="0" wrapText="0" indent="0" justifyLastLine="0" shrinkToFit="0" readingOrder="0"/>
    </dxf>
    <dxf>
      <numFmt numFmtId="13" formatCode="0%"/>
    </dxf>
    <dxf>
      <numFmt numFmtId="13" formatCode="0%"/>
      <fill>
        <patternFill patternType="none">
          <fgColor indexed="64"/>
          <bgColor auto="1"/>
        </patternFill>
      </fill>
    </dxf>
    <dxf>
      <numFmt numFmtId="0" formatCode="General"/>
      <fill>
        <patternFill patternType="none">
          <fgColor indexed="64"/>
          <bgColor auto="1"/>
        </patternFill>
      </fill>
      <alignment horizontal="center" textRotation="0" wrapText="0" indent="0" justifyLastLine="0" shrinkToFit="0" readingOrder="0"/>
    </dxf>
    <dxf>
      <numFmt numFmtId="0" formatCode="General"/>
      <fill>
        <patternFill patternType="none">
          <fgColor indexed="64"/>
          <bgColor auto="1"/>
        </patternFill>
      </fill>
      <alignment horizontal="center" textRotation="0" wrapText="0" indent="0" justifyLastLine="0" shrinkToFit="0" readingOrder="0"/>
    </dxf>
    <dxf>
      <numFmt numFmtId="1" formatCode="0"/>
    </dxf>
    <dxf>
      <numFmt numFmtId="1" formatCode="0"/>
      <fill>
        <patternFill patternType="none">
          <fgColor indexed="64"/>
          <bgColor auto="1"/>
        </patternFill>
      </fill>
    </dxf>
    <dxf>
      <numFmt numFmtId="1" formatCode="0"/>
    </dxf>
    <dxf>
      <numFmt numFmtId="1" formatCode="0"/>
      <fill>
        <patternFill patternType="none">
          <fgColor indexed="64"/>
          <bgColor auto="1"/>
        </patternFill>
      </fill>
    </dxf>
    <dxf>
      <numFmt numFmtId="1" formatCode="0"/>
    </dxf>
    <dxf>
      <font>
        <color theme="1"/>
      </font>
      <numFmt numFmtId="1" formatCode="0"/>
      <fill>
        <patternFill patternType="none">
          <fgColor indexed="64"/>
          <bgColor auto="1"/>
        </patternFill>
      </fill>
      <alignment horizontal="general" vertical="bottom" textRotation="0" wrapText="0" indent="0" justifyLastLine="0" shrinkToFit="0" readingOrder="0"/>
      <protection locked="1" hidden="0"/>
    </dxf>
    <dxf>
      <numFmt numFmtId="1" formatCode="0"/>
    </dxf>
    <dxf>
      <numFmt numFmtId="1" formatCode="0"/>
      <fill>
        <patternFill patternType="none">
          <fgColor indexed="64"/>
          <bgColor auto="1"/>
        </patternFill>
      </fill>
    </dxf>
    <dxf>
      <numFmt numFmtId="1" formatCode="0"/>
    </dxf>
    <dxf>
      <font>
        <color theme="1"/>
      </font>
      <numFmt numFmtId="1" formatCode="0"/>
      <fill>
        <patternFill patternType="none">
          <fgColor indexed="64"/>
          <bgColor auto="1"/>
        </patternFill>
      </fill>
      <alignment horizontal="general" vertical="bottom" textRotation="0" wrapText="0" indent="0" justifyLastLine="0" shrinkToFit="0" readingOrder="0"/>
      <protection locked="1" hidden="0"/>
    </dxf>
    <dxf>
      <numFmt numFmtId="1" formatCode="0"/>
      <fill>
        <patternFill patternType="solid">
          <fgColor indexed="64"/>
          <bgColor rgb="FF92D050"/>
        </patternFill>
      </fill>
    </dxf>
    <dxf>
      <font>
        <color theme="1"/>
      </font>
      <numFmt numFmtId="1" formatCode="0"/>
      <fill>
        <patternFill patternType="none">
          <fgColor indexed="64"/>
          <bgColor auto="1"/>
        </patternFill>
      </fill>
      <alignment horizontal="general" vertical="bottom" textRotation="0" wrapText="0" indent="0" justifyLastLine="0" shrinkToFit="0" readingOrder="0"/>
      <protection locked="1" hidden="0"/>
    </dxf>
    <dxf>
      <numFmt numFmtId="1" formatCode="0"/>
    </dxf>
    <dxf>
      <numFmt numFmtId="1" formatCode="0"/>
      <fill>
        <patternFill patternType="none">
          <fgColor indexed="64"/>
          <bgColor auto="1"/>
        </patternFill>
      </fill>
    </dxf>
    <dxf>
      <numFmt numFmtId="1" formatCode="0"/>
    </dxf>
    <dxf>
      <numFmt numFmtId="1" formatCode="0"/>
      <fill>
        <patternFill patternType="none">
          <fgColor indexed="64"/>
          <bgColor auto="1"/>
        </patternFill>
      </fill>
    </dxf>
    <dxf>
      <numFmt numFmtId="1" formatCode="0"/>
    </dxf>
    <dxf>
      <numFmt numFmtId="1" formatCode="0"/>
      <fill>
        <patternFill patternType="none">
          <fgColor indexed="64"/>
          <bgColor auto="1"/>
        </patternFill>
      </fill>
    </dxf>
    <dxf>
      <numFmt numFmtId="1" formatCode="0"/>
    </dxf>
    <dxf>
      <numFmt numFmtId="1" formatCode="0"/>
      <fill>
        <patternFill patternType="none">
          <fgColor indexed="64"/>
          <bgColor auto="1"/>
        </patternFill>
      </fill>
    </dxf>
    <dxf>
      <numFmt numFmtId="1" formatCode="0"/>
    </dxf>
    <dxf>
      <numFmt numFmtId="1" formatCode="0"/>
      <fill>
        <patternFill patternType="none">
          <fgColor indexed="64"/>
          <bgColor auto="1"/>
        </patternFill>
      </fill>
    </dxf>
    <dxf>
      <numFmt numFmtId="1" formatCode="0"/>
      <fill>
        <patternFill patternType="solid">
          <fgColor indexed="64"/>
          <bgColor rgb="FF92D050"/>
        </patternFill>
      </fill>
    </dxf>
    <dxf>
      <numFmt numFmtId="1" formatCode="0"/>
      <fill>
        <patternFill patternType="none">
          <fgColor indexed="64"/>
          <bgColor auto="1"/>
        </patternFill>
      </fill>
    </dxf>
    <dxf>
      <numFmt numFmtId="1" formatCode="0"/>
      <fill>
        <patternFill patternType="solid">
          <fgColor indexed="64"/>
          <bgColor rgb="FF92D050"/>
        </patternFill>
      </fill>
    </dxf>
    <dxf>
      <numFmt numFmtId="1" formatCode="0"/>
      <fill>
        <patternFill patternType="none">
          <fgColor indexed="64"/>
          <bgColor auto="1"/>
        </patternFill>
      </fill>
    </dxf>
    <dxf>
      <numFmt numFmtId="1" formatCode="0"/>
    </dxf>
    <dxf>
      <numFmt numFmtId="1" formatCode="0"/>
      <fill>
        <patternFill patternType="none">
          <fgColor indexed="64"/>
          <bgColor auto="1"/>
        </patternFill>
      </fill>
    </dxf>
    <dxf>
      <numFmt numFmtId="1" formatCode="0"/>
    </dxf>
    <dxf>
      <numFmt numFmtId="1" formatCode="0"/>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19" formatCode="yyyy/mm/dd"/>
    </dxf>
    <dxf>
      <border outline="0">
        <top style="thin">
          <color rgb="FF000000"/>
        </top>
      </border>
    </dxf>
    <dxf>
      <fill>
        <patternFill patternType="none">
          <fgColor indexed="64"/>
          <bgColor auto="1"/>
        </patternFill>
      </fill>
      <alignment horizontal="center"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indexed="8"/>
        <name val="Calibri"/>
        <family val="2"/>
        <scheme val="none"/>
      </font>
      <numFmt numFmtId="30" formatCode="@"/>
      <alignment horizontal="center" vertical="center" textRotation="0" wrapText="1" indent="0" justifyLastLine="0" shrinkToFit="0" readingOrder="0"/>
      <border diagonalUp="0" diagonalDown="0" outline="0">
        <left style="thin">
          <color indexed="64"/>
        </left>
        <right style="thin">
          <color indexed="64"/>
        </right>
        <top/>
        <bottom/>
      </border>
    </dxf>
    <dxf>
      <numFmt numFmtId="0" formatCode="General"/>
      <alignment horizontal="center" textRotation="0" wrapText="0" indent="0" justifyLastLine="0" shrinkToFit="0" readingOrder="0"/>
    </dxf>
    <dxf>
      <numFmt numFmtId="13" formatCode="0%"/>
    </dxf>
    <dxf>
      <numFmt numFmtId="13" formatCode="0%"/>
    </dxf>
    <dxf>
      <numFmt numFmtId="0" formatCode="General"/>
    </dxf>
    <dxf>
      <numFmt numFmtId="0" formatCode="General"/>
    </dxf>
    <dxf>
      <numFmt numFmtId="1" formatCode="0"/>
    </dxf>
    <dxf>
      <numFmt numFmtId="1" formatCode="0"/>
    </dxf>
    <dxf>
      <numFmt numFmtId="1" formatCode="0"/>
    </dxf>
    <dxf>
      <numFmt numFmtId="1" formatCode="0"/>
    </dxf>
    <dxf>
      <numFmt numFmtId="1" formatCode="0"/>
      <fill>
        <patternFill patternType="solid">
          <fgColor indexed="64"/>
          <bgColor rgb="FF92D050"/>
        </patternFill>
      </fill>
    </dxf>
    <dxf>
      <numFmt numFmtId="1" formatCode="0"/>
    </dxf>
    <dxf>
      <numFmt numFmtId="1" formatCode="0"/>
    </dxf>
    <dxf>
      <numFmt numFmtId="1" formatCode="0"/>
    </dxf>
    <dxf>
      <numFmt numFmtId="1" formatCode="0"/>
    </dxf>
    <dxf>
      <numFmt numFmtId="1" formatCode="0"/>
    </dxf>
    <dxf>
      <numFmt numFmtId="1" formatCode="0"/>
      <fill>
        <patternFill patternType="solid">
          <fgColor indexed="64"/>
          <bgColor rgb="FF92D050"/>
        </patternFill>
      </fil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fill>
        <patternFill patternType="solid">
          <fgColor indexed="64"/>
          <bgColor rgb="FF92D050"/>
        </patternFill>
      </fill>
    </dxf>
    <dxf>
      <numFmt numFmtId="1" formatCode="0"/>
    </dxf>
    <dxf>
      <numFmt numFmtId="1" formatCode="0"/>
      <fill>
        <patternFill patternType="solid">
          <fgColor indexed="64"/>
          <bgColor rgb="FF92D050"/>
        </patternFill>
      </fill>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border outline="0">
        <top style="thin">
          <color rgb="FF000000"/>
        </top>
      </border>
    </dxf>
    <dxf>
      <font>
        <b val="0"/>
        <i val="0"/>
        <strike val="0"/>
        <condense val="0"/>
        <extend val="0"/>
        <outline val="0"/>
        <shadow val="0"/>
        <u val="none"/>
        <vertAlign val="baseline"/>
        <sz val="12"/>
        <color indexed="8"/>
        <name val="Calibri"/>
        <family val="2"/>
        <scheme val="none"/>
      </font>
      <numFmt numFmtId="30" formatCode="@"/>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none"/>
      </font>
      <numFmt numFmtId="173" formatCode="_-* #,##0.0_-;\-* #,##0.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73" formatCode="_-* #,##0.0_-;\-* #,##0.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73" formatCode="_-* #,##0.0_-;\-* #,##0.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73" formatCode="_-* #,##0.0_-;\-* #,##0.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73" formatCode="_-* #,##0.0_-;\-* #,##0.0_-;_-* &quot;-&quot;??_-;_-@_-"/>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73" formatCode="_-* #,##0.0_-;\-* #,##0.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73" formatCode="_-* #,##0.0_-;\-* #,##0.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73" formatCode="_-* #,##0.0_-;\-* #,##0.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protection locked="1"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1"/>
        <color theme="1"/>
        <name val="Calibri"/>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numFmt numFmtId="0" formatCode="General"/>
    </dxf>
    <dxf>
      <font>
        <b val="0"/>
        <i val="0"/>
        <strike val="0"/>
        <condense val="0"/>
        <extend val="0"/>
        <outline val="0"/>
        <shadow val="0"/>
        <u val="none"/>
        <vertAlign val="baseline"/>
        <sz val="11"/>
        <color theme="1"/>
        <name val="Calibri"/>
        <family val="2"/>
        <scheme val="none"/>
      </font>
      <alignment horizontal="left"/>
    </dxf>
    <dxf>
      <numFmt numFmtId="0" formatCode="General"/>
    </dxf>
    <dxf>
      <font>
        <b val="0"/>
        <i val="0"/>
        <strike val="0"/>
        <condense val="0"/>
        <extend val="0"/>
        <outline val="0"/>
        <shadow val="0"/>
        <u val="none"/>
        <vertAlign val="baseline"/>
        <sz val="11"/>
        <color theme="1"/>
        <name val="Calibri"/>
        <family val="2"/>
        <scheme val="none"/>
      </font>
      <alignment horizontal="right" vertical="bottom" textRotation="0" wrapText="0" indent="0" justifyLastLine="0" shrinkToFit="0" readingOrder="0"/>
    </dxf>
    <dxf>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theme="1"/>
        <name val="Calibri"/>
        <family val="2"/>
        <scheme val="none"/>
      </font>
      <fill>
        <patternFill patternType="none">
          <fgColor indexed="64"/>
          <bgColor auto="1"/>
        </patternFill>
      </fill>
      <alignment horizontal="center" vertical="center" textRotation="0" wrapText="1" indent="0" justifyLastLine="0" shrinkToFit="0" readingOrder="0"/>
    </dxf>
  </dxfs>
  <tableStyles count="0" defaultTableStyle="TableStyleMedium2" defaultPivotStyle="PivotStyleLight16"/>
  <colors>
    <mruColors>
      <color rgb="FFFF0000"/>
      <color rgb="FFFF0101"/>
      <color rgb="FF0000FF"/>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2/11/relationships/FeaturePropertyBag" Target="featurePropertyBag/featurePropertyBag.xml"/><Relationship Id="rId28"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 Id="rId27" Type="http://schemas.openxmlformats.org/officeDocument/2006/relationships/customXml" Target="../customXml/item3.xml"/></Relationships>
</file>

<file path=xl/documenttasks/documenttask1.xml><?xml version="1.0" encoding="utf-8"?>
<Tasks xmlns="http://schemas.microsoft.com/office/tasks/2019/documenttasks">
  <Task id="{8AEDFBA6-F03C-4299-A70C-DE1AAABB4DBE}">
    <Anchor>
      <Comment id="{7121CDF3-CA0B-4834-B0CF-D1E2F89DD978}"/>
    </Anchor>
    <History>
      <Event time="2024-10-21T20:21:05.17" id="{0B046C8E-D845-4B3F-BA77-3E648D8006BB}">
        <Attribution userId="S::drake.swezey@worldtree.eco::4e1cff56-1a82-47ef-bf19-7b7a8b119fb7" userName="Drake Swezey" userProvider="AD"/>
        <Anchor>
          <Comment id="{7121CDF3-CA0B-4834-B0CF-D1E2F89DD978}"/>
        </Anchor>
        <Create/>
      </Event>
      <Event time="2024-10-21T20:21:05.17" id="{FD354CBC-C25C-443D-9594-3C838557CEEC}">
        <Attribution userId="S::drake.swezey@worldtree.eco::4e1cff56-1a82-47ef-bf19-7b7a8b119fb7" userName="Drake Swezey" userProvider="AD"/>
        <Anchor>
          <Comment id="{7121CDF3-CA0B-4834-B0CF-D1E2F89DD978}"/>
        </Anchor>
        <Assign userId="S::gescina.richardsen@worldtree.eco::8dc35aac-c910-4851-bfcd-d6a068496fcc" userName="Gescina Richardsen" userProvider="AD"/>
      </Event>
      <Event time="2024-10-21T20:21:05.17" id="{ECD90870-8D9F-47A1-9BEF-9A4C2BDA432F}">
        <Attribution userId="S::drake.swezey@worldtree.eco::4e1cff56-1a82-47ef-bf19-7b7a8b119fb7" userName="Drake Swezey" userProvider="AD"/>
        <Anchor>
          <Comment id="{7121CDF3-CA0B-4834-B0CF-D1E2F89DD978}"/>
        </Anchor>
        <SetTitle title="@Gescina Richardsen Are these accurate?"/>
      </Event>
    </History>
  </Task>
</Task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523875</xdr:colOff>
      <xdr:row>12</xdr:row>
      <xdr:rowOff>133350</xdr:rowOff>
    </xdr:from>
    <xdr:to>
      <xdr:col>12</xdr:col>
      <xdr:colOff>295275</xdr:colOff>
      <xdr:row>19</xdr:row>
      <xdr:rowOff>57150</xdr:rowOff>
    </xdr:to>
    <xdr:pic>
      <xdr:nvPicPr>
        <xdr:cNvPr id="2" name="Picture 1">
          <a:extLst>
            <a:ext uri="{FF2B5EF4-FFF2-40B4-BE49-F238E27FC236}">
              <a16:creationId xmlns:a16="http://schemas.microsoft.com/office/drawing/2014/main" id="{5DAA916E-CEED-C4A4-38B1-60772EFD1FC7}"/>
            </a:ext>
          </a:extLst>
        </xdr:cNvPr>
        <xdr:cNvPicPr>
          <a:picLocks noChangeAspect="1"/>
        </xdr:cNvPicPr>
      </xdr:nvPicPr>
      <xdr:blipFill>
        <a:blip xmlns:r="http://schemas.openxmlformats.org/officeDocument/2006/relationships" r:embed="rId1"/>
        <a:stretch>
          <a:fillRect/>
        </a:stretch>
      </xdr:blipFill>
      <xdr:spPr>
        <a:xfrm>
          <a:off x="7105650" y="3181350"/>
          <a:ext cx="4572000" cy="1466850"/>
        </a:xfrm>
        <a:prstGeom prst="rect">
          <a:avLst/>
        </a:prstGeom>
      </xdr:spPr>
    </xdr:pic>
    <xdr:clientData/>
  </xdr:twoCellAnchor>
  <xdr:twoCellAnchor editAs="oneCell">
    <xdr:from>
      <xdr:col>7</xdr:col>
      <xdr:colOff>390525</xdr:colOff>
      <xdr:row>21</xdr:row>
      <xdr:rowOff>161925</xdr:rowOff>
    </xdr:from>
    <xdr:to>
      <xdr:col>12</xdr:col>
      <xdr:colOff>161925</xdr:colOff>
      <xdr:row>25</xdr:row>
      <xdr:rowOff>161925</xdr:rowOff>
    </xdr:to>
    <xdr:pic>
      <xdr:nvPicPr>
        <xdr:cNvPr id="3" name="Picture 2">
          <a:extLst>
            <a:ext uri="{FF2B5EF4-FFF2-40B4-BE49-F238E27FC236}">
              <a16:creationId xmlns:a16="http://schemas.microsoft.com/office/drawing/2014/main" id="{280F0EE5-BA13-2F11-0854-8ADDD2676DE6}"/>
            </a:ext>
            <a:ext uri="{147F2762-F138-4A5C-976F-8EAC2B608ADB}">
              <a16:predDERef xmlns:a16="http://schemas.microsoft.com/office/drawing/2014/main" pred="{5DAA916E-CEED-C4A4-38B1-60772EFD1FC7}"/>
            </a:ext>
          </a:extLst>
        </xdr:cNvPr>
        <xdr:cNvPicPr>
          <a:picLocks noChangeAspect="1"/>
        </xdr:cNvPicPr>
      </xdr:nvPicPr>
      <xdr:blipFill>
        <a:blip xmlns:r="http://schemas.openxmlformats.org/officeDocument/2006/relationships" r:embed="rId2"/>
        <a:stretch>
          <a:fillRect/>
        </a:stretch>
      </xdr:blipFill>
      <xdr:spPr>
        <a:xfrm>
          <a:off x="6972300" y="3409950"/>
          <a:ext cx="4572000" cy="895350"/>
        </a:xfrm>
        <a:prstGeom prst="rect">
          <a:avLst/>
        </a:prstGeom>
      </xdr:spPr>
    </xdr:pic>
    <xdr:clientData/>
  </xdr:twoCellAnchor>
  <xdr:twoCellAnchor editAs="oneCell">
    <xdr:from>
      <xdr:col>7</xdr:col>
      <xdr:colOff>600075</xdr:colOff>
      <xdr:row>29</xdr:row>
      <xdr:rowOff>104775</xdr:rowOff>
    </xdr:from>
    <xdr:to>
      <xdr:col>12</xdr:col>
      <xdr:colOff>361950</xdr:colOff>
      <xdr:row>36</xdr:row>
      <xdr:rowOff>133350</xdr:rowOff>
    </xdr:to>
    <xdr:pic>
      <xdr:nvPicPr>
        <xdr:cNvPr id="4" name="Picture 3">
          <a:extLst>
            <a:ext uri="{FF2B5EF4-FFF2-40B4-BE49-F238E27FC236}">
              <a16:creationId xmlns:a16="http://schemas.microsoft.com/office/drawing/2014/main" id="{36465F14-3C56-1A29-6ED6-CEAD782FD9B3}"/>
            </a:ext>
            <a:ext uri="{147F2762-F138-4A5C-976F-8EAC2B608ADB}">
              <a16:predDERef xmlns:a16="http://schemas.microsoft.com/office/drawing/2014/main" pred="{280F0EE5-BA13-2F11-0854-8ADDD2676DE6}"/>
            </a:ext>
          </a:extLst>
        </xdr:cNvPr>
        <xdr:cNvPicPr>
          <a:picLocks noChangeAspect="1"/>
        </xdr:cNvPicPr>
      </xdr:nvPicPr>
      <xdr:blipFill>
        <a:blip xmlns:r="http://schemas.openxmlformats.org/officeDocument/2006/relationships" r:embed="rId3"/>
        <a:stretch>
          <a:fillRect/>
        </a:stretch>
      </xdr:blipFill>
      <xdr:spPr>
        <a:xfrm>
          <a:off x="7181850" y="5086350"/>
          <a:ext cx="4562475" cy="1571625"/>
        </a:xfrm>
        <a:prstGeom prst="rect">
          <a:avLst/>
        </a:prstGeom>
      </xdr:spPr>
    </xdr:pic>
    <xdr:clientData/>
  </xdr:twoCellAnchor>
  <xdr:twoCellAnchor editAs="oneCell">
    <xdr:from>
      <xdr:col>7</xdr:col>
      <xdr:colOff>457200</xdr:colOff>
      <xdr:row>38</xdr:row>
      <xdr:rowOff>180975</xdr:rowOff>
    </xdr:from>
    <xdr:to>
      <xdr:col>12</xdr:col>
      <xdr:colOff>228600</xdr:colOff>
      <xdr:row>43</xdr:row>
      <xdr:rowOff>28575</xdr:rowOff>
    </xdr:to>
    <xdr:pic>
      <xdr:nvPicPr>
        <xdr:cNvPr id="5" name="Picture 4">
          <a:extLst>
            <a:ext uri="{FF2B5EF4-FFF2-40B4-BE49-F238E27FC236}">
              <a16:creationId xmlns:a16="http://schemas.microsoft.com/office/drawing/2014/main" id="{451AFD46-1D06-7FEF-A32A-517E40D4986D}"/>
            </a:ext>
            <a:ext uri="{147F2762-F138-4A5C-976F-8EAC2B608ADB}">
              <a16:predDERef xmlns:a16="http://schemas.microsoft.com/office/drawing/2014/main" pred="{36465F14-3C56-1A29-6ED6-CEAD782FD9B3}"/>
            </a:ext>
          </a:extLst>
        </xdr:cNvPr>
        <xdr:cNvPicPr>
          <a:picLocks noChangeAspect="1"/>
        </xdr:cNvPicPr>
      </xdr:nvPicPr>
      <xdr:blipFill>
        <a:blip xmlns:r="http://schemas.openxmlformats.org/officeDocument/2006/relationships" r:embed="rId4"/>
        <a:stretch>
          <a:fillRect/>
        </a:stretch>
      </xdr:blipFill>
      <xdr:spPr>
        <a:xfrm>
          <a:off x="7038975" y="7077075"/>
          <a:ext cx="4572000" cy="1085850"/>
        </a:xfrm>
        <a:prstGeom prst="rect">
          <a:avLst/>
        </a:prstGeom>
      </xdr:spPr>
    </xdr:pic>
    <xdr:clientData/>
  </xdr:twoCellAnchor>
  <xdr:twoCellAnchor editAs="oneCell">
    <xdr:from>
      <xdr:col>8</xdr:col>
      <xdr:colOff>9525</xdr:colOff>
      <xdr:row>48</xdr:row>
      <xdr:rowOff>171450</xdr:rowOff>
    </xdr:from>
    <xdr:to>
      <xdr:col>12</xdr:col>
      <xdr:colOff>600075</xdr:colOff>
      <xdr:row>54</xdr:row>
      <xdr:rowOff>9525</xdr:rowOff>
    </xdr:to>
    <xdr:pic>
      <xdr:nvPicPr>
        <xdr:cNvPr id="6" name="Picture 5">
          <a:extLst>
            <a:ext uri="{FF2B5EF4-FFF2-40B4-BE49-F238E27FC236}">
              <a16:creationId xmlns:a16="http://schemas.microsoft.com/office/drawing/2014/main" id="{9FC8D3B2-F305-0E51-819A-5CEFD4D31DC7}"/>
            </a:ext>
            <a:ext uri="{147F2762-F138-4A5C-976F-8EAC2B608ADB}">
              <a16:predDERef xmlns:a16="http://schemas.microsoft.com/office/drawing/2014/main" pred="{451AFD46-1D06-7FEF-A32A-517E40D4986D}"/>
            </a:ext>
          </a:extLst>
        </xdr:cNvPr>
        <xdr:cNvPicPr>
          <a:picLocks noChangeAspect="1"/>
        </xdr:cNvPicPr>
      </xdr:nvPicPr>
      <xdr:blipFill>
        <a:blip xmlns:r="http://schemas.openxmlformats.org/officeDocument/2006/relationships" r:embed="rId5"/>
        <a:stretch>
          <a:fillRect/>
        </a:stretch>
      </xdr:blipFill>
      <xdr:spPr>
        <a:xfrm>
          <a:off x="7200900" y="9172575"/>
          <a:ext cx="4572000" cy="1343025"/>
        </a:xfrm>
        <a:prstGeom prst="rect">
          <a:avLst/>
        </a:prstGeom>
      </xdr:spPr>
    </xdr:pic>
    <xdr:clientData/>
  </xdr:twoCellAnchor>
  <xdr:twoCellAnchor editAs="oneCell">
    <xdr:from>
      <xdr:col>7</xdr:col>
      <xdr:colOff>533400</xdr:colOff>
      <xdr:row>66</xdr:row>
      <xdr:rowOff>133350</xdr:rowOff>
    </xdr:from>
    <xdr:to>
      <xdr:col>12</xdr:col>
      <xdr:colOff>295275</xdr:colOff>
      <xdr:row>71</xdr:row>
      <xdr:rowOff>171450</xdr:rowOff>
    </xdr:to>
    <xdr:pic>
      <xdr:nvPicPr>
        <xdr:cNvPr id="8" name="Picture 7">
          <a:extLst>
            <a:ext uri="{FF2B5EF4-FFF2-40B4-BE49-F238E27FC236}">
              <a16:creationId xmlns:a16="http://schemas.microsoft.com/office/drawing/2014/main" id="{A58765DB-EB2E-C77D-C188-31414264F486}"/>
            </a:ext>
            <a:ext uri="{147F2762-F138-4A5C-976F-8EAC2B608ADB}">
              <a16:predDERef xmlns:a16="http://schemas.microsoft.com/office/drawing/2014/main" pred="{EAFB0713-8B5D-585A-2608-8BBD4BF79F08}"/>
            </a:ext>
          </a:extLst>
        </xdr:cNvPr>
        <xdr:cNvPicPr>
          <a:picLocks noChangeAspect="1"/>
        </xdr:cNvPicPr>
      </xdr:nvPicPr>
      <xdr:blipFill>
        <a:blip xmlns:r="http://schemas.openxmlformats.org/officeDocument/2006/relationships" r:embed="rId6"/>
        <a:stretch>
          <a:fillRect/>
        </a:stretch>
      </xdr:blipFill>
      <xdr:spPr>
        <a:xfrm>
          <a:off x="7115175" y="12963525"/>
          <a:ext cx="4562475" cy="1200150"/>
        </a:xfrm>
        <a:prstGeom prst="rect">
          <a:avLst/>
        </a:prstGeom>
      </xdr:spPr>
    </xdr:pic>
    <xdr:clientData/>
  </xdr:twoCellAnchor>
  <xdr:twoCellAnchor editAs="oneCell">
    <xdr:from>
      <xdr:col>7</xdr:col>
      <xdr:colOff>466725</xdr:colOff>
      <xdr:row>74</xdr:row>
      <xdr:rowOff>171450</xdr:rowOff>
    </xdr:from>
    <xdr:to>
      <xdr:col>12</xdr:col>
      <xdr:colOff>238125</xdr:colOff>
      <xdr:row>80</xdr:row>
      <xdr:rowOff>133350</xdr:rowOff>
    </xdr:to>
    <xdr:pic>
      <xdr:nvPicPr>
        <xdr:cNvPr id="9" name="Picture 8">
          <a:extLst>
            <a:ext uri="{FF2B5EF4-FFF2-40B4-BE49-F238E27FC236}">
              <a16:creationId xmlns:a16="http://schemas.microsoft.com/office/drawing/2014/main" id="{DC0C81CE-B42E-D011-88E3-686CF9A78BD3}"/>
            </a:ext>
            <a:ext uri="{147F2762-F138-4A5C-976F-8EAC2B608ADB}">
              <a16:predDERef xmlns:a16="http://schemas.microsoft.com/office/drawing/2014/main" pred="{A58765DB-EB2E-C77D-C188-31414264F486}"/>
            </a:ext>
          </a:extLst>
        </xdr:cNvPr>
        <xdr:cNvPicPr>
          <a:picLocks noChangeAspect="1"/>
        </xdr:cNvPicPr>
      </xdr:nvPicPr>
      <xdr:blipFill>
        <a:blip xmlns:r="http://schemas.openxmlformats.org/officeDocument/2006/relationships" r:embed="rId7"/>
        <a:stretch>
          <a:fillRect/>
        </a:stretch>
      </xdr:blipFill>
      <xdr:spPr>
        <a:xfrm>
          <a:off x="7048500" y="14725650"/>
          <a:ext cx="4572000" cy="1314450"/>
        </a:xfrm>
        <a:prstGeom prst="rect">
          <a:avLst/>
        </a:prstGeom>
      </xdr:spPr>
    </xdr:pic>
    <xdr:clientData/>
  </xdr:twoCellAnchor>
  <xdr:twoCellAnchor editAs="oneCell">
    <xdr:from>
      <xdr:col>8</xdr:col>
      <xdr:colOff>0</xdr:colOff>
      <xdr:row>58</xdr:row>
      <xdr:rowOff>0</xdr:rowOff>
    </xdr:from>
    <xdr:to>
      <xdr:col>12</xdr:col>
      <xdr:colOff>590550</xdr:colOff>
      <xdr:row>62</xdr:row>
      <xdr:rowOff>285750</xdr:rowOff>
    </xdr:to>
    <xdr:pic>
      <xdr:nvPicPr>
        <xdr:cNvPr id="7" name="Picture 6">
          <a:extLst>
            <a:ext uri="{FF2B5EF4-FFF2-40B4-BE49-F238E27FC236}">
              <a16:creationId xmlns:a16="http://schemas.microsoft.com/office/drawing/2014/main" id="{EDBBCF0A-74EA-4C34-4358-83D0053DDA71}"/>
            </a:ext>
            <a:ext uri="{147F2762-F138-4A5C-976F-8EAC2B608ADB}">
              <a16:predDERef xmlns:a16="http://schemas.microsoft.com/office/drawing/2014/main" pred="{DC0C81CE-B42E-D011-88E3-686CF9A78BD3}"/>
            </a:ext>
          </a:extLst>
        </xdr:cNvPr>
        <xdr:cNvPicPr>
          <a:picLocks noChangeAspect="1"/>
        </xdr:cNvPicPr>
      </xdr:nvPicPr>
      <xdr:blipFill>
        <a:blip xmlns:r="http://schemas.openxmlformats.org/officeDocument/2006/relationships" r:embed="rId8"/>
        <a:stretch>
          <a:fillRect/>
        </a:stretch>
      </xdr:blipFill>
      <xdr:spPr>
        <a:xfrm>
          <a:off x="7496175" y="12411075"/>
          <a:ext cx="4572000" cy="1276350"/>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Gescina Richardsen" id="{692C0AD4-B982-4446-BD69-CA08C5D6989E}" userId="gescina.richardsen@worldtree.eco" providerId="PeoplePicker"/>
  <person displayName="Drake Swezey" id="{65026856-C605-4A31-B9D0-DFB2288EFFFE}" userId="S::drake.swezey@worldtree.eco::4e1cff56-1a82-47ef-bf19-7b7a8b119fb7" providerId="AD"/>
  <person displayName="Gescina Richardsen" id="{018FD09B-37D5-42D6-B5B4-68C6A4D5D327}" userId="S::gescina.richardsen@worldtree.eco::8dc35aac-c910-4851-bfcd-d6a068496fcc"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678.51939050926" createdVersion="8" refreshedVersion="8" minRefreshableVersion="3" recordCount="469" xr:uid="{0769AD9B-CD77-4538-83BB-01103AD036BF}">
  <cacheSource type="worksheet">
    <worksheetSource ref="A1:BE1048576" sheet="Master Data Results"/>
  </cacheSource>
  <cacheFields count="54">
    <cacheField name="Contract Code" numFmtId="0">
      <sharedItems containsBlank="1"/>
    </cacheField>
    <cacheField name="ETP Year" numFmtId="0">
      <sharedItems containsBlank="1" containsMixedTypes="1" containsNumber="1" containsInteger="1" minValue="2015" maxValue="2023" count="10">
        <n v="2015"/>
        <n v="2016"/>
        <n v="2018"/>
        <n v="2017"/>
        <n v="2020"/>
        <s v="2020-NA/BA"/>
        <n v="2021"/>
        <n v="2022"/>
        <m/>
        <n v="2023"/>
      </sharedItems>
    </cacheField>
    <cacheField name="Planting Year" numFmtId="0">
      <sharedItems containsString="0" containsBlank="1" containsNumber="1" containsInteger="1" minValue="2015" maxValue="2025" count="12">
        <n v="2015"/>
        <n v="2016"/>
        <n v="2017"/>
        <n v="2018"/>
        <n v="2019"/>
        <n v="2020"/>
        <n v="2021"/>
        <n v="2022"/>
        <n v="2023"/>
        <m/>
        <n v="2024"/>
        <n v="2025" u="1"/>
      </sharedItems>
    </cacheField>
    <cacheField name="Harvest Year_x000a_(10 year)" numFmtId="0">
      <sharedItems containsBlank="1" containsMixedTypes="1" containsNumber="1" containsInteger="1" minValue="0" maxValue="2033"/>
    </cacheField>
    <cacheField name="Representative" numFmtId="0">
      <sharedItems containsBlank="1"/>
    </cacheField>
    <cacheField name="Farmer#" numFmtId="0">
      <sharedItems containsString="0" containsBlank="1" containsNumber="1" containsInteger="1" minValue="10001" maxValue="40047"/>
    </cacheField>
    <cacheField name="Contract Name" numFmtId="0">
      <sharedItems containsBlank="1"/>
    </cacheField>
    <cacheField name="Phone" numFmtId="0">
      <sharedItems containsBlank="1" containsMixedTypes="1" containsNumber="1" containsInteger="1" minValue="0" maxValue="529721214079"/>
    </cacheField>
    <cacheField name="Status" numFmtId="0">
      <sharedItems containsBlank="1" count="5">
        <s v="RFT"/>
        <s v="Out of Program"/>
        <s v="Active"/>
        <m/>
        <s v="Out of Program " u="1"/>
      </sharedItems>
    </cacheField>
    <cacheField name="Email" numFmtId="0">
      <sharedItems containsBlank="1" containsMixedTypes="1" containsNumber="1" containsInteger="1" minValue="0" maxValue="0"/>
    </cacheField>
    <cacheField name="Address" numFmtId="0">
      <sharedItems containsBlank="1" containsMixedTypes="1" containsNumber="1" containsInteger="1" minValue="0" maxValue="0"/>
    </cacheField>
    <cacheField name="Shipping Address" numFmtId="0">
      <sharedItems containsBlank="1" containsMixedTypes="1" containsNumber="1" containsInteger="1" minValue="0" maxValue="0"/>
    </cacheField>
    <cacheField name="Region" numFmtId="0">
      <sharedItems containsBlank="1" count="6">
        <s v="USA"/>
        <s v="Costa Rica"/>
        <s v="Guatemala"/>
        <s v="Mexico"/>
        <m/>
        <s v="Costa Rica " u="1"/>
      </sharedItems>
    </cacheField>
    <cacheField name="Land Location (GPS)" numFmtId="0">
      <sharedItems containsBlank="1"/>
    </cacheField>
    <cacheField name="Actual Area (In Acres)" numFmtId="0">
      <sharedItems containsString="0" containsBlank="1" containsNumber="1" minValue="1.4" maxValue="149.69999999999999"/>
    </cacheField>
    <cacheField name="Estimated Area (In Acres)" numFmtId="0">
      <sharedItems containsBlank="1" containsMixedTypes="1" containsNumber="1" minValue="0" maxValue="163.63636363636363"/>
    </cacheField>
    <cacheField name="Polygon" numFmtId="0">
      <sharedItems containsBlank="1"/>
    </cacheField>
    <cacheField name="#TreesContract" numFmtId="0">
      <sharedItems containsString="0" containsBlank="1" containsNumber="1" containsInteger="1" minValue="0" maxValue="20500"/>
    </cacheField>
    <cacheField name="#Planted" numFmtId="0">
      <sharedItems containsString="0" containsBlank="1" containsNumber="1" containsInteger="1" minValue="0" maxValue="18000"/>
    </cacheField>
    <cacheField name="Planting Obligation" numFmtId="0">
      <sharedItems containsBlank="1" containsMixedTypes="1" containsNumber="1" containsInteger="1" minValue="-1100" maxValue="9420"/>
    </cacheField>
    <cacheField name="Contract Amendment" numFmtId="0">
      <sharedItems containsString="0" containsBlank="1" containsNumber="1" containsInteger="1" minValue="-110" maxValue="-110"/>
    </cacheField>
    <cacheField name="USA Allocation %" numFmtId="9">
      <sharedItems containsString="0" containsBlank="1" containsNumber="1" minValue="0" maxValue="1"/>
    </cacheField>
    <cacheField name="USA trees/Allocation/Contracted" numFmtId="1">
      <sharedItems containsString="0" containsBlank="1" containsNumber="1" minValue="40" maxValue="20500"/>
    </cacheField>
    <cacheField name="USA trees/Allocation/Planted" numFmtId="1">
      <sharedItems containsString="0" containsBlank="1" containsNumber="1" minValue="0" maxValue="18000"/>
    </cacheField>
    <cacheField name="Canada Allocation %" numFmtId="9">
      <sharedItems containsString="0" containsBlank="1" containsNumber="1" minValue="0.33" maxValue="1"/>
    </cacheField>
    <cacheField name="Canada Allocation-tree #'s" numFmtId="1">
      <sharedItems containsString="0" containsBlank="1" containsNumber="1" minValue="94.050000000000011" maxValue="9880"/>
    </cacheField>
    <cacheField name="Canada Allocation2017 %" numFmtId="0">
      <sharedItems containsString="0" containsBlank="1" containsNumber="1" minValue="0.55428571428571427" maxValue="1"/>
    </cacheField>
    <cacheField name="Can trees/Allocation 2017" numFmtId="0">
      <sharedItems containsString="0" containsBlank="1" containsNumber="1" minValue="192.50000000000003" maxValue="15620"/>
    </cacheField>
    <cacheField name="Z +AB" numFmtId="0">
      <sharedItems containsString="0" containsBlank="1" containsNumber="1" minValue="0" maxValue="15620"/>
    </cacheField>
    <cacheField name="Survival% as of 12/31/23" numFmtId="0">
      <sharedItems containsString="0" containsBlank="1" containsNumber="1" minValue="0" maxValue="1"/>
    </cacheField>
    <cacheField name="#Trees as of 12/31/23" numFmtId="0">
      <sharedItems containsString="0" containsBlank="1" containsNumber="1" minValue="0" maxValue="11000"/>
    </cacheField>
    <cacheField name="#Trees as of 12/31/24-master" numFmtId="0">
      <sharedItems containsString="0" containsBlank="1" containsNumber="1" minValue="0" maxValue="16810"/>
    </cacheField>
    <cacheField name="2024 Inventory Survival%-master" numFmtId="0">
      <sharedItems containsString="0" containsBlank="1" containsNumber="1" minValue="0" maxValue="1"/>
    </cacheField>
    <cacheField name="2024 Estimated Survival%" numFmtId="0">
      <sharedItems containsString="0" containsBlank="1" containsNumber="1" minValue="0" maxValue="1"/>
    </cacheField>
    <cacheField name="2024 Survival% Inventory + Estimate" numFmtId="0">
      <sharedItems containsString="0" containsBlank="1" containsNumber="1" minValue="0" maxValue="1"/>
    </cacheField>
    <cacheField name="2024 #Trees Inventory + Estimate" numFmtId="0">
      <sharedItems containsString="0" containsBlank="1" containsNumber="1" minValue="0" maxValue="16810"/>
    </cacheField>
    <cacheField name="#Trees as of 2024/estimate -US allocation " numFmtId="0">
      <sharedItems containsString="0" containsBlank="1" containsNumber="1" minValue="0" maxValue="16810"/>
    </cacheField>
    <cacheField name="#Trees as of 2024/estimate-Can allocation" numFmtId="0">
      <sharedItems containsString="0" containsBlank="1" containsNumber="1" minValue="0" maxValue="2815.2"/>
    </cacheField>
    <cacheField name="#Trees as of 2024/estimate-Can allocation 2017" numFmtId="0">
      <sharedItems containsString="0" containsBlank="1" containsNumber="1" minValue="0" maxValue="6485.9745762711864"/>
    </cacheField>
    <cacheField name="AL+AM" numFmtId="0">
      <sharedItems containsString="0" containsBlank="1" containsNumber="1" minValue="0" maxValue="6485.9745762711864"/>
    </cacheField>
    <cacheField name="Species" numFmtId="0">
      <sharedItems containsBlank="1"/>
    </cacheField>
    <cacheField name="Strain" numFmtId="0">
      <sharedItems containsBlank="1" containsMixedTypes="1" containsNumber="1" containsInteger="1" minValue="2" maxValue="18"/>
    </cacheField>
    <cacheField name="% of Contract Replaced " numFmtId="0">
      <sharedItems containsBlank="1" containsMixedTypes="1" containsNumber="1" minValue="0" maxValue="1.7289256198347107"/>
    </cacheField>
    <cacheField name="#Total Replacements" numFmtId="0">
      <sharedItems containsString="0" containsBlank="1" containsNumber="1" containsInteger="1" minValue="0" maxValue="11473"/>
    </cacheField>
    <cacheField name="#Replace 25" numFmtId="0">
      <sharedItems containsNonDate="0" containsString="0" containsBlank="1"/>
    </cacheField>
    <cacheField name="#Replace 24" numFmtId="0">
      <sharedItems containsString="0" containsBlank="1" containsNumber="1" containsInteger="1" minValue="25" maxValue="625"/>
    </cacheField>
    <cacheField name="#Replace 23" numFmtId="0">
      <sharedItems containsString="0" containsBlank="1" containsNumber="1" containsInteger="1" minValue="19" maxValue="3600"/>
    </cacheField>
    <cacheField name="#Replace 22" numFmtId="0">
      <sharedItems containsString="0" containsBlank="1" containsNumber="1" containsInteger="1" minValue="16" maxValue="11473"/>
    </cacheField>
    <cacheField name="#Replace 21" numFmtId="0">
      <sharedItems containsString="0" containsBlank="1" containsNumber="1" containsInteger="1" minValue="0" maxValue="4511"/>
    </cacheField>
    <cacheField name="#Replace 20" numFmtId="0">
      <sharedItems containsString="0" containsBlank="1" containsNumber="1" containsInteger="1" minValue="0" maxValue="2200"/>
    </cacheField>
    <cacheField name="#Replace 19" numFmtId="0">
      <sharedItems containsString="0" containsBlank="1" containsNumber="1" containsInteger="1" minValue="30" maxValue="1700"/>
    </cacheField>
    <cacheField name="#Replace 18" numFmtId="0">
      <sharedItems containsString="0" containsBlank="1" containsNumber="1" containsInteger="1" minValue="40" maxValue="2200"/>
    </cacheField>
    <cacheField name="#Replace 17" numFmtId="0">
      <sharedItems containsString="0" containsBlank="1" containsNumber="1" containsInteger="1" minValue="40" maxValue="1800"/>
    </cacheField>
    <cacheField name="#Replace 16" numFmtId="0">
      <sharedItems containsString="0" containsBlank="1" containsNumber="1" containsInteger="1" minValue="150" maxValue="1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678.519390740737" createdVersion="8" refreshedVersion="8" minRefreshableVersion="3" recordCount="430" xr:uid="{202F94A2-DF2E-44BB-93D6-6C5924B722B6}">
  <cacheSource type="worksheet">
    <worksheetSource name="Table11"/>
  </cacheSource>
  <cacheFields count="70">
    <cacheField name="Contract Code" numFmtId="0">
      <sharedItems containsBlank="1"/>
    </cacheField>
    <cacheField name="ETP Year" numFmtId="0">
      <sharedItems containsBlank="1" containsMixedTypes="1" containsNumber="1" containsInteger="1" minValue="2015" maxValue="2023" count="10">
        <n v="2015"/>
        <n v="2016"/>
        <n v="2018"/>
        <n v="2017"/>
        <n v="2020"/>
        <s v="2020-NA/BA"/>
        <n v="2021"/>
        <n v="2022"/>
        <m/>
        <n v="2023"/>
      </sharedItems>
    </cacheField>
    <cacheField name="Planting Year" numFmtId="0">
      <sharedItems containsString="0" containsBlank="1" containsNumber="1" containsInteger="1" minValue="2015" maxValue="2025" count="12">
        <n v="2015"/>
        <n v="2016"/>
        <n v="2017"/>
        <n v="2018"/>
        <n v="2019"/>
        <n v="2020"/>
        <n v="2021"/>
        <n v="2022"/>
        <n v="2023"/>
        <m/>
        <n v="2024"/>
        <n v="2025" u="1"/>
      </sharedItems>
    </cacheField>
    <cacheField name="Harvest Year_x000a_(10 year)" numFmtId="0">
      <sharedItems containsBlank="1" containsMixedTypes="1" containsNumber="1" containsInteger="1" minValue="0" maxValue="2033"/>
    </cacheField>
    <cacheField name="Representative" numFmtId="0">
      <sharedItems containsBlank="1"/>
    </cacheField>
    <cacheField name="Farmer#" numFmtId="0">
      <sharedItems containsString="0" containsBlank="1" containsNumber="1" containsInteger="1" minValue="10001" maxValue="40047"/>
    </cacheField>
    <cacheField name="Contract Name" numFmtId="0">
      <sharedItems containsBlank="1"/>
    </cacheField>
    <cacheField name="Phone" numFmtId="0">
      <sharedItems containsBlank="1" containsMixedTypes="1" containsNumber="1" containsInteger="1" minValue="0" maxValue="529721214079"/>
    </cacheField>
    <cacheField name="Status" numFmtId="0">
      <sharedItems containsBlank="1" count="5">
        <s v="RFT"/>
        <s v="Out of Program"/>
        <s v="Active"/>
        <m/>
        <s v="Out of Program " u="1"/>
      </sharedItems>
    </cacheField>
    <cacheField name="Email" numFmtId="0">
      <sharedItems containsBlank="1" containsMixedTypes="1" containsNumber="1" containsInteger="1" minValue="0" maxValue="0"/>
    </cacheField>
    <cacheField name="Address" numFmtId="0">
      <sharedItems containsBlank="1" containsMixedTypes="1" containsNumber="1" containsInteger="1" minValue="0" maxValue="0"/>
    </cacheField>
    <cacheField name="Shipping Address" numFmtId="0">
      <sharedItems containsBlank="1" containsMixedTypes="1" containsNumber="1" containsInteger="1" minValue="0" maxValue="0"/>
    </cacheField>
    <cacheField name="Region" numFmtId="0">
      <sharedItems containsBlank="1" count="6">
        <s v="USA"/>
        <s v="Costa Rica"/>
        <s v="Guatemala"/>
        <s v="Mexico"/>
        <m/>
        <s v="Costa Rica " u="1"/>
      </sharedItems>
    </cacheField>
    <cacheField name="Land Location (GPS)" numFmtId="0">
      <sharedItems containsBlank="1"/>
    </cacheField>
    <cacheField name="Actual Area (In Acres)" numFmtId="0">
      <sharedItems containsString="0" containsBlank="1" containsNumber="1" minValue="1.4" maxValue="149.69999999999999"/>
    </cacheField>
    <cacheField name="Estimated Area (In Acres)" numFmtId="0">
      <sharedItems containsBlank="1" containsMixedTypes="1" containsNumber="1" minValue="0" maxValue="163.63636363636363"/>
    </cacheField>
    <cacheField name="Polygon" numFmtId="0">
      <sharedItems containsBlank="1"/>
    </cacheField>
    <cacheField name="#TreesContract" numFmtId="0">
      <sharedItems containsString="0" containsBlank="1" containsNumber="1" containsInteger="1" minValue="0" maxValue="20500"/>
    </cacheField>
    <cacheField name="#Planted" numFmtId="0">
      <sharedItems containsString="0" containsBlank="1" containsNumber="1" containsInteger="1" minValue="0" maxValue="18000"/>
    </cacheField>
    <cacheField name="Planting Obligation" numFmtId="0">
      <sharedItems containsBlank="1" containsMixedTypes="1" containsNumber="1" containsInteger="1" minValue="-1100" maxValue="9420"/>
    </cacheField>
    <cacheField name="Contract Amendment" numFmtId="0">
      <sharedItems containsString="0" containsBlank="1" containsNumber="1" containsInteger="1" minValue="-110" maxValue="-110"/>
    </cacheField>
    <cacheField name="USA Allocation %" numFmtId="9">
      <sharedItems containsString="0" containsBlank="1" containsNumber="1" minValue="0" maxValue="1"/>
    </cacheField>
    <cacheField name="USA trees/Allocation/Contracted" numFmtId="1">
      <sharedItems containsString="0" containsBlank="1" containsNumber="1" minValue="40" maxValue="20500"/>
    </cacheField>
    <cacheField name="USA trees/Allocation/Planted" numFmtId="1">
      <sharedItems containsString="0" containsBlank="1" containsNumber="1" minValue="0" maxValue="18000"/>
    </cacheField>
    <cacheField name="Canada Allocation %" numFmtId="9">
      <sharedItems containsString="0" containsBlank="1" containsNumber="1" minValue="0.33" maxValue="1"/>
    </cacheField>
    <cacheField name="Canada Allocation-tree #'s" numFmtId="1">
      <sharedItems containsString="0" containsBlank="1" containsNumber="1" minValue="94.050000000000011" maxValue="9880"/>
    </cacheField>
    <cacheField name="Canada Allocation2017 %" numFmtId="0">
      <sharedItems containsString="0" containsBlank="1" containsNumber="1" minValue="0.55428571428571427" maxValue="1"/>
    </cacheField>
    <cacheField name="Can trees/Allocation 2017" numFmtId="0">
      <sharedItems containsString="0" containsBlank="1" containsNumber="1" minValue="192.50000000000003" maxValue="15620"/>
    </cacheField>
    <cacheField name="Z +AB" numFmtId="0">
      <sharedItems containsString="0" containsBlank="1" containsNumber="1" minValue="0" maxValue="15620"/>
    </cacheField>
    <cacheField name="Survival% as of 12/31/23" numFmtId="0">
      <sharedItems containsString="0" containsBlank="1" containsNumber="1" minValue="0" maxValue="1"/>
    </cacheField>
    <cacheField name="#Trees as of 12/31/23" numFmtId="0">
      <sharedItems containsString="0" containsBlank="1" containsNumber="1" minValue="0" maxValue="11000"/>
    </cacheField>
    <cacheField name="#Trees as of 12/31/24-master" numFmtId="0">
      <sharedItems containsString="0" containsBlank="1" containsNumber="1" minValue="0" maxValue="16810"/>
    </cacheField>
    <cacheField name="2024 Inventory Survival%-master" numFmtId="0">
      <sharedItems containsString="0" containsBlank="1" containsNumber="1" minValue="0" maxValue="1"/>
    </cacheField>
    <cacheField name="2024 Estimated Survival%" numFmtId="0">
      <sharedItems containsString="0" containsBlank="1" containsNumber="1" minValue="0" maxValue="1"/>
    </cacheField>
    <cacheField name="2024 Survival% Inventory + Estimate" numFmtId="0">
      <sharedItems containsString="0" containsBlank="1" containsNumber="1" minValue="0" maxValue="1"/>
    </cacheField>
    <cacheField name="2024 #Trees Inventory + Estimate" numFmtId="0">
      <sharedItems containsString="0" containsBlank="1" containsNumber="1" minValue="0" maxValue="16810"/>
    </cacheField>
    <cacheField name="#Trees as of 2024/estimate -US allocation " numFmtId="0">
      <sharedItems containsString="0" containsBlank="1" containsNumber="1" minValue="0" maxValue="16810"/>
    </cacheField>
    <cacheField name="#Trees as of 2024/estimate-Can allocation" numFmtId="0">
      <sharedItems containsString="0" containsBlank="1" containsNumber="1" minValue="0" maxValue="2815.2"/>
    </cacheField>
    <cacheField name="#Trees as of 2024/estimate-Can allocation 2017" numFmtId="0">
      <sharedItems containsString="0" containsBlank="1" containsNumber="1" minValue="0" maxValue="6485.9745762711864"/>
    </cacheField>
    <cacheField name="AL+AM" numFmtId="0">
      <sharedItems containsString="0" containsBlank="1" containsNumber="1" minValue="0" maxValue="6485.9745762711864"/>
    </cacheField>
    <cacheField name="Species" numFmtId="0">
      <sharedItems containsBlank="1"/>
    </cacheField>
    <cacheField name="Strain" numFmtId="0">
      <sharedItems containsBlank="1" containsMixedTypes="1" containsNumber="1" containsInteger="1" minValue="2" maxValue="18"/>
    </cacheField>
    <cacheField name="% of Contract Replaced " numFmtId="0">
      <sharedItems containsBlank="1" containsMixedTypes="1" containsNumber="1" minValue="0" maxValue="1.7289256198347107"/>
    </cacheField>
    <cacheField name="#Total Replacements" numFmtId="0">
      <sharedItems containsString="0" containsBlank="1" containsNumber="1" containsInteger="1" minValue="0" maxValue="11473"/>
    </cacheField>
    <cacheField name="#Replace 25" numFmtId="0">
      <sharedItems containsNonDate="0" containsString="0" containsBlank="1"/>
    </cacheField>
    <cacheField name="#Replace 24" numFmtId="0">
      <sharedItems containsString="0" containsBlank="1" containsNumber="1" containsInteger="1" minValue="25" maxValue="625"/>
    </cacheField>
    <cacheField name="#Replace 23" numFmtId="0">
      <sharedItems containsString="0" containsBlank="1" containsNumber="1" containsInteger="1" minValue="19" maxValue="3600"/>
    </cacheField>
    <cacheField name="#Replace 22" numFmtId="0">
      <sharedItems containsString="0" containsBlank="1" containsNumber="1" containsInteger="1" minValue="16" maxValue="11473"/>
    </cacheField>
    <cacheField name="#Replace 21" numFmtId="0">
      <sharedItems containsString="0" containsBlank="1" containsNumber="1" containsInteger="1" minValue="0" maxValue="4511"/>
    </cacheField>
    <cacheField name="#Replace 20" numFmtId="0">
      <sharedItems containsString="0" containsBlank="1" containsNumber="1" containsInteger="1" minValue="0" maxValue="2200"/>
    </cacheField>
    <cacheField name="#Replace 19" numFmtId="0">
      <sharedItems containsString="0" containsBlank="1" containsNumber="1" containsInteger="1" minValue="30" maxValue="1700"/>
    </cacheField>
    <cacheField name="#Replace 18" numFmtId="0">
      <sharedItems containsString="0" containsBlank="1" containsNumber="1" containsInteger="1" minValue="40" maxValue="2200"/>
    </cacheField>
    <cacheField name="#Replace 17" numFmtId="0">
      <sharedItems containsString="0" containsBlank="1" containsNumber="1" containsInteger="1" minValue="40" maxValue="1800"/>
    </cacheField>
    <cacheField name="#Replace 16" numFmtId="0">
      <sharedItems containsString="0" containsBlank="1" containsNumber="1" containsInteger="1" minValue="150" maxValue="1000"/>
    </cacheField>
    <cacheField name="ETP#s" numFmtId="0">
      <sharedItems containsString="0" containsBlank="1" containsNumber="1" containsInteger="1" minValue="0" maxValue="1"/>
    </cacheField>
    <cacheField name="Audit#s" numFmtId="0">
      <sharedItems containsString="0" containsBlank="1" containsNumber="1" containsInteger="1" minValue="1" maxValue="1"/>
    </cacheField>
    <cacheField name="Year of Inventory" numFmtId="0">
      <sharedItems containsString="0" containsBlank="1" containsNumber="1" containsInteger="1" minValue="2024" maxValue="2024"/>
    </cacheField>
    <cacheField name="Average THT_x000a_(Feet)" numFmtId="0">
      <sharedItems containsString="0" containsBlank="1" containsNumber="1" minValue="0" maxValue="32.159999999999997"/>
    </cacheField>
    <cacheField name="Average MHT_x000a_(Feet)" numFmtId="0">
      <sharedItems containsString="0" containsBlank="1" containsNumber="1" minValue="0" maxValue="20.84"/>
    </cacheField>
    <cacheField name=" MHT % of Target" numFmtId="0">
      <sharedItems containsString="0" containsBlank="1" containsNumber="1" minValue="0" maxValue="1.3025"/>
    </cacheField>
    <cacheField name="Average DBH_x000a_(inches)" numFmtId="0">
      <sharedItems containsString="0" containsBlank="1" containsNumber="1" minValue="0" maxValue="7.44"/>
    </cacheField>
    <cacheField name="DBH % of Target" numFmtId="9">
      <sharedItems containsString="0" containsBlank="1" containsNumber="1" minValue="0" maxValue="0.41333333333333333"/>
    </cacheField>
    <cacheField name="Average BF" numFmtId="173">
      <sharedItems containsString="0" containsBlank="1" containsNumber="1" minValue="0" maxValue="11.456404000000003"/>
    </cacheField>
    <cacheField name="Total BF" numFmtId="173">
      <sharedItems containsString="0" containsBlank="1" containsNumber="1" minValue="0" maxValue="16435.055534625"/>
    </cacheField>
    <cacheField name="Projected DBH_x000a_(Extrapolated Growth/Year)" numFmtId="173">
      <sharedItems containsBlank="1" containsMixedTypes="1" containsNumber="1" minValue="0" maxValue="14.879999999999999"/>
    </cacheField>
    <cacheField name="Projected Average BF" numFmtId="173">
      <sharedItems containsBlank="1" containsMixedTypes="1" containsNumber="1" minValue="0" maxValue="114.60121599999998"/>
    </cacheField>
    <cacheField name="Projected Total BF" numFmtId="0">
      <sharedItems containsBlank="1" containsMixedTypes="1" containsNumber="1" minValue="0" maxValue="124915.32543999997"/>
    </cacheField>
    <cacheField name="ETP Offering Expected BF" numFmtId="0">
      <sharedItems containsString="0" containsBlank="1" containsNumber="1" minValue="0" maxValue="3294760"/>
    </cacheField>
    <cacheField name="BF Deviation from Expected" numFmtId="0">
      <sharedItems containsBlank="1" containsMixedTypes="1" containsNumber="1" minValue="0" maxValue="3294760"/>
    </cacheField>
    <cacheField name="Annual DBH Growth Required to Hit Target" numFmtId="173">
      <sharedItems containsBlank="1" containsMixedTypes="1" containsNumber="1" minValue="-8.8976767177459219E-3" maxValue="1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700.320413194444" createdVersion="8" refreshedVersion="8" minRefreshableVersion="3" recordCount="423" xr:uid="{F9C90625-4D56-46DB-B6C1-04C58DF75755}">
  <cacheSource type="worksheet">
    <worksheetSource ref="A1:AP424" sheet="Master Data Results"/>
  </cacheSource>
  <cacheFields count="39">
    <cacheField name="Contract Code" numFmtId="0">
      <sharedItems containsBlank="1"/>
    </cacheField>
    <cacheField name="ETP Year" numFmtId="0">
      <sharedItems containsBlank="1" containsMixedTypes="1" containsNumber="1" containsInteger="1" minValue="2015" maxValue="2024" count="11">
        <n v="2015"/>
        <n v="2016"/>
        <n v="2018"/>
        <n v="2017"/>
        <n v="2020"/>
        <s v="2020-NA/BA"/>
        <n v="2021"/>
        <n v="2022"/>
        <n v="2023"/>
        <n v="2024"/>
        <m/>
      </sharedItems>
    </cacheField>
    <cacheField name="Planting Year" numFmtId="0">
      <sharedItems containsSemiMixedTypes="0" containsString="0" containsNumber="1" containsInteger="1" minValue="2015" maxValue="2024"/>
    </cacheField>
    <cacheField name="Harvest Year_x000a_(10 year)" numFmtId="0">
      <sharedItems containsBlank="1" containsMixedTypes="1" containsNumber="1" containsInteger="1" minValue="0" maxValue="2033"/>
    </cacheField>
    <cacheField name="Representative" numFmtId="0">
      <sharedItems containsBlank="1"/>
    </cacheField>
    <cacheField name="Farmer#" numFmtId="0">
      <sharedItems containsString="0" containsBlank="1" containsNumber="1" containsInteger="1" minValue="10001" maxValue="40091"/>
    </cacheField>
    <cacheField name="Contract Name" numFmtId="0">
      <sharedItems containsBlank="1"/>
    </cacheField>
    <cacheField name="Phone" numFmtId="0">
      <sharedItems containsBlank="1" containsMixedTypes="1" containsNumber="1" containsInteger="1" minValue="0" maxValue="529721214079"/>
    </cacheField>
    <cacheField name="Status" numFmtId="0">
      <sharedItems/>
    </cacheField>
    <cacheField name="Email" numFmtId="0">
      <sharedItems containsBlank="1" containsMixedTypes="1" containsNumber="1" containsInteger="1" minValue="0" maxValue="0"/>
    </cacheField>
    <cacheField name="Address" numFmtId="0">
      <sharedItems containsBlank="1" containsMixedTypes="1" containsNumber="1" containsInteger="1" minValue="0" maxValue="0"/>
    </cacheField>
    <cacheField name="Shipping Address" numFmtId="0">
      <sharedItems containsBlank="1" containsMixedTypes="1" containsNumber="1" containsInteger="1" minValue="0" maxValue="0"/>
    </cacheField>
    <cacheField name="Region" numFmtId="0">
      <sharedItems containsBlank="1" count="5">
        <s v="USA"/>
        <s v="Costa Rica"/>
        <s v="Guatemala"/>
        <s v="Mexico"/>
        <m u="1"/>
      </sharedItems>
    </cacheField>
    <cacheField name="Land Location (GPS)" numFmtId="0">
      <sharedItems containsBlank="1"/>
    </cacheField>
    <cacheField name="Actual Area (In Acres)" numFmtId="0">
      <sharedItems containsString="0" containsBlank="1" containsNumber="1" minValue="1.4" maxValue="149.69999999999999"/>
    </cacheField>
    <cacheField name="Estimated Area (In Acres)" numFmtId="0">
      <sharedItems containsBlank="1" containsMixedTypes="1" containsNumber="1" minValue="2.4710216551352322" maxValue="186.26363636363635"/>
    </cacheField>
    <cacheField name="Polygon" numFmtId="0">
      <sharedItems containsBlank="1"/>
    </cacheField>
    <cacheField name="#TreesContract" numFmtId="0">
      <sharedItems containsString="0" containsBlank="1" containsNumber="1" containsInteger="1" minValue="0" maxValue="20500"/>
    </cacheField>
    <cacheField name="#Planted" numFmtId="0">
      <sharedItems containsString="0" containsBlank="1" containsNumber="1" containsInteger="1" minValue="0" maxValue="20489"/>
    </cacheField>
    <cacheField name="Planting Obligation" numFmtId="0">
      <sharedItems containsBlank="1" containsMixedTypes="1" containsNumber="1" containsInteger="1" minValue="-396" maxValue="2330"/>
    </cacheField>
    <cacheField name="Contract Amendment" numFmtId="0">
      <sharedItems containsString="0" containsBlank="1" containsNumber="1" containsInteger="1" minValue="-110" maxValue="1820"/>
    </cacheField>
    <cacheField name="USA Allocation %" numFmtId="9">
      <sharedItems containsString="0" containsBlank="1" containsNumber="1" minValue="0" maxValue="1"/>
    </cacheField>
    <cacheField name="USA trees/Allocation/Contracted" numFmtId="1">
      <sharedItems containsString="0" containsBlank="1" containsNumber="1" minValue="40" maxValue="20500"/>
    </cacheField>
    <cacheField name="USA trees/Allocation/Planted" numFmtId="1">
      <sharedItems containsString="0" containsBlank="1" containsNumber="1" minValue="40" maxValue="20489"/>
    </cacheField>
    <cacheField name="Canada Allocation %" numFmtId="9">
      <sharedItems containsString="0" containsBlank="1" containsNumber="1" minValue="0.33" maxValue="1"/>
    </cacheField>
    <cacheField name="Canada Allocation-tree #'s" numFmtId="1">
      <sharedItems containsString="0" containsBlank="1" containsNumber="1" minValue="100" maxValue="9880"/>
    </cacheField>
    <cacheField name="Canada Allocation2017 %" numFmtId="0">
      <sharedItems containsString="0" containsBlank="1" containsNumber="1" minValue="0.55428571428571427" maxValue="1"/>
    </cacheField>
    <cacheField name="Can trees/Allocation 2017" numFmtId="0">
      <sharedItems containsString="0" containsBlank="1" containsNumber="1" minValue="192.50000000000003" maxValue="15620"/>
    </cacheField>
    <cacheField name="Z +AB" numFmtId="0">
      <sharedItems containsString="0" containsBlank="1" containsNumber="1" minValue="0" maxValue="15620"/>
    </cacheField>
    <cacheField name="Survival% as of 12/31/23" numFmtId="0">
      <sharedItems containsString="0" containsBlank="1" containsNumber="1" minValue="0" maxValue="1"/>
    </cacheField>
    <cacheField name="#Trees as of 12/31/23" numFmtId="0">
      <sharedItems containsString="0" containsBlank="1" containsNumber="1" minValue="0" maxValue="11000"/>
    </cacheField>
    <cacheField name="#Trees as of 12/31/24-master" numFmtId="0">
      <sharedItems containsString="0" containsBlank="1" containsNumber="1" minValue="0" maxValue="16810"/>
    </cacheField>
    <cacheField name="2024 Inventory Survival%-master" numFmtId="0">
      <sharedItems containsString="0" containsBlank="1" containsNumber="1" minValue="0" maxValue="1"/>
    </cacheField>
    <cacheField name="2024 Estimated Survival%" numFmtId="9">
      <sharedItems containsString="0" containsBlank="1" containsNumber="1" minValue="0" maxValue="1"/>
    </cacheField>
    <cacheField name="2024 Survival% Inventory + Estimate" numFmtId="0">
      <sharedItems containsString="0" containsBlank="1" containsNumber="1" minValue="0" maxValue="1"/>
    </cacheField>
    <cacheField name="2024 #Trees Inventory + Estimate" numFmtId="0">
      <sharedItems containsSemiMixedTypes="0" containsString="0" containsNumber="1" minValue="0" maxValue="16810"/>
    </cacheField>
    <cacheField name="#Trees as of 2024/estimate -US allocation " numFmtId="1">
      <sharedItems containsSemiMixedTypes="0" containsString="0" containsNumber="1" minValue="0" maxValue="16810"/>
    </cacheField>
    <cacheField name="#Trees as of 2024/estimate-Can allocation" numFmtId="0">
      <sharedItems containsString="0" containsBlank="1" containsNumber="1" minValue="0" maxValue="2815.2"/>
    </cacheField>
    <cacheField name="#Trees as of 2024/estimate-Can allocation 2017" numFmtId="0">
      <sharedItems containsString="0" containsBlank="1" containsNumber="1" minValue="0" maxValue="6485.974576271186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9">
  <r>
    <s v="US0001"/>
    <x v="0"/>
    <x v="0"/>
    <n v="2024"/>
    <s v="Bruce Gamble"/>
    <n v="10001"/>
    <s v="Bruce Gamble"/>
    <s v="956-873-2487"/>
    <x v="0"/>
    <s v="brucegamblefarms@gmail.com"/>
    <s v="10539 Mile 8 Road, LaFeria, TX, USA, 78559"/>
    <s v="10539 Mile 8 Road, LaFeria, TX, USA, 78559"/>
    <x v="0"/>
    <s v="26.278008, -97.890074"/>
    <m/>
    <s v=""/>
    <m/>
    <n v="2200"/>
    <n v="2200"/>
    <s v=""/>
    <m/>
    <m/>
    <m/>
    <m/>
    <n v="1"/>
    <n v="2200"/>
    <m/>
    <m/>
    <n v="2200"/>
    <n v="0"/>
    <n v="0"/>
    <n v="0"/>
    <m/>
    <n v="0"/>
    <n v="0"/>
    <n v="0"/>
    <n v="0"/>
    <n v="0"/>
    <n v="0"/>
    <n v="0"/>
    <s v="Fortunei"/>
    <s v="TG Cool"/>
    <n v="0.45454545454545453"/>
    <n v="1000"/>
    <m/>
    <m/>
    <m/>
    <m/>
    <m/>
    <m/>
    <m/>
    <m/>
    <m/>
    <n v="1000"/>
  </r>
  <r>
    <s v="CR0001"/>
    <x v="0"/>
    <x v="1"/>
    <n v="0"/>
    <s v="Cecilia Sanders"/>
    <n v="20001"/>
    <s v="Cecilia Castillo Umaña"/>
    <m/>
    <x v="1"/>
    <m/>
    <m/>
    <m/>
    <x v="1"/>
    <m/>
    <m/>
    <s v=""/>
    <m/>
    <n v="1000"/>
    <n v="1000"/>
    <s v=""/>
    <m/>
    <m/>
    <m/>
    <m/>
    <n v="1"/>
    <n v="1000"/>
    <m/>
    <m/>
    <n v="1000"/>
    <n v="0"/>
    <n v="0"/>
    <n v="0"/>
    <n v="0"/>
    <n v="0"/>
    <n v="0"/>
    <n v="0"/>
    <n v="0"/>
    <n v="0"/>
    <n v="0"/>
    <n v="0"/>
    <s v="P. fortunei"/>
    <m/>
    <n v="0"/>
    <n v="0"/>
    <m/>
    <m/>
    <m/>
    <m/>
    <m/>
    <m/>
    <m/>
    <m/>
    <m/>
    <m/>
  </r>
  <r>
    <s v="CR0002"/>
    <x v="0"/>
    <x v="1"/>
    <n v="0"/>
    <s v="Coopedota"/>
    <n v="20002"/>
    <s v="Coopedota"/>
    <m/>
    <x v="1"/>
    <m/>
    <m/>
    <m/>
    <x v="1"/>
    <m/>
    <m/>
    <s v=""/>
    <m/>
    <n v="100"/>
    <n v="100"/>
    <s v=""/>
    <m/>
    <m/>
    <m/>
    <m/>
    <n v="1"/>
    <n v="100"/>
    <m/>
    <m/>
    <n v="100"/>
    <n v="0"/>
    <n v="0"/>
    <n v="0"/>
    <n v="0"/>
    <n v="0"/>
    <n v="0"/>
    <n v="0"/>
    <n v="0"/>
    <n v="0"/>
    <n v="0"/>
    <n v="0"/>
    <s v="P. fortunei"/>
    <m/>
    <n v="0"/>
    <n v="0"/>
    <m/>
    <m/>
    <m/>
    <m/>
    <m/>
    <m/>
    <m/>
    <m/>
    <m/>
    <m/>
  </r>
  <r>
    <s v="CR0003"/>
    <x v="0"/>
    <x v="1"/>
    <m/>
    <s v="Erasmo Aguilera "/>
    <n v="20003"/>
    <s v="Agricola Los Robles de Naranjo S.A"/>
    <m/>
    <x v="1"/>
    <m/>
    <m/>
    <m/>
    <x v="1"/>
    <m/>
    <m/>
    <s v=""/>
    <m/>
    <n v="1750"/>
    <n v="1750"/>
    <s v=""/>
    <m/>
    <m/>
    <m/>
    <m/>
    <n v="1"/>
    <n v="1750"/>
    <m/>
    <m/>
    <n v="1750"/>
    <n v="0"/>
    <n v="0"/>
    <n v="0"/>
    <n v="0"/>
    <n v="0"/>
    <n v="0"/>
    <n v="0"/>
    <n v="0"/>
    <n v="0"/>
    <n v="0"/>
    <n v="0"/>
    <s v="P. fortunei"/>
    <m/>
    <n v="0"/>
    <n v="0"/>
    <m/>
    <m/>
    <m/>
    <m/>
    <m/>
    <m/>
    <m/>
    <m/>
    <m/>
    <m/>
  </r>
  <r>
    <s v="CR0004"/>
    <x v="0"/>
    <x v="1"/>
    <n v="0"/>
    <s v="Esteban Chacon "/>
    <n v="20004"/>
    <s v="Fernando Esteban Chacon"/>
    <m/>
    <x v="1"/>
    <m/>
    <m/>
    <m/>
    <x v="1"/>
    <m/>
    <m/>
    <s v=""/>
    <m/>
    <n v="1000"/>
    <n v="1000"/>
    <s v=""/>
    <m/>
    <m/>
    <m/>
    <m/>
    <n v="1"/>
    <n v="1000"/>
    <m/>
    <m/>
    <n v="1000"/>
    <n v="0"/>
    <n v="0"/>
    <n v="0"/>
    <n v="0"/>
    <n v="0"/>
    <n v="0"/>
    <n v="0"/>
    <n v="0"/>
    <n v="0"/>
    <n v="0"/>
    <n v="0"/>
    <s v="P. fortunei"/>
    <m/>
    <n v="0"/>
    <n v="0"/>
    <m/>
    <m/>
    <m/>
    <m/>
    <m/>
    <m/>
    <m/>
    <m/>
    <m/>
    <m/>
  </r>
  <r>
    <s v="CR0005"/>
    <x v="0"/>
    <x v="1"/>
    <n v="0"/>
    <s v="Juan Luis Chaves"/>
    <n v="20005"/>
    <s v="ASESORIA DE EMPRESAS TONAL S A, "/>
    <m/>
    <x v="1"/>
    <m/>
    <m/>
    <m/>
    <x v="1"/>
    <m/>
    <m/>
    <s v=""/>
    <m/>
    <n v="500"/>
    <n v="500"/>
    <s v=""/>
    <m/>
    <m/>
    <m/>
    <m/>
    <n v="1"/>
    <n v="500"/>
    <m/>
    <m/>
    <n v="500"/>
    <n v="0"/>
    <n v="0"/>
    <n v="0"/>
    <n v="0"/>
    <n v="0"/>
    <n v="0"/>
    <n v="0"/>
    <n v="0"/>
    <n v="0"/>
    <n v="0"/>
    <n v="0"/>
    <s v="P. fortunei"/>
    <m/>
    <n v="0"/>
    <n v="0"/>
    <m/>
    <m/>
    <m/>
    <m/>
    <m/>
    <m/>
    <m/>
    <m/>
    <m/>
    <m/>
  </r>
  <r>
    <s v="CR0006"/>
    <x v="0"/>
    <x v="1"/>
    <n v="0"/>
    <s v="Minor Montero"/>
    <n v="20006"/>
    <s v="Jose Joaquin Montero Calderon"/>
    <m/>
    <x v="1"/>
    <m/>
    <m/>
    <m/>
    <x v="1"/>
    <m/>
    <m/>
    <s v=""/>
    <m/>
    <n v="500"/>
    <n v="500"/>
    <s v=""/>
    <m/>
    <m/>
    <m/>
    <m/>
    <n v="1"/>
    <n v="500"/>
    <m/>
    <m/>
    <n v="500"/>
    <n v="0"/>
    <n v="0"/>
    <n v="0"/>
    <n v="0"/>
    <n v="0"/>
    <n v="0"/>
    <n v="0"/>
    <n v="0"/>
    <n v="0"/>
    <n v="0"/>
    <n v="0"/>
    <s v="P. fortunei"/>
    <m/>
    <n v="0"/>
    <n v="0"/>
    <m/>
    <m/>
    <m/>
    <m/>
    <m/>
    <m/>
    <m/>
    <m/>
    <m/>
    <m/>
  </r>
  <r>
    <s v="CR0007"/>
    <x v="0"/>
    <x v="1"/>
    <n v="0"/>
    <s v="William Guiterrez"/>
    <n v="20007"/>
    <s v="Segrufor Segundo Grupo Forestal, S.A"/>
    <m/>
    <x v="1"/>
    <m/>
    <m/>
    <m/>
    <x v="1"/>
    <m/>
    <m/>
    <s v=""/>
    <m/>
    <n v="400"/>
    <n v="400"/>
    <s v=""/>
    <m/>
    <m/>
    <m/>
    <m/>
    <n v="1"/>
    <n v="400"/>
    <m/>
    <m/>
    <n v="400"/>
    <n v="0"/>
    <n v="0"/>
    <n v="0"/>
    <n v="0"/>
    <n v="0"/>
    <n v="0"/>
    <n v="0"/>
    <n v="0"/>
    <n v="0"/>
    <n v="0"/>
    <n v="0"/>
    <s v="P. fortunei"/>
    <m/>
    <n v="0.155"/>
    <n v="62"/>
    <m/>
    <m/>
    <m/>
    <m/>
    <n v="62"/>
    <m/>
    <m/>
    <m/>
    <m/>
    <m/>
  </r>
  <r>
    <s v="US0004"/>
    <x v="0"/>
    <x v="1"/>
    <n v="2025"/>
    <s v="Bruce Gamble"/>
    <n v="10001"/>
    <s v="Bruce Gamble"/>
    <s v="956-873-2487"/>
    <x v="2"/>
    <s v="brucegamblefarms@gmail.com"/>
    <s v="10539 Mile 8 Road, LaFeria, TX, USA, 78559"/>
    <s v="10539 Mile 8 Road, LaFeria, TX, USA, 78559"/>
    <x v="0"/>
    <s v="26.275504, -97.890818"/>
    <n v="25.4"/>
    <n v="20"/>
    <m/>
    <n v="2200"/>
    <n v="2200"/>
    <s v=""/>
    <m/>
    <m/>
    <m/>
    <m/>
    <n v="1"/>
    <n v="2200"/>
    <m/>
    <m/>
    <n v="2200"/>
    <n v="0.55583906046107012"/>
    <n v="1222.8459330143542"/>
    <n v="0"/>
    <m/>
    <n v="0.55583906046107012"/>
    <n v="0.55583906046107012"/>
    <n v="1222.8459330143542"/>
    <n v="0"/>
    <n v="1222.8459330143542"/>
    <n v="0"/>
    <n v="1222.8459330143542"/>
    <s v="Fortunei"/>
    <s v="TG Cool"/>
    <n v="0.81818181818181823"/>
    <n v="1800"/>
    <m/>
    <m/>
    <m/>
    <m/>
    <m/>
    <m/>
    <m/>
    <m/>
    <n v="1800"/>
    <m/>
  </r>
  <r>
    <s v="US0006"/>
    <x v="0"/>
    <x v="1"/>
    <n v="2025"/>
    <s v="David Smith"/>
    <n v="10004"/>
    <s v="David Smith"/>
    <s v="228-861-5711"/>
    <x v="2"/>
    <s v="davidsmith@coastepa.com"/>
    <s v="42 M K Layne  Poplarville  MS  39470-4337"/>
    <s v="42 M K Layne  Poplarville  MS  39470-4337"/>
    <x v="0"/>
    <s v="30.770056, -89.532565"/>
    <n v="18"/>
    <n v="20"/>
    <s v="Y"/>
    <n v="2200"/>
    <n v="2200"/>
    <s v=""/>
    <m/>
    <m/>
    <m/>
    <m/>
    <n v="1"/>
    <n v="2200"/>
    <m/>
    <m/>
    <n v="2200"/>
    <n v="0.91650284090909095"/>
    <n v="2016.3062500000001"/>
    <n v="0"/>
    <m/>
    <n v="0.91650284090909095"/>
    <n v="0.91650284090909095"/>
    <n v="2016.3062500000001"/>
    <n v="0"/>
    <n v="2016.3062500000001"/>
    <n v="0"/>
    <n v="2016.3062500000001"/>
    <s v="Fortunei"/>
    <s v="11, 13"/>
    <n v="0.61363636363636365"/>
    <n v="1350"/>
    <m/>
    <m/>
    <m/>
    <m/>
    <m/>
    <m/>
    <m/>
    <n v="650"/>
    <n v="700"/>
    <m/>
  </r>
  <r>
    <s v="US0008"/>
    <x v="0"/>
    <x v="1"/>
    <n v="2025"/>
    <s v="Eugene Martens"/>
    <n v="10006"/>
    <s v="Eugene Martens"/>
    <s v="334-646-0227, 334-885-6998"/>
    <x v="2"/>
    <s v="emartens@teleclipse.net"/>
    <s v="516 County Road 664, Roanoke, AL. 36274-5431"/>
    <s v="516 County Road 664, Roanoke, AL. 36274-5431"/>
    <x v="0"/>
    <s v="33.146328, -85.297633"/>
    <n v="6.6"/>
    <n v="7.2727272727272725"/>
    <s v="Y"/>
    <n v="800"/>
    <n v="800"/>
    <s v=""/>
    <m/>
    <m/>
    <m/>
    <m/>
    <n v="1"/>
    <n v="800"/>
    <m/>
    <m/>
    <n v="800"/>
    <n v="0.86235416666666664"/>
    <n v="689.88333333333333"/>
    <n v="0"/>
    <m/>
    <n v="0.86235416666666664"/>
    <n v="0.86235416666666664"/>
    <n v="689.88333333333333"/>
    <n v="0"/>
    <n v="689.88333333333333"/>
    <n v="0"/>
    <n v="689.88333333333333"/>
    <s v="Fortunei"/>
    <s v="11, 14"/>
    <n v="0.42499999999999999"/>
    <n v="340"/>
    <m/>
    <m/>
    <m/>
    <m/>
    <m/>
    <m/>
    <m/>
    <n v="40"/>
    <n v="300"/>
    <m/>
  </r>
  <r>
    <s v="US0011"/>
    <x v="0"/>
    <x v="1"/>
    <n v="2025"/>
    <s v="Joseph Hostetler"/>
    <n v="10009"/>
    <s v="Joseph Hostetler"/>
    <s v="724-946-2819 - message only, 234-567-1751"/>
    <x v="2"/>
    <n v="0"/>
    <s v="47 B&amp;H Lane, New Wilmington PA 16142"/>
    <s v="8080 Branch Rd SE Scio OH 43988-9552"/>
    <x v="0"/>
    <s v="40.450392, -81.009647"/>
    <n v="14.2"/>
    <n v="11.772727272727273"/>
    <m/>
    <n v="1295"/>
    <n v="1295"/>
    <s v=""/>
    <m/>
    <m/>
    <m/>
    <m/>
    <n v="1"/>
    <n v="1295"/>
    <m/>
    <m/>
    <n v="1295"/>
    <n v="0.12183612183612186"/>
    <n v="458.18181818181807"/>
    <n v="0"/>
    <m/>
    <n v="0.12183612183612186"/>
    <n v="0.12183612183612186"/>
    <n v="157.7777777777778"/>
    <n v="0"/>
    <n v="157.7777777777778"/>
    <n v="0"/>
    <n v="157.7777777777778"/>
    <s v="Fortunei"/>
    <s v="TG Cool"/>
    <n v="0.11583011583011583"/>
    <n v="150"/>
    <m/>
    <m/>
    <m/>
    <m/>
    <m/>
    <m/>
    <m/>
    <m/>
    <n v="150"/>
    <m/>
  </r>
  <r>
    <s v="US0014"/>
    <x v="0"/>
    <x v="1"/>
    <n v="2025"/>
    <s v="Wayne Owen"/>
    <n v="10012"/>
    <s v="Todd H Owen"/>
    <s v="901-356-4125"/>
    <x v="2"/>
    <n v="0"/>
    <s v="292 Ralph Rd  Covington  TN  38019-4916"/>
    <s v="292 Ralph Rd  Covington  TN  38019-4916"/>
    <x v="0"/>
    <s v="35.551192, -89.559985"/>
    <n v="6"/>
    <n v="6"/>
    <s v="Y"/>
    <n v="660"/>
    <n v="660"/>
    <s v=""/>
    <m/>
    <m/>
    <m/>
    <m/>
    <n v="1"/>
    <n v="660"/>
    <m/>
    <m/>
    <n v="660"/>
    <n v="1"/>
    <n v="660"/>
    <n v="0"/>
    <m/>
    <n v="1"/>
    <n v="1"/>
    <n v="660"/>
    <n v="0"/>
    <n v="660"/>
    <n v="0"/>
    <n v="660"/>
    <s v="Fortunei"/>
    <s v="12, 14"/>
    <n v="1.4393939393939394"/>
    <n v="950"/>
    <m/>
    <m/>
    <m/>
    <m/>
    <m/>
    <m/>
    <m/>
    <n v="400"/>
    <n v="550"/>
    <m/>
  </r>
  <r>
    <s v="CR0079"/>
    <x v="0"/>
    <x v="1"/>
    <n v="0"/>
    <s v="Dennis Cordoba"/>
    <n v="20073"/>
    <s v="Dennis Cordoba"/>
    <m/>
    <x v="1"/>
    <m/>
    <m/>
    <m/>
    <x v="1"/>
    <m/>
    <m/>
    <s v=""/>
    <m/>
    <n v="275"/>
    <n v="275"/>
    <s v=""/>
    <m/>
    <m/>
    <m/>
    <m/>
    <n v="1"/>
    <n v="275"/>
    <m/>
    <m/>
    <n v="275"/>
    <n v="0"/>
    <n v="0"/>
    <n v="0"/>
    <n v="0"/>
    <n v="0"/>
    <n v="0"/>
    <n v="0"/>
    <n v="0"/>
    <n v="0"/>
    <n v="0"/>
    <n v="0"/>
    <s v="P.fortunei"/>
    <m/>
    <n v="0"/>
    <n v="0"/>
    <m/>
    <m/>
    <m/>
    <m/>
    <m/>
    <m/>
    <m/>
    <m/>
    <m/>
    <m/>
  </r>
  <r>
    <s v="CR0093"/>
    <x v="0"/>
    <x v="1"/>
    <n v="0"/>
    <s v="Roberto Solis"/>
    <n v="20085"/>
    <s v="Orsom Proyect S.A"/>
    <m/>
    <x v="1"/>
    <m/>
    <m/>
    <m/>
    <x v="1"/>
    <m/>
    <m/>
    <s v=""/>
    <m/>
    <n v="250"/>
    <n v="250"/>
    <s v=""/>
    <m/>
    <m/>
    <m/>
    <m/>
    <n v="1"/>
    <n v="250"/>
    <m/>
    <m/>
    <n v="250"/>
    <n v="0"/>
    <n v="0"/>
    <n v="0"/>
    <n v="0"/>
    <n v="0"/>
    <n v="0"/>
    <n v="0"/>
    <n v="0"/>
    <n v="0"/>
    <n v="0"/>
    <n v="0"/>
    <m/>
    <m/>
    <n v="0"/>
    <n v="0"/>
    <m/>
    <m/>
    <m/>
    <m/>
    <m/>
    <m/>
    <m/>
    <m/>
    <m/>
    <m/>
  </r>
  <r>
    <s v="CR0094"/>
    <x v="0"/>
    <x v="1"/>
    <n v="0"/>
    <s v="Mauro Solis"/>
    <n v="20086"/>
    <s v="Carlos Roberto Solis"/>
    <m/>
    <x v="1"/>
    <m/>
    <m/>
    <m/>
    <x v="1"/>
    <m/>
    <m/>
    <s v=""/>
    <m/>
    <n v="900"/>
    <n v="900"/>
    <s v=""/>
    <m/>
    <m/>
    <m/>
    <m/>
    <n v="1"/>
    <n v="900"/>
    <m/>
    <m/>
    <n v="900"/>
    <n v="0"/>
    <n v="0"/>
    <n v="0"/>
    <n v="0"/>
    <n v="0"/>
    <n v="0"/>
    <n v="0"/>
    <n v="0"/>
    <n v="0"/>
    <n v="0"/>
    <n v="0"/>
    <m/>
    <m/>
    <n v="0"/>
    <n v="0"/>
    <m/>
    <m/>
    <m/>
    <m/>
    <m/>
    <m/>
    <m/>
    <m/>
    <m/>
    <m/>
  </r>
  <r>
    <s v="CR0095"/>
    <x v="0"/>
    <x v="1"/>
    <n v="0"/>
    <s v="Mario Rodriguez"/>
    <n v="20087"/>
    <s v="Coopronaranjo R.L"/>
    <m/>
    <x v="1"/>
    <m/>
    <m/>
    <m/>
    <x v="1"/>
    <m/>
    <m/>
    <s v=""/>
    <m/>
    <n v="1000"/>
    <n v="1000"/>
    <s v=""/>
    <m/>
    <m/>
    <m/>
    <m/>
    <n v="1"/>
    <n v="1000"/>
    <m/>
    <m/>
    <n v="1000"/>
    <n v="0"/>
    <n v="0"/>
    <n v="0"/>
    <n v="0"/>
    <n v="0"/>
    <n v="0"/>
    <n v="0"/>
    <n v="0"/>
    <n v="0"/>
    <n v="0"/>
    <n v="0"/>
    <m/>
    <m/>
    <n v="0"/>
    <n v="0"/>
    <m/>
    <m/>
    <m/>
    <m/>
    <m/>
    <m/>
    <m/>
    <m/>
    <m/>
    <m/>
  </r>
  <r>
    <s v="CR0096"/>
    <x v="0"/>
    <x v="1"/>
    <n v="0"/>
    <s v="Daniel Ureña"/>
    <n v="20088"/>
    <s v="Daniel Ureña"/>
    <m/>
    <x v="1"/>
    <m/>
    <m/>
    <m/>
    <x v="1"/>
    <m/>
    <m/>
    <s v=""/>
    <m/>
    <n v="250"/>
    <n v="250"/>
    <s v=""/>
    <m/>
    <m/>
    <m/>
    <m/>
    <n v="1"/>
    <n v="250"/>
    <m/>
    <m/>
    <n v="250"/>
    <n v="0"/>
    <n v="0"/>
    <n v="0"/>
    <n v="0"/>
    <n v="0"/>
    <n v="0"/>
    <n v="0"/>
    <n v="0"/>
    <n v="0"/>
    <n v="0"/>
    <n v="0"/>
    <m/>
    <m/>
    <n v="0"/>
    <n v="0"/>
    <m/>
    <m/>
    <m/>
    <m/>
    <m/>
    <m/>
    <m/>
    <m/>
    <m/>
    <m/>
  </r>
  <r>
    <s v="US0002"/>
    <x v="0"/>
    <x v="1"/>
    <n v="0"/>
    <s v="Bob Miller"/>
    <n v="10002"/>
    <s v="Bob Miller"/>
    <m/>
    <x v="1"/>
    <m/>
    <m/>
    <m/>
    <x v="0"/>
    <s v="27.478449, -81.296945"/>
    <m/>
    <s v=""/>
    <m/>
    <n v="1200"/>
    <n v="1200"/>
    <s v=""/>
    <m/>
    <m/>
    <m/>
    <m/>
    <n v="1"/>
    <n v="1200"/>
    <m/>
    <m/>
    <n v="1200"/>
    <n v="0"/>
    <n v="0"/>
    <n v="0"/>
    <n v="0"/>
    <n v="0"/>
    <n v="0"/>
    <n v="0"/>
    <n v="0"/>
    <n v="0"/>
    <n v="0"/>
    <n v="0"/>
    <s v="Fortunei"/>
    <m/>
    <n v="0"/>
    <n v="0"/>
    <m/>
    <m/>
    <m/>
    <m/>
    <m/>
    <m/>
    <m/>
    <m/>
    <m/>
    <m/>
  </r>
  <r>
    <s v="US0003"/>
    <x v="0"/>
    <x v="1"/>
    <n v="0"/>
    <s v="Brian Lusnia"/>
    <n v="10003"/>
    <s v="Brian Lusnia"/>
    <m/>
    <x v="1"/>
    <m/>
    <m/>
    <m/>
    <x v="0"/>
    <s v="45.321683 -122.533558"/>
    <m/>
    <s v=""/>
    <m/>
    <n v="1100"/>
    <n v="1100"/>
    <s v=""/>
    <m/>
    <m/>
    <m/>
    <m/>
    <n v="1"/>
    <n v="1100"/>
    <m/>
    <m/>
    <n v="1100"/>
    <n v="0"/>
    <n v="0"/>
    <n v="0"/>
    <n v="0"/>
    <n v="0"/>
    <n v="0"/>
    <n v="0"/>
    <n v="0"/>
    <n v="0"/>
    <n v="0"/>
    <n v="0"/>
    <s v="Fortunei"/>
    <m/>
    <n v="0.18636363636363637"/>
    <n v="205"/>
    <m/>
    <m/>
    <m/>
    <m/>
    <m/>
    <m/>
    <m/>
    <m/>
    <n v="55"/>
    <n v="150"/>
  </r>
  <r>
    <s v="US0007"/>
    <x v="0"/>
    <x v="1"/>
    <n v="0"/>
    <s v="Dennis Stoltzfoos"/>
    <n v="10005"/>
    <s v="Dennis Stoltzfoos"/>
    <m/>
    <x v="1"/>
    <m/>
    <m/>
    <m/>
    <x v="0"/>
    <s v="30.13526 -83.18676"/>
    <m/>
    <s v=""/>
    <m/>
    <n v="1100"/>
    <n v="1100"/>
    <s v=""/>
    <m/>
    <m/>
    <m/>
    <m/>
    <n v="1"/>
    <n v="1100"/>
    <m/>
    <m/>
    <n v="1100"/>
    <n v="0"/>
    <n v="0"/>
    <n v="0"/>
    <n v="0"/>
    <n v="0"/>
    <n v="0"/>
    <n v="0"/>
    <n v="0"/>
    <n v="0"/>
    <n v="0"/>
    <n v="0"/>
    <s v="Fortunei"/>
    <m/>
    <n v="0.21818181818181817"/>
    <n v="240"/>
    <m/>
    <m/>
    <m/>
    <m/>
    <m/>
    <m/>
    <m/>
    <m/>
    <m/>
    <n v="240"/>
  </r>
  <r>
    <s v="US0009"/>
    <x v="0"/>
    <x v="1"/>
    <n v="2025"/>
    <s v="Jay Ridings"/>
    <n v="10007"/>
    <s v="Jay Ridings"/>
    <s v="901-619-5991, 901-476-1263, 901-313-9793"/>
    <x v="0"/>
    <s v="jridings01@aol.com, jayspaintandbody@gmail.com, jridings01@aol.com"/>
    <s v="1972 Leighs Chapel Rd, Covington, TN 38019-4522"/>
    <s v="1972 Leighs Chapel Rd, Covington, TN 38019-4522"/>
    <x v="0"/>
    <s v="35.616983, -89.699598"/>
    <n v="12"/>
    <s v=""/>
    <m/>
    <n v="1650"/>
    <n v="1650"/>
    <s v=""/>
    <m/>
    <m/>
    <m/>
    <m/>
    <n v="1"/>
    <n v="1650"/>
    <m/>
    <m/>
    <n v="1650"/>
    <n v="0.27768595041322308"/>
    <n v="458.18181818181807"/>
    <n v="0"/>
    <m/>
    <n v="0.27768595041322308"/>
    <n v="0.28000000000000003"/>
    <n v="458.18181818181807"/>
    <n v="0"/>
    <n v="458.18181818181807"/>
    <n v="0"/>
    <n v="458.18181818181807"/>
    <s v="Fortunei"/>
    <m/>
    <n v="1.2424242424242424"/>
    <n v="2050"/>
    <m/>
    <m/>
    <m/>
    <m/>
    <n v="400"/>
    <m/>
    <m/>
    <m/>
    <n v="1650"/>
    <m/>
  </r>
  <r>
    <s v="US0010"/>
    <x v="0"/>
    <x v="1"/>
    <n v="0"/>
    <s v="Jonathan Walker"/>
    <n v="10008"/>
    <s v="Jonathan Walker"/>
    <m/>
    <x v="1"/>
    <m/>
    <m/>
    <m/>
    <x v="0"/>
    <s v="33.77408, -85.77677"/>
    <m/>
    <s v=""/>
    <m/>
    <n v="550"/>
    <n v="550"/>
    <s v=""/>
    <m/>
    <m/>
    <m/>
    <m/>
    <n v="1"/>
    <n v="550"/>
    <m/>
    <m/>
    <n v="550"/>
    <n v="0"/>
    <n v="0"/>
    <n v="0"/>
    <n v="0"/>
    <n v="0"/>
    <n v="0"/>
    <n v="0"/>
    <n v="0"/>
    <n v="0"/>
    <n v="0"/>
    <n v="0"/>
    <s v="Fortunei"/>
    <m/>
    <n v="1.5727272727272728"/>
    <n v="865"/>
    <m/>
    <m/>
    <m/>
    <m/>
    <m/>
    <m/>
    <m/>
    <n v="365"/>
    <n v="500"/>
    <m/>
  </r>
  <r>
    <s v="US0012"/>
    <x v="0"/>
    <x v="1"/>
    <n v="0"/>
    <s v="Loretta Adderson"/>
    <n v="10010"/>
    <s v="Loretta Adderson"/>
    <m/>
    <x v="1"/>
    <m/>
    <m/>
    <m/>
    <x v="0"/>
    <s v="33.121452, -82.197412"/>
    <m/>
    <s v=""/>
    <m/>
    <n v="2200"/>
    <n v="2200"/>
    <s v=""/>
    <m/>
    <m/>
    <m/>
    <m/>
    <n v="1"/>
    <n v="2200"/>
    <m/>
    <m/>
    <n v="2200"/>
    <n v="0"/>
    <n v="0"/>
    <n v="0"/>
    <n v="0"/>
    <n v="0"/>
    <n v="0"/>
    <n v="0"/>
    <n v="0"/>
    <n v="0"/>
    <n v="0"/>
    <n v="0"/>
    <s v="Fortunei"/>
    <m/>
    <n v="0"/>
    <n v="0"/>
    <m/>
    <m/>
    <m/>
    <m/>
    <m/>
    <m/>
    <m/>
    <m/>
    <m/>
    <m/>
  </r>
  <r>
    <s v="US0013"/>
    <x v="0"/>
    <x v="1"/>
    <n v="0"/>
    <s v="Nolan Bradford"/>
    <n v="10011"/>
    <s v="Nolan Bradford"/>
    <n v="0"/>
    <x v="1"/>
    <m/>
    <m/>
    <m/>
    <x v="0"/>
    <s v="33.983918, -86.808292"/>
    <m/>
    <s v=""/>
    <m/>
    <n v="550"/>
    <n v="550"/>
    <s v=""/>
    <m/>
    <m/>
    <m/>
    <m/>
    <n v="1"/>
    <n v="550"/>
    <m/>
    <m/>
    <n v="550"/>
    <n v="0"/>
    <n v="0"/>
    <n v="0"/>
    <n v="0"/>
    <n v="0"/>
    <n v="0"/>
    <n v="0"/>
    <n v="0"/>
    <n v="0"/>
    <n v="0"/>
    <n v="0"/>
    <s v="Fortunei"/>
    <m/>
    <n v="0"/>
    <n v="0"/>
    <m/>
    <m/>
    <m/>
    <m/>
    <m/>
    <m/>
    <m/>
    <m/>
    <m/>
    <m/>
  </r>
  <r>
    <s v="US0005"/>
    <x v="1"/>
    <x v="1"/>
    <n v="2025"/>
    <s v="Bruce Gamble"/>
    <n v="10001"/>
    <s v="Bruce Gamble"/>
    <s v="956-873-2487"/>
    <x v="0"/>
    <s v="brucegamblefarms@gmail.com"/>
    <s v="10539 Mile 8 Road, LaFeria, TX, USA, 78559"/>
    <s v="10539 Mile 8 Road, LaFeria, TX, USA, 78559"/>
    <x v="0"/>
    <s v="26.278008, -97.890074"/>
    <n v="21.6"/>
    <s v=""/>
    <m/>
    <n v="2200"/>
    <n v="2200"/>
    <s v=""/>
    <m/>
    <n v="0"/>
    <m/>
    <m/>
    <n v="1"/>
    <n v="2200"/>
    <m/>
    <m/>
    <n v="2200"/>
    <n v="0.53441505333295214"/>
    <n v="1175.7131173324947"/>
    <n v="0"/>
    <m/>
    <n v="0.53441505333295214"/>
    <n v="0.53"/>
    <n v="1175.7131173324947"/>
    <n v="0"/>
    <n v="1175.7131173324947"/>
    <n v="0"/>
    <n v="1175.7131173324947"/>
    <s v="Fortunei"/>
    <s v="TG Cool"/>
    <n v="1"/>
    <n v="2200"/>
    <m/>
    <m/>
    <m/>
    <m/>
    <m/>
    <m/>
    <m/>
    <n v="2200"/>
    <m/>
    <m/>
  </r>
  <r>
    <s v="US0018"/>
    <x v="1"/>
    <x v="2"/>
    <n v="0"/>
    <s v="Marlene Lewis"/>
    <n v="10016"/>
    <s v="Lewauta Landholdings Inc"/>
    <s v="250-889-1343"/>
    <x v="1"/>
    <s v="marlene@end-dyslexia.com, mmlewisaccess@gmail.com, marlene@empressacres.ca, petermlewis1@gmail.com"/>
    <s v="2974 Haslam Road, Nanaimo, BC V9X 1T1, Canada"/>
    <s v="2974 Haslam Road, Nanaimo, BC V9X 1T1, Canada"/>
    <x v="0"/>
    <s v="49.06572, -123.854433"/>
    <n v="7.8"/>
    <s v=""/>
    <s v="Y"/>
    <n v="951"/>
    <n v="951"/>
    <s v=""/>
    <m/>
    <n v="0.23974763406940064"/>
    <n v="228"/>
    <n v="228"/>
    <n v="0.76025236593059897"/>
    <n v="722.76"/>
    <m/>
    <m/>
    <n v="722.76"/>
    <n v="0.537280740575518"/>
    <n v="510.95398428731761"/>
    <n v="0"/>
    <n v="0"/>
    <n v="0"/>
    <n v="0"/>
    <n v="0"/>
    <n v="0"/>
    <n v="0"/>
    <n v="0"/>
    <n v="0"/>
    <s v="Fortunei"/>
    <s v="TG Cool"/>
    <n v="4.2060988433228183E-2"/>
    <n v="40"/>
    <m/>
    <m/>
    <m/>
    <m/>
    <m/>
    <m/>
    <m/>
    <m/>
    <n v="40"/>
    <m/>
  </r>
  <r>
    <s v="CR0008"/>
    <x v="1"/>
    <x v="2"/>
    <n v="0"/>
    <s v="Carlos Navarro"/>
    <n v="20008"/>
    <s v="Carlos Navarro"/>
    <m/>
    <x v="1"/>
    <m/>
    <m/>
    <m/>
    <x v="1"/>
    <m/>
    <m/>
    <s v=""/>
    <m/>
    <n v="1200"/>
    <n v="1200"/>
    <s v=""/>
    <m/>
    <n v="0.24"/>
    <n v="288"/>
    <n v="288"/>
    <n v="0.76"/>
    <n v="912"/>
    <m/>
    <m/>
    <n v="912"/>
    <n v="0"/>
    <n v="0"/>
    <n v="0"/>
    <n v="0"/>
    <n v="0"/>
    <n v="0"/>
    <n v="0"/>
    <n v="0"/>
    <n v="0"/>
    <n v="0"/>
    <n v="0"/>
    <s v="P. fortunei"/>
    <m/>
    <n v="0"/>
    <n v="0"/>
    <m/>
    <m/>
    <m/>
    <m/>
    <m/>
    <m/>
    <m/>
    <m/>
    <m/>
    <m/>
  </r>
  <r>
    <s v="CR0009"/>
    <x v="1"/>
    <x v="2"/>
    <n v="0"/>
    <s v="David Gutierrez"/>
    <n v="20009"/>
    <s v="Edgar Gutierrez"/>
    <m/>
    <x v="1"/>
    <m/>
    <m/>
    <m/>
    <x v="1"/>
    <m/>
    <m/>
    <s v=""/>
    <m/>
    <n v="500"/>
    <n v="500"/>
    <s v=""/>
    <m/>
    <n v="0.24"/>
    <n v="120"/>
    <n v="120"/>
    <n v="0.76"/>
    <n v="380"/>
    <m/>
    <m/>
    <n v="380"/>
    <n v="0"/>
    <n v="0"/>
    <n v="0"/>
    <n v="0"/>
    <n v="0"/>
    <n v="0"/>
    <n v="0"/>
    <n v="0"/>
    <n v="0"/>
    <n v="0"/>
    <n v="0"/>
    <s v="P. fortunei"/>
    <m/>
    <n v="0"/>
    <n v="0"/>
    <m/>
    <m/>
    <m/>
    <m/>
    <m/>
    <m/>
    <m/>
    <m/>
    <m/>
    <m/>
  </r>
  <r>
    <s v="CR0010"/>
    <x v="1"/>
    <x v="2"/>
    <n v="0"/>
    <s v="Edgar Ureña"/>
    <n v="20010"/>
    <s v="Edgar Ureña"/>
    <m/>
    <x v="1"/>
    <m/>
    <m/>
    <m/>
    <x v="1"/>
    <m/>
    <m/>
    <s v=""/>
    <m/>
    <n v="500"/>
    <n v="500"/>
    <s v=""/>
    <m/>
    <n v="0.24"/>
    <n v="120"/>
    <n v="120"/>
    <n v="0.76"/>
    <n v="380"/>
    <m/>
    <m/>
    <n v="380"/>
    <n v="0"/>
    <n v="0"/>
    <n v="0"/>
    <n v="0"/>
    <n v="0"/>
    <n v="0"/>
    <n v="0"/>
    <n v="0"/>
    <n v="0"/>
    <n v="0"/>
    <n v="0"/>
    <s v="P. fortunei"/>
    <m/>
    <n v="0"/>
    <n v="0"/>
    <m/>
    <m/>
    <m/>
    <m/>
    <m/>
    <m/>
    <m/>
    <m/>
    <m/>
    <m/>
  </r>
  <r>
    <s v="CR0011"/>
    <x v="1"/>
    <x v="2"/>
    <n v="0"/>
    <s v="Fernando Altmann"/>
    <n v="20011"/>
    <s v="Fernando Altmann"/>
    <m/>
    <x v="1"/>
    <m/>
    <m/>
    <m/>
    <x v="1"/>
    <m/>
    <m/>
    <s v=""/>
    <m/>
    <n v="13000"/>
    <n v="13000"/>
    <s v=""/>
    <m/>
    <n v="0.24"/>
    <n v="3120"/>
    <n v="3120"/>
    <n v="0.76"/>
    <n v="9880"/>
    <m/>
    <m/>
    <n v="9880"/>
    <n v="0"/>
    <n v="0"/>
    <n v="0"/>
    <n v="0"/>
    <n v="0"/>
    <n v="0"/>
    <n v="0"/>
    <n v="0"/>
    <n v="0"/>
    <n v="0"/>
    <n v="0"/>
    <s v="P. fortunei"/>
    <m/>
    <n v="0"/>
    <n v="0"/>
    <m/>
    <m/>
    <m/>
    <m/>
    <m/>
    <m/>
    <m/>
    <m/>
    <m/>
    <m/>
  </r>
  <r>
    <s v="CR0012"/>
    <x v="1"/>
    <x v="2"/>
    <n v="0"/>
    <s v="Francisco Mena"/>
    <n v="20012"/>
    <s v="Sumava de Lourdes, R.L"/>
    <m/>
    <x v="1"/>
    <m/>
    <m/>
    <m/>
    <x v="1"/>
    <m/>
    <m/>
    <s v=""/>
    <m/>
    <n v="2000"/>
    <n v="2000"/>
    <s v=""/>
    <m/>
    <n v="0.24"/>
    <n v="480"/>
    <n v="480"/>
    <n v="0.76"/>
    <n v="1520"/>
    <m/>
    <m/>
    <n v="1520"/>
    <n v="0"/>
    <n v="0"/>
    <n v="0"/>
    <n v="0"/>
    <n v="0"/>
    <n v="0"/>
    <n v="0"/>
    <n v="0"/>
    <n v="0"/>
    <n v="0"/>
    <n v="0"/>
    <s v="P. fortunei"/>
    <m/>
    <n v="0"/>
    <n v="0"/>
    <m/>
    <m/>
    <m/>
    <m/>
    <m/>
    <m/>
    <m/>
    <m/>
    <m/>
    <m/>
  </r>
  <r>
    <s v="CR0013"/>
    <x v="1"/>
    <x v="2"/>
    <n v="2026"/>
    <s v="Herberth Chacon"/>
    <n v="20013"/>
    <s v="Herberth Chacon"/>
    <n v="50687018348"/>
    <x v="0"/>
    <s v="h.chacon@hotmail.es, info@cafelaspenas.com"/>
    <s v="Sabanilla, Provincia de Alajuela, Sabanilla, Costa Rica"/>
    <s v="10.067475, -84.219483"/>
    <x v="1"/>
    <s v="10.064184, -84.202693"/>
    <n v="5.8000000000000007"/>
    <s v=""/>
    <m/>
    <n v="1000"/>
    <n v="1000"/>
    <s v=""/>
    <m/>
    <n v="0.24"/>
    <n v="240"/>
    <n v="240"/>
    <n v="0.76"/>
    <n v="760"/>
    <m/>
    <m/>
    <n v="760"/>
    <n v="0.87"/>
    <n v="870"/>
    <n v="0"/>
    <m/>
    <n v="0.87"/>
    <n v="0.87"/>
    <n v="870"/>
    <n v="208.79999999999998"/>
    <n v="661.2"/>
    <n v="0"/>
    <n v="661.2"/>
    <s v="P. fortunei"/>
    <m/>
    <n v="0.75"/>
    <n v="750"/>
    <m/>
    <m/>
    <m/>
    <m/>
    <m/>
    <m/>
    <n v="200"/>
    <n v="550"/>
    <m/>
    <m/>
  </r>
  <r>
    <s v="CR0014"/>
    <x v="1"/>
    <x v="2"/>
    <n v="0"/>
    <s v="Jorge Arrieta"/>
    <m/>
    <s v="Olymar Santa Lucia"/>
    <m/>
    <x v="1"/>
    <m/>
    <m/>
    <m/>
    <x v="1"/>
    <m/>
    <m/>
    <s v=""/>
    <m/>
    <n v="1000"/>
    <n v="1000"/>
    <s v=""/>
    <m/>
    <n v="0.24"/>
    <n v="240"/>
    <n v="240"/>
    <n v="0.76"/>
    <n v="760"/>
    <m/>
    <m/>
    <n v="760"/>
    <n v="0"/>
    <n v="0"/>
    <n v="0"/>
    <n v="0"/>
    <n v="0"/>
    <n v="0"/>
    <n v="0"/>
    <n v="0"/>
    <n v="0"/>
    <n v="0"/>
    <n v="0"/>
    <s v="P. fortunei"/>
    <m/>
    <n v="0"/>
    <n v="0"/>
    <m/>
    <m/>
    <m/>
    <m/>
    <m/>
    <m/>
    <m/>
    <m/>
    <m/>
    <m/>
  </r>
  <r>
    <s v="CR0015"/>
    <x v="1"/>
    <x v="2"/>
    <n v="0"/>
    <s v="Juan Luis  Chaves"/>
    <n v="20005"/>
    <s v="ASESORIA DE EMPRESAS TONAL S A, "/>
    <m/>
    <x v="1"/>
    <m/>
    <m/>
    <m/>
    <x v="1"/>
    <m/>
    <m/>
    <s v=""/>
    <m/>
    <n v="1000"/>
    <n v="1000"/>
    <s v=""/>
    <m/>
    <n v="0.24"/>
    <n v="240"/>
    <n v="240"/>
    <n v="0.76"/>
    <n v="760"/>
    <m/>
    <m/>
    <n v="760"/>
    <n v="0"/>
    <n v="0"/>
    <n v="0"/>
    <n v="0"/>
    <n v="0"/>
    <n v="0"/>
    <n v="0"/>
    <n v="0"/>
    <n v="0"/>
    <n v="0"/>
    <n v="0"/>
    <s v="P. fortunei"/>
    <m/>
    <n v="0"/>
    <n v="0"/>
    <m/>
    <m/>
    <m/>
    <m/>
    <n v="0"/>
    <m/>
    <m/>
    <m/>
    <m/>
    <m/>
  </r>
  <r>
    <s v="CR0016"/>
    <x v="1"/>
    <x v="2"/>
    <n v="0"/>
    <s v="Krzysztof Adamski"/>
    <n v="20015"/>
    <s v="Krzysztof Adamski"/>
    <m/>
    <x v="1"/>
    <m/>
    <m/>
    <m/>
    <x v="1"/>
    <m/>
    <m/>
    <s v=""/>
    <m/>
    <n v="600"/>
    <n v="600"/>
    <s v=""/>
    <m/>
    <n v="0.24"/>
    <n v="144"/>
    <n v="144"/>
    <n v="0.76"/>
    <n v="456"/>
    <m/>
    <m/>
    <n v="456"/>
    <n v="0"/>
    <n v="0"/>
    <n v="0"/>
    <n v="0"/>
    <n v="0"/>
    <n v="0"/>
    <n v="0"/>
    <n v="0"/>
    <n v="0"/>
    <n v="0"/>
    <n v="0"/>
    <s v="P. fortunei"/>
    <m/>
    <n v="0"/>
    <n v="0"/>
    <m/>
    <m/>
    <m/>
    <m/>
    <m/>
    <m/>
    <m/>
    <m/>
    <m/>
    <m/>
  </r>
  <r>
    <s v="CR0017"/>
    <x v="1"/>
    <x v="2"/>
    <n v="0"/>
    <s v="Manuel Rojas"/>
    <n v="20016"/>
    <s v="Rojas y Pacheco S.R.L, "/>
    <m/>
    <x v="1"/>
    <m/>
    <m/>
    <m/>
    <x v="1"/>
    <m/>
    <m/>
    <s v=""/>
    <m/>
    <n v="1000"/>
    <n v="1000"/>
    <s v=""/>
    <m/>
    <n v="0.24"/>
    <n v="240"/>
    <n v="240"/>
    <n v="0.76"/>
    <n v="760"/>
    <m/>
    <m/>
    <n v="760"/>
    <n v="0"/>
    <n v="0"/>
    <n v="0"/>
    <n v="0"/>
    <n v="0"/>
    <n v="0"/>
    <n v="0"/>
    <n v="0"/>
    <n v="0"/>
    <n v="0"/>
    <n v="0"/>
    <s v="P. fortunei"/>
    <m/>
    <n v="0"/>
    <n v="0"/>
    <m/>
    <m/>
    <m/>
    <m/>
    <m/>
    <m/>
    <m/>
    <m/>
    <m/>
    <m/>
  </r>
  <r>
    <s v="CR0018"/>
    <x v="1"/>
    <x v="2"/>
    <n v="0"/>
    <s v="Martin Gutierrez"/>
    <n v="20017"/>
    <s v="Martin Gutierrez"/>
    <m/>
    <x v="1"/>
    <m/>
    <m/>
    <m/>
    <x v="1"/>
    <m/>
    <m/>
    <s v=""/>
    <m/>
    <n v="250"/>
    <n v="250"/>
    <s v=""/>
    <m/>
    <n v="0.24"/>
    <n v="60"/>
    <n v="60"/>
    <n v="0.76"/>
    <n v="190"/>
    <m/>
    <m/>
    <n v="190"/>
    <n v="0"/>
    <n v="0"/>
    <n v="0"/>
    <n v="0"/>
    <n v="0"/>
    <n v="0"/>
    <n v="0"/>
    <n v="0"/>
    <n v="0"/>
    <n v="0"/>
    <n v="0"/>
    <s v="P. fortunei"/>
    <m/>
    <n v="0"/>
    <n v="0"/>
    <m/>
    <m/>
    <m/>
    <m/>
    <m/>
    <m/>
    <m/>
    <m/>
    <m/>
    <m/>
  </r>
  <r>
    <s v="CR0019"/>
    <x v="1"/>
    <x v="2"/>
    <n v="0"/>
    <s v="Miguel Angel Cabezas"/>
    <n v="20018"/>
    <s v="Miriam Mora Salazar"/>
    <m/>
    <x v="1"/>
    <m/>
    <m/>
    <m/>
    <x v="1"/>
    <m/>
    <m/>
    <s v=""/>
    <m/>
    <n v="500"/>
    <n v="500"/>
    <s v=""/>
    <m/>
    <n v="0.24"/>
    <n v="120"/>
    <n v="120"/>
    <n v="0.76"/>
    <n v="380"/>
    <m/>
    <m/>
    <n v="380"/>
    <n v="0"/>
    <n v="0"/>
    <n v="0"/>
    <n v="0"/>
    <n v="0"/>
    <n v="0"/>
    <n v="0"/>
    <n v="0"/>
    <n v="0"/>
    <n v="0"/>
    <n v="0"/>
    <s v="P. fortunei"/>
    <m/>
    <n v="0"/>
    <n v="0"/>
    <m/>
    <m/>
    <m/>
    <m/>
    <m/>
    <m/>
    <m/>
    <m/>
    <m/>
    <m/>
  </r>
  <r>
    <s v="CR0020"/>
    <x v="1"/>
    <x v="2"/>
    <n v="0"/>
    <s v="Fernando Chacon "/>
    <n v="20019"/>
    <s v="Esteban Fernando Chacon "/>
    <m/>
    <x v="1"/>
    <m/>
    <m/>
    <m/>
    <x v="1"/>
    <m/>
    <m/>
    <s v=""/>
    <m/>
    <n v="300"/>
    <n v="300"/>
    <s v=""/>
    <m/>
    <n v="0.24"/>
    <n v="72"/>
    <n v="72"/>
    <n v="0.76"/>
    <n v="228"/>
    <m/>
    <m/>
    <n v="228"/>
    <n v="0"/>
    <n v="0"/>
    <n v="0"/>
    <n v="0"/>
    <n v="0"/>
    <n v="0"/>
    <n v="0"/>
    <n v="0"/>
    <n v="0"/>
    <n v="0"/>
    <n v="0"/>
    <s v="P. fortunei"/>
    <m/>
    <n v="0"/>
    <n v="0"/>
    <m/>
    <m/>
    <m/>
    <m/>
    <m/>
    <m/>
    <m/>
    <m/>
    <m/>
    <m/>
  </r>
  <r>
    <s v="CR0021"/>
    <x v="1"/>
    <x v="2"/>
    <n v="0"/>
    <s v="Oscar Viquez"/>
    <n v="20020"/>
    <s v="Oscar Viquez,María Isabel Quesada Víquez, Eraida Quesada Víquez, Estelia Quesada Víquez"/>
    <m/>
    <x v="1"/>
    <m/>
    <m/>
    <m/>
    <x v="1"/>
    <m/>
    <m/>
    <s v=""/>
    <m/>
    <n v="1000"/>
    <n v="1000"/>
    <s v=""/>
    <m/>
    <n v="0.24"/>
    <n v="240"/>
    <n v="240"/>
    <n v="0.76"/>
    <n v="760"/>
    <m/>
    <m/>
    <n v="760"/>
    <n v="0"/>
    <n v="0"/>
    <n v="0"/>
    <n v="0"/>
    <n v="0"/>
    <n v="0"/>
    <n v="0"/>
    <n v="0"/>
    <n v="0"/>
    <n v="0"/>
    <n v="0"/>
    <s v="P. fortunei"/>
    <m/>
    <n v="0"/>
    <n v="0"/>
    <m/>
    <m/>
    <m/>
    <m/>
    <m/>
    <m/>
    <m/>
    <m/>
    <m/>
    <m/>
  </r>
  <r>
    <s v="CR0022"/>
    <x v="1"/>
    <x v="2"/>
    <n v="0"/>
    <s v="Susy Calderon"/>
    <n v="20021"/>
    <s v="Susy Calderon"/>
    <m/>
    <x v="1"/>
    <m/>
    <m/>
    <m/>
    <x v="1"/>
    <m/>
    <m/>
    <s v=""/>
    <m/>
    <n v="250"/>
    <n v="250"/>
    <s v=""/>
    <m/>
    <n v="0.24"/>
    <n v="60"/>
    <n v="60"/>
    <n v="0.76"/>
    <n v="190"/>
    <m/>
    <m/>
    <n v="190"/>
    <n v="0"/>
    <n v="0"/>
    <n v="0"/>
    <n v="0"/>
    <n v="0"/>
    <n v="0"/>
    <n v="0"/>
    <n v="0"/>
    <n v="0"/>
    <n v="0"/>
    <n v="0"/>
    <s v="P. fortunei"/>
    <m/>
    <n v="0"/>
    <n v="0"/>
    <m/>
    <m/>
    <m/>
    <m/>
    <m/>
    <m/>
    <m/>
    <m/>
    <m/>
    <m/>
  </r>
  <r>
    <s v="US0015"/>
    <x v="1"/>
    <x v="2"/>
    <n v="0"/>
    <s v="Elvire Dembia"/>
    <n v="10013"/>
    <s v="Elvire Frank Dembia"/>
    <m/>
    <x v="1"/>
    <m/>
    <m/>
    <m/>
    <x v="0"/>
    <m/>
    <m/>
    <s v=""/>
    <m/>
    <n v="2200"/>
    <n v="2200"/>
    <s v=""/>
    <m/>
    <n v="0.24"/>
    <n v="528"/>
    <n v="528"/>
    <n v="0.76"/>
    <n v="1672"/>
    <m/>
    <m/>
    <n v="1672"/>
    <n v="0"/>
    <n v="0"/>
    <n v="0"/>
    <n v="0"/>
    <n v="0"/>
    <n v="0"/>
    <n v="0"/>
    <n v="0"/>
    <n v="0"/>
    <n v="0"/>
    <n v="0"/>
    <s v="Fortunei"/>
    <m/>
    <n v="0"/>
    <n v="0"/>
    <m/>
    <m/>
    <m/>
    <m/>
    <m/>
    <m/>
    <m/>
    <m/>
    <m/>
    <m/>
  </r>
  <r>
    <s v="US0016"/>
    <x v="1"/>
    <x v="2"/>
    <n v="0"/>
    <s v="Juan Zermeno"/>
    <n v="10014"/>
    <s v="Juan Zermeno"/>
    <m/>
    <x v="1"/>
    <m/>
    <m/>
    <m/>
    <x v="0"/>
    <m/>
    <m/>
    <s v=""/>
    <m/>
    <n v="2200"/>
    <n v="2200"/>
    <s v=""/>
    <m/>
    <n v="0.24"/>
    <n v="528"/>
    <n v="528"/>
    <n v="0.76"/>
    <n v="1672"/>
    <m/>
    <m/>
    <n v="1672"/>
    <n v="0"/>
    <n v="0"/>
    <n v="0"/>
    <n v="0"/>
    <n v="0"/>
    <n v="0"/>
    <n v="0"/>
    <n v="0"/>
    <n v="0"/>
    <n v="0"/>
    <n v="0"/>
    <s v="Fortunei"/>
    <m/>
    <n v="1.3636363636363636E-2"/>
    <n v="30"/>
    <m/>
    <m/>
    <m/>
    <m/>
    <m/>
    <m/>
    <n v="30"/>
    <m/>
    <m/>
    <m/>
  </r>
  <r>
    <s v="US0017"/>
    <x v="1"/>
    <x v="2"/>
    <n v="0"/>
    <s v="Larry Wilcoxen"/>
    <n v="10015"/>
    <s v="Larry Wilcoxen"/>
    <m/>
    <x v="1"/>
    <m/>
    <m/>
    <m/>
    <x v="0"/>
    <m/>
    <m/>
    <s v=""/>
    <m/>
    <n v="550"/>
    <n v="550"/>
    <s v=""/>
    <m/>
    <n v="0.24"/>
    <n v="132"/>
    <n v="132"/>
    <n v="0.76"/>
    <n v="418"/>
    <m/>
    <m/>
    <n v="418"/>
    <n v="0"/>
    <n v="0"/>
    <n v="0"/>
    <n v="0"/>
    <n v="0"/>
    <n v="0"/>
    <n v="0"/>
    <n v="0"/>
    <n v="0"/>
    <n v="0"/>
    <n v="0"/>
    <s v="Fortunei"/>
    <m/>
    <n v="5.4545454545454543E-2"/>
    <n v="30"/>
    <m/>
    <m/>
    <m/>
    <m/>
    <m/>
    <m/>
    <n v="30"/>
    <m/>
    <m/>
    <m/>
  </r>
  <r>
    <s v="US0019"/>
    <x v="1"/>
    <x v="2"/>
    <n v="0"/>
    <s v="Paul Hartz"/>
    <n v="10017"/>
    <s v="Paul Hartz"/>
    <m/>
    <x v="1"/>
    <m/>
    <m/>
    <m/>
    <x v="0"/>
    <m/>
    <m/>
    <s v=""/>
    <m/>
    <n v="2200"/>
    <n v="2200"/>
    <s v=""/>
    <m/>
    <n v="0.24"/>
    <n v="528"/>
    <n v="528"/>
    <n v="0.76"/>
    <n v="1672"/>
    <m/>
    <m/>
    <n v="1672"/>
    <n v="0"/>
    <n v="0"/>
    <n v="0"/>
    <n v="0"/>
    <n v="0"/>
    <n v="0"/>
    <n v="0"/>
    <n v="0"/>
    <n v="0"/>
    <n v="0"/>
    <n v="0"/>
    <s v="Fortunei"/>
    <m/>
    <n v="0"/>
    <n v="0"/>
    <m/>
    <m/>
    <m/>
    <m/>
    <m/>
    <m/>
    <m/>
    <m/>
    <m/>
    <m/>
  </r>
  <r>
    <s v="US0020"/>
    <x v="1"/>
    <x v="2"/>
    <n v="0"/>
    <s v="Richard Cumberland"/>
    <n v="10018"/>
    <s v="Richard Cumberland"/>
    <m/>
    <x v="1"/>
    <m/>
    <m/>
    <m/>
    <x v="0"/>
    <m/>
    <m/>
    <s v=""/>
    <m/>
    <n v="200"/>
    <n v="200"/>
    <s v=""/>
    <m/>
    <n v="0.24"/>
    <n v="48"/>
    <n v="48"/>
    <n v="0.76"/>
    <n v="152"/>
    <m/>
    <m/>
    <n v="152"/>
    <n v="0"/>
    <n v="0"/>
    <n v="0"/>
    <n v="0"/>
    <n v="0"/>
    <n v="0"/>
    <n v="0"/>
    <n v="0"/>
    <n v="0"/>
    <n v="0"/>
    <n v="0"/>
    <s v="Fortunei"/>
    <m/>
    <n v="0"/>
    <n v="0"/>
    <m/>
    <m/>
    <m/>
    <m/>
    <m/>
    <m/>
    <m/>
    <m/>
    <m/>
    <m/>
  </r>
  <r>
    <s v="CR0023"/>
    <x v="1"/>
    <x v="3"/>
    <n v="0"/>
    <s v="Carlos Hernandez"/>
    <n v="20022"/>
    <s v="Carlos Hernandez"/>
    <m/>
    <x v="1"/>
    <m/>
    <m/>
    <m/>
    <x v="1"/>
    <m/>
    <m/>
    <s v=""/>
    <m/>
    <n v="750"/>
    <n v="750"/>
    <s v=""/>
    <m/>
    <n v="0.11333333333333333"/>
    <n v="85"/>
    <n v="85"/>
    <n v="0.33200000000000002"/>
    <n v="247.5"/>
    <n v="0.55466666666666664"/>
    <n v="412.50000000000006"/>
    <n v="660"/>
    <n v="0"/>
    <n v="0"/>
    <n v="0"/>
    <n v="0"/>
    <n v="0"/>
    <n v="0"/>
    <n v="0"/>
    <n v="0"/>
    <n v="0"/>
    <n v="0"/>
    <n v="0"/>
    <s v="P. fortunei"/>
    <m/>
    <n v="6.6666666666666666E-2"/>
    <n v="50"/>
    <m/>
    <m/>
    <m/>
    <m/>
    <m/>
    <n v="50"/>
    <m/>
    <m/>
    <m/>
    <m/>
  </r>
  <r>
    <s v="CR0024"/>
    <x v="1"/>
    <x v="3"/>
    <n v="0"/>
    <s v="Carlos Montero"/>
    <n v="20023"/>
    <s v="Carlos Montero"/>
    <m/>
    <x v="1"/>
    <m/>
    <m/>
    <m/>
    <x v="1"/>
    <m/>
    <m/>
    <s v=""/>
    <m/>
    <n v="2500"/>
    <n v="2500"/>
    <s v=""/>
    <m/>
    <n v="0.1132"/>
    <n v="283"/>
    <n v="283"/>
    <n v="0.33200000000000002"/>
    <n v="825"/>
    <n v="0.55520000000000003"/>
    <n v="1400.0000000000002"/>
    <n v="2225"/>
    <n v="0"/>
    <n v="0"/>
    <n v="0"/>
    <n v="0"/>
    <n v="0"/>
    <n v="0"/>
    <n v="0"/>
    <n v="0"/>
    <n v="0"/>
    <n v="0"/>
    <n v="0"/>
    <s v="P. fortunei"/>
    <m/>
    <n v="0"/>
    <n v="0"/>
    <m/>
    <m/>
    <m/>
    <m/>
    <m/>
    <m/>
    <m/>
    <m/>
    <m/>
    <m/>
  </r>
  <r>
    <s v="CR0026"/>
    <x v="1"/>
    <x v="3"/>
    <n v="0"/>
    <s v="David Guiterrez "/>
    <n v="20009"/>
    <s v="Edgar Gutierrez"/>
    <m/>
    <x v="1"/>
    <m/>
    <m/>
    <m/>
    <x v="1"/>
    <m/>
    <m/>
    <s v=""/>
    <m/>
    <n v="500"/>
    <n v="500"/>
    <s v=""/>
    <m/>
    <n v="0.114"/>
    <n v="57"/>
    <n v="57"/>
    <n v="0.33200000000000002"/>
    <n v="165"/>
    <n v="0.55600000000000005"/>
    <n v="280"/>
    <n v="445"/>
    <n v="0"/>
    <n v="0"/>
    <n v="0"/>
    <n v="0"/>
    <n v="0"/>
    <n v="0"/>
    <n v="0"/>
    <n v="0"/>
    <n v="0"/>
    <n v="0"/>
    <n v="0"/>
    <s v="P. fortunei"/>
    <m/>
    <n v="0"/>
    <n v="0"/>
    <m/>
    <m/>
    <m/>
    <m/>
    <m/>
    <m/>
    <m/>
    <m/>
    <m/>
    <m/>
  </r>
  <r>
    <s v="CR0027"/>
    <x v="1"/>
    <x v="3"/>
    <n v="0"/>
    <s v="Eduardo Gurdian"/>
    <n v="20024"/>
    <s v="Eduardo Gurdian"/>
    <m/>
    <x v="1"/>
    <m/>
    <m/>
    <m/>
    <x v="1"/>
    <m/>
    <m/>
    <s v=""/>
    <m/>
    <n v="500"/>
    <n v="500"/>
    <s v=""/>
    <m/>
    <n v="0.114"/>
    <n v="57"/>
    <n v="57"/>
    <n v="0.33200000000000002"/>
    <n v="165"/>
    <n v="0.55600000000000005"/>
    <n v="280"/>
    <n v="445"/>
    <n v="0"/>
    <n v="0"/>
    <n v="0"/>
    <n v="0"/>
    <n v="0"/>
    <n v="0"/>
    <n v="0"/>
    <n v="0"/>
    <n v="0"/>
    <n v="0"/>
    <n v="0"/>
    <s v="P. fortunei"/>
    <m/>
    <n v="0"/>
    <n v="0"/>
    <m/>
    <m/>
    <m/>
    <m/>
    <m/>
    <m/>
    <m/>
    <m/>
    <m/>
    <m/>
  </r>
  <r>
    <s v="CR0031"/>
    <x v="1"/>
    <x v="3"/>
    <n v="0"/>
    <s v="Oscar Viquez "/>
    <n v="20020"/>
    <s v="Oscar Viquez,María Isabel Quesada Víquez, Eraida Quesada Víquez, Estelia Quesada Víquez"/>
    <m/>
    <x v="1"/>
    <m/>
    <m/>
    <m/>
    <x v="1"/>
    <m/>
    <m/>
    <s v=""/>
    <m/>
    <n v="1000"/>
    <n v="1000"/>
    <s v=""/>
    <m/>
    <n v="0.113"/>
    <n v="113"/>
    <n v="113"/>
    <n v="0.33200000000000002"/>
    <n v="330"/>
    <n v="0.55500000000000005"/>
    <n v="560"/>
    <n v="890"/>
    <n v="0"/>
    <n v="0"/>
    <n v="0"/>
    <n v="0"/>
    <n v="0"/>
    <n v="0"/>
    <n v="0"/>
    <n v="0"/>
    <n v="0"/>
    <n v="0"/>
    <n v="0"/>
    <s v="P.fortunei"/>
    <m/>
    <n v="0"/>
    <n v="0"/>
    <m/>
    <m/>
    <m/>
    <m/>
    <m/>
    <m/>
    <m/>
    <m/>
    <m/>
    <m/>
  </r>
  <r>
    <s v="CR0032"/>
    <x v="1"/>
    <x v="3"/>
    <n v="0"/>
    <s v="Rene Ceciliano"/>
    <n v="20028"/>
    <s v="Inversiones Los Alpinos S.A"/>
    <m/>
    <x v="1"/>
    <m/>
    <m/>
    <m/>
    <x v="1"/>
    <m/>
    <m/>
    <s v=""/>
    <m/>
    <n v="1000"/>
    <n v="1000"/>
    <s v=""/>
    <m/>
    <n v="0.113"/>
    <n v="113"/>
    <n v="113"/>
    <n v="0.33200000000000002"/>
    <n v="330"/>
    <n v="0.55500000000000005"/>
    <n v="560"/>
    <n v="890"/>
    <n v="0"/>
    <n v="0"/>
    <n v="0"/>
    <n v="0"/>
    <n v="0"/>
    <n v="0"/>
    <n v="0"/>
    <n v="0"/>
    <n v="0"/>
    <n v="0"/>
    <n v="0"/>
    <s v="P.elongata and P.fortunei"/>
    <m/>
    <n v="0.5"/>
    <n v="500"/>
    <m/>
    <m/>
    <m/>
    <m/>
    <m/>
    <n v="250"/>
    <n v="250"/>
    <m/>
    <m/>
    <m/>
  </r>
  <r>
    <s v="CR0028"/>
    <x v="1"/>
    <x v="3"/>
    <n v="2027"/>
    <s v="Edgardo Matamoros"/>
    <n v="20025"/>
    <s v="Juan Manuel Sanchez"/>
    <s v="506 88886685, 24500034, 24511126"/>
    <x v="2"/>
    <s v="ematamoros@elcantaro.net, santaanita@elcantaro.net"/>
    <s v="800 metros del cementerio de candelaria de Naranjo Cualquier"/>
    <s v="San Juan de Naranjo, Costa Rica"/>
    <x v="1"/>
    <s v="10.0115921398, -84.0836667227"/>
    <n v="11.9"/>
    <n v="12.355250518148317"/>
    <m/>
    <n v="2000"/>
    <n v="2000"/>
    <s v=""/>
    <m/>
    <n v="0.113"/>
    <n v="226"/>
    <n v="226"/>
    <n v="0.33200000000000002"/>
    <n v="660"/>
    <n v="0.55500000000000005"/>
    <n v="1120"/>
    <n v="1780"/>
    <n v="0.56000000000000005"/>
    <n v="1120"/>
    <n v="0"/>
    <m/>
    <n v="0.56000000000000005"/>
    <n v="0.56000000000000005"/>
    <n v="1120"/>
    <n v="126.56"/>
    <n v="371.84000000000003"/>
    <n v="621.6"/>
    <n v="993.44"/>
    <s v="P. fortunei"/>
    <m/>
    <n v="0.85"/>
    <n v="1700"/>
    <m/>
    <m/>
    <m/>
    <m/>
    <m/>
    <m/>
    <n v="1700"/>
    <m/>
    <m/>
    <m/>
  </r>
  <r>
    <s v="CR0029"/>
    <x v="1"/>
    <x v="3"/>
    <n v="2027"/>
    <s v="María Julia Ramirez"/>
    <n v="20026"/>
    <s v="María Julia Ramirez"/>
    <s v="506 24500063, +506 83565043"/>
    <x v="2"/>
    <s v="mariajulia00@yahoo.com.mx, asis.lamerced@gmail.com"/>
    <s v="500 metros norte colegio de naranjo"/>
    <s v="San Rafael de Naranjo, Costa Rica"/>
    <x v="1"/>
    <s v="10.1081763406, -84.3811140226"/>
    <n v="8.1509999999999998"/>
    <n v="3.0888126295370792"/>
    <m/>
    <n v="500"/>
    <n v="500"/>
    <s v=""/>
    <m/>
    <n v="0.114"/>
    <n v="57"/>
    <n v="57"/>
    <n v="0.33200000000000002"/>
    <n v="165"/>
    <n v="0.55600000000000005"/>
    <n v="280"/>
    <n v="445"/>
    <n v="0.6"/>
    <n v="300"/>
    <n v="0"/>
    <m/>
    <n v="0.6"/>
    <n v="0.6"/>
    <n v="300"/>
    <n v="34.200000000000003"/>
    <n v="99.600000000000009"/>
    <n v="166.8"/>
    <n v="266.40000000000003"/>
    <s v="P.elongata and P.fortunei"/>
    <m/>
    <n v="0.8"/>
    <n v="400"/>
    <m/>
    <m/>
    <m/>
    <m/>
    <m/>
    <n v="100"/>
    <n v="300"/>
    <m/>
    <m/>
    <m/>
  </r>
  <r>
    <s v="CR0030"/>
    <x v="1"/>
    <x v="3"/>
    <n v="2027"/>
    <s v="Mayela Quesada"/>
    <n v="20027"/>
    <s v="Mayela Quesada"/>
    <s v="50683838815, 83838815"/>
    <x v="2"/>
    <s v="mquesada@agricoladelcafetal.com"/>
    <s v="Lourdes de Naranjo, 709, Alajuela Province, Naranjo de Alajuela, Costa Rica"/>
    <s v="10.1525978335, -84.3586197692; 10,1552646 -843609432"/>
    <x v="1"/>
    <s v="10.1525978335, -84.3586197692"/>
    <n v="7.46434"/>
    <n v="6.1776252590741585"/>
    <m/>
    <n v="1000"/>
    <n v="1000"/>
    <s v=""/>
    <m/>
    <n v="0.113"/>
    <n v="113"/>
    <n v="113"/>
    <n v="0.33200000000000002"/>
    <n v="330"/>
    <n v="0.55500000000000005"/>
    <n v="560"/>
    <n v="890"/>
    <n v="0.6"/>
    <n v="600"/>
    <n v="0"/>
    <m/>
    <n v="0.6"/>
    <n v="0.6"/>
    <n v="600"/>
    <n v="67.8"/>
    <n v="199.20000000000002"/>
    <n v="333.00000000000006"/>
    <n v="532.20000000000005"/>
    <s v="P.elongata and P.fortunei"/>
    <m/>
    <n v="0.94"/>
    <n v="940"/>
    <m/>
    <m/>
    <m/>
    <m/>
    <m/>
    <n v="300"/>
    <n v="640"/>
    <m/>
    <m/>
    <m/>
  </r>
  <r>
    <s v="CR0033"/>
    <x v="1"/>
    <x v="3"/>
    <n v="0"/>
    <s v="Ricardo Simpson"/>
    <n v="20029"/>
    <s v="Ricardo Simpson"/>
    <m/>
    <x v="1"/>
    <m/>
    <m/>
    <m/>
    <x v="1"/>
    <m/>
    <m/>
    <s v=""/>
    <m/>
    <n v="1100"/>
    <n v="1100"/>
    <s v=""/>
    <m/>
    <n v="0.11272727272727273"/>
    <n v="124"/>
    <n v="124"/>
    <n v="0.33181818181818185"/>
    <n v="363"/>
    <n v="0.55545454545454542"/>
    <n v="616.00000000000011"/>
    <n v="979.00000000000011"/>
    <n v="0"/>
    <n v="0"/>
    <n v="0"/>
    <n v="0"/>
    <n v="0"/>
    <n v="0"/>
    <n v="0"/>
    <n v="0"/>
    <n v="0"/>
    <n v="0"/>
    <n v="0"/>
    <s v="P.fortunei"/>
    <m/>
    <n v="0.27272727272727271"/>
    <n v="300"/>
    <m/>
    <m/>
    <m/>
    <m/>
    <m/>
    <n v="0"/>
    <n v="300"/>
    <m/>
    <m/>
    <m/>
  </r>
  <r>
    <s v="CR0025"/>
    <x v="1"/>
    <x v="3"/>
    <n v="0"/>
    <s v="Carlos Navarro"/>
    <n v="20008"/>
    <s v="Carlos Navarro"/>
    <m/>
    <x v="1"/>
    <m/>
    <m/>
    <m/>
    <x v="1"/>
    <m/>
    <m/>
    <s v=""/>
    <m/>
    <n v="350"/>
    <n v="350"/>
    <s v=""/>
    <m/>
    <n v="0.11428571428571428"/>
    <n v="40"/>
    <n v="40"/>
    <n v="0.33142857142857141"/>
    <n v="115.5"/>
    <n v="0.55428571428571427"/>
    <n v="192.50000000000003"/>
    <n v="308"/>
    <n v="0"/>
    <n v="0"/>
    <n v="0"/>
    <n v="0"/>
    <n v="0"/>
    <n v="0"/>
    <n v="0"/>
    <n v="0"/>
    <n v="0"/>
    <n v="0"/>
    <n v="0"/>
    <s v="P. fortunei"/>
    <m/>
    <n v="0"/>
    <n v="0"/>
    <m/>
    <m/>
    <m/>
    <m/>
    <m/>
    <m/>
    <m/>
    <m/>
    <m/>
    <m/>
  </r>
  <r>
    <s v="CR0034"/>
    <x v="1"/>
    <x v="3"/>
    <n v="0"/>
    <s v="Richard Valverde"/>
    <n v="20030"/>
    <s v="Richard Valverde"/>
    <m/>
    <x v="1"/>
    <m/>
    <m/>
    <m/>
    <x v="1"/>
    <m/>
    <m/>
    <s v=""/>
    <m/>
    <n v="1100"/>
    <n v="1100"/>
    <s v=""/>
    <m/>
    <n v="0.11363636363636363"/>
    <n v="125"/>
    <n v="125"/>
    <n v="0.33"/>
    <n v="363"/>
    <n v="0.55636363636363639"/>
    <n v="616.00000000000011"/>
    <n v="979.00000000000011"/>
    <n v="0"/>
    <n v="0"/>
    <n v="0"/>
    <n v="0"/>
    <n v="0"/>
    <n v="0"/>
    <n v="0"/>
    <n v="0"/>
    <n v="0"/>
    <n v="0"/>
    <n v="0"/>
    <s v="P.fortunei"/>
    <m/>
    <n v="0"/>
    <n v="0"/>
    <m/>
    <m/>
    <m/>
    <m/>
    <m/>
    <m/>
    <m/>
    <m/>
    <m/>
    <m/>
  </r>
  <r>
    <s v="US0028"/>
    <x v="1"/>
    <x v="3"/>
    <n v="2027"/>
    <s v="Matthew Knox"/>
    <n v="10024"/>
    <s v="Matthew Knox"/>
    <s v="256-596-0663"/>
    <x v="2"/>
    <s v="knoxbrothersllc@gmail.com, matthewknox1968@yahoo.com"/>
    <s v="200 Tommy Hill Rd  Dadeville  AL  36853-4391"/>
    <s v="200 Tommy Hill Rd  Dadeville  AL  36853-4391"/>
    <x v="0"/>
    <s v="32.674238, -85.847949"/>
    <n v="5.01"/>
    <n v="5"/>
    <m/>
    <n v="550"/>
    <n v="550"/>
    <s v=""/>
    <m/>
    <n v="0.11272727272727273"/>
    <n v="62"/>
    <n v="62"/>
    <n v="0.3327272727272727"/>
    <n v="181.5"/>
    <n v="0.55454545454545456"/>
    <n v="302.5"/>
    <n v="484"/>
    <n v="0.89130434782608703"/>
    <n v="490.21739130434787"/>
    <n v="0"/>
    <m/>
    <n v="0.89130434782608703"/>
    <n v="0.89130434782608703"/>
    <n v="490.21739130434787"/>
    <n v="55.260869565217398"/>
    <n v="163.10869565217391"/>
    <n v="271.84782608695656"/>
    <n v="434.95652173913049"/>
    <s v="Fortunei"/>
    <s v="14, 18"/>
    <n v="0"/>
    <n v="0"/>
    <m/>
    <m/>
    <m/>
    <m/>
    <m/>
    <m/>
    <m/>
    <m/>
    <m/>
    <m/>
  </r>
  <r>
    <s v="US0031"/>
    <x v="1"/>
    <x v="3"/>
    <n v="2027"/>
    <s v="Wendell Lynn"/>
    <n v="10027"/>
    <s v="Wendell Lynn"/>
    <s v="912-293-7679"/>
    <x v="2"/>
    <s v="wdlynn99@gmail.com"/>
    <s v="550 Hancock Landing Rd, Waynesboro GA 30830-3000"/>
    <s v="2130 Cedar Creek Church Rd, Collins GA 30421-3240"/>
    <x v="0"/>
    <s v="32.226497, -82.098965"/>
    <n v="4.9000000000000004"/>
    <n v="5"/>
    <m/>
    <n v="550"/>
    <n v="550"/>
    <s v=""/>
    <m/>
    <n v="0.11272727272727273"/>
    <n v="62"/>
    <n v="62"/>
    <n v="0.3327272727272727"/>
    <n v="181.5"/>
    <n v="0.55454545454545456"/>
    <n v="302.5"/>
    <n v="484"/>
    <n v="0.78260869565217395"/>
    <n v="430.43478260869568"/>
    <n v="0"/>
    <m/>
    <n v="0.78260869565217395"/>
    <n v="0.78260869565217395"/>
    <n v="430.43478260869568"/>
    <n v="48.521739130434788"/>
    <n v="143.21739130434781"/>
    <n v="238.69565217391306"/>
    <n v="381.91304347826087"/>
    <s v="Fortunei"/>
    <s v="11, 18"/>
    <n v="0.36363636363636365"/>
    <n v="200"/>
    <m/>
    <m/>
    <m/>
    <m/>
    <m/>
    <m/>
    <n v="200"/>
    <m/>
    <m/>
    <m/>
  </r>
  <r>
    <s v="US0022"/>
    <x v="1"/>
    <x v="3"/>
    <n v="2027"/>
    <s v="Daniel Byrd"/>
    <n v="10020"/>
    <s v="Daniel Bryd"/>
    <s v="270-261-2663"/>
    <x v="2"/>
    <s v="dbyrd@plinsurance.com"/>
    <s v="1456 Finney Rd Glasgow KY 42141-8796"/>
    <s v="1456 Finney Rd Glasgow KY 42141-8796"/>
    <x v="0"/>
    <s v="36.949087, -85.989939"/>
    <n v="23.5"/>
    <n v="23"/>
    <s v="Y"/>
    <n v="2530"/>
    <n v="2530"/>
    <s v=""/>
    <m/>
    <n v="0.11304347826086956"/>
    <n v="286"/>
    <n v="286"/>
    <n v="0.33201581027667987"/>
    <n v="834.90000000000009"/>
    <n v="0.55494071146245061"/>
    <n v="1391.5"/>
    <n v="2226.4"/>
    <n v="0.65793722892853301"/>
    <n v="1664.5811891891885"/>
    <n v="0"/>
    <m/>
    <n v="0.65793722892853301"/>
    <n v="0.65793722892853301"/>
    <n v="1664.5811891891885"/>
    <n v="188.17004747356043"/>
    <n v="552.66727229996775"/>
    <n v="923.74386941566036"/>
    <n v="1476.4111417156282"/>
    <s v="Fortunei"/>
    <s v="TG Cool"/>
    <n v="0.10474308300395258"/>
    <n v="265"/>
    <m/>
    <m/>
    <m/>
    <m/>
    <n v="225"/>
    <m/>
    <n v="40"/>
    <m/>
    <m/>
    <m/>
  </r>
  <r>
    <s v="US0030"/>
    <x v="1"/>
    <x v="3"/>
    <n v="2027"/>
    <s v="Wayne Crotty"/>
    <n v="10026"/>
    <s v="Wayne Crotty"/>
    <s v="407-908-0643, 386-938-2468"/>
    <x v="2"/>
    <s v="wayne@allproservicesco.com"/>
    <s v="9451 Southwest Co Road 143, Jasper, FL, USA"/>
    <s v="9451 Southwest Co Road 143, Jasper, FL, USA"/>
    <x v="0"/>
    <s v="30.424531, -83.201936"/>
    <n v="22"/>
    <n v="23"/>
    <s v="Y"/>
    <n v="2530"/>
    <n v="2530"/>
    <s v=""/>
    <m/>
    <n v="0.11304347826086956"/>
    <n v="286"/>
    <n v="286"/>
    <n v="0.33201581027667987"/>
    <n v="834.90000000000009"/>
    <n v="0.55494071146245061"/>
    <n v="1391.5"/>
    <n v="2226.4"/>
    <n v="0.92206828861120005"/>
    <n v="2332.8327701863363"/>
    <n v="0"/>
    <m/>
    <n v="0.92206828861120005"/>
    <n v="0.92206828861120005"/>
    <n v="2332.8327701863363"/>
    <n v="263.71153054280325"/>
    <n v="774.53736243340813"/>
    <n v="1294.5838772101251"/>
    <n v="2069.121239643533"/>
    <s v="Fortunei"/>
    <s v="11, 12, 14"/>
    <n v="0.55019762845849807"/>
    <n v="1392"/>
    <m/>
    <m/>
    <m/>
    <m/>
    <n v="100"/>
    <m/>
    <n v="150"/>
    <n v="1142"/>
    <m/>
    <m/>
  </r>
  <r>
    <s v="US0023"/>
    <x v="1"/>
    <x v="3"/>
    <n v="2027"/>
    <s v="Eugene Martens"/>
    <n v="10006"/>
    <s v="Eugene Martens"/>
    <s v="334-646-0227, 334-885-6998"/>
    <x v="2"/>
    <s v="emartens@teleclipse.net"/>
    <s v="516 County Road 664, Roanoke, AL. 36274-5431"/>
    <s v="516 County Road 664, Roanoke, AL. 36274-5431"/>
    <x v="0"/>
    <s v="33.147101, -85.298481"/>
    <n v="5.4"/>
    <n v="6"/>
    <m/>
    <n v="660"/>
    <n v="660"/>
    <s v=""/>
    <m/>
    <n v="0.11363636363636363"/>
    <n v="75"/>
    <n v="75"/>
    <n v="0.33181818181818185"/>
    <n v="217.8"/>
    <n v="0.55454545454545456"/>
    <n v="363.00000000000006"/>
    <n v="580.80000000000007"/>
    <n v="0.76315789473684204"/>
    <n v="503.68421052631572"/>
    <n v="0"/>
    <m/>
    <n v="0.76315789473684204"/>
    <n v="0.76315789473684204"/>
    <n v="503.68421052631572"/>
    <n v="57.23684210526315"/>
    <n v="167.13157894736841"/>
    <n v="279.31578947368416"/>
    <n v="446.4473684210526"/>
    <s v="Fortunei"/>
    <s v="11, 14"/>
    <n v="0.34242424242424241"/>
    <n v="226"/>
    <m/>
    <m/>
    <m/>
    <m/>
    <n v="100"/>
    <m/>
    <n v="86"/>
    <n v="40"/>
    <m/>
    <m/>
  </r>
  <r>
    <s v="US0024"/>
    <x v="1"/>
    <x v="3"/>
    <s v="=COUNTIFS(Table11[Region],$C66,Table11[ETP Year],2020,'Master Data Results'!B181,Table11[USA trees/Allocation/Planted],&quot;&lt;&gt;&quot;)"/>
    <s v="Grover Plunkett"/>
    <n v="10021"/>
    <s v="Southern Innovative Investments LLC"/>
    <s v="334-462-4962, 334-324-6696, 334-322-7480 (Cody Bell Farm manager"/>
    <x v="2"/>
    <s v="gplunkett@faulkner.edu, rebecca.plunkett2@gmail.com"/>
    <s v="6464 Halcyon Dr  Montgomery  AL  36117-3416"/>
    <s v="5129 New Harmony Rd, Arab, AL 35016, USA"/>
    <x v="0"/>
    <s v="34.250719, -86.527252 ; 34.262473, -86.553188"/>
    <n v="22.1"/>
    <n v="20"/>
    <s v="Y"/>
    <n v="2200"/>
    <n v="2200"/>
    <s v=""/>
    <m/>
    <n v="0.11318181818181818"/>
    <n v="248.99999999999997"/>
    <n v="248.99999999999997"/>
    <n v="0.33181818181818185"/>
    <n v="726"/>
    <n v="0.55500000000000005"/>
    <n v="1232.0000000000002"/>
    <n v="1958.0000000000002"/>
    <n v="0.66990291262135904"/>
    <n v="1473.7864077669899"/>
    <n v="0"/>
    <m/>
    <n v="0.66990291262135904"/>
    <n v="0.66990291262135904"/>
    <n v="1473.7864077669899"/>
    <n v="166.80582524271838"/>
    <n v="489.02912621359212"/>
    <n v="817.95145631067942"/>
    <n v="1306.9805825242715"/>
    <s v="Fortunei"/>
    <s v="11, 12, 14, 18"/>
    <n v="0"/>
    <n v="0"/>
    <m/>
    <m/>
    <m/>
    <m/>
    <m/>
    <m/>
    <m/>
    <m/>
    <m/>
    <m/>
  </r>
  <r>
    <s v="US0021"/>
    <x v="1"/>
    <x v="3"/>
    <n v="0"/>
    <s v="Brandon Bailey"/>
    <n v="10019"/>
    <s v="Brandon Bailey"/>
    <m/>
    <x v="1"/>
    <m/>
    <m/>
    <m/>
    <x v="0"/>
    <m/>
    <m/>
    <s v=""/>
    <m/>
    <n v="2200"/>
    <n v="2200"/>
    <s v=""/>
    <m/>
    <n v="0.11318181818181818"/>
    <n v="248.99999999999997"/>
    <n v="248.99999999999997"/>
    <n v="0.33181818181818185"/>
    <n v="726"/>
    <n v="0.55500000000000005"/>
    <n v="1232.0000000000002"/>
    <n v="1958.0000000000002"/>
    <n v="0"/>
    <n v="0"/>
    <n v="0"/>
    <n v="0"/>
    <n v="0"/>
    <n v="0"/>
    <n v="0"/>
    <n v="0"/>
    <n v="0"/>
    <n v="0"/>
    <n v="0"/>
    <s v="Fortunei"/>
    <m/>
    <n v="0"/>
    <n v="0"/>
    <m/>
    <m/>
    <m/>
    <m/>
    <m/>
    <m/>
    <m/>
    <m/>
    <m/>
    <m/>
  </r>
  <r>
    <s v="US0025"/>
    <x v="1"/>
    <x v="3"/>
    <n v="2027"/>
    <s v="Jacob Schwartz"/>
    <n v="10022"/>
    <s v="Jacob Schwartz"/>
    <s v="417-935-2048, 417-859-6283, 417-840-1211, 417-766-1389"/>
    <x v="0"/>
    <n v="0"/>
    <s v="908 Smith Rd  Seymour  MO  65746-8033"/>
    <s v="908 Smith Rd  Seymour  MO  65746-8033"/>
    <x v="0"/>
    <s v="37.21962, -92.693223"/>
    <n v="9.6199999999999992"/>
    <s v=""/>
    <m/>
    <n v="1100"/>
    <n v="1100"/>
    <s v=""/>
    <m/>
    <n v="0.11272727272727273"/>
    <n v="124"/>
    <n v="124"/>
    <n v="0.33181818181818185"/>
    <n v="363"/>
    <n v="0.55545454545454542"/>
    <n v="616.00000000000011"/>
    <n v="979.00000000000011"/>
    <n v="0.72462337662337595"/>
    <n v="797.08571428571349"/>
    <n v="0"/>
    <m/>
    <n v="0.72462337662337595"/>
    <n v="0.72"/>
    <n v="797.08571428571349"/>
    <n v="0"/>
    <n v="264.48753246753222"/>
    <n v="442.74488311688265"/>
    <n v="707.23241558441487"/>
    <s v="Fortunei"/>
    <s v="TG Cool"/>
    <n v="0.26"/>
    <n v="286"/>
    <m/>
    <m/>
    <m/>
    <m/>
    <m/>
    <m/>
    <n v="286"/>
    <m/>
    <m/>
    <m/>
  </r>
  <r>
    <s v="US0029"/>
    <x v="1"/>
    <x v="3"/>
    <n v="2027"/>
    <s v="Tracy Sturgeon"/>
    <n v="10025"/>
    <s v="Tracy Sturgeon"/>
    <s v="918-413-2680, 918-385-1914"/>
    <x v="0"/>
    <s v="tracyl1a1sw@yahoo.com"/>
    <s v="PO Box 70 Albion OK 74521"/>
    <s v="14602 SE 1103 Ave  Tuskahoma, OK 74574"/>
    <x v="0"/>
    <s v="34.702318, -95.141474"/>
    <n v="9.94"/>
    <s v=""/>
    <m/>
    <n v="1100"/>
    <n v="1100"/>
    <s v=""/>
    <m/>
    <n v="0.11272727272727273"/>
    <n v="124"/>
    <n v="124"/>
    <n v="0.33181818181818185"/>
    <n v="363"/>
    <n v="0.55545454545454542"/>
    <n v="616.00000000000011"/>
    <n v="979.00000000000011"/>
    <n v="0.47499999999999998"/>
    <n v="522.5"/>
    <n v="0"/>
    <m/>
    <n v="0.47499999999999998"/>
    <n v="0.48"/>
    <n v="522.5"/>
    <n v="0"/>
    <n v="173.37500000000003"/>
    <n v="290.22499999999997"/>
    <n v="463.6"/>
    <s v="Fortunei"/>
    <s v="TG Cool"/>
    <n v="0.6454545454545455"/>
    <n v="710"/>
    <m/>
    <m/>
    <m/>
    <n v="110"/>
    <m/>
    <m/>
    <n v="600"/>
    <m/>
    <m/>
    <m/>
  </r>
  <r>
    <s v="US0032"/>
    <x v="1"/>
    <x v="3"/>
    <n v="2027"/>
    <s v="Will Johnson"/>
    <n v="10028"/>
    <s v="Will and Amanda Johnson"/>
    <s v="(386) 697-8079, 386-249-2134"/>
    <x v="2"/>
    <s v="Trophyhillplantation@gmail.com"/>
    <s v="7791 200th St, Mc Alpin, FL, USA 32062-2754"/>
    <s v="7791 200th St, Mc Alpin, FL, USA 32062-2754"/>
    <x v="0"/>
    <s v="30.090810, -82.909628"/>
    <n v="10.9"/>
    <n v="10.6"/>
    <s v="Y"/>
    <n v="1166"/>
    <n v="1166"/>
    <s v=""/>
    <m/>
    <n v="0.11318"/>
    <n v="131.96788000000001"/>
    <n v="131.96788000000001"/>
    <n v="0.33179999999999998"/>
    <n v="384.78000000000003"/>
    <n v="0.55500000000000005"/>
    <n v="652.96"/>
    <n v="1037.74"/>
    <n v="0.93548387096774199"/>
    <n v="1090.7741935483871"/>
    <n v="0"/>
    <m/>
    <n v="0.93548387096774199"/>
    <n v="0.93548387096774199"/>
    <n v="1090.7741935483871"/>
    <n v="123.45382322580645"/>
    <n v="361.91887741935483"/>
    <n v="605.37967741935483"/>
    <n v="967.29855483870961"/>
    <s v="Fortunei"/>
    <s v="11"/>
    <n v="0"/>
    <n v="0"/>
    <m/>
    <m/>
    <m/>
    <m/>
    <m/>
    <m/>
    <m/>
    <m/>
    <m/>
    <m/>
  </r>
  <r>
    <s v="US0027"/>
    <x v="1"/>
    <x v="3"/>
    <n v="0"/>
    <s v="Marlene Lewis"/>
    <n v="10016"/>
    <s v="Lewauta Landholdings Inc"/>
    <s v="250-889-1343"/>
    <x v="1"/>
    <s v="marlene@end-dyslexia.com, mmlewisaccess@gmail.com, marlene@empressacres.ca, petermlewis1@gmail.com"/>
    <s v="2974 Haslam Road, Nanaimo, BC V9X 1T1, Canada"/>
    <s v="2974 Haslam Road, Nanaimo, BC V9X 1T1, Canada"/>
    <x v="0"/>
    <s v="49.065235, -123.856235"/>
    <n v="4"/>
    <s v=""/>
    <s v="Y"/>
    <n v="425"/>
    <n v="425"/>
    <s v=""/>
    <m/>
    <n v="0.11294117647058824"/>
    <n v="48"/>
    <n v="48"/>
    <n v="0.33176470588235296"/>
    <n v="140.25"/>
    <n v="0.55529411764705883"/>
    <n v="238.00000000000003"/>
    <n v="378.25"/>
    <n v="0.82352941176470584"/>
    <n v="350"/>
    <n v="0"/>
    <n v="0"/>
    <n v="0"/>
    <n v="0"/>
    <n v="0"/>
    <n v="0"/>
    <n v="0"/>
    <n v="0"/>
    <n v="0"/>
    <s v="Fortunei"/>
    <s v="TG Cool"/>
    <n v="0.47058823529411764"/>
    <n v="200"/>
    <m/>
    <m/>
    <m/>
    <m/>
    <m/>
    <m/>
    <n v="200"/>
    <m/>
    <m/>
    <m/>
  </r>
  <r>
    <s v="US0026"/>
    <x v="2"/>
    <x v="3"/>
    <n v="0"/>
    <s v="John Cline"/>
    <n v="10023"/>
    <s v="John Cline"/>
    <m/>
    <x v="1"/>
    <m/>
    <m/>
    <m/>
    <x v="0"/>
    <m/>
    <m/>
    <s v=""/>
    <m/>
    <n v="550"/>
    <n v="550"/>
    <s v=""/>
    <m/>
    <n v="0.64"/>
    <n v="352"/>
    <n v="352"/>
    <n v="0.36"/>
    <n v="181.5"/>
    <m/>
    <m/>
    <n v="181.5"/>
    <n v="0"/>
    <n v="0"/>
    <n v="0"/>
    <n v="0"/>
    <n v="0"/>
    <n v="0"/>
    <n v="0"/>
    <n v="0"/>
    <n v="0"/>
    <n v="0"/>
    <n v="0"/>
    <s v="Fortunei"/>
    <m/>
    <n v="0"/>
    <n v="0"/>
    <m/>
    <m/>
    <m/>
    <m/>
    <m/>
    <m/>
    <m/>
    <m/>
    <m/>
    <m/>
  </r>
  <r>
    <s v="CR0089"/>
    <x v="2"/>
    <x v="4"/>
    <n v="2028"/>
    <s v="Miguel Corrales Venegas"/>
    <n v="20081"/>
    <s v="Miguel Corrales Venegas"/>
    <s v="50689876752, 50688005783"/>
    <x v="2"/>
    <s v="vialca81@gmail.com, nanocv77@gmail.com"/>
    <s v="La Potenciana, San José Province, Costa Rica"/>
    <s v="9.79456599997, -84.4494810002"/>
    <x v="1"/>
    <s v="9.79456599997, -84.4494810002"/>
    <n v="10.909000000000001"/>
    <n v="12.355250518148317"/>
    <m/>
    <n v="2000"/>
    <n v="2000"/>
    <s v=""/>
    <m/>
    <n v="0.64"/>
    <n v="1280"/>
    <n v="1280"/>
    <n v="0.36"/>
    <n v="660"/>
    <m/>
    <m/>
    <n v="660"/>
    <n v="0.70532954987550567"/>
    <n v="1410.6590997510114"/>
    <n v="0"/>
    <m/>
    <n v="0.70532954987550567"/>
    <n v="0.70532954987550567"/>
    <n v="1410.6590997510114"/>
    <n v="902.82182384064731"/>
    <n v="507.83727591036404"/>
    <n v="0"/>
    <n v="507.83727591036404"/>
    <s v="P.elongata"/>
    <m/>
    <n v="0.28499999999999998"/>
    <n v="570"/>
    <m/>
    <m/>
    <m/>
    <m/>
    <n v="70"/>
    <n v="500"/>
    <m/>
    <m/>
    <m/>
    <m/>
  </r>
  <r>
    <s v="GT0001"/>
    <x v="2"/>
    <x v="4"/>
    <n v="2028"/>
    <s v="José Scheel "/>
    <n v="30001"/>
    <s v="Ada Patricia Scheel Bartlett"/>
    <s v="+502 57031213"/>
    <x v="2"/>
    <s v="s_hpatricia@hotmail.com"/>
    <s v="AVENIDA LAS AMERICAS 7-62, ZONA 3, EDIFICIO TORRE PRADE-RA XELA, OCTAVO NIVEL, OFICINA 801, QUETZALTENANGO, GUATEMALA"/>
    <s v="FINCA SAN JOSÉ, MUNICIPIO DE FLORES COSTA CUCA, DEPARTAMENTO DE QUETZALTENANGO"/>
    <x v="2"/>
    <s v="14.673889, -91.808333; 14.990889, -91.990889"/>
    <n v="12.1"/>
    <n v="9.0909090909090917"/>
    <m/>
    <n v="1000"/>
    <n v="1000"/>
    <s v=""/>
    <m/>
    <n v="0.64"/>
    <n v="640"/>
    <n v="640"/>
    <n v="0.36"/>
    <n v="330"/>
    <m/>
    <m/>
    <n v="330"/>
    <n v="1"/>
    <n v="1000"/>
    <n v="0"/>
    <m/>
    <n v="1"/>
    <n v="1"/>
    <n v="1000"/>
    <n v="640"/>
    <n v="360"/>
    <n v="0"/>
    <n v="360"/>
    <s v="Elongata"/>
    <m/>
    <n v="0.5"/>
    <n v="500"/>
    <m/>
    <m/>
    <m/>
    <m/>
    <m/>
    <n v="500"/>
    <m/>
    <m/>
    <m/>
    <m/>
  </r>
  <r>
    <s v="GT0006"/>
    <x v="2"/>
    <x v="4"/>
    <n v="2028"/>
    <s v="Luis Fernando Morán Peréz"/>
    <n v="30006"/>
    <s v="Luis Fernando Morán Peréz"/>
    <s v="+50254114650"/>
    <x v="2"/>
    <s v="lmoran@inversionesluys.com"/>
    <s v="A VENIDA LAS AMERICAS 7-62, ZONA 3, EDIFICIO TORRE PRADE­RA XELA, OCTAVO NIVEL, OFICINA 813, MUNICIPIO DE QUETZALTENANGO, DEPARTAMENTO DE  QUETZAL TENANGO"/>
    <s v="FINCA ENTRE RIOS, MUNICIPIO DE EL PALMAR, DEPARTAMENTO DE QUETZALTENANGO"/>
    <x v="2"/>
    <s v="14.680103, -91.609028"/>
    <n v="85.8"/>
    <n v="136.36363636363637"/>
    <m/>
    <n v="15000"/>
    <n v="15000"/>
    <s v=""/>
    <m/>
    <n v="0.64"/>
    <n v="9600"/>
    <n v="9600"/>
    <n v="0.36"/>
    <n v="4950"/>
    <m/>
    <m/>
    <n v="4950"/>
    <n v="0.48423591965479834"/>
    <n v="7263.538794821975"/>
    <n v="0"/>
    <m/>
    <n v="0.48423591965479834"/>
    <n v="0.48423591965479834"/>
    <n v="7263.538794821975"/>
    <n v="4648.6648286860645"/>
    <n v="2614.8739661359109"/>
    <n v="0"/>
    <n v="2614.8739661359109"/>
    <s v="Elongata, CL502, 18K"/>
    <m/>
    <n v="0"/>
    <n v="0"/>
    <m/>
    <m/>
    <m/>
    <m/>
    <m/>
    <m/>
    <m/>
    <m/>
    <m/>
    <m/>
  </r>
  <r>
    <s v="GT0007"/>
    <x v="2"/>
    <x v="4"/>
    <n v="2028"/>
    <s v="Miguel Roberto Mombiela Bruni"/>
    <n v="30007"/>
    <s v="Miguel Roberto Mombiela Bruni"/>
    <s v="+502 30098257"/>
    <x v="2"/>
    <s v="mrmombiela@gmail.com"/>
    <s v="2ª calle 4A-40 zona 9, La Floresta, Quetzaltenango"/>
    <s v="Municipio de Génova, departamento de Quetzaltenango"/>
    <x v="2"/>
    <s v="14.662500, -91.613889; 14.606417, -91.840889"/>
    <n v="1.9"/>
    <n v="2.7272727272727271"/>
    <m/>
    <n v="300"/>
    <n v="300"/>
    <s v=""/>
    <m/>
    <n v="0.64"/>
    <n v="192"/>
    <n v="192"/>
    <n v="0.36"/>
    <n v="99"/>
    <m/>
    <m/>
    <n v="99"/>
    <n v="0.8680524088888889"/>
    <n v="260.41572266666668"/>
    <n v="0"/>
    <m/>
    <n v="0.8680524088888889"/>
    <n v="0.8680524088888889"/>
    <n v="260.41572266666668"/>
    <n v="166.66606250666669"/>
    <n v="93.749660160000005"/>
    <n v="0"/>
    <n v="93.749660160000005"/>
    <s v="Elongata"/>
    <m/>
    <n v="1"/>
    <n v="300"/>
    <m/>
    <m/>
    <m/>
    <m/>
    <m/>
    <n v="300"/>
    <m/>
    <m/>
    <m/>
    <m/>
  </r>
  <r>
    <s v="GT0009"/>
    <x v="2"/>
    <x v="4"/>
    <n v="2028"/>
    <s v="Pedro Antonio Mombiela De León "/>
    <n v="30009"/>
    <s v="Pedro Antonio Mombiela De León "/>
    <s v="(502) 55178198"/>
    <x v="2"/>
    <s v="pedroantoniomombiela@yahoo.com.mx"/>
    <s v="AGRO E INDUSTRIAS LAS MARIAS, COLOMBA COSTA CUCA QUETZALTENANGO,GT"/>
    <s v="AGRO E INDUSTRIAS LAS MARIAS, COLOMBA COSTA CUCA QUETZALTENANGO,GT"/>
    <x v="2"/>
    <s v="14.716111, -91.743611"/>
    <n v="4.4000000000000004"/>
    <n v="5"/>
    <m/>
    <n v="550"/>
    <n v="550"/>
    <s v=""/>
    <m/>
    <n v="0.64"/>
    <n v="352"/>
    <n v="352"/>
    <n v="0.36"/>
    <n v="181.5"/>
    <m/>
    <m/>
    <n v="181.5"/>
    <n v="0.81797103593073583"/>
    <n v="449.8840697619047"/>
    <n v="0"/>
    <m/>
    <n v="0.81797103593073583"/>
    <n v="0.81797103593073583"/>
    <n v="449.8840697619047"/>
    <n v="287.92580464761903"/>
    <n v="161.95826511428569"/>
    <n v="0"/>
    <n v="161.95826511428569"/>
    <s v="Elongata (in 2021 CL502)"/>
    <m/>
    <n v="1"/>
    <n v="550"/>
    <m/>
    <m/>
    <m/>
    <m/>
    <n v="550"/>
    <m/>
    <m/>
    <m/>
    <m/>
    <m/>
  </r>
  <r>
    <s v="CR0080"/>
    <x v="2"/>
    <x v="4"/>
    <n v="0"/>
    <s v="Carlos Batalla"/>
    <n v="20074"/>
    <s v="Carlos Batalla"/>
    <m/>
    <x v="1"/>
    <m/>
    <m/>
    <m/>
    <x v="1"/>
    <m/>
    <m/>
    <s v=""/>
    <m/>
    <n v="500"/>
    <n v="500"/>
    <s v=""/>
    <m/>
    <n v="0.64"/>
    <n v="320"/>
    <n v="320"/>
    <n v="0.36"/>
    <n v="165"/>
    <m/>
    <m/>
    <n v="165"/>
    <n v="0"/>
    <n v="0"/>
    <n v="0"/>
    <n v="0"/>
    <n v="0"/>
    <n v="0"/>
    <n v="0"/>
    <n v="0"/>
    <n v="0"/>
    <n v="0"/>
    <n v="0"/>
    <s v="P.fortunei"/>
    <m/>
    <n v="0"/>
    <n v="0"/>
    <m/>
    <m/>
    <m/>
    <m/>
    <m/>
    <m/>
    <m/>
    <m/>
    <m/>
    <m/>
  </r>
  <r>
    <s v="CR0081"/>
    <x v="2"/>
    <x v="4"/>
    <n v="2028"/>
    <s v="Carlos Castro Solano"/>
    <n v="20075"/>
    <s v="Corporacion Lummal S.A"/>
    <s v="50683178860, 5067005-9832"/>
    <x v="0"/>
    <s v="corporacionlumal@hotmail.com"/>
    <s v="San José Province, Vuelta de Jorco, Costa Rica"/>
    <n v="0"/>
    <x v="1"/>
    <s v="9.808026349, -84.1160400027"/>
    <n v="57.96"/>
    <s v=""/>
    <m/>
    <n v="4000"/>
    <n v="4000"/>
    <s v=""/>
    <m/>
    <n v="0.64"/>
    <n v="2560"/>
    <n v="2560"/>
    <n v="0.36"/>
    <n v="1320"/>
    <m/>
    <m/>
    <n v="1320"/>
    <n v="0.39"/>
    <n v="1560"/>
    <n v="0"/>
    <m/>
    <n v="0.39"/>
    <n v="0.39"/>
    <n v="1560"/>
    <n v="998.4"/>
    <n v="561.6"/>
    <n v="0"/>
    <n v="561.6"/>
    <s v="P.elongata and P.fortunei"/>
    <m/>
    <n v="0.28125"/>
    <n v="1125"/>
    <m/>
    <m/>
    <m/>
    <m/>
    <m/>
    <n v="1125"/>
    <m/>
    <m/>
    <m/>
    <m/>
  </r>
  <r>
    <s v="CR0082"/>
    <x v="2"/>
    <x v="4"/>
    <n v="2028"/>
    <s v="Gustavo Arias"/>
    <n v="20076"/>
    <s v="Carlos Luis Arias"/>
    <n v="50683114275"/>
    <x v="0"/>
    <s v="javier.arias.chaves@hotmail.com, gustavoariaschaves@gmail.com"/>
    <s v="Alajuela Province, Sarchi, Costa Rica"/>
    <s v="10.1442903528, -84.3388900105"/>
    <x v="1"/>
    <s v="10.1442903528, -84.3388900105"/>
    <n v="8"/>
    <s v=""/>
    <m/>
    <n v="1000"/>
    <n v="1000"/>
    <s v=""/>
    <m/>
    <n v="0.64"/>
    <n v="640"/>
    <n v="640"/>
    <n v="0.36"/>
    <n v="330"/>
    <m/>
    <m/>
    <n v="330"/>
    <n v="0.6186544270833334"/>
    <n v="618.65442708333342"/>
    <n v="0"/>
    <m/>
    <n v="0.6186544270833334"/>
    <n v="0.62"/>
    <n v="618.65442708333342"/>
    <n v="395.93883333333338"/>
    <n v="222.71559375000001"/>
    <n v="0"/>
    <n v="222.71559375000001"/>
    <s v="P.elongata"/>
    <m/>
    <n v="0.65500000000000003"/>
    <n v="655"/>
    <m/>
    <m/>
    <m/>
    <m/>
    <n v="155"/>
    <n v="500"/>
    <m/>
    <m/>
    <m/>
    <m/>
  </r>
  <r>
    <s v="CR0083"/>
    <x v="2"/>
    <x v="4"/>
    <n v="2028"/>
    <s v="Carlos Montero"/>
    <n v="20023"/>
    <s v="Carlos Montero"/>
    <m/>
    <x v="0"/>
    <m/>
    <m/>
    <m/>
    <x v="1"/>
    <m/>
    <m/>
    <s v=""/>
    <m/>
    <n v="4000"/>
    <n v="4000"/>
    <s v=""/>
    <m/>
    <n v="0.64"/>
    <n v="2560"/>
    <n v="2560"/>
    <n v="0.36"/>
    <n v="1320"/>
    <m/>
    <m/>
    <n v="1320"/>
    <n v="0"/>
    <n v="0"/>
    <n v="0"/>
    <m/>
    <n v="0"/>
    <n v="0"/>
    <n v="0"/>
    <n v="0"/>
    <n v="0"/>
    <n v="0"/>
    <n v="0"/>
    <s v="P.fortunei"/>
    <m/>
    <n v="0"/>
    <n v="0"/>
    <m/>
    <m/>
    <m/>
    <m/>
    <m/>
    <m/>
    <m/>
    <m/>
    <m/>
    <m/>
  </r>
  <r>
    <s v="CR0084"/>
    <x v="2"/>
    <x v="4"/>
    <n v="2028"/>
    <s v="Carmelita Soto"/>
    <n v="20077"/>
    <s v="Carmelita Soto"/>
    <n v="50689424551"/>
    <x v="1"/>
    <s v="carmelitasn21@gmail.com"/>
    <s v="Puntarenas Province, San Vito, Costa Rica"/>
    <s v="8.81043499972, -82.9855150001"/>
    <x v="1"/>
    <s v="8.81043499972, -82.9855150001"/>
    <n v="7.17"/>
    <s v=""/>
    <m/>
    <n v="1000"/>
    <n v="1000"/>
    <s v=""/>
    <m/>
    <n v="0.64"/>
    <n v="640"/>
    <n v="640"/>
    <n v="0.36"/>
    <n v="330"/>
    <m/>
    <m/>
    <n v="330"/>
    <n v="1"/>
    <n v="1000"/>
    <n v="0"/>
    <n v="0"/>
    <n v="0"/>
    <n v="0"/>
    <n v="0"/>
    <n v="0"/>
    <n v="0"/>
    <n v="0"/>
    <n v="0"/>
    <s v="P.fortunei"/>
    <m/>
    <n v="1.1499999999999999"/>
    <n v="1150"/>
    <m/>
    <m/>
    <m/>
    <n v="900"/>
    <m/>
    <n v="250"/>
    <m/>
    <m/>
    <m/>
    <m/>
  </r>
  <r>
    <s v="CR0085"/>
    <x v="2"/>
    <x v="4"/>
    <n v="0"/>
    <s v="David Gutierrez"/>
    <n v="20009"/>
    <s v="Edgar Gutierrez"/>
    <m/>
    <x v="1"/>
    <m/>
    <m/>
    <m/>
    <x v="1"/>
    <m/>
    <m/>
    <s v=""/>
    <m/>
    <n v="285"/>
    <n v="285"/>
    <s v=""/>
    <m/>
    <n v="0.64"/>
    <n v="182.4"/>
    <n v="182.4"/>
    <n v="0.36"/>
    <n v="94.050000000000011"/>
    <m/>
    <m/>
    <n v="94.050000000000011"/>
    <n v="0"/>
    <n v="0"/>
    <n v="0"/>
    <n v="0"/>
    <n v="0"/>
    <n v="0"/>
    <n v="0"/>
    <n v="0"/>
    <n v="0"/>
    <n v="0"/>
    <n v="0"/>
    <s v="P.fortunei"/>
    <m/>
    <n v="0"/>
    <n v="0"/>
    <m/>
    <m/>
    <m/>
    <m/>
    <m/>
    <m/>
    <m/>
    <m/>
    <m/>
    <m/>
  </r>
  <r>
    <s v="CR0086"/>
    <x v="2"/>
    <x v="4"/>
    <n v="0"/>
    <s v="Agner Chinchlla"/>
    <n v="20078"/>
    <s v="Edgar Chinchilla Quesada "/>
    <s v="5068952-7886"/>
    <x v="1"/>
    <s v="agnerchinchilla64@gmail.com"/>
    <s v="Sabalito, Puntarenas Province, Costa Rica"/>
    <s v="8.845435,-82.895748"/>
    <x v="1"/>
    <s v="8.845435,-82.895748"/>
    <n v="6.714572092800001"/>
    <s v=""/>
    <m/>
    <n v="1700"/>
    <n v="1700"/>
    <s v=""/>
    <m/>
    <n v="0.64"/>
    <n v="1088"/>
    <n v="1088"/>
    <n v="0.36"/>
    <n v="561"/>
    <m/>
    <m/>
    <n v="561"/>
    <n v="1"/>
    <n v="1700"/>
    <n v="0"/>
    <n v="0"/>
    <n v="0"/>
    <n v="0"/>
    <n v="0"/>
    <n v="0"/>
    <n v="0"/>
    <n v="0"/>
    <n v="0"/>
    <s v="P.fortunei"/>
    <m/>
    <n v="0.72058823529411764"/>
    <n v="1225"/>
    <m/>
    <m/>
    <m/>
    <n v="800"/>
    <m/>
    <n v="425"/>
    <m/>
    <m/>
    <m/>
    <m/>
  </r>
  <r>
    <s v="CR0087"/>
    <x v="2"/>
    <x v="4"/>
    <n v="2028"/>
    <s v="Francisco Flores"/>
    <n v="20079"/>
    <s v="Beneficio La Guaria S.A"/>
    <s v="50685334949, 50624484800, 50683822204"/>
    <x v="0"/>
    <s v="beneguaria@ice.co.cr, brasacha@gmail.com"/>
    <s v="San Rafael de Poas, Alajuela Province, San Rafael, Costa Rica"/>
    <s v="10.094975, -84.2569388889"/>
    <x v="1"/>
    <s v="10.094975, -84.2569388889"/>
    <n v="16.521830000000001"/>
    <s v=""/>
    <m/>
    <n v="4500"/>
    <n v="4500"/>
    <s v=""/>
    <m/>
    <n v="0.64"/>
    <n v="2880"/>
    <n v="2880"/>
    <n v="0.36"/>
    <n v="1485"/>
    <m/>
    <m/>
    <n v="1485"/>
    <n v="0.60207975308641981"/>
    <n v="2709.3588888888889"/>
    <n v="0"/>
    <m/>
    <n v="0.60207975308641981"/>
    <n v="0.6"/>
    <n v="2709.3588888888889"/>
    <n v="1733.9896888888888"/>
    <n v="975.36919999999998"/>
    <n v="0"/>
    <n v="975.36919999999998"/>
    <s v="P.elongata"/>
    <m/>
    <n v="0.33333333333333331"/>
    <n v="1500"/>
    <m/>
    <m/>
    <m/>
    <m/>
    <m/>
    <n v="1500"/>
    <m/>
    <m/>
    <m/>
    <m/>
  </r>
  <r>
    <s v="CR0088"/>
    <x v="2"/>
    <x v="4"/>
    <n v="2028"/>
    <s v="Leonardo Cordero"/>
    <n v="20080"/>
    <s v="Greivin Cordero"/>
    <n v="50689554585"/>
    <x v="0"/>
    <s v="leonardocrdr986@gmail.com"/>
    <s v="Tuis, Cartago Province, Turrialba, Costa Rica"/>
    <s v="9.85458385907, -83.5665219867"/>
    <x v="1"/>
    <s v="9.85458385907, -83.5665219867"/>
    <n v="4.6899999999999995"/>
    <s v=""/>
    <m/>
    <n v="1000"/>
    <n v="1000"/>
    <s v=""/>
    <m/>
    <n v="0.64"/>
    <n v="640"/>
    <n v="640"/>
    <n v="0.36"/>
    <n v="330"/>
    <m/>
    <m/>
    <n v="330"/>
    <n v="0.9"/>
    <n v="900"/>
    <n v="0"/>
    <m/>
    <n v="0.9"/>
    <n v="0.9"/>
    <n v="900"/>
    <n v="576"/>
    <n v="324"/>
    <n v="0"/>
    <n v="324"/>
    <s v="P.fortunei"/>
    <m/>
    <n v="0.4"/>
    <n v="400"/>
    <m/>
    <m/>
    <m/>
    <n v="150"/>
    <m/>
    <n v="250"/>
    <m/>
    <m/>
    <m/>
    <m/>
  </r>
  <r>
    <s v="US0034"/>
    <x v="2"/>
    <x v="4"/>
    <n v="2028"/>
    <s v="Billy Whittaker"/>
    <n v="10030"/>
    <s v="Billy Whittaker"/>
    <s v="229-243-3487, 229 400 2304"/>
    <x v="2"/>
    <s v="whihm@aol.com"/>
    <s v="7701 Reynolds Landing Rd Donalsonville GA 39845-6928"/>
    <s v="7701 Reynolds Landing Rd Donalsonville GA 39845-6928"/>
    <x v="0"/>
    <s v="30.820767, -84.808612"/>
    <n v="6.7"/>
    <n v="10"/>
    <m/>
    <n v="1100"/>
    <n v="1100"/>
    <s v=""/>
    <m/>
    <n v="0.64"/>
    <n v="704"/>
    <n v="704"/>
    <n v="0.36"/>
    <n v="396"/>
    <m/>
    <m/>
    <n v="396"/>
    <n v="0.9550545454545456"/>
    <n v="1050.5600000000002"/>
    <n v="0"/>
    <m/>
    <n v="0.9550545454545456"/>
    <n v="0.9550545454545456"/>
    <n v="1050.5600000000002"/>
    <n v="672.35840000000007"/>
    <n v="378.20160000000004"/>
    <n v="0"/>
    <n v="378.20160000000004"/>
    <s v="Fortunei"/>
    <s v="11, 12, 14"/>
    <n v="1.5772727272727274"/>
    <n v="1735"/>
    <m/>
    <m/>
    <m/>
    <m/>
    <n v="363"/>
    <n v="1372"/>
    <m/>
    <m/>
    <m/>
    <m/>
  </r>
  <r>
    <s v="CR0090"/>
    <x v="2"/>
    <x v="4"/>
    <n v="0"/>
    <s v="Omar Cascante"/>
    <n v="20082"/>
    <s v="Omar Cascante"/>
    <m/>
    <x v="1"/>
    <m/>
    <m/>
    <m/>
    <x v="1"/>
    <m/>
    <m/>
    <s v=""/>
    <m/>
    <n v="1800"/>
    <n v="1800"/>
    <s v=""/>
    <m/>
    <n v="0.64"/>
    <n v="1152"/>
    <n v="1152"/>
    <n v="0.36"/>
    <n v="594"/>
    <m/>
    <m/>
    <n v="594"/>
    <n v="0"/>
    <n v="0"/>
    <n v="0"/>
    <n v="0"/>
    <n v="0"/>
    <n v="0"/>
    <n v="0"/>
    <n v="0"/>
    <n v="0"/>
    <n v="0"/>
    <n v="0"/>
    <s v="P.fortunei"/>
    <m/>
    <n v="0"/>
    <n v="0"/>
    <m/>
    <m/>
    <m/>
    <m/>
    <m/>
    <m/>
    <m/>
    <m/>
    <m/>
    <m/>
  </r>
  <r>
    <s v="CR0091"/>
    <x v="2"/>
    <x v="4"/>
    <n v="0"/>
    <s v="William Mora"/>
    <n v="20083"/>
    <s v="William Mora"/>
    <m/>
    <x v="1"/>
    <m/>
    <m/>
    <m/>
    <x v="1"/>
    <m/>
    <m/>
    <s v=""/>
    <m/>
    <n v="1000"/>
    <n v="1000"/>
    <s v=""/>
    <m/>
    <n v="0.64"/>
    <n v="640"/>
    <n v="640"/>
    <n v="0.36"/>
    <n v="330"/>
    <m/>
    <m/>
    <n v="330"/>
    <n v="0"/>
    <n v="0"/>
    <n v="0"/>
    <n v="0"/>
    <n v="0"/>
    <n v="0"/>
    <n v="0"/>
    <n v="0"/>
    <n v="0"/>
    <n v="0"/>
    <n v="0"/>
    <s v="P.fortunei"/>
    <m/>
    <n v="0"/>
    <n v="0"/>
    <m/>
    <m/>
    <m/>
    <m/>
    <m/>
    <m/>
    <m/>
    <m/>
    <m/>
    <m/>
  </r>
  <r>
    <s v="US0035"/>
    <x v="2"/>
    <x v="4"/>
    <n v="2028"/>
    <s v="Billy Whittaker"/>
    <n v="10030"/>
    <s v="Billy Whittaker and Joyce P Earnest"/>
    <s v="229-243-3487, 229 400 2304"/>
    <x v="2"/>
    <s v="whihm@aol.com"/>
    <s v="7701 Reynolds Landing Rd Donalsonville GA 39845-6928"/>
    <s v="7701 Reynolds Landing Rd Donalsonville GA 39845-6928"/>
    <x v="0"/>
    <s v="30.836336, -84.884128"/>
    <n v="4.2"/>
    <n v="4.1818181818181817"/>
    <m/>
    <n v="460"/>
    <n v="460"/>
    <s v=""/>
    <m/>
    <n v="0.63913043478260867"/>
    <n v="294"/>
    <n v="294"/>
    <n v="0.36"/>
    <n v="165.6"/>
    <m/>
    <m/>
    <n v="165.6"/>
    <n v="0.1521739130434783"/>
    <n v="70.000000000000014"/>
    <n v="0"/>
    <m/>
    <n v="0.1521739130434783"/>
    <n v="0.1521739130434783"/>
    <n v="70.000000000000014"/>
    <n v="44.739130434782616"/>
    <n v="25.200000000000003"/>
    <n v="0"/>
    <n v="25.200000000000003"/>
    <s v="Fortunei"/>
    <s v="11, 12, 14"/>
    <n v="0.80217391304347829"/>
    <n v="369"/>
    <m/>
    <m/>
    <m/>
    <m/>
    <n v="62"/>
    <n v="307"/>
    <m/>
    <m/>
    <m/>
    <m/>
  </r>
  <r>
    <s v="US0037"/>
    <x v="2"/>
    <x v="4"/>
    <n v="2028"/>
    <s v="Cheryl Meserole"/>
    <n v="10031"/>
    <s v="Cheryl Meserole"/>
    <s v="334-885-6662"/>
    <x v="2"/>
    <s v="cyarbrough@teleclipse.net"/>
    <s v="545 County Road 664 Roanoke AL 36274-5439"/>
    <s v="545 County Road 664 Roanoke AL 36274-5439"/>
    <x v="0"/>
    <s v="33.151431, -85.297489"/>
    <n v="4.0999999999999996"/>
    <n v="5"/>
    <m/>
    <n v="550"/>
    <n v="550"/>
    <s v=""/>
    <m/>
    <n v="0.64"/>
    <n v="352"/>
    <n v="352"/>
    <n v="0.36"/>
    <n v="198"/>
    <m/>
    <m/>
    <n v="198"/>
    <n v="0.98399999999999987"/>
    <n v="541.19999999999993"/>
    <n v="0"/>
    <m/>
    <n v="0.98399999999999987"/>
    <n v="0.98399999999999987"/>
    <n v="541.19999999999993"/>
    <n v="346.36799999999994"/>
    <n v="194.83199999999997"/>
    <n v="0"/>
    <n v="194.83199999999997"/>
    <s v="Fortunei"/>
    <s v="11, 12, 14"/>
    <n v="1.1181818181818182"/>
    <n v="615"/>
    <m/>
    <m/>
    <m/>
    <n v="105"/>
    <n v="200"/>
    <n v="310"/>
    <m/>
    <m/>
    <m/>
    <m/>
  </r>
  <r>
    <s v="US0038"/>
    <x v="2"/>
    <x v="4"/>
    <n v="2028"/>
    <s v="Dan McClure"/>
    <n v="10032"/>
    <s v="The Langdon Group WW LLC"/>
    <s v="509-520-2957, 509-520-2957"/>
    <x v="2"/>
    <s v="mccluredan4@gmail.com, sarahdale.mcclure@gmail.com, cbmcclure22@gmail.com"/>
    <n v="0"/>
    <s v="2994 Barney Rd, Touchet, WA 99360-9681"/>
    <x v="0"/>
    <s v="46.018121, -118.631065"/>
    <m/>
    <n v="30.90909090909091"/>
    <m/>
    <n v="3400"/>
    <n v="3400"/>
    <s v=""/>
    <m/>
    <n v="0.64"/>
    <n v="2176"/>
    <n v="2176"/>
    <n v="0.36"/>
    <n v="1224"/>
    <m/>
    <m/>
    <n v="1224"/>
    <n v="0.625"/>
    <n v="2125"/>
    <n v="0"/>
    <m/>
    <n v="0.625"/>
    <n v="0.625"/>
    <n v="2125"/>
    <n v="1360"/>
    <n v="765"/>
    <n v="0"/>
    <n v="765"/>
    <s v="Fortunei"/>
    <s v="11, 12, 13, 14, 18, TG Cool"/>
    <n v="1.0505882352941176"/>
    <n v="3572"/>
    <m/>
    <m/>
    <m/>
    <m/>
    <n v="1890"/>
    <n v="532"/>
    <n v="1150"/>
    <m/>
    <m/>
    <m/>
  </r>
  <r>
    <s v="US0039"/>
    <x v="2"/>
    <x v="4"/>
    <n v="2028"/>
    <s v="David Chang"/>
    <n v="10033"/>
    <s v="David Chang"/>
    <s v="769-475-0772"/>
    <x v="2"/>
    <s v="lungs111@yahoo.com, lungs111@gmail.com"/>
    <s v="2561 Legends Row, Mobile, AL, USA 36618-4819"/>
    <s v="4019 Stringfellow Road, Lucedale, MS 39452, USA"/>
    <x v="0"/>
    <s v="31.046150, -88.514616"/>
    <n v="8.5"/>
    <n v="10"/>
    <s v="Y"/>
    <n v="1100"/>
    <n v="1100"/>
    <s v=""/>
    <m/>
    <n v="0.64"/>
    <n v="704"/>
    <n v="704"/>
    <n v="0.36"/>
    <n v="396"/>
    <m/>
    <m/>
    <n v="396"/>
    <n v="0.96193846153846152"/>
    <n v="1058.1323076923077"/>
    <n v="0"/>
    <m/>
    <n v="0.96193846153846152"/>
    <n v="0.96193846153846152"/>
    <n v="1058.1323076923077"/>
    <n v="677.20467692307693"/>
    <n v="380.92763076923075"/>
    <n v="0"/>
    <n v="380.92763076923075"/>
    <s v="Fortunei"/>
    <s v="12, 14"/>
    <n v="0.14545454545454545"/>
    <n v="160"/>
    <m/>
    <m/>
    <m/>
    <m/>
    <m/>
    <n v="110"/>
    <n v="50"/>
    <m/>
    <m/>
    <m/>
  </r>
  <r>
    <s v="US0041"/>
    <x v="2"/>
    <x v="4"/>
    <n v="2028"/>
    <s v="Derek Bass"/>
    <n v="10035"/>
    <s v="Derek Bass"/>
    <s v="334-657-2856"/>
    <x v="2"/>
    <s v="wdb359@aol.com"/>
    <s v="359 Sunny Lane Loop, Wetumpka, AL, USA 36092"/>
    <s v="359 Sunny Lane Loop, Wetumpka, AL, USA 36092"/>
    <x v="0"/>
    <s v="32.643850, -86.087211"/>
    <n v="11.2"/>
    <n v="10"/>
    <m/>
    <n v="1100"/>
    <n v="1100"/>
    <s v=""/>
    <m/>
    <n v="0.64"/>
    <n v="704"/>
    <n v="704"/>
    <n v="0.36"/>
    <n v="396"/>
    <m/>
    <m/>
    <n v="396"/>
    <n v="0.79071177226813594"/>
    <n v="869.78294949494955"/>
    <n v="0"/>
    <m/>
    <n v="0.79071177226813594"/>
    <n v="0.79071177226813594"/>
    <n v="869.78294949494955"/>
    <n v="556.66108767676769"/>
    <n v="313.1218618181818"/>
    <n v="0"/>
    <n v="313.1218618181818"/>
    <s v="Fortunei"/>
    <s v="11, 12, 14"/>
    <n v="0.48818181818181816"/>
    <n v="537"/>
    <m/>
    <m/>
    <m/>
    <m/>
    <n v="356"/>
    <n v="181"/>
    <m/>
    <m/>
    <m/>
    <m/>
  </r>
  <r>
    <s v="US0045"/>
    <x v="2"/>
    <x v="4"/>
    <n v="2028"/>
    <s v="Michael Masengil"/>
    <n v="10038"/>
    <s v="Michael Masengil"/>
    <s v="423-453-1271"/>
    <x v="2"/>
    <s v="mlmasengil@gmail.com"/>
    <s v="945 County Road 461,  Englewood TN 37329-5242"/>
    <s v="945 County Road 461,  Englewood TN 37329-5242"/>
    <x v="0"/>
    <s v="35.414436, -84.455699"/>
    <n v="7.7"/>
    <n v="10"/>
    <m/>
    <n v="1100"/>
    <n v="1100"/>
    <s v=""/>
    <m/>
    <n v="0.64"/>
    <n v="704"/>
    <n v="704"/>
    <n v="0.36"/>
    <n v="396"/>
    <m/>
    <m/>
    <n v="396"/>
    <n v="0.84739022435897426"/>
    <n v="932.12924679487173"/>
    <n v="0"/>
    <m/>
    <n v="0.84739022435897426"/>
    <n v="0.84739022435897426"/>
    <n v="932.12924679487173"/>
    <n v="596.56271794871793"/>
    <n v="335.5665288461538"/>
    <n v="0"/>
    <n v="335.5665288461538"/>
    <s v="Fortunei"/>
    <s v="12, 13, 18"/>
    <n v="0.80636363636363639"/>
    <n v="887"/>
    <m/>
    <m/>
    <m/>
    <m/>
    <n v="337"/>
    <n v="550"/>
    <m/>
    <m/>
    <m/>
    <m/>
  </r>
  <r>
    <s v="US0047"/>
    <x v="2"/>
    <x v="4"/>
    <n v="2028"/>
    <s v="Scott Willis"/>
    <n v="10040"/>
    <s v="Scott Willis"/>
    <s v="205-287-1554"/>
    <x v="2"/>
    <s v="fishdraft@yahoo.com"/>
    <s v="33303 County Rd. 51 Clanton Al 35046"/>
    <s v="455 County Road 537, Verbena, AL 36091, USA"/>
    <x v="0"/>
    <s v="32.718296, -86.462519"/>
    <n v="14.9"/>
    <n v="10"/>
    <s v="Y"/>
    <n v="1100"/>
    <n v="1100"/>
    <s v=""/>
    <m/>
    <n v="0.64"/>
    <n v="704"/>
    <n v="704"/>
    <n v="0.36"/>
    <n v="396"/>
    <m/>
    <m/>
    <n v="396"/>
    <n v="0.97496103896103914"/>
    <n v="1072.457142857143"/>
    <n v="0"/>
    <m/>
    <n v="0.97496103896103914"/>
    <n v="0.97496103896103914"/>
    <n v="1072.457142857143"/>
    <n v="686.37257142857152"/>
    <n v="386.08457142857145"/>
    <n v="0"/>
    <n v="386.08457142857145"/>
    <s v="Fortunei"/>
    <s v="14, 18"/>
    <n v="0.13090909090909092"/>
    <n v="144"/>
    <m/>
    <m/>
    <m/>
    <m/>
    <n v="32"/>
    <n v="112"/>
    <m/>
    <m/>
    <m/>
    <m/>
  </r>
  <r>
    <s v="US0049"/>
    <x v="2"/>
    <x v="4"/>
    <n v="2028"/>
    <s v="Steven Whittaker"/>
    <n v="10042"/>
    <s v="Steven Whittaker"/>
    <s v="229-254-3319"/>
    <x v="2"/>
    <s v="jarviswhittaker@icloud.com"/>
    <s v="7688 Reynolds Landing Rd, Donalsonville, GA 39845-6925, USA"/>
    <s v="7688 Reynolds Landing Rd, Donalsonville, GA 39845-6925, USA"/>
    <x v="0"/>
    <s v="30.822035, -84.810527"/>
    <n v="11.3"/>
    <n v="8"/>
    <m/>
    <n v="880"/>
    <n v="880"/>
    <s v=""/>
    <m/>
    <n v="0.64"/>
    <n v="563.20000000000005"/>
    <n v="563.20000000000005"/>
    <n v="0.36"/>
    <n v="316.8"/>
    <m/>
    <m/>
    <n v="316.8"/>
    <n v="1"/>
    <n v="880"/>
    <n v="0"/>
    <m/>
    <n v="1"/>
    <n v="1"/>
    <n v="880"/>
    <n v="563.20000000000005"/>
    <n v="316.8"/>
    <n v="0"/>
    <n v="316.8"/>
    <s v="Fortunei"/>
    <s v="12, 14"/>
    <n v="0.36477272727272725"/>
    <n v="321"/>
    <m/>
    <m/>
    <m/>
    <m/>
    <n v="50"/>
    <n v="271"/>
    <m/>
    <m/>
    <m/>
    <m/>
  </r>
  <r>
    <s v="US0051"/>
    <x v="2"/>
    <x v="4"/>
    <n v="2028"/>
    <s v="Wayne Moseley"/>
    <n v="10044"/>
    <s v="Wayne Moseley"/>
    <s v="251-769-2778, 251-246-4346"/>
    <x v="2"/>
    <n v="0"/>
    <s v="2045 Pruitt Rd, Leroy, AL, USA 36548-5010"/>
    <s v="2045 Pruitt Rd, Leroy, AL, USA 36548-5010"/>
    <x v="0"/>
    <s v="31.507085, -88.018129"/>
    <n v="9"/>
    <n v="10"/>
    <m/>
    <n v="1100"/>
    <n v="1100"/>
    <s v=""/>
    <m/>
    <n v="0.64"/>
    <n v="704"/>
    <n v="704"/>
    <n v="0.36"/>
    <n v="396"/>
    <m/>
    <m/>
    <n v="396"/>
    <n v="0.35181818181818175"/>
    <n v="386.99999999999994"/>
    <n v="0"/>
    <m/>
    <n v="0.35181818181818175"/>
    <n v="0.35181818181818175"/>
    <n v="386.99999999999994"/>
    <n v="247.67999999999998"/>
    <n v="139.31999999999996"/>
    <n v="0"/>
    <n v="139.31999999999996"/>
    <s v="Fortunei"/>
    <s v="12, 14"/>
    <n v="0.65454545454545454"/>
    <n v="720"/>
    <m/>
    <m/>
    <m/>
    <m/>
    <n v="400"/>
    <m/>
    <n v="320"/>
    <m/>
    <m/>
    <m/>
  </r>
  <r>
    <s v="GT0002"/>
    <x v="2"/>
    <x v="4"/>
    <n v="0"/>
    <s v="Christopher Michael Schwart Marklan"/>
    <n v="30002"/>
    <s v="Christopher Michael Schwart Marklan"/>
    <m/>
    <x v="1"/>
    <m/>
    <m/>
    <m/>
    <x v="2"/>
    <m/>
    <m/>
    <s v=""/>
    <m/>
    <n v="1000"/>
    <n v="1000"/>
    <s v=""/>
    <m/>
    <n v="0.64"/>
    <n v="640"/>
    <n v="640"/>
    <n v="0.36"/>
    <n v="330"/>
    <m/>
    <m/>
    <n v="330"/>
    <n v="0"/>
    <n v="0"/>
    <n v="0"/>
    <n v="0"/>
    <n v="0"/>
    <n v="0"/>
    <n v="0"/>
    <n v="0"/>
    <n v="0"/>
    <n v="0"/>
    <n v="0"/>
    <s v="Elongata"/>
    <m/>
    <n v="0"/>
    <n v="0"/>
    <m/>
    <m/>
    <m/>
    <m/>
    <m/>
    <m/>
    <m/>
    <m/>
    <m/>
    <m/>
  </r>
  <r>
    <s v="GT0003"/>
    <x v="2"/>
    <x v="4"/>
    <n v="0"/>
    <s v="Edgar Rodolfo Grisolia"/>
    <n v="30003"/>
    <s v="Edgar Rodolfo Grisolia"/>
    <m/>
    <x v="1"/>
    <m/>
    <m/>
    <m/>
    <x v="2"/>
    <m/>
    <m/>
    <s v=""/>
    <m/>
    <n v="1000"/>
    <n v="1000"/>
    <s v=""/>
    <m/>
    <n v="0.64"/>
    <n v="640"/>
    <n v="640"/>
    <n v="0.36"/>
    <n v="330"/>
    <m/>
    <m/>
    <n v="330"/>
    <n v="0"/>
    <n v="0"/>
    <n v="0"/>
    <n v="0"/>
    <n v="0"/>
    <n v="0"/>
    <n v="0"/>
    <n v="0"/>
    <n v="0"/>
    <n v="0"/>
    <n v="0"/>
    <s v="Elongata"/>
    <m/>
    <n v="0"/>
    <n v="0"/>
    <m/>
    <m/>
    <m/>
    <m/>
    <m/>
    <m/>
    <m/>
    <m/>
    <m/>
    <m/>
  </r>
  <r>
    <s v="GT0004"/>
    <x v="2"/>
    <x v="4"/>
    <n v="0"/>
    <s v="Jorge Guillermo Castillo Mastahinich"/>
    <n v="30004"/>
    <s v="Jorge Guillermo Castillo Mastahinich"/>
    <m/>
    <x v="1"/>
    <m/>
    <m/>
    <m/>
    <x v="2"/>
    <m/>
    <m/>
    <s v=""/>
    <m/>
    <n v="1000"/>
    <n v="1000"/>
    <s v=""/>
    <m/>
    <n v="0.64"/>
    <n v="640"/>
    <n v="640"/>
    <n v="0.36"/>
    <n v="330"/>
    <m/>
    <m/>
    <n v="330"/>
    <n v="0"/>
    <n v="0"/>
    <n v="0"/>
    <n v="0"/>
    <n v="0"/>
    <n v="0"/>
    <n v="0"/>
    <n v="0"/>
    <n v="0"/>
    <n v="0"/>
    <n v="0"/>
    <s v="Elongata"/>
    <m/>
    <n v="0"/>
    <n v="0"/>
    <m/>
    <m/>
    <m/>
    <m/>
    <m/>
    <m/>
    <m/>
    <m/>
    <m/>
    <m/>
  </r>
  <r>
    <s v="GT0008"/>
    <x v="2"/>
    <x v="4"/>
    <n v="0"/>
    <s v="Pablo Antonio Castillo Mastahinich"/>
    <n v="30008"/>
    <s v="Pablo Antonio Castillo Mastahinich"/>
    <m/>
    <x v="1"/>
    <m/>
    <m/>
    <m/>
    <x v="2"/>
    <m/>
    <m/>
    <s v=""/>
    <m/>
    <n v="1000"/>
    <n v="1000"/>
    <s v=""/>
    <m/>
    <n v="0.64"/>
    <n v="640"/>
    <n v="640"/>
    <n v="0.36"/>
    <n v="330"/>
    <m/>
    <m/>
    <n v="330"/>
    <n v="0"/>
    <n v="0"/>
    <n v="0"/>
    <n v="0"/>
    <n v="0"/>
    <n v="0"/>
    <n v="0"/>
    <n v="0"/>
    <n v="0"/>
    <n v="0"/>
    <n v="0"/>
    <s v="Elongata"/>
    <m/>
    <n v="0"/>
    <n v="0"/>
    <m/>
    <m/>
    <m/>
    <m/>
    <m/>
    <m/>
    <m/>
    <m/>
    <m/>
    <m/>
  </r>
  <r>
    <s v="GT0011"/>
    <x v="2"/>
    <x v="4"/>
    <n v="2028"/>
    <s v="Erick Cienfuegos "/>
    <n v="30011"/>
    <s v="Rudy Israel Cienfuegos Cordón"/>
    <s v="+(502) 50010308"/>
    <x v="0"/>
    <s v="rudy-cem@hotmail.com"/>
    <s v="5ª CALLE B 2-01, ZONA 3, COLONIA LOS ANGELES, MUNICIPIO DE CHIQUIMULA, DEPARTAMENTO DE CHIQUIMULA"/>
    <s v="MUNICIPIO DE LA UNIÓN, DEPARTAMENTO DE ZACAPA"/>
    <x v="2"/>
    <s v="14.949444, -89.331667"/>
    <n v="2.2999999999999998"/>
    <s v=""/>
    <m/>
    <n v="1000"/>
    <n v="1000"/>
    <s v=""/>
    <m/>
    <n v="0.64"/>
    <n v="640"/>
    <n v="640"/>
    <n v="0.36"/>
    <n v="330"/>
    <m/>
    <m/>
    <n v="330"/>
    <n v="0.18409090909090908"/>
    <n v="184.09090909090909"/>
    <n v="0"/>
    <m/>
    <n v="0.18409090909090908"/>
    <n v="0.18"/>
    <n v="184.09090909090909"/>
    <n v="117.81818181818183"/>
    <n v="66.272727272727266"/>
    <n v="0"/>
    <n v="66.272727272727266"/>
    <s v="Elongata"/>
    <m/>
    <n v="0"/>
    <n v="0"/>
    <m/>
    <m/>
    <m/>
    <m/>
    <m/>
    <m/>
    <m/>
    <m/>
    <m/>
    <m/>
  </r>
  <r>
    <s v="MX0001"/>
    <x v="2"/>
    <x v="4"/>
    <n v="0"/>
    <s v="Jose Angel Hurtado Márquez"/>
    <n v="40001"/>
    <s v="Jose Angel Hurtado Márquez"/>
    <m/>
    <x v="1"/>
    <m/>
    <m/>
    <m/>
    <x v="3"/>
    <m/>
    <m/>
    <s v=""/>
    <m/>
    <n v="5000"/>
    <n v="5000"/>
    <s v=""/>
    <m/>
    <n v="0.64"/>
    <n v="3200"/>
    <n v="3200"/>
    <n v="0.36"/>
    <n v="1650"/>
    <m/>
    <m/>
    <n v="1650"/>
    <n v="0"/>
    <n v="0"/>
    <n v="0"/>
    <n v="0"/>
    <n v="0"/>
    <n v="0"/>
    <n v="0"/>
    <n v="0"/>
    <n v="0"/>
    <n v="0"/>
    <n v="0"/>
    <m/>
    <m/>
    <n v="0"/>
    <n v="0"/>
    <m/>
    <m/>
    <m/>
    <m/>
    <m/>
    <m/>
    <m/>
    <m/>
    <m/>
    <m/>
  </r>
  <r>
    <s v="MX0002"/>
    <x v="2"/>
    <x v="4"/>
    <n v="0"/>
    <s v="José Francisco Sánchez Rojas"/>
    <n v="40002"/>
    <s v="José Francisco Sánchez Rojas"/>
    <m/>
    <x v="1"/>
    <m/>
    <m/>
    <m/>
    <x v="3"/>
    <m/>
    <m/>
    <s v=""/>
    <m/>
    <n v="2000"/>
    <n v="2000"/>
    <s v=""/>
    <m/>
    <n v="0.64"/>
    <n v="1280"/>
    <n v="1280"/>
    <n v="0.36"/>
    <n v="660"/>
    <m/>
    <m/>
    <n v="660"/>
    <n v="0"/>
    <n v="0"/>
    <n v="0"/>
    <n v="0"/>
    <n v="0"/>
    <n v="0"/>
    <n v="0"/>
    <n v="0"/>
    <n v="0"/>
    <n v="0"/>
    <n v="0"/>
    <m/>
    <m/>
    <n v="0"/>
    <n v="0"/>
    <m/>
    <m/>
    <m/>
    <m/>
    <m/>
    <m/>
    <m/>
    <m/>
    <m/>
    <m/>
  </r>
  <r>
    <s v="US0033"/>
    <x v="2"/>
    <x v="4"/>
    <n v="0"/>
    <s v="Alfie Kelly"/>
    <n v="10029"/>
    <s v="Alfie Kelly"/>
    <m/>
    <x v="1"/>
    <m/>
    <m/>
    <m/>
    <x v="0"/>
    <m/>
    <m/>
    <s v=""/>
    <m/>
    <n v="4400"/>
    <n v="4400"/>
    <s v=""/>
    <m/>
    <n v="0.64"/>
    <n v="2816"/>
    <n v="2816"/>
    <n v="0.36"/>
    <n v="1452"/>
    <m/>
    <m/>
    <n v="1452"/>
    <n v="0"/>
    <n v="0"/>
    <n v="0"/>
    <n v="0"/>
    <n v="0"/>
    <n v="0"/>
    <n v="0"/>
    <n v="0"/>
    <n v="0"/>
    <n v="0"/>
    <n v="0"/>
    <s v="Fortunei"/>
    <m/>
    <n v="0.5"/>
    <n v="2200"/>
    <m/>
    <m/>
    <m/>
    <m/>
    <m/>
    <n v="2200"/>
    <m/>
    <m/>
    <m/>
    <m/>
  </r>
  <r>
    <s v="US0036"/>
    <x v="2"/>
    <x v="4"/>
    <n v="0"/>
    <s v="Billy Whittaker"/>
    <n v="10030"/>
    <s v="Two Rivers Timbers LLC"/>
    <s v="229-243-3487, 229 400 2304"/>
    <x v="1"/>
    <s v="whihm@aol.com"/>
    <s v="7701 Reynolds Landing Rd Donalsonville GA 39845-6928"/>
    <s v="7701 Reynolds Landing Rd Donalsonville GA 39845-6928"/>
    <x v="0"/>
    <m/>
    <m/>
    <s v=""/>
    <m/>
    <n v="1300"/>
    <n v="1300"/>
    <s v=""/>
    <m/>
    <n v="0.64"/>
    <n v="832"/>
    <n v="832"/>
    <n v="0.36"/>
    <n v="429"/>
    <m/>
    <m/>
    <n v="429"/>
    <n v="0"/>
    <n v="0"/>
    <n v="0"/>
    <n v="0"/>
    <n v="0"/>
    <n v="0"/>
    <n v="0"/>
    <n v="0"/>
    <n v="0"/>
    <n v="0"/>
    <n v="0"/>
    <s v="Fortunei"/>
    <s v="11, 12, 14"/>
    <n v="0"/>
    <n v="0"/>
    <m/>
    <m/>
    <m/>
    <m/>
    <m/>
    <m/>
    <m/>
    <m/>
    <m/>
    <m/>
  </r>
  <r>
    <s v="US0044"/>
    <x v="2"/>
    <x v="4"/>
    <n v="0"/>
    <s v="Jimmy Aplin"/>
    <n v="10037"/>
    <s v="Jimmy Aplin"/>
    <m/>
    <x v="1"/>
    <m/>
    <m/>
    <m/>
    <x v="0"/>
    <m/>
    <m/>
    <s v=""/>
    <m/>
    <n v="1100"/>
    <n v="1100"/>
    <s v=""/>
    <m/>
    <n v="0.64"/>
    <n v="704"/>
    <n v="704"/>
    <n v="0.36"/>
    <n v="363"/>
    <m/>
    <m/>
    <n v="363"/>
    <n v="0"/>
    <n v="0"/>
    <n v="0"/>
    <n v="0"/>
    <n v="0"/>
    <n v="0"/>
    <n v="0"/>
    <n v="0"/>
    <n v="0"/>
    <n v="0"/>
    <n v="0"/>
    <s v="Fortunei"/>
    <m/>
    <n v="1"/>
    <n v="1100"/>
    <m/>
    <m/>
    <m/>
    <m/>
    <m/>
    <n v="1100"/>
    <m/>
    <m/>
    <m/>
    <m/>
  </r>
  <r>
    <s v="US0046"/>
    <x v="2"/>
    <x v="4"/>
    <n v="0"/>
    <s v="Ricky and Darcy Dollar"/>
    <n v="10039"/>
    <s v="Ricky and/or Darcy Dollar"/>
    <s v="479-216-3092"/>
    <x v="1"/>
    <s v="rickytodddollar@gmail.com, darcydollar@yahoo.com"/>
    <s v="211 Polk Rd 193, Mena, AR 71953-8196, USA"/>
    <s v="211 Polk Rd 193, Mena, AR 71953-8196, USA"/>
    <x v="0"/>
    <s v="34.606751, -94.057801"/>
    <n v="11.3"/>
    <s v=""/>
    <m/>
    <n v="1100"/>
    <n v="1100"/>
    <s v=""/>
    <m/>
    <n v="0.64"/>
    <n v="704"/>
    <n v="704"/>
    <n v="0.36"/>
    <n v="363"/>
    <m/>
    <m/>
    <n v="363"/>
    <n v="0.43659090909090909"/>
    <n v="480.24999989999998"/>
    <n v="0"/>
    <n v="0"/>
    <n v="0"/>
    <n v="0"/>
    <n v="0"/>
    <n v="0"/>
    <n v="0"/>
    <n v="0"/>
    <n v="0"/>
    <s v="Fortunei"/>
    <s v="2, 11, 14"/>
    <n v="1.1127272727272728"/>
    <n v="1224"/>
    <m/>
    <m/>
    <m/>
    <m/>
    <n v="604"/>
    <n v="425"/>
    <n v="195"/>
    <m/>
    <m/>
    <m/>
  </r>
  <r>
    <s v="US0048"/>
    <x v="2"/>
    <x v="4"/>
    <n v="0"/>
    <s v="Shawn Harrison"/>
    <n v="10041"/>
    <s v="Shawn Harrison"/>
    <m/>
    <x v="1"/>
    <m/>
    <m/>
    <m/>
    <x v="0"/>
    <m/>
    <m/>
    <s v=""/>
    <m/>
    <n v="1100"/>
    <n v="1100"/>
    <s v=""/>
    <m/>
    <n v="0.64"/>
    <n v="704"/>
    <n v="704"/>
    <n v="0.36"/>
    <n v="363"/>
    <m/>
    <m/>
    <n v="363"/>
    <n v="0"/>
    <n v="0"/>
    <n v="0"/>
    <n v="0"/>
    <n v="0"/>
    <n v="0"/>
    <n v="0"/>
    <n v="0"/>
    <n v="0"/>
    <n v="0"/>
    <n v="0"/>
    <s v="Fortunei"/>
    <m/>
    <n v="5.8181818181818182E-2"/>
    <n v="64"/>
    <m/>
    <m/>
    <m/>
    <m/>
    <m/>
    <m/>
    <n v="64"/>
    <m/>
    <m/>
    <m/>
  </r>
  <r>
    <s v="US0050"/>
    <x v="2"/>
    <x v="4"/>
    <n v="2028"/>
    <s v="Teddy Meeks"/>
    <n v="10043"/>
    <s v="Teddy Meeks"/>
    <s v="770-468-1878"/>
    <x v="0"/>
    <s v="Wilddaisyfarm109@gmail.com"/>
    <s v="1506 GA Highway 109, Molena GA 30258-3234"/>
    <s v="20 Spring Rd, Molena, GA 30258, USA"/>
    <x v="0"/>
    <m/>
    <m/>
    <s v=""/>
    <m/>
    <n v="1100"/>
    <n v="1100"/>
    <s v=""/>
    <m/>
    <n v="0.64"/>
    <n v="704"/>
    <n v="704"/>
    <n v="0.36"/>
    <n v="396"/>
    <m/>
    <m/>
    <n v="396"/>
    <n v="0"/>
    <n v="0"/>
    <n v="0"/>
    <m/>
    <n v="0"/>
    <n v="0"/>
    <n v="0"/>
    <n v="0"/>
    <n v="0"/>
    <n v="0"/>
    <n v="0"/>
    <s v="Fortunei"/>
    <s v="12, 13, 14"/>
    <n v="0.80181818181818176"/>
    <n v="882"/>
    <m/>
    <m/>
    <m/>
    <m/>
    <m/>
    <n v="800"/>
    <n v="82"/>
    <m/>
    <m/>
    <m/>
  </r>
  <r>
    <s v="GT0005"/>
    <x v="2"/>
    <x v="4"/>
    <n v="0"/>
    <s v="Jose Antonio Mombiela Mastahinich"/>
    <n v="30005"/>
    <s v="Jose Antonio Mombiela Mastahinich"/>
    <m/>
    <x v="1"/>
    <m/>
    <m/>
    <m/>
    <x v="2"/>
    <m/>
    <m/>
    <s v=""/>
    <m/>
    <n v="1056"/>
    <n v="1056"/>
    <s v=""/>
    <m/>
    <n v="0.64015151515151503"/>
    <n v="675.99999999999989"/>
    <n v="675.99999999999989"/>
    <n v="0.35984848484848497"/>
    <n v="348.48"/>
    <m/>
    <m/>
    <n v="348.48"/>
    <n v="0"/>
    <n v="0"/>
    <n v="0"/>
    <n v="0"/>
    <n v="0"/>
    <n v="0"/>
    <n v="0"/>
    <n v="0"/>
    <n v="0"/>
    <n v="0"/>
    <n v="0"/>
    <s v="Elongata"/>
    <m/>
    <n v="0"/>
    <n v="0"/>
    <m/>
    <m/>
    <m/>
    <m/>
    <m/>
    <m/>
    <m/>
    <m/>
    <m/>
    <m/>
  </r>
  <r>
    <s v="GT0010"/>
    <x v="2"/>
    <x v="4"/>
    <n v="0"/>
    <s v="Pedro Maximiliano Mombiela De Leon"/>
    <n v="30010"/>
    <s v="Pedro Maximiliano Mombiela De Leon"/>
    <m/>
    <x v="1"/>
    <m/>
    <m/>
    <m/>
    <x v="2"/>
    <m/>
    <m/>
    <s v=""/>
    <m/>
    <n v="1000"/>
    <n v="0"/>
    <n v="1000"/>
    <m/>
    <n v="1"/>
    <n v="1000"/>
    <m/>
    <m/>
    <m/>
    <m/>
    <m/>
    <n v="0"/>
    <n v="0"/>
    <n v="0"/>
    <n v="0"/>
    <n v="0"/>
    <n v="0"/>
    <n v="0"/>
    <n v="0"/>
    <n v="0"/>
    <n v="0"/>
    <n v="0"/>
    <n v="0"/>
    <s v="Elongata"/>
    <m/>
    <n v="0"/>
    <n v="0"/>
    <m/>
    <m/>
    <m/>
    <m/>
    <m/>
    <m/>
    <m/>
    <m/>
    <m/>
    <m/>
  </r>
  <r>
    <s v="MX0018"/>
    <x v="2"/>
    <x v="5"/>
    <n v="2029"/>
    <s v="Omar Ulises Guerrero Aboytes"/>
    <n v="40017"/>
    <s v="Omar Ulises Guerrero Aboytes"/>
    <s v="412-121-3850"/>
    <x v="0"/>
    <s v="u.gro.abts@gmail.com"/>
    <s v="Benito Juarez #23. Comunidad Neutla, Como nfort, Guanajuato, CP 38220, Mexico"/>
    <s v="El Capulin, Neutla, Comonfort, Guanajuato. CP 38220, Mexico"/>
    <x v="3"/>
    <s v="20.715003, -100.847181"/>
    <n v="2"/>
    <s v=""/>
    <m/>
    <n v="1000"/>
    <n v="1000"/>
    <s v=""/>
    <m/>
    <n v="0.64"/>
    <n v="640"/>
    <n v="640"/>
    <n v="0.36"/>
    <n v="330"/>
    <m/>
    <m/>
    <n v="330"/>
    <n v="0.34"/>
    <n v="340"/>
    <n v="0"/>
    <m/>
    <n v="0.34"/>
    <n v="0.34"/>
    <n v="340"/>
    <n v="217.6"/>
    <n v="122.39999999999999"/>
    <n v="0"/>
    <n v="122.39999999999999"/>
    <m/>
    <m/>
    <n v="0"/>
    <n v="0"/>
    <m/>
    <m/>
    <m/>
    <m/>
    <m/>
    <m/>
    <m/>
    <m/>
    <m/>
    <m/>
  </r>
  <r>
    <s v="MX0019"/>
    <x v="2"/>
    <x v="5"/>
    <n v="2029"/>
    <s v="Rogelio Rizo Velázquez"/>
    <n v="40018"/>
    <s v="Rogelio Rizo Velázquez"/>
    <s v="4773863295"/>
    <x v="0"/>
    <s v="carisrs@hotmail.com"/>
    <s v="Fraccionamiento Villas del Vergel, Comunidad de Jesus del Monte, San Francisco del Rincon, Guanajuato 36460, Mexico"/>
    <s v="San Diego N° 115. Col. Puerta San Rafael. Leon. Guanajuato. Mexico"/>
    <x v="3"/>
    <s v="20.926944, -101.754167"/>
    <n v="28.3"/>
    <s v=""/>
    <m/>
    <n v="9200"/>
    <n v="9200"/>
    <s v=""/>
    <m/>
    <n v="0.64"/>
    <n v="5888"/>
    <n v="5888"/>
    <n v="0.36"/>
    <n v="3036"/>
    <m/>
    <m/>
    <n v="3036"/>
    <n v="0.85"/>
    <n v="7820"/>
    <n v="0"/>
    <m/>
    <n v="0.85"/>
    <n v="0.85"/>
    <n v="7820"/>
    <n v="5004.8"/>
    <n v="2815.2"/>
    <n v="0"/>
    <n v="2815.2"/>
    <m/>
    <m/>
    <n v="0.14130434782608695"/>
    <n v="1300"/>
    <m/>
    <m/>
    <m/>
    <m/>
    <n v="1300"/>
    <m/>
    <m/>
    <m/>
    <m/>
    <m/>
  </r>
  <r>
    <s v="US0043"/>
    <x v="2"/>
    <x v="4"/>
    <n v="2028"/>
    <s v="Jason Humphries"/>
    <n v="10036"/>
    <s v="Jason Humphries"/>
    <s v="(205) 369-9295, (205) 915-1310"/>
    <x v="2"/>
    <s v="13biscuit@gmail.com, ahumphries0731@gmail.com, 4hplantation@gmail.com"/>
    <s v="1457 Ballantrae Club Dr. Pelham AL 35124-6255"/>
    <s v="897 Berry Road, Valley Grande, AL, USA"/>
    <x v="0"/>
    <s v="32.493119, -87.035615"/>
    <n v="30.9"/>
    <n v="28.818181818181817"/>
    <s v="Y"/>
    <n v="3170"/>
    <n v="3170"/>
    <s v=""/>
    <m/>
    <n v="0.64006309148264984"/>
    <n v="2029"/>
    <n v="2029"/>
    <n v="0.35993690851735016"/>
    <n v="1141.2"/>
    <m/>
    <m/>
    <n v="1141.2"/>
    <n v="0.97915080314732228"/>
    <n v="3103.9080459770116"/>
    <n v="0"/>
    <m/>
    <n v="0.97915080314732228"/>
    <n v="0.97915080314732228"/>
    <n v="3103.9080459770116"/>
    <n v="1986.6969795859168"/>
    <n v="1117.2110663910948"/>
    <n v="0"/>
    <n v="1117.2110663910948"/>
    <s v="Fortunei"/>
    <s v="13"/>
    <n v="7.8864353312302835E-2"/>
    <n v="250"/>
    <m/>
    <m/>
    <m/>
    <m/>
    <m/>
    <n v="250"/>
    <m/>
    <m/>
    <m/>
    <m/>
  </r>
  <r>
    <s v="MX0004"/>
    <x v="2"/>
    <x v="5"/>
    <n v="0"/>
    <s v="Felipe Ramirez Flores"/>
    <n v="40004"/>
    <s v="Aniceto Ramírez Flores and  Gilberto Hernandez Ayala"/>
    <m/>
    <x v="1"/>
    <m/>
    <m/>
    <m/>
    <x v="3"/>
    <m/>
    <m/>
    <s v=""/>
    <m/>
    <n v="5500"/>
    <n v="5500"/>
    <s v=""/>
    <m/>
    <n v="0.64"/>
    <n v="3520"/>
    <n v="3520"/>
    <n v="0.36"/>
    <n v="1815"/>
    <m/>
    <m/>
    <n v="1815"/>
    <n v="0"/>
    <n v="0"/>
    <n v="0"/>
    <n v="0"/>
    <n v="0"/>
    <n v="0"/>
    <n v="0"/>
    <n v="0"/>
    <n v="0"/>
    <n v="0"/>
    <n v="0"/>
    <m/>
    <m/>
    <n v="0.72727272727272729"/>
    <n v="4000"/>
    <m/>
    <m/>
    <m/>
    <m/>
    <n v="4000"/>
    <m/>
    <m/>
    <m/>
    <m/>
    <m/>
  </r>
  <r>
    <s v="US0040"/>
    <x v="2"/>
    <x v="4"/>
    <n v="2028"/>
    <s v="David Peterson"/>
    <n v="10034"/>
    <s v="David Peterson"/>
    <s v="334-651-3521"/>
    <x v="2"/>
    <s v="davpete82@yahoo.com"/>
    <n v="0"/>
    <s v="1028 Old Georgia Plank Road, Wetumpka, AL 36092-5962, USA"/>
    <x v="0"/>
    <s v="32.570194, -86.139344"/>
    <n v="10.9"/>
    <n v="12"/>
    <s v="Y"/>
    <n v="1320"/>
    <n v="1320"/>
    <s v=""/>
    <m/>
    <n v="0.64015151515151514"/>
    <n v="845"/>
    <n v="845"/>
    <n v="0.35984848484848486"/>
    <n v="475.2"/>
    <m/>
    <m/>
    <n v="475.2"/>
    <n v="0.93502418363529483"/>
    <n v="1234.2319223985892"/>
    <n v="0"/>
    <m/>
    <n v="0.93502418363529483"/>
    <n v="0.93502418363529483"/>
    <n v="1234.2319223985892"/>
    <n v="790.09543517182408"/>
    <n v="444.13648722676504"/>
    <n v="0"/>
    <n v="444.13648722676504"/>
    <s v="Fortunei"/>
    <s v="14"/>
    <n v="0"/>
    <n v="0"/>
    <m/>
    <m/>
    <m/>
    <m/>
    <m/>
    <m/>
    <m/>
    <m/>
    <m/>
    <m/>
  </r>
  <r>
    <s v="US0042"/>
    <x v="3"/>
    <x v="4"/>
    <n v="2028"/>
    <s v="Grover Plunkett"/>
    <n v="10021"/>
    <s v="Southern Innovative Investments LLC"/>
    <s v="334-462-4962, 334-324-6696, 334-322-7480 (Cody Bell Farm manager"/>
    <x v="2"/>
    <s v="gplunkett@faulkner.edu, rebecca.plunkett2@gmail.com"/>
    <s v="6464 Halcyon Dr  Montgomery  AL  36117-3416"/>
    <s v="5129 New Harmony Rd, Arab, AL 35016, USA"/>
    <x v="0"/>
    <s v="34.241776, -86.527479 (see Land Info file)"/>
    <n v="129.5"/>
    <n v="142"/>
    <m/>
    <n v="15620"/>
    <n v="15620"/>
    <s v=""/>
    <m/>
    <m/>
    <m/>
    <m/>
    <m/>
    <m/>
    <n v="1"/>
    <n v="15620"/>
    <n v="15620"/>
    <n v="0.4152352481607674"/>
    <n v="6485.9745762711864"/>
    <n v="0"/>
    <m/>
    <n v="0.4152352481607674"/>
    <n v="0.4152352481607674"/>
    <n v="6485.9745762711864"/>
    <n v="0"/>
    <n v="0"/>
    <n v="6485.9745762711864"/>
    <n v="6485.9745762711864"/>
    <s v="Fortunei"/>
    <s v="11, 12, 14, 18"/>
    <n v="0"/>
    <n v="0"/>
    <m/>
    <m/>
    <m/>
    <m/>
    <m/>
    <m/>
    <m/>
    <m/>
    <m/>
    <m/>
  </r>
  <r>
    <s v="MX0016"/>
    <x v="2"/>
    <x v="5"/>
    <n v="0"/>
    <s v="Miguel Angel Parada Fuentes"/>
    <n v="40015"/>
    <s v="Miguel Angel Parada Fuentes"/>
    <m/>
    <x v="1"/>
    <m/>
    <m/>
    <m/>
    <x v="3"/>
    <m/>
    <m/>
    <s v=""/>
    <m/>
    <n v="2200"/>
    <n v="2200"/>
    <s v=""/>
    <m/>
    <n v="0.64"/>
    <n v="1408"/>
    <n v="1408"/>
    <n v="0.36"/>
    <n v="726"/>
    <m/>
    <m/>
    <n v="726"/>
    <n v="0"/>
    <n v="0"/>
    <n v="0"/>
    <n v="0"/>
    <n v="0"/>
    <n v="0"/>
    <n v="0"/>
    <n v="0"/>
    <n v="0"/>
    <n v="0"/>
    <n v="0"/>
    <m/>
    <m/>
    <n v="0"/>
    <n v="0"/>
    <m/>
    <m/>
    <m/>
    <m/>
    <m/>
    <m/>
    <m/>
    <m/>
    <m/>
    <m/>
  </r>
  <r>
    <s v="CR0036"/>
    <x v="4"/>
    <x v="5"/>
    <n v="2029"/>
    <s v="Alexander Abarca Ortega"/>
    <n v="20032"/>
    <s v="El Edén de los Abarca S.A"/>
    <s v="8694-3131"/>
    <x v="0"/>
    <s v="03abarca@gmail.com, adavidabarca@gmail.com"/>
    <s v="Limón Pocosí Guápiles, de la iglesia católica de Toro Amarillo 200m norte y 75 este"/>
    <s v="DISTRITO 2- BATAN CANTON 5-MATINA DE LA PROVINCIA DE LIMON, Costa Rica,"/>
    <x v="1"/>
    <s v="10.061023, -83.390802"/>
    <m/>
    <s v=""/>
    <m/>
    <n v="5200"/>
    <n v="5200"/>
    <s v=""/>
    <m/>
    <n v="1"/>
    <n v="5200"/>
    <n v="5200"/>
    <m/>
    <m/>
    <m/>
    <m/>
    <n v="0"/>
    <n v="0.82499999999999996"/>
    <n v="4290"/>
    <n v="0"/>
    <m/>
    <n v="0.82499999999999996"/>
    <n v="0.83"/>
    <n v="4290"/>
    <n v="4290"/>
    <n v="0"/>
    <n v="0"/>
    <n v="0"/>
    <s v="P.elongata"/>
    <m/>
    <n v="0"/>
    <n v="0"/>
    <m/>
    <m/>
    <m/>
    <m/>
    <m/>
    <m/>
    <m/>
    <m/>
    <m/>
    <m/>
  </r>
  <r>
    <s v="CR0038"/>
    <x v="4"/>
    <x v="5"/>
    <n v="0"/>
    <s v="Anastacio Castillo"/>
    <n v="20034"/>
    <s v="Anastacio Castillo"/>
    <m/>
    <x v="1"/>
    <m/>
    <m/>
    <m/>
    <x v="1"/>
    <m/>
    <m/>
    <s v=""/>
    <m/>
    <n v="1200"/>
    <n v="1200"/>
    <s v=""/>
    <m/>
    <n v="1"/>
    <n v="1200"/>
    <n v="1200"/>
    <m/>
    <m/>
    <m/>
    <m/>
    <n v="0"/>
    <n v="0"/>
    <n v="0"/>
    <n v="0"/>
    <n v="0"/>
    <n v="0"/>
    <n v="0"/>
    <n v="0"/>
    <n v="0"/>
    <n v="0"/>
    <n v="0"/>
    <n v="0"/>
    <s v="P.elongata"/>
    <m/>
    <n v="0"/>
    <n v="0"/>
    <m/>
    <m/>
    <m/>
    <m/>
    <m/>
    <n v="0"/>
    <m/>
    <m/>
    <m/>
    <m/>
  </r>
  <r>
    <s v="CR0039"/>
    <x v="4"/>
    <x v="5"/>
    <n v="2029"/>
    <s v="Mauricio Alvarado"/>
    <n v="20035"/>
    <s v="Ania Monge Chavarria "/>
    <s v="8449-5753, 506 8443 5753"/>
    <x v="0"/>
    <s v="agus1092@hotmail.com"/>
    <s v="San Ignacio de Acosta 1 km al oeste de la iglesia de Chirraca"/>
    <s v="el distrito 3-Palmichal cantón 12-Acosta de la provincia de San José, Costa Rica"/>
    <x v="1"/>
    <s v="9.814743, -84.175211"/>
    <m/>
    <s v=""/>
    <m/>
    <n v="700"/>
    <n v="700"/>
    <s v=""/>
    <m/>
    <n v="1"/>
    <n v="700"/>
    <n v="700"/>
    <m/>
    <m/>
    <m/>
    <m/>
    <n v="0"/>
    <n v="0.82499999999999996"/>
    <n v="577.5"/>
    <n v="369.6"/>
    <n v="0.52800000000000002"/>
    <n v="0.53"/>
    <n v="0.53"/>
    <n v="371"/>
    <n v="371"/>
    <n v="0"/>
    <n v="0"/>
    <n v="0"/>
    <s v="P.elongata"/>
    <m/>
    <n v="0.14285714285714285"/>
    <n v="100"/>
    <m/>
    <m/>
    <m/>
    <m/>
    <n v="100"/>
    <m/>
    <m/>
    <m/>
    <m/>
    <m/>
  </r>
  <r>
    <s v="CR0041"/>
    <x v="4"/>
    <x v="5"/>
    <n v="0"/>
    <s v="Carlos Peña"/>
    <n v="20037"/>
    <s v="Carlos Peña"/>
    <s v="506-6076-0838"/>
    <x v="1"/>
    <s v="carlosdec@gmail.com"/>
    <s v="Rohrmoser, Pavas, costado norte del Colegio Humbolt, 4ta casa a mano izquierda"/>
    <s v="DISTRITO 3-SAN JUAN CANTON 7-ABANGARES DE LA PROVINCIA DE GUANACASTE, Costa Rica"/>
    <x v="1"/>
    <s v="10.2500530, -84.8776320"/>
    <m/>
    <s v=""/>
    <m/>
    <n v="2000"/>
    <n v="2000"/>
    <s v=""/>
    <m/>
    <n v="1"/>
    <n v="2000"/>
    <n v="2000"/>
    <m/>
    <m/>
    <m/>
    <m/>
    <n v="0"/>
    <n v="0"/>
    <n v="0"/>
    <n v="0"/>
    <n v="0"/>
    <n v="0"/>
    <n v="0"/>
    <n v="0"/>
    <n v="0"/>
    <n v="0"/>
    <n v="0"/>
    <n v="0"/>
    <s v="P.elongata"/>
    <m/>
    <n v="0.4"/>
    <n v="800"/>
    <m/>
    <m/>
    <m/>
    <m/>
    <n v="800"/>
    <m/>
    <m/>
    <m/>
    <m/>
    <m/>
  </r>
  <r>
    <s v="CR0043"/>
    <x v="4"/>
    <x v="5"/>
    <n v="0"/>
    <s v="Diego Gerardo Fernandez Barboza"/>
    <n v="20039"/>
    <s v="Diego Gerardo Fernandez Barboza"/>
    <s v="87512200"/>
    <x v="1"/>
    <s v="diegobarboza2062@gmail.com"/>
    <s v="900 m Norte de la escuela los Ceibos en la unión de Guatuso"/>
    <s v="EL DISTRITO 2-BUENA VISTA CANTON 15-GUATUSO DE LA PROVINCIA DE ALAJUELA, Costa Rica"/>
    <x v="1"/>
    <s v="10.7950000, -084.8700000"/>
    <m/>
    <s v=""/>
    <m/>
    <n v="1200"/>
    <n v="1200"/>
    <s v=""/>
    <m/>
    <n v="1"/>
    <n v="1200"/>
    <n v="1200"/>
    <m/>
    <m/>
    <m/>
    <m/>
    <n v="0"/>
    <n v="0"/>
    <n v="0"/>
    <n v="0"/>
    <n v="0"/>
    <n v="0"/>
    <n v="0"/>
    <n v="0"/>
    <n v="0"/>
    <n v="0"/>
    <n v="0"/>
    <n v="0"/>
    <s v="P.elongata"/>
    <m/>
    <n v="0.22"/>
    <n v="264"/>
    <m/>
    <m/>
    <m/>
    <m/>
    <n v="264"/>
    <m/>
    <m/>
    <m/>
    <m/>
    <m/>
  </r>
  <r>
    <s v="CR0045"/>
    <x v="4"/>
    <x v="5"/>
    <n v="2029"/>
    <s v="Donald Diaz Rojas"/>
    <n v="20041"/>
    <s v="Donald Diaz Rojas"/>
    <s v="8899-9775, 5712-2326."/>
    <x v="0"/>
    <s v="donalddr79@gmail.com"/>
    <s v="150m al sur del colegio técnico, San José de San Pablo, Turrubares."/>
    <s v="DISTRITO 5-CUREÑA CANTON 10-SARAPIQUI DE LA PROVINCIA DE HEREDIA, Costa Rica"/>
    <x v="1"/>
    <s v="10.681722, -84.068329"/>
    <m/>
    <s v=""/>
    <m/>
    <n v="4500"/>
    <n v="4500"/>
    <s v=""/>
    <m/>
    <n v="1"/>
    <n v="4500"/>
    <n v="4500"/>
    <m/>
    <m/>
    <m/>
    <m/>
    <n v="0"/>
    <n v="0.83"/>
    <n v="3735"/>
    <n v="0"/>
    <m/>
    <n v="0.83"/>
    <n v="0.83"/>
    <n v="3735"/>
    <n v="3735"/>
    <n v="0"/>
    <n v="0"/>
    <n v="0"/>
    <s v="P.elongata"/>
    <m/>
    <n v="0.1111111111111111"/>
    <n v="500"/>
    <m/>
    <m/>
    <m/>
    <m/>
    <n v="500"/>
    <m/>
    <m/>
    <m/>
    <m/>
    <m/>
  </r>
  <r>
    <s v="CR0048"/>
    <x v="4"/>
    <x v="5"/>
    <n v="0"/>
    <s v="Marijose Apestegui "/>
    <n v="20044"/>
    <s v="El anillo de doña Emilia S.A"/>
    <s v="6345-6387"/>
    <x v="1"/>
    <s v="marijoseapestegui@gmail.com"/>
    <s v="Palmira, Carrillo, Guanacaste. Del Lagar Dolt Center 500m NO. Entrada de piedra a mano izquierda finca Linares"/>
    <s v="el distrito 2-palmira canton 5-carrillo de la provincia de guanacaste, costa rica"/>
    <x v="1"/>
    <s v="10.5613210, -85.5959160"/>
    <m/>
    <s v=""/>
    <m/>
    <n v="3600"/>
    <n v="3600"/>
    <s v=""/>
    <m/>
    <n v="1"/>
    <n v="3600"/>
    <n v="3600"/>
    <m/>
    <m/>
    <m/>
    <m/>
    <n v="0"/>
    <n v="1"/>
    <n v="3600"/>
    <n v="0"/>
    <n v="0"/>
    <n v="0"/>
    <n v="0"/>
    <n v="0"/>
    <n v="0"/>
    <n v="0"/>
    <n v="0"/>
    <n v="0"/>
    <s v="P.elongata"/>
    <m/>
    <n v="0.2697222222222222"/>
    <n v="971"/>
    <m/>
    <m/>
    <m/>
    <n v="971"/>
    <m/>
    <m/>
    <m/>
    <m/>
    <m/>
    <m/>
  </r>
  <r>
    <s v="CR0050"/>
    <x v="4"/>
    <x v="5"/>
    <n v="0"/>
    <s v="Ismael Chaves "/>
    <n v="20046"/>
    <s v="Ismael Chaves "/>
    <s v="8394-1098"/>
    <x v="1"/>
    <s v="ismaelchaves59@hotmail.com"/>
    <s v="00m sur y  100m oeste del Scotiabank, Liberia, Guanacaste"/>
    <s v="el distrito 6-dos rios canton 13-upala de la provincia de alajuela, Costa rica"/>
    <x v="1"/>
    <s v="10.94816, -85.378762"/>
    <m/>
    <s v=""/>
    <m/>
    <n v="3440"/>
    <n v="3440"/>
    <s v=""/>
    <m/>
    <n v="1"/>
    <n v="3440"/>
    <n v="3440"/>
    <m/>
    <m/>
    <m/>
    <m/>
    <n v="0"/>
    <n v="0.95"/>
    <n v="3268"/>
    <n v="0"/>
    <n v="0"/>
    <n v="0"/>
    <n v="0"/>
    <n v="0"/>
    <n v="0"/>
    <n v="0"/>
    <n v="0"/>
    <n v="0"/>
    <s v="P.elongata"/>
    <m/>
    <n v="1.1627906976744186E-2"/>
    <n v="40"/>
    <m/>
    <m/>
    <m/>
    <m/>
    <n v="40"/>
    <m/>
    <m/>
    <m/>
    <m/>
    <m/>
  </r>
  <r>
    <s v="CR0054"/>
    <x v="4"/>
    <x v="5"/>
    <n v="0"/>
    <s v="Karlos Bolaños"/>
    <n v="20050"/>
    <s v="Karlos Bolaños"/>
    <m/>
    <x v="1"/>
    <m/>
    <m/>
    <m/>
    <x v="1"/>
    <m/>
    <m/>
    <s v=""/>
    <m/>
    <n v="800"/>
    <n v="800"/>
    <s v=""/>
    <m/>
    <n v="1"/>
    <n v="800"/>
    <n v="800"/>
    <m/>
    <m/>
    <m/>
    <m/>
    <n v="0"/>
    <n v="0"/>
    <n v="0"/>
    <n v="0"/>
    <n v="0"/>
    <n v="0"/>
    <n v="0"/>
    <n v="0"/>
    <n v="0"/>
    <n v="0"/>
    <n v="0"/>
    <n v="0"/>
    <s v="P.elongata"/>
    <m/>
    <n v="0"/>
    <n v="0"/>
    <m/>
    <m/>
    <m/>
    <m/>
    <m/>
    <m/>
    <m/>
    <m/>
    <m/>
    <m/>
  </r>
  <r>
    <s v="CR0055"/>
    <x v="4"/>
    <x v="5"/>
    <n v="2029"/>
    <s v="Laura Blanco"/>
    <n v="20051"/>
    <s v="Laura Blanco"/>
    <s v="8642-5654"/>
    <x v="0"/>
    <s v="laublanco29383@gmail.com"/>
    <s v="Pejibaye, Perez Zeledon"/>
    <s v="el distrito 7-pejibaye canton 19-perez zeledon de la provincia de san jose, costa rica"/>
    <x v="1"/>
    <s v="9.154319, -83.550926"/>
    <m/>
    <s v=""/>
    <m/>
    <n v="1000"/>
    <n v="1000"/>
    <s v=""/>
    <m/>
    <n v="1"/>
    <n v="1000"/>
    <n v="1000"/>
    <m/>
    <m/>
    <m/>
    <m/>
    <n v="0"/>
    <n v="0.82499999999999996"/>
    <n v="825"/>
    <n v="454"/>
    <n v="0.45400000000000001"/>
    <n v="0.45"/>
    <n v="0.45"/>
    <n v="450"/>
    <n v="450"/>
    <n v="0"/>
    <n v="0"/>
    <n v="0"/>
    <s v="P.elongata"/>
    <m/>
    <n v="0"/>
    <n v="0"/>
    <m/>
    <m/>
    <m/>
    <m/>
    <m/>
    <m/>
    <m/>
    <m/>
    <m/>
    <m/>
  </r>
  <r>
    <s v="CR0056"/>
    <x v="4"/>
    <x v="5"/>
    <n v="2029"/>
    <s v="Luis Alonso Salazar Rodriguez"/>
    <n v="20052"/>
    <s v="LKC Arrendamientos S.A"/>
    <s v="8469-6085"/>
    <x v="0"/>
    <s v="asalazar@salazarabogados.net"/>
    <s v="San José Province, San Pablo, Costa Rica"/>
    <s v="el distrito 3- San Juan de Mata, cantón 16-Turrubares de la provincia de San José, Costa Rica"/>
    <x v="1"/>
    <s v="9.813735,-84.521880"/>
    <m/>
    <s v=""/>
    <m/>
    <n v="4000"/>
    <n v="4000"/>
    <s v=""/>
    <m/>
    <n v="1"/>
    <n v="4000"/>
    <n v="4000"/>
    <m/>
    <m/>
    <m/>
    <m/>
    <n v="0"/>
    <n v="0.82499999999999996"/>
    <n v="3300"/>
    <n v="0"/>
    <m/>
    <n v="0.82499999999999996"/>
    <n v="0.83"/>
    <n v="3300"/>
    <n v="3300"/>
    <n v="0"/>
    <n v="0"/>
    <n v="0"/>
    <s v="P.elongata"/>
    <m/>
    <n v="0.21299999999999999"/>
    <n v="852"/>
    <m/>
    <m/>
    <m/>
    <m/>
    <n v="852"/>
    <m/>
    <m/>
    <m/>
    <m/>
    <m/>
  </r>
  <r>
    <s v="CR0057"/>
    <x v="4"/>
    <x v="5"/>
    <n v="2029"/>
    <s v="Marco Fiorio"/>
    <n v="20053"/>
    <s v="Marco Fiorio"/>
    <s v="8770-9822, (506) 8615-4445"/>
    <x v="0"/>
    <s v="marco.f.fiorio@gmail.com"/>
    <s v="1 Km Oeste de la escuela de Hamacas, Pittier Coto Brus"/>
    <s v="Pittier de Coto Brus, Puntarenas, Costa Rica"/>
    <x v="1"/>
    <s v="8.994306, -82.996704"/>
    <n v="11.82"/>
    <s v=""/>
    <m/>
    <n v="2000"/>
    <n v="2000"/>
    <s v=""/>
    <m/>
    <n v="1"/>
    <n v="2000"/>
    <n v="2000"/>
    <m/>
    <m/>
    <m/>
    <m/>
    <n v="0"/>
    <n v="0.73"/>
    <n v="1460"/>
    <n v="0"/>
    <m/>
    <n v="0.73"/>
    <n v="0.73"/>
    <n v="1460"/>
    <n v="1460"/>
    <n v="0"/>
    <n v="0"/>
    <n v="0"/>
    <s v="P.elongata"/>
    <m/>
    <n v="0.4"/>
    <n v="800"/>
    <m/>
    <m/>
    <m/>
    <m/>
    <n v="800"/>
    <m/>
    <m/>
    <m/>
    <m/>
    <m/>
  </r>
  <r>
    <s v="CR0058"/>
    <x v="4"/>
    <x v="5"/>
    <n v="2029"/>
    <s v="Marco Mora"/>
    <n v="20054"/>
    <s v="Marco Mora"/>
    <s v="8584-2076"/>
    <x v="0"/>
    <s v="info@cgextintores.com"/>
    <s v="Salitral de Santa Ana cincuenta metros oeste de la delegación de Fuerza Pública."/>
    <s v="el distrito segundo Salitral, cantón noveno, Santa Ana de la provincia de San José, Costa Rica"/>
    <x v="1"/>
    <s v="9.9029650, -84.1790050"/>
    <n v="9.43"/>
    <s v=""/>
    <m/>
    <n v="2000"/>
    <n v="2000"/>
    <s v=""/>
    <m/>
    <n v="1"/>
    <n v="2000"/>
    <n v="2000"/>
    <m/>
    <m/>
    <m/>
    <m/>
    <n v="0"/>
    <n v="0.67"/>
    <n v="1340"/>
    <n v="812"/>
    <n v="0.40600000000000003"/>
    <n v="0.41"/>
    <n v="0.41"/>
    <n v="820"/>
    <n v="820"/>
    <n v="0"/>
    <n v="0"/>
    <n v="0"/>
    <s v="P.elongata"/>
    <m/>
    <n v="0.06"/>
    <n v="120"/>
    <m/>
    <m/>
    <m/>
    <m/>
    <n v="120"/>
    <m/>
    <m/>
    <m/>
    <m/>
    <m/>
  </r>
  <r>
    <s v="CR0064"/>
    <x v="4"/>
    <x v="5"/>
    <n v="2029"/>
    <s v="Marvin Chavarria"/>
    <n v="20059"/>
    <s v="Oswaldo Alvarez"/>
    <s v="(506) 8877-7710, (506) 7075-0880"/>
    <x v="0"/>
    <s v="begocarrental@gmail.com"/>
    <s v="Media Vuelta, 400m Norte de la Iglesia Catolica. Sarapiqui, Heredia"/>
    <s v="el distrito 1-Puerto Viejo, Canton 10-Sarapiqui de la provincia de Heredia, Costa Rica"/>
    <x v="1"/>
    <s v="10.38712, -83.57776"/>
    <m/>
    <s v=""/>
    <m/>
    <n v="1000"/>
    <n v="1000"/>
    <s v=""/>
    <m/>
    <n v="1"/>
    <n v="1000"/>
    <n v="1000"/>
    <m/>
    <m/>
    <m/>
    <m/>
    <n v="0"/>
    <n v="0.625"/>
    <n v="625"/>
    <n v="241"/>
    <n v="0.24099999999999999"/>
    <n v="0.24"/>
    <n v="0.24"/>
    <n v="240"/>
    <n v="240"/>
    <n v="0"/>
    <n v="0"/>
    <n v="0"/>
    <s v="P.elongata"/>
    <m/>
    <n v="0"/>
    <n v="0"/>
    <m/>
    <m/>
    <m/>
    <m/>
    <m/>
    <m/>
    <m/>
    <m/>
    <m/>
    <m/>
  </r>
  <r>
    <s v="CR0067"/>
    <x v="4"/>
    <x v="5"/>
    <n v="2029"/>
    <s v="Victor Sibaja Elizondo"/>
    <n v="20062"/>
    <s v="Victor Sibaja Elizondo"/>
    <s v="8542-3910, 8498-8324"/>
    <x v="0"/>
    <s v="sibajaelizondovictor@gmail.com"/>
    <s v="1 km al este de la escuela de Esquipulas"/>
    <s v="el distrito 11-Cutris Canton 10-San Carlos de la provincia de Alajuela, Costa Rica"/>
    <x v="1"/>
    <s v="10.6152, -84.3317"/>
    <m/>
    <s v=""/>
    <m/>
    <n v="1200"/>
    <n v="1200"/>
    <s v=""/>
    <m/>
    <n v="1"/>
    <n v="1200"/>
    <n v="1200"/>
    <m/>
    <m/>
    <m/>
    <m/>
    <n v="0"/>
    <n v="0.95"/>
    <n v="1140"/>
    <n v="0"/>
    <m/>
    <n v="0.95"/>
    <n v="0.95"/>
    <n v="1140"/>
    <n v="1140"/>
    <n v="0"/>
    <n v="0"/>
    <n v="0"/>
    <s v="P.elongata"/>
    <m/>
    <n v="0"/>
    <n v="0"/>
    <m/>
    <m/>
    <m/>
    <m/>
    <m/>
    <m/>
    <m/>
    <m/>
    <m/>
    <m/>
  </r>
  <r>
    <s v="CR0035"/>
    <x v="4"/>
    <x v="5"/>
    <n v="2029"/>
    <s v="Alex Donato Arguedas Arroyo"/>
    <n v="20031"/>
    <s v="Alex Donato Arguedas Arroyo"/>
    <s v="(506) 8393-8278, (506)-8386-1055"/>
    <x v="2"/>
    <s v="ganaderiada@gmail.com"/>
    <s v="500m Oeste del supermercado La Canastica, La Guácima, Alajuela."/>
    <s v="el distrito 3-Rita cantón 2-Pococi de la provincia de Limón"/>
    <x v="1"/>
    <s v="10.3787110, -83.8081410"/>
    <n v="7.4"/>
    <n v="7.4131503108889909"/>
    <m/>
    <n v="1200"/>
    <n v="1200"/>
    <s v=""/>
    <m/>
    <n v="1"/>
    <n v="1200"/>
    <n v="1200"/>
    <m/>
    <m/>
    <m/>
    <m/>
    <n v="0"/>
    <n v="1"/>
    <n v="1200"/>
    <n v="1068"/>
    <n v="0.89"/>
    <n v="0.89"/>
    <n v="0.89"/>
    <n v="1068"/>
    <n v="1068"/>
    <n v="0"/>
    <n v="0"/>
    <n v="0"/>
    <s v="P.elongata"/>
    <m/>
    <n v="0.16666666666666666"/>
    <n v="200"/>
    <m/>
    <m/>
    <m/>
    <m/>
    <n v="200"/>
    <m/>
    <m/>
    <m/>
    <m/>
    <m/>
  </r>
  <r>
    <s v="CR0037"/>
    <x v="4"/>
    <x v="5"/>
    <n v="2029"/>
    <s v="Ana Wolfe Arce"/>
    <n v="20033"/>
    <s v="Hermanos Wolfe Arce S.A"/>
    <s v="506 84963507, +506 61159707, 84963507"/>
    <x v="2"/>
    <s v="aiwa1069@hotmail.com"/>
    <s v="Limón, Matina, Batan, 28 millas 75m al este de la escuela"/>
    <s v="10.1003100, -83.3830780"/>
    <x v="1"/>
    <s v="10.1003100, -83.3830780"/>
    <m/>
    <n v="24.710501036296634"/>
    <m/>
    <n v="4000"/>
    <n v="4000"/>
    <s v=""/>
    <m/>
    <n v="1"/>
    <n v="4000"/>
    <n v="4000"/>
    <m/>
    <m/>
    <m/>
    <m/>
    <n v="0"/>
    <n v="0.95"/>
    <n v="3800"/>
    <n v="0"/>
    <m/>
    <n v="0.95"/>
    <n v="0.95"/>
    <n v="3800"/>
    <n v="3800"/>
    <n v="0"/>
    <n v="0"/>
    <n v="0"/>
    <s v="P.elongata"/>
    <m/>
    <n v="0.1"/>
    <n v="400"/>
    <m/>
    <m/>
    <m/>
    <m/>
    <m/>
    <n v="400"/>
    <m/>
    <m/>
    <m/>
    <m/>
  </r>
  <r>
    <s v="CR0040"/>
    <x v="4"/>
    <x v="5"/>
    <n v="2029"/>
    <s v="Marco Pacheco"/>
    <n v="20036"/>
    <s v="Aracelly Sanchez Rojas"/>
    <s v="8858-1627, 8503-2348, 2259-6150"/>
    <x v="2"/>
    <s v="Yarima.sandoval@gmail.com"/>
    <s v="San José, Desamparados, Urbanización Monte Claro, casa D5-1"/>
    <s v="9.937280, -84.4446730"/>
    <x v="1"/>
    <s v="9.937280, -84.4446730"/>
    <n v="2.75"/>
    <n v="4.5096664391241363"/>
    <m/>
    <n v="730"/>
    <n v="730"/>
    <s v=""/>
    <m/>
    <n v="1"/>
    <n v="730"/>
    <n v="730"/>
    <m/>
    <m/>
    <m/>
    <m/>
    <n v="0"/>
    <n v="0.95"/>
    <n v="693.5"/>
    <n v="680.36"/>
    <n v="0.93200000000000005"/>
    <n v="0.93"/>
    <n v="0.93"/>
    <n v="678.90000000000009"/>
    <n v="678.90000000000009"/>
    <n v="0"/>
    <n v="0"/>
    <n v="0"/>
    <s v="P.elongata"/>
    <m/>
    <n v="0"/>
    <n v="0"/>
    <m/>
    <m/>
    <m/>
    <m/>
    <m/>
    <m/>
    <m/>
    <m/>
    <m/>
    <m/>
  </r>
  <r>
    <s v="GT0012"/>
    <x v="4"/>
    <x v="5"/>
    <n v="2029"/>
    <s v="Alvaro Antonio Guzman Rodas"/>
    <n v="30012"/>
    <s v="Alvaro Antonio Guzman Rodas"/>
    <s v="(502) 46849832"/>
    <x v="0"/>
    <s v="alvaroguzmanrodas@gmail.com"/>
    <s v="3ª AVENIDA 8-73, ZONA 1, MUNICIPIO DE ESQUIPULAS, DEPAR-TAMENTO DE CHIQUIMULA"/>
    <s v="CRUZ ALTA, ALDEA CRUZ ALTA, MUNICIPIO DE ESQUIPULAS, DEPARTA-MENTO DE CHIQUIMULA"/>
    <x v="2"/>
    <s v="14.569028, -89.387389"/>
    <n v="17"/>
    <s v=""/>
    <m/>
    <n v="2000"/>
    <n v="2000"/>
    <s v=""/>
    <m/>
    <n v="1"/>
    <n v="2000"/>
    <n v="2000"/>
    <m/>
    <m/>
    <m/>
    <m/>
    <n v="0"/>
    <n v="0.73600680000000007"/>
    <n v="1472.0136000000002"/>
    <n v="0"/>
    <m/>
    <n v="0.73600680000000007"/>
    <n v="0.74"/>
    <n v="1472.0136000000002"/>
    <n v="1472.0136000000002"/>
    <n v="0"/>
    <n v="0"/>
    <n v="0"/>
    <s v="Elongata"/>
    <m/>
    <n v="0.30149999999999999"/>
    <n v="603"/>
    <m/>
    <m/>
    <m/>
    <m/>
    <n v="463"/>
    <n v="140"/>
    <m/>
    <m/>
    <m/>
    <m/>
  </r>
  <r>
    <s v="GT0013"/>
    <x v="4"/>
    <x v="5"/>
    <n v="0"/>
    <s v="Axel Duarte Duarte"/>
    <n v="30013"/>
    <s v="Axel Gamaliel Duarte Duarte"/>
    <s v="(502) 57827512"/>
    <x v="1"/>
    <s v="darinelld@hotmail.com"/>
    <s v="2ª CALLE C 0-57, ZONA 2, BARRIO DE LA ESPERANZA, MUNICIPIO DE JALAPA, DEPARTAMENTO DE JALAPA, GUATEMALA"/>
    <s v="ALDEA SAN IGNACIO, MUNIPICIO DE JALAPA, DEPARTAMENTO DE JALAPA"/>
    <x v="2"/>
    <s v="14.7226790, -90.0106004"/>
    <n v="17.5"/>
    <s v=""/>
    <m/>
    <n v="2000"/>
    <n v="2000"/>
    <s v=""/>
    <m/>
    <n v="1"/>
    <n v="2000"/>
    <n v="2000"/>
    <m/>
    <m/>
    <m/>
    <m/>
    <n v="0"/>
    <n v="0.54460477499999993"/>
    <n v="1089.2095499999998"/>
    <n v="0"/>
    <n v="0"/>
    <n v="0"/>
    <n v="0"/>
    <n v="0"/>
    <n v="0"/>
    <n v="0"/>
    <n v="0"/>
    <n v="0"/>
    <s v="Elongata"/>
    <m/>
    <n v="5.2499999999999998E-2"/>
    <n v="105"/>
    <m/>
    <m/>
    <m/>
    <m/>
    <m/>
    <n v="105"/>
    <m/>
    <m/>
    <m/>
    <m/>
  </r>
  <r>
    <s v="GT0014"/>
    <x v="4"/>
    <x v="5"/>
    <n v="2029"/>
    <s v="Boris Garza"/>
    <n v="30014"/>
    <s v="Borigar S.A. Carmen Lucía Garza López"/>
    <s v="+502 41231219, (502) 79430065"/>
    <x v="2"/>
    <s v="gerenciadenegocios@gmail.com"/>
    <s v="3ª CALLE 1-85, ZONA 3, MUNICIPIO DE ESQUIPULAS, DEPARTA-MENTO DE CHIQUIMULA"/>
    <s v="Finca La Papayera, aldea Cidabenque, Melchor de Mencos, El Petén"/>
    <x v="2"/>
    <s v="14.5684073, -89.3669417; 17.004972, -89.243806"/>
    <n v="70.3"/>
    <n v="72.727272727272734"/>
    <m/>
    <n v="8000"/>
    <n v="8000"/>
    <s v=""/>
    <m/>
    <n v="1"/>
    <n v="8000"/>
    <n v="8000"/>
    <m/>
    <m/>
    <m/>
    <m/>
    <n v="0"/>
    <n v="0.95"/>
    <n v="7600"/>
    <n v="7416"/>
    <n v="0.92700000000000005"/>
    <n v="0.93"/>
    <n v="0.93"/>
    <n v="7440"/>
    <n v="7440"/>
    <n v="0"/>
    <n v="0"/>
    <n v="0"/>
    <s v="Elongata"/>
    <m/>
    <n v="0.35"/>
    <n v="2800"/>
    <m/>
    <m/>
    <m/>
    <n v="2800"/>
    <m/>
    <m/>
    <m/>
    <m/>
    <m/>
    <m/>
  </r>
  <r>
    <s v="GT0015"/>
    <x v="4"/>
    <x v="5"/>
    <n v="0"/>
    <s v="Carlos López"/>
    <n v="30015"/>
    <s v="Carlos Adolfo López Letona"/>
    <s v="(502) 55163538"/>
    <x v="1"/>
    <s v="carloslopezletona@gmail.com"/>
    <s v="Lotificación Guayacán, 7ª calle final, Casa # 2, Coatepeque, Quetzaltenango"/>
    <s v="Municipio de Flores Costa Cuca, departamento Quetzaltenango"/>
    <x v="2"/>
    <s v="14.670583, -91.861889"/>
    <m/>
    <s v=""/>
    <m/>
    <n v="0"/>
    <n v="0"/>
    <s v=""/>
    <m/>
    <n v="1"/>
    <m/>
    <m/>
    <m/>
    <m/>
    <m/>
    <m/>
    <n v="0"/>
    <n v="0"/>
    <n v="0"/>
    <n v="0"/>
    <n v="0"/>
    <n v="0"/>
    <n v="0"/>
    <n v="0"/>
    <n v="0"/>
    <n v="0"/>
    <n v="0"/>
    <n v="0"/>
    <m/>
    <m/>
    <s v=""/>
    <n v="0"/>
    <m/>
    <m/>
    <m/>
    <m/>
    <m/>
    <m/>
    <m/>
    <m/>
    <m/>
    <m/>
  </r>
  <r>
    <s v="GT0016"/>
    <x v="4"/>
    <x v="5"/>
    <n v="2029"/>
    <s v="Ricardo Chacón"/>
    <n v="30016"/>
    <s v="Cartago S.A./ Elsa De Chacón "/>
    <s v="(502) 40603843"/>
    <x v="0"/>
    <s v="rchacony@cartagofresh.com"/>
    <s v="FINCA 16095 FOLIO 112 LIBRO 84 DE SANTA ROSA"/>
    <s v="Aldea las violetas, municipio de taxisco, dept de santa rosa, Guatemala"/>
    <x v="2"/>
    <s v="14.075889, -90.571944"/>
    <n v="8.1999999999999993"/>
    <s v=""/>
    <m/>
    <n v="1469"/>
    <n v="1469"/>
    <s v=""/>
    <m/>
    <n v="1"/>
    <n v="1469"/>
    <n v="1469"/>
    <m/>
    <m/>
    <m/>
    <m/>
    <n v="0"/>
    <n v="0.33614608695652171"/>
    <n v="493.79860173913039"/>
    <n v="0"/>
    <m/>
    <n v="0.33614608695652171"/>
    <n v="0.34"/>
    <n v="493.79860173913039"/>
    <n v="493.79860173913039"/>
    <n v="0"/>
    <n v="0"/>
    <n v="0"/>
    <s v="Elongata"/>
    <m/>
    <n v="0.97889720898570454"/>
    <n v="1438"/>
    <m/>
    <m/>
    <m/>
    <m/>
    <n v="1438"/>
    <m/>
    <m/>
    <m/>
    <m/>
    <m/>
  </r>
  <r>
    <s v="GT0017"/>
    <x v="4"/>
    <x v="5"/>
    <n v="0"/>
    <s v="David Horacio Estrada - Asoverde"/>
    <n v="30017"/>
    <s v="David Horacio Estrada - Asoverde"/>
    <s v="(502) 56940037"/>
    <x v="1"/>
    <s v="estradahoracio@yahoo.es"/>
    <s v="ASOCIACION DE DESARROLLO VERDE DE GUATEMALA - ASOVERDE, CASA NÚMERO 4, COLONIA PRADOS DE CANNAN, MUNICIPIO DE CHIQUIMULA, DEPARTAMENTO DE CHIQUIMULA"/>
    <s v="ALDEA EL DURAZNO, MUNICIPIO DE CHIQUIMULA, DEPARTAMENTO DE CHIQUIMULA"/>
    <x v="2"/>
    <s v="14.8485947, -89.6783307"/>
    <n v="5.6"/>
    <s v=""/>
    <m/>
    <n v="1000"/>
    <n v="1000"/>
    <s v=""/>
    <m/>
    <n v="1"/>
    <n v="1000"/>
    <n v="1000"/>
    <m/>
    <m/>
    <m/>
    <m/>
    <n v="0"/>
    <n v="0.4741032"/>
    <n v="474.10320000000002"/>
    <n v="0"/>
    <n v="0"/>
    <n v="0"/>
    <n v="0"/>
    <n v="0"/>
    <n v="0"/>
    <n v="0"/>
    <n v="0"/>
    <n v="0"/>
    <s v="Elongata"/>
    <m/>
    <n v="0.7"/>
    <n v="700"/>
    <m/>
    <m/>
    <m/>
    <m/>
    <n v="700"/>
    <m/>
    <m/>
    <m/>
    <m/>
    <m/>
  </r>
  <r>
    <s v="CR0042"/>
    <x v="4"/>
    <x v="5"/>
    <n v="2029"/>
    <s v="Didier Alfaro Alvarado"/>
    <n v="20038"/>
    <s v="Didier Jose Alfaro Alvarado"/>
    <s v="506-8521-1397, 506-8551-4454"/>
    <x v="2"/>
    <s v="didier-alfaro@hotmail.es, alexis.aa@gmail.com"/>
    <s v="300m SO del bar la Central en San Juan, Bolivar de Grecia"/>
    <s v="el distrito 13-pocosol Canton 10-San Carlos de la provincia de Alajuela, Costa Rica"/>
    <x v="1"/>
    <s v="10.7701, -84.5141"/>
    <m/>
    <n v="18.409323272040993"/>
    <m/>
    <n v="2980"/>
    <n v="2980"/>
    <s v=""/>
    <m/>
    <n v="1"/>
    <n v="2980"/>
    <n v="2980"/>
    <m/>
    <m/>
    <m/>
    <m/>
    <n v="0"/>
    <n v="1"/>
    <n v="2980"/>
    <n v="2071.1"/>
    <n v="0.69499999999999995"/>
    <n v="0.7"/>
    <n v="0.7"/>
    <n v="2086"/>
    <n v="2086"/>
    <n v="0"/>
    <n v="0"/>
    <n v="0"/>
    <s v="P.elongata"/>
    <m/>
    <n v="0.34563758389261745"/>
    <n v="1030"/>
    <m/>
    <m/>
    <m/>
    <n v="375"/>
    <m/>
    <n v="655"/>
    <m/>
    <m/>
    <m/>
    <m/>
  </r>
  <r>
    <s v="GT0019"/>
    <x v="4"/>
    <x v="5"/>
    <n v="0"/>
    <s v="Hamblin Duarte"/>
    <n v="30019"/>
    <s v="Emilsa Natalia Guzman Leiva"/>
    <m/>
    <x v="1"/>
    <m/>
    <m/>
    <m/>
    <x v="2"/>
    <m/>
    <m/>
    <s v=""/>
    <m/>
    <n v="1000"/>
    <n v="1000"/>
    <s v=""/>
    <m/>
    <n v="1"/>
    <n v="1000"/>
    <n v="1000"/>
    <m/>
    <m/>
    <m/>
    <m/>
    <n v="0"/>
    <n v="0"/>
    <n v="0"/>
    <n v="0"/>
    <n v="0"/>
    <n v="0"/>
    <n v="0"/>
    <n v="0"/>
    <n v="0"/>
    <n v="0"/>
    <n v="0"/>
    <n v="0"/>
    <s v="Elongata"/>
    <m/>
    <n v="0"/>
    <n v="0"/>
    <m/>
    <m/>
    <m/>
    <m/>
    <m/>
    <m/>
    <m/>
    <m/>
    <m/>
    <m/>
  </r>
  <r>
    <s v="GT0020"/>
    <x v="4"/>
    <x v="5"/>
    <n v="0"/>
    <s v="Giovanni Musella"/>
    <n v="30020"/>
    <s v="Giovanni Musella"/>
    <m/>
    <x v="1"/>
    <m/>
    <m/>
    <m/>
    <x v="2"/>
    <m/>
    <m/>
    <s v=""/>
    <m/>
    <n v="1200"/>
    <n v="1200"/>
    <s v=""/>
    <m/>
    <n v="1"/>
    <n v="1200"/>
    <n v="1200"/>
    <m/>
    <m/>
    <m/>
    <m/>
    <n v="0"/>
    <n v="0"/>
    <n v="0"/>
    <n v="0"/>
    <n v="0"/>
    <n v="0"/>
    <n v="0"/>
    <n v="0"/>
    <n v="0"/>
    <n v="0"/>
    <n v="0"/>
    <n v="0"/>
    <s v="Elongata"/>
    <m/>
    <n v="0"/>
    <n v="0"/>
    <m/>
    <m/>
    <m/>
    <m/>
    <m/>
    <m/>
    <m/>
    <m/>
    <m/>
    <m/>
  </r>
  <r>
    <s v="GT0021"/>
    <x v="4"/>
    <x v="5"/>
    <n v="0"/>
    <s v="Jaime Rolando Maximino Perez Hernández"/>
    <n v="30021"/>
    <s v="Jaime Rolando Maximino Perez Hernández"/>
    <s v="(502) 57744044"/>
    <x v="1"/>
    <s v="ca.shell@yahoo.com"/>
    <s v="KM 13 CARRETERA A EL SALVADOR, CONDOMINIO LAS LUCES LIRIOS 8, MUNICIPIO DE SANTA CATARINA PINULA, DEPARTAMENTO DE GUATEMALA"/>
    <s v="LOTE 11 DE SANTO TOMAS DE CASTILLA, MUNICIPIO DE PUERTO BA-RRIOS, DEPARTAMENTO DE IZABAL"/>
    <x v="2"/>
    <s v="15.6174366, -88.550626"/>
    <n v="12"/>
    <s v=""/>
    <m/>
    <n v="2000"/>
    <n v="2000"/>
    <s v=""/>
    <m/>
    <n v="1"/>
    <n v="2000"/>
    <n v="2000"/>
    <m/>
    <m/>
    <m/>
    <m/>
    <n v="0"/>
    <n v="0.57519228"/>
    <n v="1150.38456"/>
    <n v="0"/>
    <n v="0"/>
    <n v="0"/>
    <n v="0"/>
    <n v="0"/>
    <n v="0"/>
    <n v="0"/>
    <n v="0"/>
    <n v="0"/>
    <s v="Elongata"/>
    <m/>
    <n v="0.5"/>
    <n v="1000"/>
    <m/>
    <m/>
    <m/>
    <m/>
    <n v="1000"/>
    <m/>
    <m/>
    <m/>
    <m/>
    <m/>
  </r>
  <r>
    <s v="GT0022"/>
    <x v="4"/>
    <x v="5"/>
    <n v="0"/>
    <s v="Jose Antonio Mombiela Mastahinich"/>
    <n v="30005"/>
    <s v="Jose Antonio Mombiela Mastahinich"/>
    <m/>
    <x v="1"/>
    <m/>
    <m/>
    <m/>
    <x v="2"/>
    <m/>
    <m/>
    <s v=""/>
    <m/>
    <n v="488"/>
    <n v="488"/>
    <s v=""/>
    <m/>
    <n v="1"/>
    <n v="488"/>
    <n v="488"/>
    <m/>
    <m/>
    <m/>
    <m/>
    <n v="0"/>
    <n v="0"/>
    <n v="0"/>
    <n v="0"/>
    <n v="0"/>
    <n v="0"/>
    <n v="0"/>
    <n v="0"/>
    <n v="0"/>
    <n v="0"/>
    <n v="0"/>
    <n v="0"/>
    <s v="Elongata"/>
    <m/>
    <n v="0"/>
    <n v="0"/>
    <m/>
    <m/>
    <m/>
    <m/>
    <m/>
    <m/>
    <m/>
    <m/>
    <m/>
    <m/>
  </r>
  <r>
    <s v="GT0023"/>
    <x v="4"/>
    <x v="5"/>
    <n v="2029"/>
    <s v="José Francisco Castillo Vásquez"/>
    <n v="30022"/>
    <s v="José Francisco Castillo Vásquez"/>
    <s v="(502) 56900614"/>
    <x v="0"/>
    <s v="aecv2003@hotmail.com"/>
    <s v="14 AVENIDA A 0-77, ZONA 1, MUNICIPIO DE QUETZALTENANGO, DEPARTAMENTO DE QUETZALTENANGO"/>
    <s v="FINCA LA SOLA, LAS PASCUAS, MUNICIPIO DE SAN CRISTOBAL CUCHO, DEPARTAMENTO DE SAN MARCOS"/>
    <x v="2"/>
    <s v="14.844633, -91.779992"/>
    <n v="10.7"/>
    <s v=""/>
    <m/>
    <n v="2865"/>
    <n v="2865"/>
    <s v=""/>
    <m/>
    <n v="1"/>
    <n v="2865"/>
    <n v="2865"/>
    <m/>
    <m/>
    <m/>
    <m/>
    <n v="0"/>
    <n v="0.30791167539267017"/>
    <n v="882.16695000000004"/>
    <n v="0"/>
    <m/>
    <n v="0.30791167539267017"/>
    <n v="0.31"/>
    <n v="882.16695000000004"/>
    <n v="882.16695000000004"/>
    <n v="0"/>
    <n v="0"/>
    <n v="0"/>
    <s v="Elongata"/>
    <m/>
    <n v="0.32041884816753929"/>
    <n v="918"/>
    <m/>
    <m/>
    <m/>
    <m/>
    <n v="918"/>
    <m/>
    <m/>
    <m/>
    <m/>
    <m/>
  </r>
  <r>
    <s v="CR0044"/>
    <x v="4"/>
    <x v="5"/>
    <n v="2029"/>
    <s v="Diogenes Cubero"/>
    <n v="20040"/>
    <s v="Diogenes Cubero"/>
    <s v="8312-1516"/>
    <x v="2"/>
    <s v="dioqbero@gmail.com"/>
    <s v="Pijije de Bagaces, Guanacaste, 800m suroeste de la escuela, casa amarilla, mano izquierda"/>
    <s v="DISTRITO 6-ESQUIPULAS CANTON 7-PALMARES DE LA PROVINCIA DE ALAJUELA, Costa Rica,"/>
    <x v="1"/>
    <s v="10.070442, -84.415962"/>
    <n v="5"/>
    <n v="6.1776252590741585"/>
    <m/>
    <n v="1000"/>
    <n v="1000"/>
    <s v=""/>
    <m/>
    <n v="1"/>
    <n v="1000"/>
    <n v="1000"/>
    <m/>
    <m/>
    <m/>
    <m/>
    <n v="0"/>
    <n v="1"/>
    <n v="1000"/>
    <n v="589"/>
    <n v="0.58899999999999997"/>
    <n v="0.59"/>
    <n v="0.59"/>
    <n v="590"/>
    <n v="590"/>
    <n v="0"/>
    <n v="0"/>
    <n v="0"/>
    <s v="P.elongata"/>
    <m/>
    <n v="0.187"/>
    <n v="187"/>
    <m/>
    <m/>
    <m/>
    <n v="97"/>
    <n v="90"/>
    <m/>
    <m/>
    <m/>
    <m/>
    <m/>
  </r>
  <r>
    <s v="CR0046"/>
    <x v="4"/>
    <x v="5"/>
    <n v="2029"/>
    <s v="Enrique Quiroz"/>
    <n v="20042"/>
    <s v="Elia Araya Guzman"/>
    <s v="83063090 , 7021-3625"/>
    <x v="2"/>
    <s v="eligas8@gmail.com"/>
    <s v="Alajuela, San Carlos, Cuidad Quesada, calle Gamboa, 150m este del taller Chicho."/>
    <s v="EL DISTRITO 3-EL AMPARO CANTON 14-LOS CHILES DE LA PROVINCIA DE ALAJUELA, Costa Rica"/>
    <x v="1"/>
    <s v="10.8096, -84.6369"/>
    <n v="4.58"/>
    <n v="12.355250518148317"/>
    <m/>
    <n v="2000"/>
    <n v="2000"/>
    <s v=""/>
    <m/>
    <n v="1"/>
    <n v="2000"/>
    <n v="2000"/>
    <m/>
    <m/>
    <m/>
    <m/>
    <n v="0"/>
    <n v="0.91"/>
    <n v="1820"/>
    <n v="2000"/>
    <n v="1"/>
    <n v="1"/>
    <n v="1"/>
    <n v="2000"/>
    <n v="2000"/>
    <n v="0"/>
    <n v="0"/>
    <n v="0"/>
    <s v="P.elongata"/>
    <m/>
    <n v="3.5000000000000003E-2"/>
    <n v="70"/>
    <m/>
    <m/>
    <m/>
    <m/>
    <m/>
    <n v="70"/>
    <m/>
    <m/>
    <m/>
    <m/>
  </r>
  <r>
    <s v="GT0025"/>
    <x v="4"/>
    <x v="5"/>
    <n v="2029"/>
    <s v="Marvin Rodolfo Porras Calderon"/>
    <n v="30024"/>
    <s v="Marvin Rodolfo Porras Calderon"/>
    <s v="(502) 54135219"/>
    <x v="0"/>
    <s v="mayalsmiscelanea@hotmail.com"/>
    <s v="Barrio El Centro zona 1, municipio de San Luis Jilotepeque, departamento de Jalapa"/>
    <s v="Aldea El Zapote, municipio de San Luis, departamento de Petén"/>
    <x v="2"/>
    <s v="16.074253, -89.729667"/>
    <n v="58.2"/>
    <s v=""/>
    <m/>
    <n v="6666"/>
    <n v="6666"/>
    <s v=""/>
    <m/>
    <n v="1"/>
    <n v="6666"/>
    <n v="6666"/>
    <m/>
    <m/>
    <m/>
    <m/>
    <n v="0"/>
    <n v="0.93050765076507658"/>
    <n v="6202.7640000000001"/>
    <n v="0"/>
    <m/>
    <n v="0.93050765076507658"/>
    <n v="0.93"/>
    <n v="6202.7640000000001"/>
    <n v="6202.7640000000001"/>
    <n v="0"/>
    <n v="0"/>
    <n v="0"/>
    <s v="Elongata"/>
    <m/>
    <n v="0.16411641164116411"/>
    <n v="1094"/>
    <m/>
    <m/>
    <m/>
    <m/>
    <n v="1094"/>
    <m/>
    <m/>
    <m/>
    <m/>
    <m/>
  </r>
  <r>
    <s v="GT0026"/>
    <x v="4"/>
    <x v="5"/>
    <n v="0"/>
    <s v="Pablo Castillo (Novio Laura María Morán)"/>
    <n v="30025"/>
    <s v="Olga Victoria Herrera Sanjuan"/>
    <m/>
    <x v="1"/>
    <m/>
    <m/>
    <m/>
    <x v="2"/>
    <m/>
    <m/>
    <s v=""/>
    <m/>
    <n v="990"/>
    <n v="990"/>
    <s v=""/>
    <m/>
    <n v="1"/>
    <n v="990"/>
    <n v="990"/>
    <m/>
    <m/>
    <m/>
    <m/>
    <n v="0"/>
    <n v="0"/>
    <n v="0"/>
    <n v="0"/>
    <n v="0"/>
    <n v="0"/>
    <n v="0"/>
    <n v="0"/>
    <n v="0"/>
    <n v="0"/>
    <n v="0"/>
    <n v="0"/>
    <s v="Elongata"/>
    <m/>
    <n v="0"/>
    <n v="0"/>
    <m/>
    <m/>
    <m/>
    <m/>
    <m/>
    <m/>
    <m/>
    <m/>
    <m/>
    <m/>
  </r>
  <r>
    <s v="GT0027"/>
    <x v="4"/>
    <x v="5"/>
    <n v="2029"/>
    <s v="Richard Steven Callaway Ayau - Eco Energía H20"/>
    <n v="30026"/>
    <s v="Richard Steven Callaway Ayau"/>
    <s v="(502) 52063353"/>
    <x v="0"/>
    <s v="rcallaway@armaviacion.com"/>
    <s v="AVENIDA HINCAPIE, ZONA 13, HANGAR K2, MUNICIPIO DE GUA-TEMALA, DEPARTAMENTO DE GUATEMALA"/>
    <s v="MUNICIPIO DE BARBERENA, DEPARTAMENTO DE SANTA ROSA"/>
    <x v="2"/>
    <s v="14.323333, -90.434028"/>
    <n v="48"/>
    <s v=""/>
    <m/>
    <n v="6788"/>
    <n v="6788"/>
    <s v=""/>
    <m/>
    <n v="1"/>
    <n v="6788"/>
    <n v="6788"/>
    <m/>
    <m/>
    <m/>
    <m/>
    <n v="0"/>
    <n v="0.80951679430000001"/>
    <n v="5494.9999997083996"/>
    <n v="0"/>
    <m/>
    <n v="0.80951679430000001"/>
    <n v="0.81"/>
    <n v="5494.9999997083996"/>
    <n v="0"/>
    <n v="0"/>
    <n v="0"/>
    <n v="0"/>
    <s v="Elongata"/>
    <m/>
    <n v="7.3659398939304654E-3"/>
    <n v="50"/>
    <m/>
    <m/>
    <m/>
    <m/>
    <m/>
    <n v="50"/>
    <m/>
    <m/>
    <m/>
    <m/>
  </r>
  <r>
    <s v="GT0028"/>
    <x v="4"/>
    <x v="5"/>
    <n v="2029"/>
    <s v="Rolando Chinchilla Buezo"/>
    <n v="30027"/>
    <s v="Rolando Chinchilla Buezo"/>
    <s v="(502) 30220730"/>
    <x v="0"/>
    <s v="hamblin.duarte@gmail.com"/>
    <s v="1ª AVENIDA 8-22, ZONA 1, MUNICIPIO DE ESQUIPULAS, DEPAR-TAMENTO DE CHIQUIMULA"/>
    <s v="ALDEA TIMUSHAN, MUNICIPIO DE ESQUIPULAS, DEPARTAMENTO DE CHIQUIMULA"/>
    <x v="2"/>
    <s v="14.7237050, -89.1903883"/>
    <n v="7.1"/>
    <s v=""/>
    <m/>
    <n v="1000"/>
    <n v="1000"/>
    <s v=""/>
    <m/>
    <n v="1"/>
    <n v="1000"/>
    <n v="1000"/>
    <m/>
    <m/>
    <m/>
    <m/>
    <n v="0"/>
    <n v="0.75014183999999995"/>
    <n v="750.14184"/>
    <n v="0"/>
    <m/>
    <n v="0.75014183999999995"/>
    <n v="0.75"/>
    <n v="750.14184"/>
    <n v="0"/>
    <n v="0"/>
    <n v="0"/>
    <n v="0"/>
    <s v="Elongata"/>
    <m/>
    <n v="0.246"/>
    <n v="246"/>
    <m/>
    <m/>
    <m/>
    <m/>
    <n v="211"/>
    <n v="35"/>
    <m/>
    <m/>
    <m/>
    <m/>
  </r>
  <r>
    <s v="CR0047"/>
    <x v="4"/>
    <x v="5"/>
    <n v="2029"/>
    <s v="Francisco Ramirez"/>
    <n v="20043"/>
    <s v="Emidey Ramirez"/>
    <s v="506-8718-4363"/>
    <x v="2"/>
    <s v="fr308099@gmail.com"/>
    <s v="De la escuela Los Ángeles de Colinas de Puntarenas 700m al Sur Oeste"/>
    <s v="El distrito 6- Colinas Cantón 3-Buenos Aires de la provincia de Puntarenas Costa Rica"/>
    <x v="1"/>
    <s v="9.0522990, -83.4801100"/>
    <m/>
    <n v="7.4131503108889909"/>
    <m/>
    <n v="1200"/>
    <n v="1200"/>
    <s v=""/>
    <m/>
    <n v="1"/>
    <n v="1200"/>
    <n v="1200"/>
    <m/>
    <m/>
    <m/>
    <m/>
    <n v="0"/>
    <n v="0.95"/>
    <n v="1140"/>
    <n v="1018.8"/>
    <n v="0.84899999999999998"/>
    <n v="0.85"/>
    <n v="0.84899999999999998"/>
    <n v="1018.8"/>
    <n v="1018.8"/>
    <n v="0"/>
    <n v="0"/>
    <n v="0"/>
    <s v="P.elongata"/>
    <m/>
    <n v="0.13333333333333333"/>
    <n v="160"/>
    <m/>
    <m/>
    <m/>
    <m/>
    <n v="160"/>
    <m/>
    <m/>
    <m/>
    <m/>
    <m/>
  </r>
  <r>
    <s v="CR0049"/>
    <x v="4"/>
    <x v="5"/>
    <n v="2029"/>
    <s v="Gregorio Corella"/>
    <n v="20045"/>
    <s v="Gregorio Corella"/>
    <s v="8775-4304"/>
    <x v="2"/>
    <s v="corella30g@gmail.com"/>
    <s v="Asentamiento el Paraíso, 300 m Suroeste bazar Sandra"/>
    <s v="EL DISTRITO 14-SARAPIQUI CANTON 1-ALAJUELA DE LA PROVINCIA DE ALAJUELA, Costa Rica"/>
    <x v="1"/>
    <s v="10.4020950, -84.1630570"/>
    <m/>
    <n v="7.4131503108889909"/>
    <m/>
    <n v="1200"/>
    <n v="1200"/>
    <s v=""/>
    <m/>
    <n v="1"/>
    <n v="1200"/>
    <n v="1200"/>
    <m/>
    <m/>
    <m/>
    <m/>
    <n v="0"/>
    <n v="0.95"/>
    <n v="1140"/>
    <n v="806.40000000000009"/>
    <n v="0.67200000000000004"/>
    <n v="0.67"/>
    <n v="0.67200000000000004"/>
    <n v="806.40000000000009"/>
    <n v="806.40000000000009"/>
    <n v="0"/>
    <n v="0"/>
    <n v="0"/>
    <s v="P.elongata"/>
    <m/>
    <n v="0.1125"/>
    <n v="135"/>
    <m/>
    <m/>
    <m/>
    <m/>
    <n v="135"/>
    <m/>
    <m/>
    <m/>
    <m/>
    <m/>
  </r>
  <r>
    <s v="CR0051"/>
    <x v="4"/>
    <x v="5"/>
    <n v="2029"/>
    <s v="Jeison Espinoza"/>
    <n v="20047"/>
    <s v="Jeison Espinoza"/>
    <s v="6033-5997"/>
    <x v="2"/>
    <s v="Jespinoza@colonos.com"/>
    <s v="750m NO de la iglesia Catolica de Tukankir 1, Guatuso Alajuela"/>
    <s v="el distrito 4-Katira Canton 15-Guatuso de la provincia de Alajuela"/>
    <x v="1"/>
    <s v="10.7634470, -84.8849640"/>
    <m/>
    <n v="8.0309128367964071"/>
    <m/>
    <n v="1300"/>
    <n v="1300"/>
    <s v=""/>
    <m/>
    <n v="1"/>
    <n v="1300"/>
    <n v="1300"/>
    <m/>
    <m/>
    <m/>
    <m/>
    <n v="0"/>
    <n v="0.95"/>
    <n v="1235"/>
    <n v="1235"/>
    <n v="0.95"/>
    <n v="0.95"/>
    <n v="0.95"/>
    <n v="1235"/>
    <n v="1235"/>
    <n v="0"/>
    <n v="0"/>
    <n v="0"/>
    <s v="P.elongata"/>
    <m/>
    <n v="6.1538461538461542E-2"/>
    <n v="80"/>
    <m/>
    <m/>
    <m/>
    <m/>
    <n v="80"/>
    <m/>
    <m/>
    <m/>
    <m/>
    <m/>
  </r>
  <r>
    <s v="CR0052"/>
    <x v="4"/>
    <x v="5"/>
    <n v="2029"/>
    <s v="Jerry Myers"/>
    <n v="20048"/>
    <s v="Tengo Fuera S.A"/>
    <s v="506 8626 5530, 506-8910-8202, 239-851-2700"/>
    <x v="2"/>
    <s v="amaninchedda96@gmail.com, ily0523@hotmail.com, jerry.myers@gmail.com"/>
    <s v="Barrio Vasquez, San Rafael de Santa Ana. Del Centro de Desarrollo Humano 50m NO. Apartado postal: 75-6150 Santa Ana, San Jose, Costa Rica"/>
    <s v="el distrito 2-Desmonte canton 4-San Mateo de la provincia de Alajuela, Costa Rica"/>
    <x v="1"/>
    <s v="9.948961, -84.476863"/>
    <n v="12.04"/>
    <n v="14.826300621777982"/>
    <m/>
    <n v="2400"/>
    <n v="2400"/>
    <s v=""/>
    <m/>
    <n v="1"/>
    <n v="2400"/>
    <n v="2400"/>
    <m/>
    <m/>
    <m/>
    <m/>
    <n v="0"/>
    <n v="1"/>
    <n v="2400"/>
    <n v="2040"/>
    <n v="0.85"/>
    <n v="0.85"/>
    <n v="0.85"/>
    <n v="2040"/>
    <n v="2040"/>
    <n v="0"/>
    <n v="0"/>
    <n v="0"/>
    <s v="P.elongata"/>
    <m/>
    <n v="0.46666666666666667"/>
    <n v="1120"/>
    <m/>
    <m/>
    <n v="400"/>
    <n v="420"/>
    <n v="300"/>
    <m/>
    <m/>
    <m/>
    <m/>
    <m/>
  </r>
  <r>
    <s v="CR0053"/>
    <x v="4"/>
    <x v="5"/>
    <n v="2029"/>
    <s v="Jose Eduardo Esquivel "/>
    <n v="20049"/>
    <s v="Jose Eduardo Esquivel "/>
    <s v="8820-9988, 8920-9639"/>
    <x v="2"/>
    <s v="Fernando.esquivel.arce@gmail.com, pardosc123@gmail.com"/>
    <s v="150m noreste del puente la cazuela, San Pablo. Ciudad Quesada."/>
    <s v="Bajo de Chilamate, del rancho Magallanes 800m este, 200m sur y 400m este"/>
    <x v="1"/>
    <s v="10.4592560, -84.0859000"/>
    <m/>
    <n v="6.1776252590741585"/>
    <m/>
    <n v="1000"/>
    <n v="1000"/>
    <s v=""/>
    <m/>
    <n v="1"/>
    <n v="1000"/>
    <n v="1000"/>
    <m/>
    <m/>
    <m/>
    <m/>
    <n v="0"/>
    <n v="1"/>
    <n v="1000"/>
    <n v="953"/>
    <n v="0.95299999999999996"/>
    <n v="0.95"/>
    <n v="0.95299999999999996"/>
    <n v="953"/>
    <n v="953"/>
    <n v="0"/>
    <n v="0"/>
    <n v="0"/>
    <s v="P.elongata"/>
    <m/>
    <n v="0.05"/>
    <n v="50"/>
    <m/>
    <m/>
    <m/>
    <n v="50"/>
    <m/>
    <m/>
    <m/>
    <m/>
    <m/>
    <m/>
  </r>
  <r>
    <s v="CR0059"/>
    <x v="4"/>
    <x v="5"/>
    <n v="2029"/>
    <s v="Marianela Campos"/>
    <n v="20055"/>
    <s v="Marianela Campos Campos"/>
    <s v="506-8580-1567, 506-8525-3436"/>
    <x v="2"/>
    <s v="vane18ka471@gmail.com"/>
    <s v="Upala Centro, 150m Norte del MAG"/>
    <s v="el distrito 2-Cano Negro, canton 14-Los Chiles de la provincia de Alajuela, Costa Rica"/>
    <x v="1"/>
    <s v="10.8637164, -84.8670888"/>
    <n v="11.94"/>
    <n v="12.355250518148317"/>
    <m/>
    <n v="2000"/>
    <n v="2000"/>
    <s v=""/>
    <m/>
    <n v="1"/>
    <n v="2000"/>
    <n v="2000"/>
    <m/>
    <m/>
    <m/>
    <m/>
    <n v="0"/>
    <n v="1"/>
    <n v="2000"/>
    <n v="1236"/>
    <n v="0.61799999999999999"/>
    <n v="0.62"/>
    <n v="0.61799999999999999"/>
    <n v="600"/>
    <n v="600"/>
    <n v="0"/>
    <n v="0"/>
    <n v="0"/>
    <s v="P.elongata"/>
    <m/>
    <n v="0"/>
    <n v="0"/>
    <m/>
    <m/>
    <m/>
    <m/>
    <m/>
    <m/>
    <m/>
    <m/>
    <m/>
    <m/>
  </r>
  <r>
    <s v="CR0060"/>
    <x v="4"/>
    <x v="5"/>
    <n v="2029"/>
    <s v="Marleni Oporta Castillo"/>
    <n v="20056"/>
    <s v="Marleni Oporta Castillo"/>
    <s v="8577-7454"/>
    <x v="2"/>
    <s v="sibethlopez2001@gmail.com"/>
    <s v="De la escuela San Luis 600m Norte, parcela 33. San Luis de Dos Rios"/>
    <s v="el distrito 6-dos rios canton 13-upala de la provincia de alajuela, Costa Rica"/>
    <x v="1"/>
    <s v="10.937500, -85.365000"/>
    <m/>
    <n v="12.355250518148317"/>
    <m/>
    <n v="2000"/>
    <n v="2000"/>
    <s v=""/>
    <m/>
    <n v="1"/>
    <n v="2000"/>
    <n v="2000"/>
    <m/>
    <m/>
    <m/>
    <m/>
    <n v="0"/>
    <n v="1"/>
    <n v="2000"/>
    <n v="1562"/>
    <n v="0.78100000000000003"/>
    <n v="0.78"/>
    <n v="0.78100000000000003"/>
    <n v="1562"/>
    <n v="1562"/>
    <n v="0"/>
    <n v="0"/>
    <n v="0"/>
    <s v="P.elongata"/>
    <m/>
    <n v="0.215"/>
    <n v="430"/>
    <m/>
    <m/>
    <m/>
    <n v="430"/>
    <m/>
    <m/>
    <m/>
    <m/>
    <m/>
    <m/>
  </r>
  <r>
    <s v="CR0061"/>
    <x v="4"/>
    <x v="5"/>
    <n v="2029"/>
    <s v="Mayela Quesada"/>
    <n v="20027"/>
    <s v="Mayela Quesada"/>
    <s v="50683838815, 83838815"/>
    <x v="2"/>
    <s v="mquesada@agricoladelcafetal.com"/>
    <s v="Lourdes de Naranjo, 709, Alajuela Province, Naranjo de Alajuela, Costa Rica"/>
    <s v="10.1525978335, -84.3586197692; 10,1552646 -843609432"/>
    <x v="1"/>
    <s v="10.1525978335, -84.3586197692"/>
    <m/>
    <n v="3.0888126295370792"/>
    <m/>
    <n v="500"/>
    <n v="500"/>
    <s v=""/>
    <m/>
    <n v="1"/>
    <n v="500"/>
    <n v="500"/>
    <m/>
    <m/>
    <m/>
    <m/>
    <n v="0"/>
    <n v="0.6"/>
    <n v="300"/>
    <n v="321.5"/>
    <n v="0.64300000000000002"/>
    <n v="0.64"/>
    <n v="0.64300000000000002"/>
    <n v="321.5"/>
    <n v="321.5"/>
    <n v="0"/>
    <n v="0"/>
    <n v="0"/>
    <s v="P.elongata"/>
    <m/>
    <n v="0.4"/>
    <n v="200"/>
    <m/>
    <m/>
    <m/>
    <m/>
    <n v="200"/>
    <m/>
    <m/>
    <m/>
    <m/>
    <m/>
  </r>
  <r>
    <s v="CR0062"/>
    <x v="4"/>
    <x v="5"/>
    <n v="2029"/>
    <s v="Mercedes Barboza"/>
    <n v="20057"/>
    <s v="Mercedez Barboza"/>
    <s v="87512200, 8363-3137"/>
    <x v="2"/>
    <s v="diegobarboza2062@gmail.com"/>
    <s v="900m de la escuela los Ceibos, la Unión de Guatuso"/>
    <s v="el distrito 2-Buena Vista, cantón 15-Guatuso de la provincia de Alajuela, Costa Rica"/>
    <x v="1"/>
    <s v="10.7950000, -84.8722222"/>
    <n v="5.7"/>
    <n v="7.4131503108889909"/>
    <m/>
    <n v="1200"/>
    <n v="1200"/>
    <s v=""/>
    <m/>
    <n v="1"/>
    <n v="1200"/>
    <n v="1200"/>
    <m/>
    <m/>
    <m/>
    <m/>
    <n v="0"/>
    <n v="1"/>
    <n v="1200"/>
    <n v="1062"/>
    <n v="0.88500000000000001"/>
    <n v="0.89"/>
    <n v="0.88500000000000001"/>
    <n v="1062"/>
    <n v="1062"/>
    <n v="0"/>
    <n v="0"/>
    <n v="0"/>
    <s v="P.elongata"/>
    <m/>
    <n v="0.19666666666666666"/>
    <n v="236"/>
    <m/>
    <m/>
    <m/>
    <m/>
    <n v="236"/>
    <m/>
    <m/>
    <m/>
    <m/>
    <m/>
  </r>
  <r>
    <s v="CR0063"/>
    <x v="4"/>
    <x v="5"/>
    <n v="2029"/>
    <s v="Olger Monge"/>
    <n v="20058"/>
    <s v="Olger Monge"/>
    <s v="7132-5754, 87123143"/>
    <x v="2"/>
    <s v="ser1229@yahoo.es, olgermonge04@gmail.com"/>
    <s v="San José de Acosta Chirraca, contiguo a la terminal de buses Monge, casa color amarilla"/>
    <s v="distrito 3-Palmichal, cantón 12-Acosta de la provincia de San José, Costa Rica"/>
    <x v="1"/>
    <s v="9.822226, -84.173046"/>
    <m/>
    <n v="3.7065751554444955"/>
    <m/>
    <n v="600"/>
    <n v="600"/>
    <s v=""/>
    <m/>
    <n v="1"/>
    <n v="600"/>
    <n v="600"/>
    <m/>
    <m/>
    <m/>
    <m/>
    <n v="0"/>
    <n v="0.95"/>
    <n v="570"/>
    <n v="574.79999999999995"/>
    <n v="0.95799999999999996"/>
    <n v="0.96"/>
    <n v="0.95799999999999996"/>
    <n v="574.79999999999995"/>
    <n v="574.79999999999995"/>
    <n v="0"/>
    <n v="0"/>
    <n v="0"/>
    <s v="P.elongata"/>
    <m/>
    <n v="0.2"/>
    <n v="120"/>
    <m/>
    <m/>
    <m/>
    <m/>
    <n v="120"/>
    <m/>
    <m/>
    <m/>
    <m/>
    <m/>
  </r>
  <r>
    <s v="CR0065"/>
    <x v="4"/>
    <x v="5"/>
    <n v="2029"/>
    <s v="Roy Damian Campos"/>
    <n v="20060"/>
    <s v="Roy Damian Campos"/>
    <s v="89805576"/>
    <x v="2"/>
    <s v="cazuca.czc@gmail.com"/>
    <s v="300 metros oeste de la Gasolinera La Lucha, La Tigra San Carlos"/>
    <s v="EN EL DISTRITO 8-ANGELES CANTON 2-SAN RAMON DE LA PROVINCIA DE ALAJUELA"/>
    <x v="1"/>
    <s v="10.3508, -84.6472"/>
    <n v="8.3450000000000006"/>
    <n v="10.50196294042607"/>
    <m/>
    <n v="1700"/>
    <n v="1700"/>
    <s v=""/>
    <m/>
    <n v="1"/>
    <n v="1700"/>
    <n v="1700"/>
    <m/>
    <m/>
    <m/>
    <m/>
    <n v="0"/>
    <n v="1"/>
    <n v="1700"/>
    <n v="1609.8999999999999"/>
    <n v="0.94699999999999995"/>
    <n v="0.95"/>
    <n v="0.94699999999999995"/>
    <n v="1609.8999999999999"/>
    <n v="1609.8999999999999"/>
    <n v="0"/>
    <n v="0"/>
    <n v="0"/>
    <s v="P.elongata"/>
    <m/>
    <n v="5.8823529411764705E-2"/>
    <n v="100"/>
    <m/>
    <m/>
    <m/>
    <n v="100"/>
    <m/>
    <m/>
    <m/>
    <m/>
    <m/>
    <m/>
  </r>
  <r>
    <s v="CR0066"/>
    <x v="4"/>
    <x v="5"/>
    <n v="2029"/>
    <s v="Victor Godinez"/>
    <n v="20061"/>
    <s v="AGRICOLA BUENA VISTA EL ALTO S.A"/>
    <s v="506 8868-9602, 8868-9602"/>
    <x v="2"/>
    <s v="buenavistaagricola@gmail.com"/>
    <s v="100N de la esucla de San Lorenzo de Tarrazu, San Jose, Costa Rica"/>
    <s v="9.584145, -84.044777"/>
    <x v="1"/>
    <s v="9.584145, -84.044777"/>
    <m/>
    <n v="6.1776252590741585"/>
    <m/>
    <n v="1000"/>
    <n v="1000"/>
    <s v=""/>
    <m/>
    <n v="1"/>
    <n v="1000"/>
    <n v="1000"/>
    <m/>
    <m/>
    <m/>
    <m/>
    <n v="0"/>
    <n v="0.95"/>
    <n v="950"/>
    <n v="827"/>
    <n v="0.82699999999999996"/>
    <n v="0.83"/>
    <n v="0.82699999999999996"/>
    <n v="827"/>
    <n v="827"/>
    <n v="0"/>
    <n v="0"/>
    <n v="0"/>
    <s v="P.elongata"/>
    <m/>
    <n v="0.12"/>
    <n v="120"/>
    <m/>
    <m/>
    <m/>
    <m/>
    <n v="120"/>
    <m/>
    <m/>
    <m/>
    <m/>
    <m/>
  </r>
  <r>
    <s v="CR0068"/>
    <x v="4"/>
    <x v="5"/>
    <n v="2029"/>
    <s v="Wilberth Jesus Alfaro"/>
    <n v="20063"/>
    <s v="Wilberth Jesus Alfaro"/>
    <s v="506-8983-8148, 506-8505-5669, 506-8318-5891"/>
    <x v="2"/>
    <s v="eve_728@hotmail.com"/>
    <s v="Diagonal a ferreteria Canlete en Canelete de Upala"/>
    <s v="el distrito 8-Canalete canton 13-Uplala de la provincia de Alajuela, Costa Rica"/>
    <x v="1"/>
    <s v="10.8283, -85.0779"/>
    <n v="12.25"/>
    <n v="12.355250518148317"/>
    <m/>
    <n v="2000"/>
    <n v="2000"/>
    <s v=""/>
    <m/>
    <n v="1"/>
    <n v="2000"/>
    <n v="2000"/>
    <m/>
    <m/>
    <m/>
    <m/>
    <n v="0"/>
    <n v="0.91"/>
    <n v="1820"/>
    <n v="1514"/>
    <n v="0.75700000000000001"/>
    <n v="0.76"/>
    <n v="0.75700000000000001"/>
    <n v="1514"/>
    <n v="1514"/>
    <n v="0"/>
    <n v="0"/>
    <n v="0"/>
    <s v="P.elongata"/>
    <m/>
    <n v="0.02"/>
    <n v="40"/>
    <m/>
    <m/>
    <m/>
    <m/>
    <n v="40"/>
    <m/>
    <m/>
    <m/>
    <m/>
    <m/>
  </r>
  <r>
    <s v="CR0069"/>
    <x v="4"/>
    <x v="5"/>
    <n v="2029"/>
    <s v="Wilman Alvarado"/>
    <n v="20064"/>
    <s v="Wilman Alvarado"/>
    <s v="506-8875-4687"/>
    <x v="2"/>
    <s v="wtecnifrutas@gmail.com"/>
    <s v="Santa Isabel Rio Cuarto de Alajuela"/>
    <s v="10.058027, -84.456474"/>
    <x v="1"/>
    <s v="10.057484, -84.4583290"/>
    <m/>
    <n v="6.1776252590741585"/>
    <m/>
    <n v="1000"/>
    <n v="1000"/>
    <s v=""/>
    <m/>
    <n v="1"/>
    <n v="1000"/>
    <n v="1000"/>
    <m/>
    <m/>
    <m/>
    <m/>
    <n v="0"/>
    <n v="1"/>
    <n v="1000"/>
    <n v="580"/>
    <n v="0.57999999999999996"/>
    <n v="0.57999999999999996"/>
    <n v="0.57999999999999996"/>
    <n v="580"/>
    <n v="580"/>
    <n v="0"/>
    <n v="0"/>
    <n v="0"/>
    <s v="P.elongata"/>
    <m/>
    <n v="0.29199999999999998"/>
    <n v="292"/>
    <m/>
    <m/>
    <m/>
    <n v="230"/>
    <n v="62"/>
    <m/>
    <m/>
    <m/>
    <m/>
    <m/>
  </r>
  <r>
    <s v="GT0018"/>
    <x v="4"/>
    <x v="5"/>
    <n v="2029"/>
    <s v="Carlos López"/>
    <n v="30018"/>
    <s v="Emilia Beatriz Lopez Letona"/>
    <s v="(502) 54049842"/>
    <x v="2"/>
    <s v="bittylopez@hotmail.com"/>
    <s v="FINCA PANAMÁ, MUNICIPIO DE FLORES COSTA CUCA, DEPARTAMENTO DE QUETZALTENANGO"/>
    <s v="FINCA PANAMÁ, MUNICIPIO DE FLORES COSTA CUCA, DEPARTAMENTO DE QUETZALTENANGO"/>
    <x v="2"/>
    <s v="14.664795, -91.860090"/>
    <n v="22.6"/>
    <n v="24.09090909090909"/>
    <m/>
    <n v="2650"/>
    <n v="2650"/>
    <s v=""/>
    <m/>
    <n v="1"/>
    <n v="2650"/>
    <n v="2650"/>
    <m/>
    <m/>
    <m/>
    <m/>
    <n v="0"/>
    <n v="0.74312650188679252"/>
    <n v="1969.2852300000002"/>
    <n v="2493.6499999999996"/>
    <n v="0.94099999999999995"/>
    <n v="0.94"/>
    <n v="0.94099999999999995"/>
    <n v="2493.6499999999996"/>
    <n v="2493.6499999999996"/>
    <n v="0"/>
    <n v="0"/>
    <n v="0"/>
    <s v="Elongata"/>
    <m/>
    <n v="0.87056603773584906"/>
    <n v="2307"/>
    <m/>
    <m/>
    <n v="1325"/>
    <m/>
    <n v="982"/>
    <m/>
    <m/>
    <m/>
    <m/>
    <m/>
  </r>
  <r>
    <s v="GT0024a"/>
    <x v="4"/>
    <x v="5"/>
    <n v="2029"/>
    <s v="Julio Francisco Morán Pérez"/>
    <n v="30023"/>
    <s v="Julio Francisco Morán Pérez"/>
    <s v="(502) 56972396"/>
    <x v="2"/>
    <s v="julmora213@gmail.com"/>
    <s v="14 A VENIDA LAS AMERICAS 7-62, ZONA 3, EDIFICIO TORRE PRADE­RA XELA, OCTAVO NTVEL, OFTCTNA 812, MUNTCTPTO DE QUETZALTENANGO, DEPARTAMENTO DE QUETZAL TENA NGO"/>
    <s v="FTNCA 4 PTLARES DE LAS PAULOWNTAS, MUNTCTPTO DE EL PALMAR, DEPARTAMENTO DE QUETZALTENANGO"/>
    <x v="2"/>
    <s v="14.696111, -91.608056"/>
    <n v="40.1"/>
    <n v="47.454545454545453"/>
    <m/>
    <n v="5220"/>
    <n v="5220"/>
    <s v=""/>
    <m/>
    <n v="1"/>
    <n v="5220"/>
    <n v="5220"/>
    <m/>
    <m/>
    <m/>
    <m/>
    <n v="0"/>
    <n v="0.82858216683583918"/>
    <n v="4325.1989108830803"/>
    <n v="0"/>
    <m/>
    <n v="0.82858216683583918"/>
    <n v="0.82858216683583918"/>
    <n v="4325.1989108830803"/>
    <n v="4325.1989108830803"/>
    <n v="0"/>
    <n v="0"/>
    <n v="0"/>
    <s v="Elongata"/>
    <m/>
    <n v="0.864176245210728"/>
    <n v="4511"/>
    <m/>
    <m/>
    <m/>
    <m/>
    <n v="4511"/>
    <m/>
    <m/>
    <m/>
    <m/>
    <m/>
  </r>
  <r>
    <s v="MX0013"/>
    <x v="4"/>
    <x v="5"/>
    <n v="2029"/>
    <s v="Juan Chavez Calderon"/>
    <n v="40012"/>
    <s v="Juan Chavez Calderon"/>
    <s v="352-107-7863"/>
    <x v="2"/>
    <s v="jcagronegocios022@hotmail.com"/>
    <s v="Blvd. Adolfo Lopez Mateos, Centro, La Piedad, Michoacan. CP 59300. Mexico"/>
    <s v="Presa Vieja y el Guamuchil, Taguiscuareo, La Piedad, Michoacan. CP 59300, Mexico"/>
    <x v="3"/>
    <s v="20.253389, -102.084111"/>
    <n v="9.9"/>
    <n v="12.355108275676161"/>
    <m/>
    <n v="2750"/>
    <n v="2750"/>
    <s v=""/>
    <m/>
    <n v="1"/>
    <n v="2750"/>
    <n v="2750"/>
    <m/>
    <m/>
    <m/>
    <m/>
    <n v="0"/>
    <n v="0.66"/>
    <n v="1815"/>
    <n v="0"/>
    <m/>
    <n v="0.66"/>
    <n v="0.66"/>
    <n v="1815"/>
    <n v="1815"/>
    <n v="0"/>
    <n v="0"/>
    <n v="0"/>
    <m/>
    <m/>
    <n v="0"/>
    <n v="0"/>
    <m/>
    <m/>
    <m/>
    <m/>
    <m/>
    <m/>
    <m/>
    <m/>
    <m/>
    <m/>
  </r>
  <r>
    <s v="MX0005"/>
    <x v="4"/>
    <x v="5"/>
    <n v="2029"/>
    <s v="Arturo Arguelles Barradas"/>
    <n v="40005"/>
    <s v="Arturo Arguelles Barradas"/>
    <s v="287.110.7413"/>
    <x v="0"/>
    <s v="aarguelles03b@gmail.com"/>
    <s v="Calle Rio Jaltepec no . 7 4, fraccionamiento Lomas del Rio Medio 3, Zamora, Veracruz. 91809. Mex ico"/>
    <s v="Calle Rio Jaltepec no . 74, fraccionamiento Lomas del R io Med io 3, Zamora, Veracruz. 91809, Mexico"/>
    <x v="3"/>
    <s v="17.523197, -95.390517"/>
    <m/>
    <s v=""/>
    <m/>
    <n v="1100"/>
    <n v="1100"/>
    <s v=""/>
    <m/>
    <n v="1"/>
    <n v="1100"/>
    <n v="1100"/>
    <m/>
    <m/>
    <m/>
    <m/>
    <n v="0"/>
    <n v="0.95"/>
    <n v="1045"/>
    <n v="0"/>
    <m/>
    <n v="0.95"/>
    <n v="0.95"/>
    <n v="1045"/>
    <n v="1045"/>
    <n v="0"/>
    <n v="0"/>
    <n v="0"/>
    <m/>
    <m/>
    <n v="0"/>
    <n v="0"/>
    <m/>
    <m/>
    <m/>
    <m/>
    <m/>
    <m/>
    <m/>
    <m/>
    <m/>
    <m/>
  </r>
  <r>
    <s v="MX0006"/>
    <x v="4"/>
    <x v="5"/>
    <n v="0"/>
    <s v="Cesar Aaron Olquin Jimenez"/>
    <n v="40006"/>
    <s v="Cesar Aaron Olquin Jimenez"/>
    <m/>
    <x v="1"/>
    <m/>
    <m/>
    <m/>
    <x v="3"/>
    <m/>
    <m/>
    <s v=""/>
    <m/>
    <n v="7700"/>
    <n v="7700"/>
    <s v=""/>
    <m/>
    <n v="1"/>
    <n v="7700"/>
    <n v="7700"/>
    <m/>
    <m/>
    <m/>
    <m/>
    <n v="0"/>
    <n v="0"/>
    <n v="0"/>
    <n v="0"/>
    <n v="0"/>
    <n v="0"/>
    <n v="0"/>
    <n v="0"/>
    <n v="0"/>
    <n v="0"/>
    <n v="0"/>
    <n v="0"/>
    <m/>
    <m/>
    <n v="0"/>
    <n v="0"/>
    <m/>
    <m/>
    <m/>
    <m/>
    <m/>
    <m/>
    <m/>
    <m/>
    <m/>
    <m/>
  </r>
  <r>
    <s v="MX0007"/>
    <x v="5"/>
    <x v="5"/>
    <n v="0"/>
    <s v="Cesar Aaron Olquin Jimenez"/>
    <n v="40006"/>
    <s v="Cesar Aaron Olquin Jimenez"/>
    <m/>
    <x v="1"/>
    <m/>
    <m/>
    <m/>
    <x v="3"/>
    <m/>
    <m/>
    <s v=""/>
    <m/>
    <n v="14300"/>
    <n v="14300"/>
    <s v=""/>
    <m/>
    <n v="1"/>
    <n v="14300"/>
    <n v="14300"/>
    <m/>
    <m/>
    <m/>
    <m/>
    <n v="0"/>
    <n v="0"/>
    <n v="0"/>
    <n v="0"/>
    <n v="0"/>
    <n v="0"/>
    <n v="0"/>
    <n v="0"/>
    <n v="0"/>
    <n v="0"/>
    <n v="0"/>
    <n v="0"/>
    <m/>
    <m/>
    <n v="0"/>
    <n v="0"/>
    <m/>
    <m/>
    <m/>
    <m/>
    <m/>
    <m/>
    <m/>
    <m/>
    <m/>
    <m/>
  </r>
  <r>
    <s v="MX0008"/>
    <x v="5"/>
    <x v="5"/>
    <n v="0"/>
    <s v="Heriberto Mendoza Villegas"/>
    <n v="40007"/>
    <s v="Dionicio Mendoza Rinconcillo"/>
    <m/>
    <x v="1"/>
    <m/>
    <m/>
    <m/>
    <x v="3"/>
    <m/>
    <m/>
    <s v=""/>
    <m/>
    <n v="5500"/>
    <n v="5500"/>
    <s v=""/>
    <m/>
    <n v="1"/>
    <n v="5500"/>
    <n v="5500"/>
    <m/>
    <m/>
    <m/>
    <m/>
    <n v="0"/>
    <n v="0"/>
    <n v="0"/>
    <n v="0"/>
    <n v="0"/>
    <n v="0"/>
    <n v="0"/>
    <n v="0"/>
    <n v="0"/>
    <n v="0"/>
    <n v="0"/>
    <n v="0"/>
    <m/>
    <m/>
    <n v="0"/>
    <n v="0"/>
    <m/>
    <m/>
    <m/>
    <m/>
    <m/>
    <m/>
    <m/>
    <m/>
    <m/>
    <m/>
  </r>
  <r>
    <s v="US0052"/>
    <x v="4"/>
    <x v="5"/>
    <n v="2029"/>
    <s v="Andy Youngblood"/>
    <n v="10045"/>
    <s v="Andy Youngblood"/>
    <s v="479-243-5423"/>
    <x v="2"/>
    <s v="info@youngbloodfarm.com"/>
    <s v="173 Polk Rd 252, Grannis, AR, USA 71944"/>
    <s v="173 Polk Rd 252, Grannis, AR 71944, USA"/>
    <x v="0"/>
    <s v="34.2594, -94.2761; 34.3301, -94.3201"/>
    <n v="16"/>
    <n v="10"/>
    <s v="Y"/>
    <n v="1100"/>
    <n v="1100"/>
    <s v=""/>
    <m/>
    <n v="1"/>
    <n v="1100"/>
    <n v="1100"/>
    <m/>
    <m/>
    <m/>
    <m/>
    <n v="0"/>
    <n v="0.82499999999999996"/>
    <n v="907.5"/>
    <n v="0"/>
    <m/>
    <n v="0.82499999999999996"/>
    <n v="0.82499999999999996"/>
    <n v="907.5"/>
    <n v="907.5"/>
    <n v="0"/>
    <n v="0"/>
    <n v="0"/>
    <s v="Fortunei"/>
    <n v="18"/>
    <n v="0.36363636363636365"/>
    <n v="400"/>
    <m/>
    <m/>
    <m/>
    <m/>
    <n v="400"/>
    <m/>
    <m/>
    <m/>
    <m/>
    <m/>
  </r>
  <r>
    <s v="MX0010"/>
    <x v="5"/>
    <x v="5"/>
    <n v="0"/>
    <s v="Víctor Manuel Godínez Martínez"/>
    <n v="40009"/>
    <s v="Jesus Enriquez Magana"/>
    <m/>
    <x v="1"/>
    <m/>
    <m/>
    <m/>
    <x v="3"/>
    <m/>
    <m/>
    <s v=""/>
    <m/>
    <m/>
    <m/>
    <s v=""/>
    <m/>
    <n v="1"/>
    <m/>
    <m/>
    <m/>
    <m/>
    <m/>
    <m/>
    <n v="0"/>
    <n v="0"/>
    <n v="0"/>
    <n v="0"/>
    <n v="0"/>
    <n v="0"/>
    <n v="0"/>
    <n v="0"/>
    <n v="0"/>
    <n v="0"/>
    <n v="0"/>
    <n v="0"/>
    <m/>
    <m/>
    <s v=""/>
    <n v="0"/>
    <m/>
    <m/>
    <m/>
    <m/>
    <m/>
    <m/>
    <m/>
    <m/>
    <m/>
    <m/>
  </r>
  <r>
    <s v="MX0011"/>
    <x v="4"/>
    <x v="5"/>
    <n v="0"/>
    <s v="Jose Dolores Hugo Torres Hernandez"/>
    <n v="40010"/>
    <s v="Miguel Angel García Torres"/>
    <m/>
    <x v="1"/>
    <m/>
    <m/>
    <m/>
    <x v="3"/>
    <m/>
    <n v="1.4"/>
    <s v=""/>
    <m/>
    <n v="4400"/>
    <n v="4400"/>
    <s v=""/>
    <m/>
    <n v="1"/>
    <n v="4400"/>
    <n v="4400"/>
    <m/>
    <m/>
    <m/>
    <m/>
    <n v="0"/>
    <n v="0"/>
    <n v="0"/>
    <n v="0"/>
    <n v="0"/>
    <n v="0"/>
    <n v="0"/>
    <n v="0"/>
    <n v="0"/>
    <n v="0"/>
    <n v="0"/>
    <n v="0"/>
    <m/>
    <m/>
    <n v="0"/>
    <n v="0"/>
    <m/>
    <m/>
    <m/>
    <m/>
    <m/>
    <m/>
    <m/>
    <m/>
    <m/>
    <m/>
  </r>
  <r>
    <s v="MX0012"/>
    <x v="5"/>
    <x v="5"/>
    <n v="2029"/>
    <s v="Juan Carlos Cardoso Vargas"/>
    <n v="40011"/>
    <s v="Juan Carlos Cardoso Vargas"/>
    <s v="429-103-2060"/>
    <x v="0"/>
    <s v="cardosoproduceyagave@gmail.com"/>
    <s v="Vicente Guerrero s/n. Rancho Guadalupe, Huanimaro, Guanajuato CP 36998, Mexico"/>
    <s v="Ojo de Agua, Municipio de Abasolo, Guanajuato 36987, Mexico. La Loma, Municipio de Huanfmaro CP 36998, Mexico"/>
    <x v="3"/>
    <s v="20.389148,-101.579335; 20.3781949,-101.549031"/>
    <n v="52.4"/>
    <s v=""/>
    <m/>
    <n v="12000"/>
    <n v="12000"/>
    <s v=""/>
    <m/>
    <n v="1"/>
    <n v="12000"/>
    <n v="12000"/>
    <m/>
    <m/>
    <m/>
    <m/>
    <n v="0"/>
    <n v="0.34"/>
    <n v="4080"/>
    <n v="0"/>
    <m/>
    <n v="0.34"/>
    <n v="0.34"/>
    <n v="4080.0000000000005"/>
    <n v="4080.0000000000005"/>
    <n v="0"/>
    <n v="0"/>
    <n v="0"/>
    <m/>
    <m/>
    <n v="0.22616666666666665"/>
    <n v="2714"/>
    <m/>
    <m/>
    <m/>
    <m/>
    <n v="2714"/>
    <m/>
    <m/>
    <m/>
    <m/>
    <m/>
  </r>
  <r>
    <s v="US0054"/>
    <x v="4"/>
    <x v="5"/>
    <n v="2029"/>
    <s v="William Franklin"/>
    <n v="10047"/>
    <s v="William Franklin"/>
    <s v="334-850-6700, 334-320-1545"/>
    <x v="2"/>
    <s v="sherifffranklin@elmoreso.com, luke2a21@gmail.com"/>
    <s v="410 Fortner Rd Wetumpka AL 36092-4229"/>
    <s v="410 Fortner Rd Wetumpka AL 36092-4229"/>
    <x v="0"/>
    <s v="32.627857, -86.179914"/>
    <n v="12.5"/>
    <n v="10"/>
    <s v="Y"/>
    <n v="1100"/>
    <n v="1100"/>
    <s v=""/>
    <m/>
    <n v="1"/>
    <n v="1100"/>
    <n v="1100"/>
    <m/>
    <m/>
    <m/>
    <m/>
    <n v="0"/>
    <n v="1"/>
    <n v="1100"/>
    <n v="0"/>
    <m/>
    <n v="1"/>
    <n v="1"/>
    <n v="1100"/>
    <n v="1100"/>
    <n v="0"/>
    <n v="0"/>
    <n v="0"/>
    <s v="Fortunei"/>
    <n v="18"/>
    <n v="0.68181818181818177"/>
    <n v="750"/>
    <m/>
    <m/>
    <m/>
    <n v="84"/>
    <n v="160"/>
    <n v="506"/>
    <m/>
    <m/>
    <m/>
    <m/>
  </r>
  <r>
    <s v="MX0014"/>
    <x v="4"/>
    <x v="5"/>
    <n v="2029"/>
    <s v="Norma Pérez González"/>
    <n v="40013"/>
    <s v="Juan Luis Villeda Gayosso"/>
    <s v="4493482975"/>
    <x v="0"/>
    <s v="villedajuanluis@gmail.com"/>
    <s v="Salvador Duran Castanedo N° 409, Col. VNSA, Aguascalientes, Aqs. Mexico. CP 20126"/>
    <s v="Sector de producción 2, Ejido el Tule, Asientos, Aguascalientes 20704, México"/>
    <x v="3"/>
    <s v="22.114167, -102.098228"/>
    <n v="14"/>
    <s v=""/>
    <m/>
    <n v="3300"/>
    <n v="3300"/>
    <s v=""/>
    <m/>
    <n v="1"/>
    <n v="3300"/>
    <n v="3300"/>
    <m/>
    <m/>
    <m/>
    <m/>
    <n v="0"/>
    <n v="0.64"/>
    <n v="2112"/>
    <n v="0"/>
    <m/>
    <n v="0.64"/>
    <n v="0.64"/>
    <n v="2112"/>
    <n v="2112"/>
    <n v="0"/>
    <n v="0"/>
    <n v="0"/>
    <m/>
    <m/>
    <n v="0.4"/>
    <n v="1320"/>
    <m/>
    <m/>
    <m/>
    <m/>
    <n v="1320"/>
    <m/>
    <m/>
    <m/>
    <m/>
    <m/>
  </r>
  <r>
    <s v="MX0015"/>
    <x v="5"/>
    <x v="5"/>
    <n v="0"/>
    <s v="Lucila Morales Druallet"/>
    <n v="40014"/>
    <s v="Lucila Morales Druallet"/>
    <m/>
    <x v="1"/>
    <m/>
    <m/>
    <m/>
    <x v="3"/>
    <m/>
    <m/>
    <s v=""/>
    <m/>
    <n v="2750"/>
    <n v="2750"/>
    <s v=""/>
    <m/>
    <n v="1"/>
    <n v="2750"/>
    <n v="2750"/>
    <m/>
    <m/>
    <m/>
    <m/>
    <n v="0"/>
    <n v="0"/>
    <n v="0"/>
    <n v="0"/>
    <n v="0"/>
    <n v="0"/>
    <n v="0"/>
    <n v="0"/>
    <n v="0"/>
    <n v="0"/>
    <n v="0"/>
    <n v="0"/>
    <m/>
    <m/>
    <n v="0"/>
    <n v="0"/>
    <m/>
    <m/>
    <m/>
    <m/>
    <m/>
    <m/>
    <m/>
    <m/>
    <m/>
    <m/>
  </r>
  <r>
    <s v="MX0017"/>
    <x v="5"/>
    <x v="5"/>
    <n v="0"/>
    <s v="Modesto Negrete Almeida"/>
    <n v="40016"/>
    <s v="Modesto Negrete Almeida"/>
    <m/>
    <x v="1"/>
    <m/>
    <m/>
    <m/>
    <x v="3"/>
    <m/>
    <m/>
    <s v=""/>
    <m/>
    <n v="11550"/>
    <n v="11550"/>
    <s v=""/>
    <m/>
    <n v="1"/>
    <n v="11550"/>
    <n v="11550"/>
    <m/>
    <m/>
    <m/>
    <m/>
    <n v="0"/>
    <n v="0"/>
    <n v="0"/>
    <n v="0"/>
    <n v="0"/>
    <n v="0"/>
    <n v="0"/>
    <n v="0"/>
    <n v="0"/>
    <n v="0"/>
    <n v="0"/>
    <n v="0"/>
    <m/>
    <m/>
    <n v="0"/>
    <n v="0"/>
    <m/>
    <m/>
    <m/>
    <m/>
    <m/>
    <m/>
    <m/>
    <m/>
    <m/>
    <m/>
  </r>
  <r>
    <s v="MX0020"/>
    <x v="4"/>
    <x v="5"/>
    <n v="0"/>
    <s v="Victor Manuel Godinez Martinez"/>
    <n v="40019"/>
    <s v="Victor Manuel Godinez Martinez"/>
    <m/>
    <x v="1"/>
    <m/>
    <m/>
    <m/>
    <x v="3"/>
    <m/>
    <m/>
    <s v=""/>
    <m/>
    <n v="11000"/>
    <n v="11000"/>
    <s v=""/>
    <m/>
    <n v="1"/>
    <n v="11000"/>
    <n v="11000"/>
    <m/>
    <m/>
    <m/>
    <m/>
    <n v="0"/>
    <n v="0"/>
    <n v="0"/>
    <n v="0"/>
    <n v="0"/>
    <n v="0"/>
    <n v="0"/>
    <n v="0"/>
    <n v="0"/>
    <n v="0"/>
    <n v="0"/>
    <n v="0"/>
    <m/>
    <m/>
    <n v="0"/>
    <n v="0"/>
    <m/>
    <m/>
    <m/>
    <m/>
    <m/>
    <m/>
    <m/>
    <m/>
    <m/>
    <m/>
  </r>
  <r>
    <s v="US0055"/>
    <x v="4"/>
    <x v="5"/>
    <n v="2029"/>
    <s v="Billy Strange"/>
    <n v="10048"/>
    <s v="Billy Strange"/>
    <s v="318-481-1835, 318-481-1833"/>
    <x v="2"/>
    <s v="riza_strange@yahoo.com"/>
    <s v="1142 Good Road, Jonesville, Louisiana 71343"/>
    <s v="1142 Good Road, Jonesville, Louisiana 71343"/>
    <x v="0"/>
    <s v="31.623947, -91.865519"/>
    <n v="5.5"/>
    <n v="4.5454545454545459"/>
    <s v="Y"/>
    <n v="500"/>
    <n v="500"/>
    <s v=""/>
    <m/>
    <n v="1"/>
    <n v="500"/>
    <n v="500"/>
    <m/>
    <m/>
    <m/>
    <m/>
    <n v="0"/>
    <n v="1"/>
    <n v="500"/>
    <n v="0"/>
    <m/>
    <n v="1"/>
    <n v="1"/>
    <n v="500"/>
    <n v="500"/>
    <n v="0"/>
    <n v="0"/>
    <n v="0"/>
    <s v="Fortunei"/>
    <s v="12, 18"/>
    <n v="0.76"/>
    <n v="380"/>
    <m/>
    <m/>
    <m/>
    <n v="252"/>
    <n v="128"/>
    <m/>
    <m/>
    <m/>
    <m/>
    <m/>
  </r>
  <r>
    <s v="US0056"/>
    <x v="2"/>
    <x v="5"/>
    <n v="2029"/>
    <s v="Billy Whittaker"/>
    <n v="10030"/>
    <s v="Billy Whittaker"/>
    <s v="229-243-3487, 229 400 2304"/>
    <x v="2"/>
    <s v="whihm@aol.com"/>
    <s v="7701 Reynolds Landing Rd Donalsonville GA 39845-6928"/>
    <s v="7701 Reynolds Landing Rd Donalsonville GA 39845-6928"/>
    <x v="0"/>
    <s v="30.814991, -84.811270"/>
    <n v="15.5"/>
    <n v="12"/>
    <s v="Y"/>
    <n v="1320"/>
    <n v="1320"/>
    <s v=""/>
    <m/>
    <n v="1"/>
    <n v="1320"/>
    <n v="1320"/>
    <m/>
    <m/>
    <m/>
    <m/>
    <n v="0"/>
    <n v="1"/>
    <n v="1320"/>
    <n v="1268.52"/>
    <n v="0.96099999999999997"/>
    <n v="0.96099999999999997"/>
    <n v="0.96"/>
    <n v="1269"/>
    <n v="1269"/>
    <n v="0"/>
    <n v="0"/>
    <n v="0"/>
    <s v="Fortunei"/>
    <s v="11, 12, 14"/>
    <n v="0.70303030303030301"/>
    <n v="928"/>
    <m/>
    <m/>
    <m/>
    <n v="273"/>
    <n v="655"/>
    <m/>
    <m/>
    <m/>
    <m/>
    <m/>
  </r>
  <r>
    <s v="US0057"/>
    <x v="4"/>
    <x v="5"/>
    <n v="2029"/>
    <s v="Carl Womack"/>
    <n v="10049"/>
    <s v="Carl Womack"/>
    <s v="334-701-8363"/>
    <x v="2"/>
    <s v="carlwomack1@yahoo.com"/>
    <s v="2536 S County Road 75, Pansey AL 36370-4922"/>
    <s v="2536 S County Road 75, Pansey AL 36370-4922"/>
    <x v="0"/>
    <s v="31.166019, -85.103106"/>
    <n v="14.5"/>
    <n v="15"/>
    <s v="Y"/>
    <n v="1650"/>
    <n v="1650"/>
    <s v=""/>
    <m/>
    <n v="1"/>
    <n v="1650"/>
    <n v="1650"/>
    <m/>
    <m/>
    <m/>
    <m/>
    <n v="0"/>
    <n v="1"/>
    <n v="1650"/>
    <n v="1590.6"/>
    <n v="0.96399999999999997"/>
    <n v="0.96399999999999997"/>
    <n v="0.96"/>
    <n v="1591"/>
    <n v="1591"/>
    <n v="0"/>
    <n v="0"/>
    <n v="0"/>
    <s v="Fortunei"/>
    <s v="12, 13"/>
    <n v="0.7151515151515152"/>
    <n v="1180"/>
    <m/>
    <m/>
    <n v="210"/>
    <n v="83"/>
    <n v="400"/>
    <n v="487"/>
    <m/>
    <m/>
    <m/>
    <m/>
  </r>
  <r>
    <s v="US0058"/>
    <x v="4"/>
    <x v="5"/>
    <n v="2029"/>
    <s v="Chad Payne"/>
    <n v="10050"/>
    <s v="Chadwin Payne"/>
    <s v="706-741-5396"/>
    <x v="2"/>
    <s v="cdpayne1@gmail.com"/>
    <n v="0"/>
    <s v="2467 Boyt Rd Yatesville GA 31097-3911"/>
    <x v="0"/>
    <s v="32.943417, -84.155063"/>
    <n v="7.6"/>
    <n v="10"/>
    <s v="Y"/>
    <n v="1100"/>
    <n v="1100"/>
    <s v=""/>
    <m/>
    <n v="1"/>
    <n v="1100"/>
    <n v="1100"/>
    <m/>
    <m/>
    <m/>
    <m/>
    <n v="0"/>
    <n v="0.98818181818181816"/>
    <n v="1087"/>
    <n v="0"/>
    <m/>
    <n v="0.99299999999999999"/>
    <n v="0.98818181818181816"/>
    <n v="1087"/>
    <n v="1087"/>
    <n v="0"/>
    <n v="0"/>
    <n v="0"/>
    <s v="Fortunei"/>
    <s v="14, 18"/>
    <n v="0.40090909090909088"/>
    <n v="441"/>
    <m/>
    <m/>
    <m/>
    <n v="42"/>
    <n v="249"/>
    <n v="150"/>
    <m/>
    <m/>
    <m/>
    <m/>
  </r>
  <r>
    <s v="US0059"/>
    <x v="4"/>
    <x v="5"/>
    <n v="2029"/>
    <s v="Dale Ratliff"/>
    <n v="10051"/>
    <s v="W.D. Ratliff"/>
    <s v="386-590-1822, 386-590-1821"/>
    <x v="2"/>
    <s v="ratliff4@windstream.net, dratliff50@gmail.com, fallonratliff97@hotmail.com, daleratliff50@gmail.com"/>
    <n v="0"/>
    <s v="15949 68th St, Live Oak, FL 32060, USA"/>
    <x v="0"/>
    <s v="30.328607, -83.079026"/>
    <n v="12.4"/>
    <n v="12.363636363636363"/>
    <s v="Y"/>
    <n v="1360"/>
    <n v="1360"/>
    <s v=""/>
    <m/>
    <n v="1"/>
    <n v="1360"/>
    <n v="1360"/>
    <m/>
    <m/>
    <m/>
    <m/>
    <n v="0"/>
    <n v="1"/>
    <n v="1360"/>
    <n v="1350.48"/>
    <n v="0.99299999999999999"/>
    <n v="0.99"/>
    <n v="0.99"/>
    <n v="1350"/>
    <n v="1350"/>
    <n v="0"/>
    <n v="0"/>
    <n v="0"/>
    <s v="Fortunei"/>
    <s v="13, 14"/>
    <n v="0.3977941176470588"/>
    <n v="541"/>
    <m/>
    <m/>
    <m/>
    <n v="63"/>
    <n v="254"/>
    <n v="224"/>
    <m/>
    <m/>
    <m/>
    <m/>
  </r>
  <r>
    <s v="US0061"/>
    <x v="4"/>
    <x v="5"/>
    <n v="2029"/>
    <s v="Darren Beachem"/>
    <n v="10053"/>
    <s v="Darren Beachem"/>
    <s v="334-782-6461"/>
    <x v="2"/>
    <s v="darren.beachem22@gmail.com, darren.beachem@yahoo.com"/>
    <s v="3022 Autumn Wood Dr NW Apt B Huntsville AL 35816-3120"/>
    <s v="22316 US-82 Union Springs, AL 36089-6279"/>
    <x v="0"/>
    <s v="32.144117, -85.580865"/>
    <n v="24"/>
    <n v="20"/>
    <s v="Y"/>
    <n v="2200"/>
    <n v="2200"/>
    <s v=""/>
    <m/>
    <n v="1"/>
    <n v="2200"/>
    <n v="2200"/>
    <m/>
    <m/>
    <m/>
    <m/>
    <n v="0"/>
    <n v="1"/>
    <n v="2200"/>
    <n v="0"/>
    <m/>
    <n v="1"/>
    <n v="1"/>
    <n v="2200"/>
    <n v="2200"/>
    <n v="0"/>
    <n v="0"/>
    <n v="0"/>
    <s v="Fortunei"/>
    <s v="13, 14, 18"/>
    <n v="0.66363636363636369"/>
    <n v="1460"/>
    <m/>
    <m/>
    <m/>
    <n v="399"/>
    <n v="1061"/>
    <m/>
    <m/>
    <m/>
    <m/>
    <m/>
  </r>
  <r>
    <s v="US0062"/>
    <x v="4"/>
    <x v="5"/>
    <n v="2029"/>
    <s v="David Chang"/>
    <n v="10033"/>
    <s v="David Chang"/>
    <s v="769-475-0772"/>
    <x v="2"/>
    <s v="lungs111@yahoo.com, lungs111@gmail.com"/>
    <s v="2561 Legends Row, Mobile, AL, USA 36618-4819"/>
    <s v="4019 Stringfellow Road, Lucedale, MS 39452, USA"/>
    <x v="0"/>
    <s v="31.044872, -88.515002"/>
    <n v="4.5"/>
    <n v="5"/>
    <s v="Y"/>
    <n v="550"/>
    <n v="550"/>
    <s v=""/>
    <m/>
    <n v="1"/>
    <n v="550"/>
    <n v="550"/>
    <m/>
    <m/>
    <m/>
    <m/>
    <n v="0"/>
    <n v="0.82499999999999996"/>
    <n v="453.75"/>
    <n v="488.95"/>
    <n v="0.88900000000000001"/>
    <n v="0.89"/>
    <n v="0.89"/>
    <n v="489"/>
    <n v="489"/>
    <n v="0"/>
    <n v="0"/>
    <n v="0"/>
    <s v="Fortunei"/>
    <s v="12, 14"/>
    <n v="0.23272727272727273"/>
    <n v="128"/>
    <m/>
    <m/>
    <m/>
    <m/>
    <m/>
    <n v="128"/>
    <m/>
    <m/>
    <m/>
    <m/>
  </r>
  <r>
    <s v="US0063"/>
    <x v="4"/>
    <x v="5"/>
    <n v="2029"/>
    <s v="Derek Bass"/>
    <n v="10035"/>
    <s v="Derek Bass"/>
    <s v="334-657-2856"/>
    <x v="2"/>
    <s v="wdb359@aol.com"/>
    <s v="359 Sunny Lane Loop, Wetumpka, AL, USA 36092"/>
    <s v="359 Sunny Lane Loop, Wetumpka, AL, USA 36092"/>
    <x v="0"/>
    <s v="32.645386, -86.086846"/>
    <n v="3.75"/>
    <n v="4"/>
    <s v="Y"/>
    <n v="440"/>
    <n v="440"/>
    <s v=""/>
    <m/>
    <n v="1"/>
    <n v="440"/>
    <n v="440"/>
    <m/>
    <m/>
    <m/>
    <m/>
    <n v="0"/>
    <n v="0.76818181818181819"/>
    <n v="338"/>
    <n v="179.95999999999998"/>
    <n v="0.40899999999999997"/>
    <n v="0.41"/>
    <n v="0.41"/>
    <n v="180"/>
    <n v="180"/>
    <n v="0"/>
    <n v="0"/>
    <n v="0"/>
    <s v="Fortunei"/>
    <s v="11, 12, 14"/>
    <n v="0.2"/>
    <n v="88"/>
    <m/>
    <m/>
    <m/>
    <n v="63"/>
    <n v="25"/>
    <m/>
    <m/>
    <m/>
    <m/>
    <m/>
  </r>
  <r>
    <s v="US0064"/>
    <x v="4"/>
    <x v="5"/>
    <n v="2029"/>
    <s v="Ed Davenport"/>
    <n v="10054"/>
    <s v="Ed Davenport"/>
    <s v="770-712-9831"/>
    <x v="2"/>
    <s v="davenported91@gmail.com, mnmtrailers@gmail.com"/>
    <s v="490 Whites Bottom Rd Pendergrass GA 30567-2816"/>
    <s v="490 Whites Bottom Rd Pendergrass GA 30567-2816"/>
    <x v="0"/>
    <s v="34.147730, -83.731530"/>
    <n v="9.43"/>
    <n v="10"/>
    <s v="Y"/>
    <n v="1100"/>
    <n v="1100"/>
    <s v=""/>
    <m/>
    <n v="1"/>
    <n v="1100"/>
    <n v="1100"/>
    <m/>
    <m/>
    <m/>
    <m/>
    <n v="0"/>
    <n v="1"/>
    <n v="1100"/>
    <n v="0"/>
    <m/>
    <n v="0.61699999999999999"/>
    <n v="1"/>
    <n v="1100"/>
    <n v="1100"/>
    <n v="0"/>
    <n v="0"/>
    <n v="0"/>
    <s v="Fortunei"/>
    <n v="14"/>
    <n v="0.38363636363636361"/>
    <n v="422"/>
    <m/>
    <m/>
    <m/>
    <n v="63"/>
    <n v="138"/>
    <n v="221"/>
    <m/>
    <m/>
    <m/>
    <m/>
  </r>
  <r>
    <s v="US0065"/>
    <x v="4"/>
    <x v="5"/>
    <n v="2029"/>
    <s v="Glenn Sanders"/>
    <n v="10055"/>
    <s v="Glen Sanders"/>
    <s v="706-714-4180"/>
    <x v="2"/>
    <s v="gsand1956@gmail.com"/>
    <s v="184 Bunker Hill Rd Crawford GA 30630-2410"/>
    <s v="3345 Robert Hardeman Rd, Winterville, GA 30683, USA"/>
    <x v="0"/>
    <s v="33.925245, -83.275859"/>
    <n v="11"/>
    <n v="10"/>
    <s v="Y"/>
    <n v="1100"/>
    <n v="1100"/>
    <s v=""/>
    <m/>
    <n v="1"/>
    <n v="1100"/>
    <n v="1100"/>
    <m/>
    <m/>
    <m/>
    <m/>
    <n v="0"/>
    <n v="0.98818181818181816"/>
    <n v="1087"/>
    <n v="1089"/>
    <n v="0.99"/>
    <n v="0.99"/>
    <n v="0.98818181818181816"/>
    <n v="1089"/>
    <n v="1089"/>
    <n v="0"/>
    <n v="0"/>
    <n v="0"/>
    <s v="Fortunei"/>
    <s v="11, 14"/>
    <n v="0.59636363636363632"/>
    <n v="656"/>
    <m/>
    <m/>
    <m/>
    <n v="42"/>
    <n v="364"/>
    <n v="250"/>
    <m/>
    <m/>
    <m/>
    <m/>
  </r>
  <r>
    <s v="US0067"/>
    <x v="4"/>
    <x v="5"/>
    <n v="2029"/>
    <s v="Guy Goodson"/>
    <n v="10057"/>
    <s v="Guy Goodson"/>
    <s v="334-726-4064"/>
    <x v="2"/>
    <s v="gcgoodson@yahoo.com"/>
    <s v="6810 N County 33 Rd, Columbia AL 36319-4026"/>
    <s v="2148 Hunter Rd, Columbia, AL 36319, USA"/>
    <x v="0"/>
    <s v="31.246499, -85.161864"/>
    <n v="23.2"/>
    <n v="20"/>
    <s v="Y"/>
    <n v="2200"/>
    <n v="2200"/>
    <s v=""/>
    <m/>
    <n v="1"/>
    <n v="2200"/>
    <n v="2200"/>
    <m/>
    <m/>
    <m/>
    <m/>
    <n v="0"/>
    <n v="0.92045454545454541"/>
    <n v="2025"/>
    <n v="1438.8"/>
    <n v="0.65400000000000003"/>
    <n v="0.65"/>
    <n v="0.65"/>
    <n v="1439"/>
    <n v="1439"/>
    <n v="0"/>
    <n v="0"/>
    <n v="0"/>
    <s v="Fortunei"/>
    <s v="2, 12, 18"/>
    <n v="0.55000000000000004"/>
    <n v="1210"/>
    <m/>
    <m/>
    <m/>
    <n v="210"/>
    <n v="800"/>
    <n v="200"/>
    <m/>
    <m/>
    <m/>
    <m/>
  </r>
  <r>
    <s v="US0068"/>
    <x v="4"/>
    <x v="5"/>
    <n v="2029"/>
    <s v="Jeff Barnes"/>
    <n v="10058"/>
    <s v="Richard and Trudie Barnes"/>
    <s v="334-312-5528"/>
    <x v="2"/>
    <s v="jmbarnes65@gmail.com"/>
    <s v="6170 Vine Dr Andalusia AL 36420-6714"/>
    <s v="6170 Vine Dr Andalusia AL 36420-6714"/>
    <x v="0"/>
    <s v="31.080472, -86.570887"/>
    <n v="10.5"/>
    <n v="10"/>
    <s v="Y"/>
    <n v="1100"/>
    <n v="1100"/>
    <s v=""/>
    <m/>
    <n v="1"/>
    <n v="1100"/>
    <n v="1100"/>
    <m/>
    <m/>
    <m/>
    <m/>
    <n v="0"/>
    <n v="0.90227272727272723"/>
    <n v="992.5"/>
    <n v="678.7"/>
    <n v="0.61699999999999999"/>
    <n v="0.62"/>
    <n v="0.62"/>
    <n v="679"/>
    <n v="679"/>
    <n v="0"/>
    <n v="0"/>
    <n v="0"/>
    <s v="Fortunei"/>
    <s v="11, 18"/>
    <n v="0.64909090909090905"/>
    <n v="714"/>
    <m/>
    <m/>
    <m/>
    <n v="85"/>
    <n v="629"/>
    <m/>
    <m/>
    <m/>
    <m/>
    <m/>
  </r>
  <r>
    <s v="US0069"/>
    <x v="4"/>
    <x v="5"/>
    <n v="2029"/>
    <s v="Jeff George"/>
    <n v="10059"/>
    <s v="Jeff George"/>
    <s v="601-527-1366, 601-743-2647"/>
    <x v="2"/>
    <s v="jeff@tjsubway.net"/>
    <s v="8834 Highway 495 S, De Kalb, MS 39328-7173"/>
    <s v="8834 Highway 495 S, De Kalb, MS 39328-7173"/>
    <x v="0"/>
    <s v="32.675524, -88.847579"/>
    <n v="14"/>
    <n v="10"/>
    <s v="Y"/>
    <n v="1100"/>
    <n v="1100"/>
    <s v=""/>
    <m/>
    <n v="1"/>
    <n v="1100"/>
    <n v="1100"/>
    <m/>
    <m/>
    <m/>
    <m/>
    <n v="0"/>
    <n v="1"/>
    <n v="1100"/>
    <n v="0"/>
    <m/>
    <n v="1"/>
    <n v="1"/>
    <n v="1100"/>
    <n v="1100"/>
    <n v="0"/>
    <n v="0"/>
    <n v="0"/>
    <s v="Fortunei"/>
    <s v="11, 13, 14"/>
    <n v="0.16727272727272727"/>
    <n v="184"/>
    <m/>
    <m/>
    <m/>
    <n v="84"/>
    <m/>
    <n v="100"/>
    <m/>
    <m/>
    <m/>
    <m/>
  </r>
  <r>
    <s v="US0070"/>
    <x v="4"/>
    <x v="5"/>
    <n v="2029"/>
    <s v="Jeff Rice"/>
    <n v="10060"/>
    <s v="Jeffrey Rice"/>
    <s v="334-728-3304"/>
    <x v="2"/>
    <s v="Jetney7@gmail.com"/>
    <s v="376 County Shop Rd Dadeville AL 36853-3706"/>
    <s v="376 County Shop Rd Dadeville AL 36853-3706"/>
    <x v="0"/>
    <s v="31.26, -89.8300000"/>
    <n v="11.2"/>
    <n v="10"/>
    <s v="Y"/>
    <n v="1100"/>
    <n v="1100"/>
    <s v=""/>
    <m/>
    <n v="1"/>
    <n v="1100"/>
    <n v="1100"/>
    <m/>
    <m/>
    <m/>
    <m/>
    <n v="0"/>
    <n v="0.88227272727272732"/>
    <n v="970.5"/>
    <n v="852.5"/>
    <n v="0.77500000000000002"/>
    <n v="0.78100000000000003"/>
    <n v="0.78"/>
    <n v="853"/>
    <n v="853"/>
    <n v="0"/>
    <n v="0"/>
    <n v="0"/>
    <s v="Fortunei"/>
    <s v="2, 12, 14"/>
    <n v="0.22727272727272727"/>
    <n v="250"/>
    <m/>
    <m/>
    <n v="50"/>
    <n v="63"/>
    <m/>
    <n v="137"/>
    <m/>
    <m/>
    <m/>
    <m/>
  </r>
  <r>
    <s v="US0071"/>
    <x v="4"/>
    <x v="5"/>
    <n v="2029"/>
    <s v="Jim West"/>
    <n v="10061"/>
    <s v="Jim West"/>
    <s v="706-200-6522"/>
    <x v="2"/>
    <s v="westjb@hotmail.com"/>
    <s v="2984 Highway 255 South, Sautee Nacoochee, GA 30571, USA"/>
    <s v="2984 Georgia 255, Sautee Nacoochee, GA, USA"/>
    <x v="0"/>
    <s v="34.704052, -83.659809"/>
    <n v="9.9"/>
    <n v="10"/>
    <s v="Y"/>
    <n v="1100"/>
    <n v="1100"/>
    <s v=""/>
    <m/>
    <n v="1"/>
    <n v="1100"/>
    <n v="1100"/>
    <m/>
    <m/>
    <m/>
    <m/>
    <n v="0"/>
    <n v="1"/>
    <n v="1100"/>
    <n v="1100"/>
    <n v="1"/>
    <n v="1"/>
    <n v="1"/>
    <n v="1100"/>
    <n v="1100"/>
    <n v="0"/>
    <n v="0"/>
    <n v="0"/>
    <s v="Fortunei"/>
    <s v="11, 14"/>
    <n v="0.85"/>
    <n v="935"/>
    <m/>
    <m/>
    <m/>
    <n v="55"/>
    <n v="880"/>
    <m/>
    <m/>
    <m/>
    <m/>
    <m/>
  </r>
  <r>
    <s v="US0073"/>
    <x v="4"/>
    <x v="5"/>
    <n v="2029"/>
    <s v="Joseph Garrett"/>
    <n v="10063"/>
    <s v="Joseph Garrett"/>
    <s v="334-726-5737"/>
    <x v="2"/>
    <s v="trac9to8r@yahoo.com"/>
    <s v="1033 McDaniel Rd, Ashford AL 36312-5627"/>
    <s v="2536 S County Road 75, Pansey AL 36370-4922"/>
    <x v="0"/>
    <s v="31.157525, -85.197849"/>
    <n v="10.6"/>
    <n v="10"/>
    <s v="Y"/>
    <n v="1100"/>
    <n v="1100"/>
    <s v=""/>
    <m/>
    <n v="1"/>
    <n v="1100"/>
    <n v="1100"/>
    <m/>
    <m/>
    <m/>
    <m/>
    <n v="0"/>
    <n v="0.98818181818181816"/>
    <n v="1087"/>
    <n v="1090.0999999999999"/>
    <n v="0.99099999999999999"/>
    <n v="0.99"/>
    <n v="0.98818181818181816"/>
    <n v="1090"/>
    <n v="1090"/>
    <n v="0"/>
    <n v="0"/>
    <n v="0"/>
    <s v="Fortunei"/>
    <s v="11, 13"/>
    <n v="0.45545454545454545"/>
    <n v="501"/>
    <m/>
    <m/>
    <n v="63"/>
    <n v="42"/>
    <n v="46"/>
    <n v="350"/>
    <m/>
    <m/>
    <m/>
    <m/>
  </r>
  <r>
    <s v="US0074"/>
    <x v="4"/>
    <x v="5"/>
    <n v="2029"/>
    <s v="Josh Allen"/>
    <n v="10064"/>
    <s v="Josh Allen"/>
    <s v="770-826-1573"/>
    <x v="2"/>
    <s v="jlabowhunter@yahoo.com"/>
    <s v="1924 County Road 104 Muscadine AL 36269-3198"/>
    <s v="1924 County Road 104 Muscadine AL 36269-3198"/>
    <x v="0"/>
    <s v="33.685657, -85.343371"/>
    <n v="10.4"/>
    <n v="10"/>
    <s v="Y"/>
    <n v="1100"/>
    <n v="1100"/>
    <s v=""/>
    <m/>
    <n v="1"/>
    <n v="1100"/>
    <n v="1100"/>
    <m/>
    <m/>
    <m/>
    <m/>
    <n v="0"/>
    <n v="0.95"/>
    <n v="1045"/>
    <n v="0"/>
    <m/>
    <n v="0.95"/>
    <n v="0.95"/>
    <n v="1045"/>
    <n v="1045"/>
    <n v="0"/>
    <n v="0"/>
    <n v="0"/>
    <s v="Fortunei"/>
    <s v="11, 12, 14"/>
    <n v="0.95818181818181813"/>
    <n v="1054"/>
    <m/>
    <m/>
    <m/>
    <m/>
    <n v="449"/>
    <n v="605"/>
    <m/>
    <m/>
    <m/>
    <m/>
  </r>
  <r>
    <s v="US0075"/>
    <x v="4"/>
    <x v="5"/>
    <n v="2029"/>
    <s v="Justin Brewer"/>
    <n v="10065"/>
    <s v="Justin Brewer"/>
    <s v="229-947-9400"/>
    <x v="2"/>
    <s v="brewer_justin90@yahoo.com"/>
    <s v="134 Powers Rd, Cordele, Georgia, 31015-7904"/>
    <s v="134 Powers Rd, Cordele, Georgia, 31015-7904"/>
    <x v="0"/>
    <s v="32.019754, -83.626989"/>
    <n v="12"/>
    <n v="9.9090909090909083"/>
    <s v="Y"/>
    <n v="1090"/>
    <n v="1090"/>
    <s v=""/>
    <m/>
    <n v="1"/>
    <n v="1090"/>
    <n v="1090"/>
    <m/>
    <m/>
    <m/>
    <m/>
    <n v="0"/>
    <n v="1"/>
    <n v="1090"/>
    <n v="1043.1299999999999"/>
    <n v="0.95699999999999996"/>
    <n v="0.96"/>
    <n v="0.96"/>
    <n v="1043"/>
    <n v="1043"/>
    <n v="0"/>
    <n v="0"/>
    <n v="0"/>
    <s v="Fortunei"/>
    <s v="12, 18"/>
    <n v="0.42752293577981654"/>
    <n v="466"/>
    <m/>
    <m/>
    <m/>
    <n v="126"/>
    <n v="130"/>
    <n v="210"/>
    <m/>
    <m/>
    <m/>
    <m/>
  </r>
  <r>
    <s v="US0076"/>
    <x v="4"/>
    <x v="5"/>
    <n v="2029"/>
    <s v="Kim Martens"/>
    <n v="10066"/>
    <s v="Kim Martens"/>
    <s v="608-852-5395, 678-595-0537"/>
    <x v="2"/>
    <s v="kmartens8482@gmail.com, kim.empressenterprise@gmail.com, kim@empressenterprise.net"/>
    <s v="516 County Road 664, Roanoke, AL 36274, USA"/>
    <s v="516 County Road 664, Roanoke, AL 36274, USA"/>
    <x v="0"/>
    <s v="33.148289, -85.301667"/>
    <n v="5.3"/>
    <n v="6.8181818181818183"/>
    <s v="Y"/>
    <n v="750"/>
    <n v="750"/>
    <s v=""/>
    <m/>
    <n v="1"/>
    <n v="750"/>
    <n v="750"/>
    <m/>
    <m/>
    <m/>
    <m/>
    <n v="0"/>
    <n v="0.96499999999999997"/>
    <n v="723.75"/>
    <n v="0"/>
    <m/>
    <n v="0.97"/>
    <n v="0.96499999999999997"/>
    <n v="723.75"/>
    <n v="723.75"/>
    <n v="0"/>
    <n v="0"/>
    <n v="0"/>
    <s v="Fortunei"/>
    <s v="11, 14"/>
    <n v="0.81333333333333335"/>
    <n v="610"/>
    <m/>
    <m/>
    <n v="100"/>
    <n v="105"/>
    <n v="300"/>
    <n v="105"/>
    <m/>
    <m/>
    <m/>
    <m/>
  </r>
  <r>
    <s v="US0077"/>
    <x v="4"/>
    <x v="5"/>
    <n v="2029"/>
    <s v="Mike Porter"/>
    <n v="10067"/>
    <s v="Mike Porter and Teri Galardi"/>
    <s v="702-406-7479"/>
    <x v="2"/>
    <s v="mikeporter64@gmail.com"/>
    <s v="2146 Highway 42 S Flovilla GA 30216-2318"/>
    <s v="2146 Highway 42 S Flovilla GA 30216-2318"/>
    <x v="0"/>
    <s v="33.218413, -83.932813"/>
    <n v="29.5"/>
    <n v="20"/>
    <s v="Y"/>
    <n v="2200"/>
    <n v="2200"/>
    <s v=""/>
    <m/>
    <n v="1"/>
    <n v="2200"/>
    <n v="2200"/>
    <m/>
    <m/>
    <m/>
    <m/>
    <n v="0"/>
    <n v="1"/>
    <n v="2200"/>
    <n v="1718.2"/>
    <n v="0.78100000000000003"/>
    <n v="0.78"/>
    <n v="0.78"/>
    <n v="1718"/>
    <n v="1718"/>
    <n v="0"/>
    <n v="0"/>
    <n v="0"/>
    <s v="Fortunei"/>
    <s v="2, 11, 12"/>
    <n v="0.38681818181818184"/>
    <n v="851"/>
    <m/>
    <m/>
    <m/>
    <n v="600"/>
    <n v="251"/>
    <m/>
    <m/>
    <m/>
    <m/>
    <m/>
  </r>
  <r>
    <s v="US0079"/>
    <x v="4"/>
    <x v="5"/>
    <n v="2029"/>
    <s v="Peter Kampmann"/>
    <n v="10069"/>
    <s v="Peter Kampmann"/>
    <s v="530-514-5947, 530-520-0961"/>
    <x v="2"/>
    <s v="heartkamp@gmail.com"/>
    <s v="4955 Wilson Hill Road, Manton, California 96059, USA"/>
    <s v="4955 Wilson Hill Road, Manton, California 96059, USA"/>
    <x v="0"/>
    <s v="40.450869, -121.877380"/>
    <n v="20"/>
    <n v="19.363636363636363"/>
    <s v="Y"/>
    <n v="2130"/>
    <n v="2130"/>
    <s v=""/>
    <m/>
    <n v="1"/>
    <n v="2130"/>
    <n v="2130"/>
    <m/>
    <m/>
    <m/>
    <m/>
    <n v="0"/>
    <n v="1"/>
    <n v="2130"/>
    <n v="0"/>
    <m/>
    <n v="1"/>
    <n v="1"/>
    <n v="2130"/>
    <n v="2130"/>
    <n v="0"/>
    <n v="0"/>
    <n v="0"/>
    <s v="Fortunei"/>
    <s v="2, 11, 12, 13, 14, 20, TG Cool"/>
    <n v="0.77230046948356812"/>
    <n v="1645"/>
    <m/>
    <m/>
    <n v="300"/>
    <n v="70"/>
    <n v="1275"/>
    <m/>
    <m/>
    <m/>
    <m/>
    <m/>
  </r>
  <r>
    <s v="US0080"/>
    <x v="4"/>
    <x v="5"/>
    <n v="2029"/>
    <s v="Randy Grant"/>
    <n v="10070"/>
    <s v="Randy Grant"/>
    <s v="334-504-8494"/>
    <x v="2"/>
    <s v="bigoak2019@gmail.com"/>
    <s v="4264 Morgan Mill Rd Brantley AL 36009-3207"/>
    <s v="4264 Morgan Mill Rd Brantley AL 36009-3207"/>
    <x v="0"/>
    <s v="31.452362, -86.213403"/>
    <n v="54.8"/>
    <n v="48.18181818181818"/>
    <s v="Y"/>
    <n v="5300"/>
    <n v="5300"/>
    <s v=""/>
    <m/>
    <n v="1"/>
    <n v="5300"/>
    <n v="5300"/>
    <m/>
    <m/>
    <m/>
    <m/>
    <n v="0"/>
    <n v="1"/>
    <n v="5300"/>
    <n v="0"/>
    <m/>
    <n v="1"/>
    <n v="1"/>
    <n v="5300"/>
    <n v="5300"/>
    <n v="0"/>
    <n v="0"/>
    <n v="0"/>
    <s v="Fortunei"/>
    <s v="2, 12, 13, 14, 18"/>
    <n v="1.0916981132075472"/>
    <n v="5786"/>
    <m/>
    <m/>
    <m/>
    <n v="1449"/>
    <n v="4337"/>
    <m/>
    <m/>
    <m/>
    <m/>
    <m/>
  </r>
  <r>
    <s v="US0081"/>
    <x v="4"/>
    <x v="5"/>
    <n v="2029"/>
    <s v="Ricky Mitchell"/>
    <n v="10071"/>
    <s v="Ricky Mitchell"/>
    <s v="334-654-4553"/>
    <x v="2"/>
    <s v="mitchellricky799@gmail.com, 754mitchell@gmail.com"/>
    <s v="29306 US Highway 331 Opp AL 36467-5640"/>
    <s v="29306 US Highway 331 Opp AL 36467-5640"/>
    <x v="0"/>
    <s v="32.49, -86.5100000"/>
    <n v="10.26"/>
    <n v="10"/>
    <s v="Y"/>
    <n v="1100"/>
    <n v="1100"/>
    <s v=""/>
    <m/>
    <n v="1"/>
    <n v="1100"/>
    <n v="1100"/>
    <m/>
    <m/>
    <m/>
    <m/>
    <n v="0"/>
    <n v="0.97772727272727278"/>
    <n v="1075.5"/>
    <n v="220"/>
    <n v="0.2"/>
    <n v="0.2"/>
    <n v="0.2"/>
    <n v="220"/>
    <n v="220"/>
    <n v="0"/>
    <n v="0"/>
    <n v="0"/>
    <s v="Fortunei"/>
    <s v="13"/>
    <n v="0.82545454545454544"/>
    <n v="908"/>
    <m/>
    <m/>
    <m/>
    <n v="168"/>
    <n v="740"/>
    <m/>
    <m/>
    <m/>
    <m/>
    <m/>
  </r>
  <r>
    <s v="US0082"/>
    <x v="4"/>
    <x v="5"/>
    <n v="2029"/>
    <s v="Ronnie and Kent Mathis"/>
    <n v="10072"/>
    <s v="Ronnie Mathis"/>
    <s v="706-499-6493, 706 499 1501"/>
    <x v="2"/>
    <s v="ronmountainearthfarms@gmail.com, kentrm1@yahoo.com"/>
    <s v="PO Box 1592 Cornelia GA 30531-1026"/>
    <s v="260 Hollywood Hwy Clarkesville GA 30523-4731"/>
    <x v="0"/>
    <s v="34.43919 N, 83.23246 W"/>
    <n v="27"/>
    <n v="35"/>
    <s v="Y"/>
    <n v="3850"/>
    <n v="3850"/>
    <s v=""/>
    <m/>
    <n v="1"/>
    <n v="3850"/>
    <n v="3850"/>
    <m/>
    <m/>
    <m/>
    <m/>
    <n v="0"/>
    <n v="1"/>
    <n v="3850"/>
    <n v="3769.15"/>
    <n v="0.97899999999999998"/>
    <n v="0.98"/>
    <n v="0.98"/>
    <n v="3769"/>
    <n v="3769"/>
    <n v="0"/>
    <n v="0"/>
    <n v="0"/>
    <s v="Fortunei"/>
    <s v="2, 14, 18"/>
    <n v="0.2"/>
    <n v="770"/>
    <m/>
    <m/>
    <m/>
    <n v="400"/>
    <n v="370"/>
    <m/>
    <m/>
    <m/>
    <m/>
    <m/>
  </r>
  <r>
    <s v="US0083"/>
    <x v="4"/>
    <x v="5"/>
    <n v="2029"/>
    <s v="Russell and Sedalia Nelson"/>
    <n v="10073"/>
    <s v="Russell and Sedalia Nelson"/>
    <s v="251-747-0140, 251-269-8749"/>
    <x v="2"/>
    <s v="russell17852@gmail.com"/>
    <s v="1154 Hunter Rd Columbia AL 36319-4018"/>
    <s v="1154 Hunter Rd Columbia AL 36319-4018"/>
    <x v="0"/>
    <s v="31.246976, -85.178192"/>
    <n v="15.3"/>
    <n v="14.718181818181819"/>
    <s v="Y"/>
    <n v="1619"/>
    <n v="1619"/>
    <s v=""/>
    <m/>
    <n v="1"/>
    <n v="1619"/>
    <n v="1619"/>
    <m/>
    <m/>
    <m/>
    <m/>
    <n v="0"/>
    <n v="0.95"/>
    <n v="1538.05"/>
    <n v="1578.5249999999999"/>
    <n v="0.97499999999999998"/>
    <n v="0.98"/>
    <n v="0.98"/>
    <n v="1579"/>
    <n v="1579"/>
    <n v="0"/>
    <n v="0"/>
    <n v="0"/>
    <s v="Fortunei"/>
    <s v="2, 11, 14"/>
    <n v="0.24336009882643608"/>
    <n v="394"/>
    <m/>
    <m/>
    <m/>
    <m/>
    <n v="128"/>
    <n v="266"/>
    <m/>
    <m/>
    <m/>
    <m/>
  </r>
  <r>
    <s v="US0084"/>
    <x v="4"/>
    <x v="5"/>
    <n v="2029"/>
    <s v="Scott Fenn"/>
    <n v="10074"/>
    <s v="Scott Fenn"/>
    <s v="334 546 8921"/>
    <x v="2"/>
    <s v="scottf@southerngrowers.com, fennjam@hotmail.com"/>
    <s v="Southern Growers, 3601 Wetumpka Highway, Montgomery, AL 36110, USA"/>
    <s v="3601 Wetumpka Highway Montgomery AL 36110"/>
    <x v="0"/>
    <s v="31.9851774, -85.5246404"/>
    <n v="8.23"/>
    <n v="10"/>
    <s v="Y"/>
    <n v="1100"/>
    <n v="1100"/>
    <s v=""/>
    <m/>
    <n v="1"/>
    <n v="1100"/>
    <n v="1100"/>
    <m/>
    <m/>
    <m/>
    <m/>
    <n v="0"/>
    <n v="0.82499999999999996"/>
    <n v="907.5"/>
    <n v="0"/>
    <m/>
    <n v="0.82499999999999996"/>
    <n v="0.82499999999999996"/>
    <n v="907.5"/>
    <n v="907.5"/>
    <n v="0"/>
    <n v="0"/>
    <n v="0"/>
    <s v="Fortunei"/>
    <s v="12, 18"/>
    <n v="0.13181818181818181"/>
    <n v="145"/>
    <m/>
    <m/>
    <m/>
    <m/>
    <n v="145"/>
    <m/>
    <m/>
    <m/>
    <m/>
    <m/>
  </r>
  <r>
    <s v="US0085"/>
    <x v="4"/>
    <x v="5"/>
    <n v="2029"/>
    <s v="Scott Landreau"/>
    <n v="10075"/>
    <s v="Cidney Scott and Stuart Page Landreau"/>
    <s v="334-303-0827"/>
    <x v="2"/>
    <s v="landreauinc@yahoo.com, scott2lallc@yahoo.com, Mklandreau@yahoo.com"/>
    <s v="3063 Little Road, Tallassee, AL 36078-3267"/>
    <s v="494 State Hwy 26, Hatchechubbee, AL, USA"/>
    <x v="0"/>
    <s v="32.278489, -85.247919"/>
    <n v="18.27"/>
    <n v="12"/>
    <s v="Y"/>
    <n v="1320"/>
    <n v="1320"/>
    <s v=""/>
    <m/>
    <n v="1"/>
    <n v="1320"/>
    <n v="1320"/>
    <m/>
    <m/>
    <m/>
    <m/>
    <n v="0"/>
    <n v="0.82499999999999996"/>
    <n v="1089"/>
    <n v="0"/>
    <m/>
    <n v="0.82499999999999996"/>
    <n v="0.82499999999999996"/>
    <n v="1089"/>
    <n v="1089"/>
    <n v="0"/>
    <n v="0"/>
    <n v="0"/>
    <s v="Fortunei"/>
    <s v="2, 11, 14, 18"/>
    <n v="8.0303030303030307E-2"/>
    <n v="106"/>
    <m/>
    <m/>
    <m/>
    <m/>
    <n v="106"/>
    <m/>
    <m/>
    <m/>
    <m/>
    <m/>
  </r>
  <r>
    <s v="US0086"/>
    <x v="4"/>
    <x v="5"/>
    <n v="2029"/>
    <s v="Steven Whittaker"/>
    <n v="10042"/>
    <s v="Janet Whittaker"/>
    <s v="229-254-3319"/>
    <x v="2"/>
    <s v="jarviswhittaker@icloud.com"/>
    <s v="7688 Reynolds Landing Rd, Donalsonville, GA 39845-6925, USA"/>
    <s v="7688 Reynolds Landing Rd, Donalsonville, GA 39845-6925, USA"/>
    <x v="0"/>
    <s v="30.909772, -84.752342"/>
    <n v="3.7"/>
    <n v="3.4545454545454546"/>
    <s v="Y"/>
    <n v="380"/>
    <n v="380"/>
    <s v=""/>
    <m/>
    <n v="1"/>
    <n v="380"/>
    <n v="380"/>
    <m/>
    <m/>
    <m/>
    <m/>
    <n v="0"/>
    <n v="1"/>
    <n v="380"/>
    <n v="354.54"/>
    <n v="0.93300000000000005"/>
    <n v="0.93"/>
    <n v="0.93"/>
    <n v="355"/>
    <n v="355"/>
    <n v="0"/>
    <n v="0"/>
    <n v="0"/>
    <s v="Fortunei"/>
    <s v="12, 14"/>
    <n v="0.27894736842105261"/>
    <n v="106"/>
    <m/>
    <m/>
    <m/>
    <n v="20"/>
    <n v="86"/>
    <m/>
    <m/>
    <m/>
    <m/>
    <m/>
  </r>
  <r>
    <s v="US0087"/>
    <x v="4"/>
    <x v="5"/>
    <n v="2029"/>
    <s v="Steven Whittaker"/>
    <n v="10042"/>
    <s v="Steven Whittaker"/>
    <s v="229-254-3319"/>
    <x v="2"/>
    <s v="jarviswhittaker@icloud.com"/>
    <s v="7688 Reynolds Landing Rd, Donalsonville, GA 39845-6925, USA"/>
    <s v="7688 Reynolds Landing Rd, Donalsonville, GA 39845-6925, USA"/>
    <x v="0"/>
    <s v="30.819041, -84.808993"/>
    <n v="10"/>
    <n v="10"/>
    <s v="Y"/>
    <n v="1100"/>
    <n v="1100"/>
    <s v=""/>
    <m/>
    <n v="1"/>
    <n v="1100"/>
    <n v="1100"/>
    <m/>
    <m/>
    <m/>
    <m/>
    <n v="0"/>
    <n v="1"/>
    <n v="1100"/>
    <n v="1004.3000000000001"/>
    <n v="0.91300000000000003"/>
    <n v="0.91"/>
    <n v="0.91"/>
    <n v="1004"/>
    <n v="1004"/>
    <n v="0"/>
    <n v="0"/>
    <n v="0"/>
    <s v="Fortunei"/>
    <s v="12, 14"/>
    <n v="1.1181818181818182"/>
    <n v="1230"/>
    <m/>
    <m/>
    <m/>
    <n v="232"/>
    <n v="500"/>
    <n v="498"/>
    <m/>
    <m/>
    <m/>
    <m/>
  </r>
  <r>
    <s v="US0053"/>
    <x v="4"/>
    <x v="5"/>
    <n v="0"/>
    <s v="Anthony Cowart"/>
    <n v="10046"/>
    <s v="Jimmy A Cowart, Steve Anthony Cowart, and Christy Cowart Murphy"/>
    <s v="912-245-0476"/>
    <x v="1"/>
    <s v="cowartinc1@bellsouth.net, cowartinc2@bellsouth.net"/>
    <s v="816 GA Highway 56 W Lyons GA 30436-5945"/>
    <s v="816 GA Highway 56 W Lyons GA 30436-5945"/>
    <x v="0"/>
    <m/>
    <m/>
    <s v=""/>
    <m/>
    <n v="3300"/>
    <n v="3300"/>
    <s v=""/>
    <m/>
    <n v="1"/>
    <n v="3300"/>
    <n v="3300"/>
    <m/>
    <m/>
    <m/>
    <m/>
    <n v="0"/>
    <n v="0"/>
    <n v="0"/>
    <n v="0"/>
    <n v="0"/>
    <n v="0"/>
    <n v="0"/>
    <n v="0"/>
    <n v="0"/>
    <n v="0"/>
    <n v="0"/>
    <n v="0"/>
    <s v="Fortunei"/>
    <s v="11, 14, 18"/>
    <n v="0.5033333333333333"/>
    <n v="1661"/>
    <m/>
    <m/>
    <m/>
    <m/>
    <n v="1661"/>
    <m/>
    <m/>
    <m/>
    <m/>
    <m/>
  </r>
  <r>
    <s v="US0060"/>
    <x v="4"/>
    <x v="5"/>
    <n v="2029"/>
    <s v="Daniel Perez"/>
    <n v="10052"/>
    <s v="Daniel Perez"/>
    <s v="813-727-1896"/>
    <x v="0"/>
    <s v="dpjr01@gmail.com"/>
    <s v="457 Herndon Rd  Lumpkin GA 31815-4702"/>
    <s v="457 Herndon Rd  Lumpkin GA 31815-4702"/>
    <x v="0"/>
    <s v="31.942337, -84.868611"/>
    <n v="9.5"/>
    <s v=""/>
    <s v="Y"/>
    <n v="1100"/>
    <n v="1100"/>
    <s v=""/>
    <m/>
    <n v="1"/>
    <n v="1100"/>
    <n v="1100"/>
    <m/>
    <m/>
    <m/>
    <m/>
    <n v="0"/>
    <n v="0.625"/>
    <n v="687.5"/>
    <n v="0"/>
    <m/>
    <n v="0.625"/>
    <n v="0"/>
    <n v="687.5"/>
    <n v="687.5"/>
    <n v="0"/>
    <n v="0"/>
    <n v="0"/>
    <s v="Fortunei"/>
    <s v="12"/>
    <n v="0.22727272727272727"/>
    <n v="250"/>
    <m/>
    <m/>
    <m/>
    <m/>
    <n v="250"/>
    <m/>
    <m/>
    <m/>
    <m/>
    <m/>
  </r>
  <r>
    <s v="US0066"/>
    <x v="4"/>
    <x v="5"/>
    <n v="0"/>
    <s v="Glenn Preskitt"/>
    <n v="10056"/>
    <s v="Glenn Preskitt"/>
    <s v="334-652-5278, 334-567-5600"/>
    <x v="1"/>
    <s v="mattpreskitt@gmail.com"/>
    <s v="4536 Grier Rd Wetumpka AL 36092-6104"/>
    <s v="3990 Grier Rd. Wetumpka AL 36092-4214"/>
    <x v="0"/>
    <m/>
    <m/>
    <s v=""/>
    <m/>
    <n v="5500"/>
    <n v="5500"/>
    <s v=""/>
    <m/>
    <n v="1"/>
    <n v="5500"/>
    <n v="5500"/>
    <m/>
    <m/>
    <m/>
    <m/>
    <n v="0"/>
    <n v="0.78"/>
    <n v="4290"/>
    <n v="0"/>
    <n v="0"/>
    <n v="0"/>
    <n v="0"/>
    <n v="0"/>
    <n v="0"/>
    <n v="0"/>
    <n v="0"/>
    <n v="0"/>
    <s v="Fortunei"/>
    <s v="11, 12, 13, 14, 18"/>
    <n v="3.7090909090909091E-2"/>
    <n v="204"/>
    <m/>
    <m/>
    <m/>
    <m/>
    <m/>
    <n v="204"/>
    <m/>
    <m/>
    <m/>
    <m/>
  </r>
  <r>
    <s v="US0072"/>
    <x v="4"/>
    <x v="5"/>
    <n v="0"/>
    <s v="John Hayes"/>
    <n v="10062"/>
    <s v="Hayes Farms LLC"/>
    <s v="334-726-8074"/>
    <x v="1"/>
    <s v="john.hayes09@icloud.com"/>
    <s v="5053 Pansey Rd Pansey AL 36370-4059"/>
    <s v="2536 S County Road 75, Pansey AL 36370-4922"/>
    <x v="0"/>
    <s v="31.157609, -85.167070"/>
    <n v="9.6999999999999993"/>
    <s v=""/>
    <s v="Y"/>
    <n v="1100"/>
    <n v="1100"/>
    <s v=""/>
    <m/>
    <n v="1"/>
    <n v="1100"/>
    <n v="1100"/>
    <m/>
    <m/>
    <m/>
    <m/>
    <n v="0"/>
    <n v="0.82499999999999996"/>
    <n v="907.5"/>
    <n v="0"/>
    <n v="0"/>
    <n v="0"/>
    <n v="0"/>
    <n v="0"/>
    <n v="0"/>
    <n v="0"/>
    <n v="0"/>
    <n v="0"/>
    <s v="Fortunei"/>
    <s v="11, 14"/>
    <n v="0.29090909090909089"/>
    <n v="320"/>
    <m/>
    <m/>
    <m/>
    <m/>
    <n v="320"/>
    <m/>
    <m/>
    <m/>
    <m/>
    <m/>
  </r>
  <r>
    <s v="US0078"/>
    <x v="4"/>
    <x v="5"/>
    <n v="2029"/>
    <s v="Pete Preskitt"/>
    <n v="10068"/>
    <s v="Pete Preskitt"/>
    <s v="334-651-1377"/>
    <x v="0"/>
    <s v="ppreskitt@icloud.com"/>
    <s v="2140 Weoka Rd Wetumpka AL 36092-4520"/>
    <s v="2140 Weoka Rd Wetumpka AL 36092-4520"/>
    <x v="0"/>
    <s v="32.617043, -86.203639"/>
    <n v="11.2"/>
    <s v=""/>
    <s v="Y"/>
    <n v="1100"/>
    <n v="1100"/>
    <s v=""/>
    <m/>
    <n v="1"/>
    <n v="1100"/>
    <n v="1100"/>
    <m/>
    <m/>
    <m/>
    <m/>
    <n v="0"/>
    <n v="0.95"/>
    <n v="1045"/>
    <n v="790.9"/>
    <n v="0.71899999999999997"/>
    <n v="0.72"/>
    <n v="0"/>
    <n v="792"/>
    <n v="792"/>
    <n v="0"/>
    <n v="0"/>
    <n v="0"/>
    <s v="Fortunei"/>
    <n v="12"/>
    <n v="0.5"/>
    <n v="550"/>
    <m/>
    <m/>
    <m/>
    <m/>
    <n v="64"/>
    <n v="486"/>
    <m/>
    <m/>
    <m/>
    <m/>
  </r>
  <r>
    <s v="US0088"/>
    <x v="4"/>
    <x v="5"/>
    <n v="0"/>
    <s v="Will Allen"/>
    <n v="10076"/>
    <s v="Will Allen"/>
    <s v="256-846-0777"/>
    <x v="1"/>
    <s v="willallen78@gmail.com"/>
    <s v="516 Co Rd 482, Heflin, AL, USA"/>
    <s v="County Road 482, Heflin, AL 36264, USA"/>
    <x v="0"/>
    <s v="33.621869, -85.456980"/>
    <n v="10.15"/>
    <s v=""/>
    <s v="Y"/>
    <n v="1100"/>
    <n v="1100"/>
    <s v=""/>
    <m/>
    <n v="1"/>
    <n v="1100"/>
    <n v="1100"/>
    <m/>
    <m/>
    <m/>
    <m/>
    <n v="0"/>
    <n v="0.95"/>
    <n v="1045"/>
    <n v="0"/>
    <n v="0"/>
    <n v="0"/>
    <n v="0"/>
    <n v="0"/>
    <n v="0"/>
    <n v="0"/>
    <n v="0"/>
    <n v="0"/>
    <s v="Fortunei"/>
    <s v="11, 12"/>
    <n v="0.38818181818181818"/>
    <n v="427"/>
    <m/>
    <m/>
    <m/>
    <m/>
    <n v="427"/>
    <m/>
    <m/>
    <m/>
    <m/>
    <m/>
  </r>
  <r>
    <s v="CR0070"/>
    <x v="6"/>
    <x v="6"/>
    <n v="2030"/>
    <s v="Alfonso Carranza"/>
    <n v="20065"/>
    <s v="Alfonso Carranza"/>
    <s v="60760838, +506-61778830, +506- 84447590"/>
    <x v="0"/>
    <s v="carlosdec@gmail.com"/>
    <s v="Abangares Campo de Oro, 3km al sur de la escuela 50702"/>
    <s v="Abangares Campo de Oro, 3km al sur de la escuela"/>
    <x v="1"/>
    <s v="10.3576690, -84.9288100"/>
    <n v="5.69"/>
    <s v=""/>
    <m/>
    <n v="1000"/>
    <n v="1000"/>
    <s v=""/>
    <m/>
    <n v="1"/>
    <n v="1000"/>
    <n v="1000"/>
    <m/>
    <m/>
    <m/>
    <m/>
    <n v="0"/>
    <n v="1"/>
    <n v="1000"/>
    <n v="0"/>
    <m/>
    <n v="1"/>
    <n v="0"/>
    <n v="1000"/>
    <n v="1000"/>
    <n v="0"/>
    <n v="0"/>
    <n v="0"/>
    <s v="P.elongata"/>
    <m/>
    <n v="0.24"/>
    <n v="240"/>
    <m/>
    <m/>
    <m/>
    <n v="240"/>
    <m/>
    <m/>
    <m/>
    <m/>
    <m/>
    <m/>
  </r>
  <r>
    <s v="CR0071"/>
    <x v="6"/>
    <x v="6"/>
    <n v="0"/>
    <s v="Carlos Peña"/>
    <n v="20037"/>
    <s v="Carlos Peña"/>
    <s v="506-6076-0838"/>
    <x v="1"/>
    <s v="carlosdec@gmail.com"/>
    <s v="Rohrmoser, Pavas, costado norte del Colegio Humbolt, 4ta casa a mano izquierda"/>
    <s v="DISTRITO 3-SAN JUAN CANTON 7-ABANGARES DE LA PROVINCIA DE GUANACASTE, Costa Rica"/>
    <x v="1"/>
    <s v="10.2500530, -84.8776320"/>
    <m/>
    <s v=""/>
    <m/>
    <n v="1800"/>
    <n v="1800"/>
    <s v=""/>
    <m/>
    <n v="1"/>
    <n v="1800"/>
    <n v="1800"/>
    <m/>
    <m/>
    <m/>
    <m/>
    <n v="0"/>
    <n v="0"/>
    <n v="0"/>
    <n v="0"/>
    <n v="0"/>
    <n v="0"/>
    <n v="0"/>
    <n v="0"/>
    <n v="0"/>
    <n v="0"/>
    <n v="0"/>
    <n v="0"/>
    <s v="P.elongata"/>
    <m/>
    <n v="0"/>
    <n v="0"/>
    <m/>
    <m/>
    <m/>
    <m/>
    <m/>
    <m/>
    <m/>
    <m/>
    <m/>
    <m/>
  </r>
  <r>
    <s v="CR0072"/>
    <x v="6"/>
    <x v="6"/>
    <n v="2030"/>
    <s v="Christian Miranda"/>
    <n v="20066"/>
    <s v="Colegio Tecnico Ricardo Beer"/>
    <s v="24277051, 86559870"/>
    <x v="0"/>
    <s v="cristian.miranda.alpizar@mep.go.cr"/>
    <s v="Alajuela Province, Orotina, Costa Rica"/>
    <s v="9.907088488496681, -84.53383254232823"/>
    <x v="1"/>
    <s v="9.907088488496681, -84.53383254232823"/>
    <m/>
    <s v=""/>
    <m/>
    <n v="650"/>
    <n v="650"/>
    <s v=""/>
    <m/>
    <n v="1"/>
    <n v="650"/>
    <n v="650"/>
    <m/>
    <m/>
    <m/>
    <m/>
    <n v="0"/>
    <n v="1"/>
    <n v="650"/>
    <n v="0"/>
    <m/>
    <n v="1"/>
    <n v="0"/>
    <n v="650"/>
    <n v="650"/>
    <n v="0"/>
    <n v="0"/>
    <n v="0"/>
    <s v="P.elongata"/>
    <m/>
    <n v="1"/>
    <n v="650"/>
    <m/>
    <m/>
    <m/>
    <n v="650"/>
    <m/>
    <m/>
    <m/>
    <m/>
    <m/>
    <m/>
  </r>
  <r>
    <s v="GT0032"/>
    <x v="6"/>
    <x v="6"/>
    <n v="2030"/>
    <s v="Boris Garza"/>
    <n v="30014"/>
    <s v="Borigar S.A. Carmen Lucía Garza López"/>
    <s v="+502 41231219, (502) 79430065"/>
    <x v="0"/>
    <s v="gerenciadenegocios@gmail.com"/>
    <s v="3ª CALLE 1-85, ZONA 3, MUNICIPIO DE ESQUIPULAS, DEPARTA-MENTO DE CHIQUIMULA"/>
    <s v="Finca La Papayera, aldea Cidabenque, Melchor de Mencos, El Petén"/>
    <x v="2"/>
    <s v="14.5684073, -89.3669417; 17.004972, -89.243806"/>
    <n v="16.7"/>
    <s v=""/>
    <m/>
    <n v="2000"/>
    <n v="2000"/>
    <s v=""/>
    <m/>
    <n v="1"/>
    <n v="2000"/>
    <n v="2000"/>
    <m/>
    <m/>
    <m/>
    <m/>
    <n v="0"/>
    <n v="0"/>
    <n v="0"/>
    <n v="0"/>
    <m/>
    <n v="0"/>
    <n v="0"/>
    <n v="0"/>
    <n v="0"/>
    <n v="0"/>
    <n v="0"/>
    <n v="0"/>
    <s v="CL502, 18K"/>
    <m/>
    <n v="0.65"/>
    <n v="1300"/>
    <m/>
    <m/>
    <m/>
    <m/>
    <n v="1300"/>
    <m/>
    <m/>
    <m/>
    <m/>
    <m/>
  </r>
  <r>
    <s v="GT0039"/>
    <x v="4"/>
    <x v="6"/>
    <n v="2030"/>
    <s v="Marvin Rodolfo Porras Calderón"/>
    <n v="30024"/>
    <s v="Marvin Rodolfo Porras Calderón"/>
    <s v="(502) 54135219"/>
    <x v="0"/>
    <s v="mayalsmiscelanea@hotmail.com"/>
    <s v="Barrio El Centro zona 1, municipio de San Luis Jilotepeque, departamento de Jalapa"/>
    <s v="Aldea El Zapote, municipio de San Luis, departamento de Petén"/>
    <x v="2"/>
    <s v="16.074253, -89.729667"/>
    <n v="18.899999999999999"/>
    <s v=""/>
    <m/>
    <n v="2350"/>
    <n v="2350"/>
    <s v=""/>
    <m/>
    <n v="1"/>
    <n v="2350"/>
    <n v="2350"/>
    <m/>
    <m/>
    <m/>
    <m/>
    <n v="0"/>
    <n v="0.569907813742912"/>
    <n v="1339.2833622958433"/>
    <n v="0"/>
    <m/>
    <n v="0.569907813742912"/>
    <n v="0"/>
    <n v="1339.2833622958433"/>
    <n v="1339.2833622958433"/>
    <n v="0"/>
    <n v="0"/>
    <n v="0"/>
    <s v="CL502, 18K"/>
    <m/>
    <n v="0"/>
    <n v="0"/>
    <m/>
    <m/>
    <m/>
    <m/>
    <m/>
    <m/>
    <m/>
    <m/>
    <m/>
    <m/>
  </r>
  <r>
    <s v="MX0003"/>
    <x v="4"/>
    <x v="6"/>
    <n v="2030"/>
    <s v="Ana Paulina Hurtado Castro"/>
    <n v="40003"/>
    <s v="Ana Paulina Hurtado Castro"/>
    <s v="4777271251"/>
    <x v="0"/>
    <s v="pavizh@gmail.com"/>
    <s v="Calle Novello #107 Fraccionamiento Residencial Piamonte. Co Ionia Llacienda Santa Fe. Leon, Guanajuato. Mexico, 37299"/>
    <s v="El Potrerito, Ca bras de Guadelupe, Municipio de Ocampo, Guanajuato. CP 37640"/>
    <x v="3"/>
    <s v="22.446450, -101.494247"/>
    <n v="2.4"/>
    <s v=""/>
    <m/>
    <n v="1100"/>
    <n v="1100"/>
    <s v=""/>
    <m/>
    <n v="1"/>
    <n v="1100"/>
    <n v="1100"/>
    <m/>
    <m/>
    <m/>
    <m/>
    <n v="0"/>
    <n v="0.99"/>
    <n v="1089"/>
    <n v="0"/>
    <m/>
    <n v="0.99"/>
    <n v="0"/>
    <n v="1089"/>
    <n v="1089"/>
    <n v="0"/>
    <n v="0"/>
    <n v="0"/>
    <m/>
    <m/>
    <n v="0"/>
    <n v="0"/>
    <m/>
    <m/>
    <m/>
    <m/>
    <m/>
    <m/>
    <m/>
    <m/>
    <m/>
    <m/>
  </r>
  <r>
    <s v="MX0021"/>
    <x v="6"/>
    <x v="6"/>
    <n v="2030"/>
    <s v="Alvaro Hernandez Suarez"/>
    <n v="40020"/>
    <s v="Alvaro Hernandez Suarez"/>
    <s v="2831131385"/>
    <x v="0"/>
    <s v="olgalidia_sm@live.com.mx"/>
    <s v="Av. Ferrocarril S/N, Localidad Los Tigres, C.P. 95680, Juan Rodriguez Clara, Veracruz, Mexico"/>
    <s v="Predio rustico &quot;Algodonal y Angostura, Municipio de San Juan Evangelista, Distrito de Acayucan, Veracruz, Mexico"/>
    <x v="3"/>
    <s v="17.817750, -95.269309"/>
    <n v="13.2"/>
    <s v=""/>
    <m/>
    <n v="2750"/>
    <n v="2750"/>
    <s v=""/>
    <m/>
    <n v="1"/>
    <n v="2750"/>
    <n v="2750"/>
    <m/>
    <m/>
    <m/>
    <m/>
    <n v="0"/>
    <n v="0.49865233400236858"/>
    <n v="1371.2939185065136"/>
    <n v="0"/>
    <m/>
    <n v="0.49865233400236858"/>
    <n v="0"/>
    <n v="1371.2939185065136"/>
    <n v="1371.2939185065136"/>
    <n v="0"/>
    <n v="0"/>
    <n v="0"/>
    <m/>
    <m/>
    <n v="0.65527272727272723"/>
    <n v="1802"/>
    <m/>
    <m/>
    <m/>
    <n v="1802"/>
    <m/>
    <m/>
    <m/>
    <m/>
    <m/>
    <m/>
  </r>
  <r>
    <s v="MX0024"/>
    <x v="6"/>
    <x v="6"/>
    <n v="2030"/>
    <s v="José Baruche Rodríguez Zuñiga"/>
    <n v="40023"/>
    <s v="Mayolo Rodríguez Mendoza"/>
    <s v="+529921073276, 9921310372"/>
    <x v="0"/>
    <s v="jbaruch15@hotmail.com"/>
    <s v="Calle Primera Poniente Sur No. 83, Barrio Ramajal, C.P. 29410, Teopisca, Chiapas, Mexico"/>
    <s v="Barrio Ramjal de la Villa de Teopisca, Municipio, Teopis ca, Chiapas, Mexico"/>
    <x v="3"/>
    <s v="16.534257, -92.474401"/>
    <m/>
    <s v=""/>
    <m/>
    <n v="1100"/>
    <n v="1100"/>
    <s v=""/>
    <m/>
    <n v="1"/>
    <n v="1100"/>
    <n v="1100"/>
    <m/>
    <m/>
    <m/>
    <m/>
    <n v="0"/>
    <n v="0.95"/>
    <n v="1045"/>
    <n v="0"/>
    <m/>
    <n v="0.95"/>
    <n v="0"/>
    <n v="1045"/>
    <n v="1045"/>
    <n v="0"/>
    <n v="0"/>
    <n v="0"/>
    <m/>
    <m/>
    <n v="0"/>
    <n v="0"/>
    <m/>
    <m/>
    <m/>
    <m/>
    <m/>
    <m/>
    <m/>
    <m/>
    <m/>
    <m/>
  </r>
  <r>
    <s v="MX0025"/>
    <x v="6"/>
    <x v="6"/>
    <n v="2030"/>
    <s v="Francisco Crivelli"/>
    <n v="40024"/>
    <s v="Teresa Morales Román"/>
    <s v="2831042417"/>
    <x v="0"/>
    <s v="olgalidia_sm@live.com.mx"/>
    <s v="Calle Pipila S/N, Localidad Los Tigres, C.P. 95680, Juan Rodriguez Clara, Veracruz, Mexico"/>
    <s v="Rancho San Antonio, Municiopio Juan Rodriguez Clara, Veracruz, Mexico"/>
    <x v="3"/>
    <s v="17.933919, -95.322563"/>
    <m/>
    <s v=""/>
    <m/>
    <n v="2750"/>
    <n v="2750"/>
    <s v=""/>
    <m/>
    <n v="1"/>
    <n v="2750"/>
    <n v="2750"/>
    <m/>
    <m/>
    <m/>
    <m/>
    <n v="0"/>
    <n v="0.14065963545930102"/>
    <n v="386.81399751307782"/>
    <n v="0"/>
    <m/>
    <n v="0.14065963545930102"/>
    <n v="0"/>
    <n v="386.81399751307782"/>
    <n v="386.81399751307782"/>
    <n v="0"/>
    <n v="0"/>
    <n v="0"/>
    <m/>
    <m/>
    <n v="0"/>
    <n v="0"/>
    <m/>
    <m/>
    <m/>
    <m/>
    <m/>
    <m/>
    <m/>
    <m/>
    <m/>
    <m/>
  </r>
  <r>
    <s v="CR0073"/>
    <x v="6"/>
    <x v="6"/>
    <n v="2030"/>
    <s v="Geiner Araya Guzman"/>
    <n v="20067"/>
    <s v="Geiner Araya Guzman"/>
    <s v="50662444795, 506-8694-6846"/>
    <x v="2"/>
    <s v="manfrito8@gmail.com"/>
    <s v="50m este de Polloiandia, El Pavon, Los Chiles Alajuela 21401"/>
    <s v="el distrito 3-El Amparo Canton 14-Los Chiles de la provincia de Alajuela"/>
    <x v="1"/>
    <s v="10.798889, -84.645000"/>
    <n v="8.9"/>
    <n v="6.1776252590741585"/>
    <m/>
    <n v="1000"/>
    <n v="1000"/>
    <s v=""/>
    <m/>
    <n v="1"/>
    <n v="1000"/>
    <n v="1000"/>
    <m/>
    <m/>
    <m/>
    <m/>
    <n v="0"/>
    <n v="1"/>
    <n v="1000"/>
    <n v="978"/>
    <n v="0.97799999999999998"/>
    <n v="0.98"/>
    <n v="0.98"/>
    <n v="978"/>
    <n v="978"/>
    <n v="0"/>
    <n v="0"/>
    <n v="0"/>
    <s v="P.elongata"/>
    <m/>
    <n v="0"/>
    <n v="0"/>
    <m/>
    <m/>
    <m/>
    <m/>
    <m/>
    <m/>
    <m/>
    <m/>
    <m/>
    <m/>
  </r>
  <r>
    <s v="CR0074"/>
    <x v="6"/>
    <x v="6"/>
    <n v="2030"/>
    <s v="Luis Alonso Garita Hidalgo "/>
    <n v="20068"/>
    <s v="Ubuntu GH  S.A"/>
    <s v="506 60030444, 506 88239449"/>
    <x v="2"/>
    <s v="lagaritah@gmail.com, christian.garita@gmail.com"/>
    <s v="Heredia Central Ulloa condominio Terrafé lote 83"/>
    <s v="4-SAN JORGE CANTON 14-LOS CHILES DE LA PROVINCIA DE ALAJUELA"/>
    <x v="1"/>
    <s v="10.717385, -84.684209"/>
    <n v="15.37"/>
    <n v="10.687291698198294"/>
    <m/>
    <n v="1730"/>
    <n v="1730"/>
    <s v=""/>
    <m/>
    <n v="1"/>
    <n v="1730"/>
    <n v="1730"/>
    <m/>
    <m/>
    <m/>
    <m/>
    <n v="0"/>
    <n v="0.97687861271676302"/>
    <n v="1690"/>
    <n v="1520.67"/>
    <n v="0.879"/>
    <n v="0.88"/>
    <n v="0.88"/>
    <n v="1521"/>
    <n v="1521"/>
    <n v="0"/>
    <n v="0"/>
    <n v="0"/>
    <s v="P.elongata"/>
    <m/>
    <n v="8.6705202312138727E-2"/>
    <n v="150"/>
    <m/>
    <m/>
    <m/>
    <n v="150"/>
    <m/>
    <m/>
    <m/>
    <m/>
    <m/>
    <m/>
  </r>
  <r>
    <s v="CR0075"/>
    <x v="6"/>
    <x v="6"/>
    <n v="2030"/>
    <s v="Oldemar Perez"/>
    <n v="20069"/>
    <s v="Oldemar Perez"/>
    <n v="50672971864"/>
    <x v="2"/>
    <s v="kapp241087@gmail.com"/>
    <s v="Aguas Claras, Alajuela Province, Costa Rica"/>
    <s v="10.819479, -85.239038"/>
    <x v="1"/>
    <s v="10.819479, -85.239038"/>
    <m/>
    <n v="6.1776252590741585"/>
    <m/>
    <n v="1000"/>
    <n v="1000"/>
    <s v=""/>
    <m/>
    <n v="1"/>
    <n v="1000"/>
    <n v="1000"/>
    <m/>
    <m/>
    <m/>
    <m/>
    <n v="0"/>
    <n v="0.79738117283950627"/>
    <n v="797.38117283950623"/>
    <n v="0"/>
    <m/>
    <n v="0.79738117283950627"/>
    <n v="0.79738117283950627"/>
    <n v="797.38117283950623"/>
    <n v="797.38117283950623"/>
    <n v="0"/>
    <n v="0"/>
    <n v="0"/>
    <s v="P.elongata"/>
    <m/>
    <n v="0.21199999999999999"/>
    <n v="212"/>
    <m/>
    <m/>
    <m/>
    <n v="212"/>
    <m/>
    <m/>
    <m/>
    <m/>
    <m/>
    <m/>
  </r>
  <r>
    <s v="CR0076"/>
    <x v="6"/>
    <x v="6"/>
    <n v="2030"/>
    <s v="Olga Chavarria "/>
    <n v="20070"/>
    <s v="Olga Chavarria "/>
    <s v="50687125265, 506-8568-1948"/>
    <x v="2"/>
    <s v="ldiegocastillo@hotmail.com"/>
    <s v="125 metros sur y 50 este del cruce a Las Quebredas, Rincon de Zaragoza, Palmares Alajuela 20702"/>
    <s v="1.5km al norte y 2km al este de la Escuela de Alto Lopez, Barrio San Jose Sur, Atenas, Alajuela"/>
    <x v="1"/>
    <s v="10.025055, -84.395242"/>
    <n v="7.5"/>
    <n v="6.1776252590741585"/>
    <m/>
    <n v="1000"/>
    <n v="1000"/>
    <s v=""/>
    <m/>
    <n v="1"/>
    <n v="1000"/>
    <n v="1000"/>
    <m/>
    <m/>
    <m/>
    <m/>
    <n v="0"/>
    <n v="0.99199999999999999"/>
    <n v="992"/>
    <n v="950"/>
    <n v="0.95"/>
    <n v="0.95"/>
    <n v="0.95"/>
    <n v="950"/>
    <n v="950"/>
    <n v="0"/>
    <n v="0"/>
    <n v="0"/>
    <s v="P.elongata"/>
    <m/>
    <n v="6.2E-2"/>
    <n v="62"/>
    <m/>
    <m/>
    <m/>
    <n v="62"/>
    <m/>
    <m/>
    <m/>
    <m/>
    <m/>
    <m/>
  </r>
  <r>
    <s v="CR0077"/>
    <x v="6"/>
    <x v="6"/>
    <n v="2030"/>
    <s v="Rafael Quiroz"/>
    <n v="20071"/>
    <s v="Rafael Quiroz"/>
    <n v="50660822879"/>
    <x v="2"/>
    <s v="fvindas1974@gmail.com"/>
    <s v="Limón Po­cocí La Rita comunidad la Suerte, 70203"/>
    <s v="La suerte de la Rita de Pococi. un kilómetro de la escuela"/>
    <x v="1"/>
    <s v="9.957288, -84.191905"/>
    <n v="23.33"/>
    <n v="17.760672619838207"/>
    <m/>
    <n v="2875"/>
    <n v="2875"/>
    <s v=""/>
    <m/>
    <n v="1"/>
    <n v="2875"/>
    <n v="2875"/>
    <m/>
    <m/>
    <m/>
    <m/>
    <n v="0"/>
    <n v="1"/>
    <n v="2875"/>
    <n v="2481.125"/>
    <n v="0.86299999999999999"/>
    <n v="0.86"/>
    <n v="0.86"/>
    <n v="2481"/>
    <n v="2481"/>
    <n v="0"/>
    <n v="0"/>
    <n v="0"/>
    <s v="P.elongata"/>
    <m/>
    <n v="3.826086956521739E-2"/>
    <n v="110"/>
    <m/>
    <m/>
    <m/>
    <n v="60"/>
    <n v="50"/>
    <m/>
    <m/>
    <m/>
    <m/>
    <m/>
  </r>
  <r>
    <s v="CR0078"/>
    <x v="6"/>
    <x v="6"/>
    <n v="2030"/>
    <s v="Xinia Moya"/>
    <n v="20072"/>
    <s v="Xinia Moya"/>
    <n v="50686608587"/>
    <x v="2"/>
    <s v="gabrielquiros059@gmail.com"/>
    <s v="El Bosque de Guacimo, Limón"/>
    <s v="10.262187, -83.684872"/>
    <x v="1"/>
    <s v="10.262187, -83.684872"/>
    <m/>
    <n v="6.1776252590741585"/>
    <m/>
    <n v="1000"/>
    <n v="1000"/>
    <s v=""/>
    <m/>
    <n v="1"/>
    <n v="1000"/>
    <n v="1000"/>
    <m/>
    <m/>
    <m/>
    <m/>
    <n v="0"/>
    <n v="0.91214444444444442"/>
    <n v="912.14444444444439"/>
    <n v="0"/>
    <m/>
    <n v="0.91214444444444442"/>
    <n v="0.91214444444444442"/>
    <n v="912.14444444444439"/>
    <n v="912.14444444444439"/>
    <n v="0"/>
    <n v="0"/>
    <n v="0"/>
    <s v="P.elongata"/>
    <m/>
    <n v="0.05"/>
    <n v="50"/>
    <m/>
    <m/>
    <m/>
    <n v="50"/>
    <m/>
    <m/>
    <m/>
    <m/>
    <m/>
    <m/>
  </r>
  <r>
    <s v="CR0092"/>
    <x v="6"/>
    <x v="6"/>
    <n v="2030"/>
    <s v="Christian Araya"/>
    <n v="20084"/>
    <s v="Christian Araya"/>
    <s v="506-8335-4070, 506-7285-3817"/>
    <x v="2"/>
    <s v="miravalles1085@gmail.com"/>
    <s v="350m sur de la iglesia catollca de Guacallto, Canalete de Upala. 21301"/>
    <s v="10.804139,-85.107325"/>
    <x v="1"/>
    <s v="E00378909 N01194901"/>
    <m/>
    <n v="6.1776252590741585"/>
    <m/>
    <n v="1000"/>
    <n v="1000"/>
    <s v=""/>
    <m/>
    <n v="1"/>
    <n v="1000"/>
    <n v="1000"/>
    <m/>
    <m/>
    <m/>
    <m/>
    <n v="0"/>
    <n v="0.89531611111111109"/>
    <n v="895.31611111111113"/>
    <n v="0"/>
    <m/>
    <n v="0.89531611111111109"/>
    <n v="0.89531611111111109"/>
    <n v="895.31611111111113"/>
    <n v="895.31611111111113"/>
    <n v="0"/>
    <n v="0"/>
    <n v="0"/>
    <s v="P.elongata"/>
    <m/>
    <n v="0.1"/>
    <n v="100"/>
    <m/>
    <m/>
    <m/>
    <n v="100"/>
    <m/>
    <m/>
    <m/>
    <m/>
    <m/>
    <m/>
  </r>
  <r>
    <s v="GT0024b"/>
    <x v="4"/>
    <x v="6"/>
    <n v="2030"/>
    <s v="Julio Francisco Morán Pérez"/>
    <n v="30023"/>
    <s v="Julio Francisco Morán Pérez"/>
    <s v="(502) 56972396"/>
    <x v="2"/>
    <s v="julmora213@gmail.com"/>
    <s v="14 A VENIDA LAS AMERICAS 7-62, ZONA 3, EDIFICIO TORRE PRADE­RA XELA, OCTAVO NTVEL, OFTCTNA 812, MUNTCTPTO DE QUETZALTENANGO, DEPARTAMENTO DE QUETZAL TENA NGO"/>
    <s v="FTNCA 4 PTLARES DE LAS PAULOWNTAS, MUNTCTPTO DE EL PALMAR, DEPARTAMENTO DE QUETZALTENANGO"/>
    <x v="2"/>
    <s v="14.696111, -91.608056"/>
    <n v="40.1"/>
    <n v="13.027272727272727"/>
    <m/>
    <n v="1433"/>
    <n v="1433"/>
    <s v=""/>
    <m/>
    <n v="1"/>
    <n v="1433"/>
    <n v="1433"/>
    <m/>
    <m/>
    <m/>
    <m/>
    <n v="0"/>
    <n v="0.82858216683583918"/>
    <n v="1187.3582450757576"/>
    <n v="0"/>
    <m/>
    <n v="0.82858216683583918"/>
    <n v="0.82858216683583918"/>
    <n v="1187.3582450757576"/>
    <n v="1187.3582450757576"/>
    <n v="0"/>
    <n v="0"/>
    <n v="0"/>
    <m/>
    <m/>
    <n v="0"/>
    <n v="0"/>
    <m/>
    <m/>
    <m/>
    <m/>
    <m/>
    <m/>
    <m/>
    <m/>
    <m/>
    <m/>
  </r>
  <r>
    <s v="GT0029"/>
    <x v="4"/>
    <x v="6"/>
    <n v="2030"/>
    <s v="Erick Cienfuegos "/>
    <n v="30011"/>
    <s v="Rudy Israel Cienfuegos Cordón"/>
    <s v="+(502) 50010308"/>
    <x v="2"/>
    <s v="rudy-cem@hotmail.com"/>
    <s v="5ª CALLE B 2-01, ZONA 3, COLONIA LOS ANGELES, MUNICIPIO DE CHIQUIMULA, DEPARTAMENTO DE CHIQUIMULA"/>
    <s v="MUNICIPIO DE LA UNIÓN, DEPARTAMENTO DE ZACAPA"/>
    <x v="2"/>
    <s v="14.949444, -89.331667"/>
    <n v="42"/>
    <n v="36.81818181818182"/>
    <m/>
    <n v="4050"/>
    <n v="4050"/>
    <s v=""/>
    <m/>
    <n v="1"/>
    <n v="4050"/>
    <n v="4050"/>
    <m/>
    <m/>
    <m/>
    <m/>
    <n v="0"/>
    <n v="0.63782465185185189"/>
    <n v="2583.18984"/>
    <n v="0"/>
    <m/>
    <n v="0.63782465185185189"/>
    <n v="0.63782465185185189"/>
    <n v="2583.18984"/>
    <n v="2583.18984"/>
    <n v="0"/>
    <n v="0"/>
    <n v="0"/>
    <s v="Elongata"/>
    <m/>
    <n v="1.308641975308642E-2"/>
    <n v="53"/>
    <m/>
    <m/>
    <m/>
    <m/>
    <m/>
    <n v="53"/>
    <m/>
    <m/>
    <m/>
    <m/>
  </r>
  <r>
    <s v="GT0030"/>
    <x v="6"/>
    <x v="6"/>
    <n v="2030"/>
    <s v="Ada Patricia Scheel Bartlett"/>
    <n v="30001"/>
    <s v="Ada Patricia Scheel Bartlett"/>
    <s v="+502 57031213"/>
    <x v="2"/>
    <s v="s_hpatricia@hotmail.com"/>
    <s v="AVENIDA LAS AMERICAS 7-62, ZONA 3, EDIFICIO TORRE PRADE-RA XELA, OCTAVO NIVEL, OFICINA 801, QUETZALTENANGO, GUATEMALA"/>
    <s v="FINCA SAN JOSÉ, MUNICIPIO DE FLORES COSTA CUCA, DEPARTAMENTO DE QUETZALTENANGO"/>
    <x v="2"/>
    <s v="14.673889, -91.808333; 14.990889, -91.990889"/>
    <n v="8.6999999999999993"/>
    <n v="18.181818181818183"/>
    <m/>
    <n v="2000"/>
    <n v="2000"/>
    <s v=""/>
    <m/>
    <n v="1"/>
    <n v="2000"/>
    <n v="2000"/>
    <m/>
    <m/>
    <m/>
    <m/>
    <n v="0"/>
    <n v="0.47639943192307688"/>
    <n v="952.79886384615372"/>
    <n v="0"/>
    <m/>
    <n v="0.47639943192307688"/>
    <n v="0.47639943192307688"/>
    <n v="952.79886384615372"/>
    <n v="952.79886384615372"/>
    <n v="0"/>
    <n v="0"/>
    <n v="0"/>
    <s v="CL502, 18K"/>
    <m/>
    <n v="0.45"/>
    <n v="900"/>
    <m/>
    <m/>
    <n v="400"/>
    <n v="500"/>
    <m/>
    <m/>
    <m/>
    <m/>
    <m/>
    <m/>
  </r>
  <r>
    <s v="GT0031a"/>
    <x v="6"/>
    <x v="6"/>
    <n v="2030"/>
    <s v="Derek José Herman Gordillo"/>
    <n v="30028"/>
    <s v="Agroindustrias Nativa S.A./Derek José Herman Gordillo"/>
    <s v="+502 40117762"/>
    <x v="2"/>
    <s v="hermangster@gmail.com, dherman@grupoadh.com"/>
    <s v="Aldea Laguna Bermeja, Granja San Luis, Condominio Laguna del Bosque Casa '1169, zona 7, Santa Cata­rina Pinula, Guatemala"/>
    <s v="Aldea El Parafso, municipio de Sayaxche, Departamento de Peten"/>
    <x v="2"/>
    <s v="16.490000, -90.127200"/>
    <n v="149.69999999999999"/>
    <n v="163.63636363636363"/>
    <m/>
    <n v="18000"/>
    <n v="18000"/>
    <s v=""/>
    <m/>
    <n v="1"/>
    <n v="18000"/>
    <n v="18000"/>
    <m/>
    <m/>
    <m/>
    <m/>
    <n v="0"/>
    <n v="0.42083333333333334"/>
    <n v="7575"/>
    <n v="0"/>
    <m/>
    <n v="0.42083333333333334"/>
    <n v="0.42083333333333334"/>
    <n v="7575"/>
    <n v="7575"/>
    <n v="0"/>
    <n v="0"/>
    <n v="0"/>
    <s v="Elongata, CL502, 18K"/>
    <m/>
    <n v="0.63738888888888889"/>
    <n v="11473"/>
    <m/>
    <m/>
    <m/>
    <n v="11473"/>
    <m/>
    <m/>
    <m/>
    <m/>
    <m/>
    <m/>
  </r>
  <r>
    <s v="GT0033"/>
    <x v="4"/>
    <x v="6"/>
    <n v="2030"/>
    <s v="Carlos Adolfo López Letona"/>
    <n v="30015"/>
    <s v="Carlos Adolfo López Letona"/>
    <s v="(502) 55163538"/>
    <x v="2"/>
    <s v="carloslopezletona@gmail.com"/>
    <s v="Lotificación Guayacán, 7ª calle final, Casa # 2, Coatepeque, Quetzaltenango"/>
    <s v="Municipio de Flores Costa Cuca, departamento Quetzaltenango"/>
    <x v="2"/>
    <s v="14.670583, -91.861889"/>
    <n v="20.8"/>
    <n v="24.09090909090909"/>
    <m/>
    <n v="2650"/>
    <n v="2650"/>
    <s v=""/>
    <m/>
    <n v="1"/>
    <n v="2650"/>
    <n v="2650"/>
    <m/>
    <m/>
    <m/>
    <m/>
    <n v="0"/>
    <n v="0.40309903807890224"/>
    <n v="1068.2124509090909"/>
    <n v="0"/>
    <m/>
    <n v="0.40309903807890224"/>
    <n v="0.40309903807890224"/>
    <n v="1068.2124509090909"/>
    <n v="1068.2124509090909"/>
    <n v="0"/>
    <n v="0"/>
    <n v="0"/>
    <s v="CL502, 18K"/>
    <m/>
    <n v="0.26415094339622641"/>
    <n v="700"/>
    <m/>
    <m/>
    <m/>
    <n v="700"/>
    <m/>
    <m/>
    <m/>
    <m/>
    <m/>
    <m/>
  </r>
  <r>
    <s v="GT0034"/>
    <x v="4"/>
    <x v="6"/>
    <n v="2030"/>
    <s v="Edin Leonel Chávez Rodriguez"/>
    <n v="30029"/>
    <s v="Edin Leonel Chávez Rodriguez"/>
    <s v="+502 58063533"/>
    <x v="2"/>
    <s v="chadievalleverde@yahoo.com"/>
    <s v="Barrio Chidesaaj, municipio de Cobán, departamento de Alta Verapaz"/>
    <s v="Aldea Palestina, municipio Las Cruces, departamento de El Petén"/>
    <x v="2"/>
    <s v="16.739722, -90.462361"/>
    <n v="7.1"/>
    <n v="9.0909090909090917"/>
    <m/>
    <n v="1000"/>
    <n v="1000"/>
    <s v=""/>
    <m/>
    <n v="1"/>
    <n v="1000"/>
    <n v="1000"/>
    <m/>
    <m/>
    <m/>
    <m/>
    <n v="0"/>
    <n v="0.88318954662680671"/>
    <n v="883.18954662680676"/>
    <n v="0"/>
    <m/>
    <n v="0.88318954662680671"/>
    <n v="0.88318954662680671"/>
    <n v="883.18954662680676"/>
    <n v="883.18954662680676"/>
    <n v="0"/>
    <n v="0"/>
    <n v="0"/>
    <s v="Elongata, CL502, 18K"/>
    <m/>
    <n v="1.3560000000000001"/>
    <n v="1356"/>
    <m/>
    <m/>
    <n v="1056"/>
    <n v="300"/>
    <m/>
    <m/>
    <m/>
    <m/>
    <m/>
    <m/>
  </r>
  <r>
    <s v="GT0035"/>
    <x v="4"/>
    <x v="6"/>
    <n v="2030"/>
    <s v="Sergio Gordillo"/>
    <n v="30030"/>
    <s v="El Paste S.A./Elisa Janeth Salguero Pineda De Gordillo"/>
    <s v="57151628"/>
    <x v="2"/>
    <s v="cheiomilo@gmail.com"/>
    <s v="Finca San diego, La Fragua, Zacapa, Guatamala"/>
    <s v="FINCA DOLORES , MUNICIPIO DE LA UNION, DEPARTAMENTO DE ZACAPA"/>
    <x v="2"/>
    <s v="14.965472, -89.280583"/>
    <n v="8.8000000000000007"/>
    <n v="9.0909090909090917"/>
    <m/>
    <n v="1000"/>
    <n v="1000"/>
    <s v=""/>
    <m/>
    <n v="1"/>
    <n v="1000"/>
    <n v="1000"/>
    <m/>
    <m/>
    <m/>
    <m/>
    <n v="0"/>
    <n v="0.89730003125000013"/>
    <n v="897.30003125000007"/>
    <n v="0"/>
    <m/>
    <n v="0.89730003125000013"/>
    <n v="0.89730003125000013"/>
    <n v="897.30003125000007"/>
    <n v="897.30003125000007"/>
    <n v="0"/>
    <n v="0"/>
    <n v="0"/>
    <s v="CL502, 18K"/>
    <m/>
    <n v="0.25"/>
    <n v="250"/>
    <m/>
    <m/>
    <m/>
    <n v="250"/>
    <m/>
    <m/>
    <m/>
    <m/>
    <m/>
    <m/>
  </r>
  <r>
    <s v="GT0036"/>
    <x v="6"/>
    <x v="6"/>
    <n v="2030"/>
    <s v="Edilsar García"/>
    <n v="30031"/>
    <s v="Eloisa Amparo García Barrios"/>
    <s v="+502 56408432"/>
    <x v="2"/>
    <s v="edilsargarcia78@gmail.com"/>
    <s v="Aldea Sigüila, San Juán Ostuncalco, Quetzaltenango"/>
    <s v="Playa Grande cabecera municipal del Municipio Ixcán, Departamento de El Quiché"/>
    <x v="2"/>
    <s v="16.008611, -90.842000"/>
    <n v="18.899999999999999"/>
    <n v="26.427272727272726"/>
    <m/>
    <n v="2907"/>
    <n v="2907"/>
    <s v=""/>
    <m/>
    <n v="1"/>
    <n v="2907"/>
    <n v="2907"/>
    <m/>
    <m/>
    <m/>
    <m/>
    <n v="0"/>
    <n v="0.99556028895768844"/>
    <n v="2894.0937600000002"/>
    <n v="0"/>
    <m/>
    <n v="0.99556028895768844"/>
    <n v="0.99556028895768844"/>
    <n v="2894.0937600000002"/>
    <n v="2894.0937600000002"/>
    <n v="0"/>
    <n v="0"/>
    <n v="0"/>
    <s v="CL502, 18K"/>
    <m/>
    <n v="4.2999656002751976E-2"/>
    <n v="125"/>
    <m/>
    <m/>
    <n v="100"/>
    <n v="25"/>
    <m/>
    <m/>
    <m/>
    <m/>
    <m/>
    <m/>
  </r>
  <r>
    <s v="GT0037"/>
    <x v="6"/>
    <x v="6"/>
    <n v="2030"/>
    <s v="Jorge Mario De León Alconero"/>
    <n v="30032"/>
    <s v="Jorge Mario De León Alconero"/>
    <s v="+502 52044476"/>
    <x v="2"/>
    <s v="alconerodeleonjm@gmail.com"/>
    <s v="11 avenida 3-09 zona 9, Barrio Garibaldi, Quetzaltenango"/>
    <s v="Municipio de San José El Rodeo, departamento de San Marcos"/>
    <x v="2"/>
    <s v="14.990889, -91.990889"/>
    <n v="9.4"/>
    <n v="13.636363636363637"/>
    <m/>
    <n v="1500"/>
    <n v="1500"/>
    <s v=""/>
    <m/>
    <n v="1"/>
    <n v="1500"/>
    <n v="1500"/>
    <m/>
    <m/>
    <m/>
    <m/>
    <n v="0"/>
    <n v="0.77819284158241753"/>
    <n v="1167.2892623736263"/>
    <n v="0"/>
    <m/>
    <n v="0.3"/>
    <n v="0.3"/>
    <n v="350.18677871208791"/>
    <n v="350.18677871208791"/>
    <n v="0"/>
    <n v="0"/>
    <n v="0"/>
    <s v="18K, CL502"/>
    <m/>
    <n v="0.45"/>
    <n v="675"/>
    <m/>
    <m/>
    <n v="300"/>
    <n v="375"/>
    <m/>
    <m/>
    <m/>
    <m/>
    <m/>
    <m/>
  </r>
  <r>
    <s v="GT0038"/>
    <x v="6"/>
    <x v="6"/>
    <n v="2030"/>
    <s v="Luis Fernando Morán Peréz"/>
    <n v="30006"/>
    <s v="Luis Fernando Morán Peréz"/>
    <s v="+50254114650"/>
    <x v="2"/>
    <s v="lmoran@inversionesluys.com"/>
    <s v="A VENIDA LAS AMERICAS 7-62, ZONA 3, EDIFICIO TORRE PRADE­RA XELA, OCTAVO NIVEL, OFICINA 813, MUNICIPIO DE QUETZALTENANGO, DEPARTAMENTO DE  QUETZAL TENANGO"/>
    <s v="FINCA ENTRE RIOS, MUNICIPIO DE EL PALMAR, DEPARTAMENTO DE QUETZALTENANGO"/>
    <x v="2"/>
    <s v="14.680103, -91.609028"/>
    <m/>
    <n v="34.5"/>
    <m/>
    <n v="3795"/>
    <n v="3795"/>
    <s v=""/>
    <m/>
    <n v="1"/>
    <n v="3795"/>
    <n v="3795"/>
    <m/>
    <m/>
    <m/>
    <m/>
    <n v="0"/>
    <n v="0.79658714839778522"/>
    <n v="3023.0482281695949"/>
    <n v="0"/>
    <m/>
    <n v="0.79658714839778522"/>
    <n v="0.79658714839778522"/>
    <n v="3023.0482281695949"/>
    <n v="3023.0482281695949"/>
    <n v="0"/>
    <n v="0"/>
    <n v="0"/>
    <s v="CL502, 18K"/>
    <m/>
    <n v="5.2700922266139656E-2"/>
    <n v="200"/>
    <m/>
    <m/>
    <m/>
    <n v="200"/>
    <m/>
    <m/>
    <m/>
    <m/>
    <m/>
    <m/>
  </r>
  <r>
    <s v="GT0040"/>
    <x v="4"/>
    <x v="6"/>
    <n v="2030"/>
    <s v="Miguel Roberto Mombiela Bruni"/>
    <n v="30007"/>
    <s v="Miguel Roberto Mombiela Bruni"/>
    <s v="+502 30098257"/>
    <x v="2"/>
    <s v="mrmombiela@gmail.com"/>
    <s v="2ª calle 4A-40 zona 9, La Floresta, Quetzaltenango"/>
    <s v="Municipio de Génova, departamento de Quetzaltenango"/>
    <x v="2"/>
    <s v="14.662500, -91.613889; 14.606417, -91.840889"/>
    <n v="3"/>
    <n v="6.2727272727272725"/>
    <m/>
    <n v="690"/>
    <n v="690"/>
    <s v=""/>
    <m/>
    <n v="1"/>
    <n v="690"/>
    <n v="690"/>
    <m/>
    <m/>
    <m/>
    <m/>
    <n v="0"/>
    <n v="0.9735441137123747"/>
    <n v="671.74543846153858"/>
    <n v="0"/>
    <m/>
    <n v="0.9735441137123747"/>
    <n v="0.9735441137123747"/>
    <n v="671.74543846153858"/>
    <n v="671.74543846153858"/>
    <n v="0"/>
    <n v="0"/>
    <n v="0"/>
    <s v="CL502"/>
    <m/>
    <n v="0"/>
    <n v="0"/>
    <m/>
    <m/>
    <m/>
    <m/>
    <m/>
    <m/>
    <m/>
    <m/>
    <m/>
    <m/>
  </r>
  <r>
    <s v="MX0009"/>
    <x v="6"/>
    <x v="6"/>
    <n v="2030"/>
    <s v="Dolores Ramirez Rodriguez"/>
    <n v="40008"/>
    <s v="Dolores Ramirez Rodriguez"/>
    <s v="287.110.7413"/>
    <x v="2"/>
    <s v="ramirez032175@hotmail.com"/>
    <s v="C Juan Escutia 42 col Francisco I Madero, Minatitlan, Veracruz 96770, Mexico"/>
    <s v="C Juan Escutia 42 col Francisco I Madero, Minatitlan, Veracruz 96770, Mexico"/>
    <x v="3"/>
    <s v="17.568433, -95.317894"/>
    <m/>
    <n v="12.355108275676161"/>
    <m/>
    <n v="2750"/>
    <n v="2750"/>
    <s v=""/>
    <m/>
    <n v="1"/>
    <n v="2750"/>
    <n v="2750"/>
    <m/>
    <m/>
    <m/>
    <m/>
    <n v="0"/>
    <n v="0.75180051860701436"/>
    <n v="2067.4514261692893"/>
    <n v="0"/>
    <m/>
    <n v="0.75180051860701436"/>
    <n v="0.75180051860701436"/>
    <n v="2067.4514261692893"/>
    <n v="2067.4514261692893"/>
    <n v="0"/>
    <n v="0"/>
    <n v="0"/>
    <m/>
    <m/>
    <n v="0.36363636363636365"/>
    <n v="1000"/>
    <m/>
    <m/>
    <m/>
    <n v="1000"/>
    <m/>
    <m/>
    <m/>
    <m/>
    <m/>
    <m/>
  </r>
  <r>
    <s v="MX0022"/>
    <x v="6"/>
    <x v="6"/>
    <n v="2030"/>
    <s v="Gregorio Martinez Sebastian"/>
    <n v="40021"/>
    <s v="Gregorio Martinez Sebastian"/>
    <s v="9991054657"/>
    <x v="2"/>
    <s v="martinezsg@hotmail.com"/>
    <s v="Colonia agricola. &quot;General Miguel Aleman&quot;. Municipio de las Choapas. Estado de Veracruz. Mexico"/>
    <s v="Colonia agricola. &quot;General Miguel Aleman&quot;. Municipio de las Choapas. Estado de Veracruz. Mexico"/>
    <x v="3"/>
    <s v="17.773121, -94.070394"/>
    <n v="13.64"/>
    <n v="12.355108275676161"/>
    <m/>
    <n v="2750"/>
    <n v="2750"/>
    <s v=""/>
    <m/>
    <n v="1"/>
    <n v="2750"/>
    <n v="2750"/>
    <m/>
    <m/>
    <m/>
    <m/>
    <n v="0"/>
    <n v="0.98381437317028064"/>
    <n v="2705.4895262182717"/>
    <n v="0"/>
    <m/>
    <n v="0.98381437317028064"/>
    <n v="0.98381437317028064"/>
    <n v="2705.4895262182717"/>
    <n v="2705.4895262182717"/>
    <n v="0"/>
    <n v="0"/>
    <n v="0"/>
    <m/>
    <m/>
    <n v="0.94545454545454544"/>
    <n v="2600"/>
    <m/>
    <m/>
    <n v="300"/>
    <n v="2300"/>
    <m/>
    <m/>
    <m/>
    <m/>
    <m/>
    <m/>
  </r>
  <r>
    <s v="MX0023"/>
    <x v="6"/>
    <x v="6"/>
    <n v="2030"/>
    <s v="Guadelupe Morales Cordova"/>
    <n v="40022"/>
    <s v="Guadelupe Morales Cordova"/>
    <s v="9241443056"/>
    <x v="2"/>
    <s v="romfrojas2012@gmail.com"/>
    <s v="Calle Miguel Hidalgo S/N, Localidad La Soledad, San Juan Evangelista, Veracruz, Me­xico"/>
    <s v="Parcela 131 Z-1 P-4. Ejido Zapotitancillo de Juarez. Santiago Yaveo. Oaxaca. Mexico"/>
    <x v="3"/>
    <s v="17.613268, -95.2580050"/>
    <m/>
    <n v="9.8840866205409288"/>
    <m/>
    <n v="2200"/>
    <n v="2200"/>
    <s v=""/>
    <m/>
    <n v="1"/>
    <n v="2200"/>
    <n v="2200"/>
    <m/>
    <m/>
    <m/>
    <m/>
    <n v="0"/>
    <n v="0.76766132076147975"/>
    <n v="1688.8549056752554"/>
    <n v="0"/>
    <m/>
    <n v="0.76766132076147975"/>
    <n v="0.76766132076147975"/>
    <n v="1688.8549056752554"/>
    <n v="1688.8549056752554"/>
    <n v="0"/>
    <n v="0"/>
    <n v="0"/>
    <m/>
    <m/>
    <n v="0.79545454545454541"/>
    <n v="1750"/>
    <m/>
    <m/>
    <n v="300"/>
    <n v="1450"/>
    <m/>
    <m/>
    <m/>
    <m/>
    <m/>
    <m/>
  </r>
  <r>
    <s v="US0090"/>
    <x v="4"/>
    <x v="6"/>
    <n v="2030"/>
    <s v="Beau Dixon"/>
    <n v="10078"/>
    <s v="Don Dixon"/>
    <s v="334-321-1984"/>
    <x v="2"/>
    <s v="beau526@hotmail.com, ddtreefarm6@gmail.com"/>
    <s v="255 Zion Hill Road, Hatchechubbee, AL  36858"/>
    <s v="255 Zion Hill Road, Hatchechubbee, AL  36858"/>
    <x v="0"/>
    <s v="32.268004, -85.276762"/>
    <n v="16.600000000000001"/>
    <n v="16.40909090909091"/>
    <m/>
    <n v="1805"/>
    <n v="1805"/>
    <s v=""/>
    <m/>
    <n v="1"/>
    <n v="1805"/>
    <n v="1805"/>
    <m/>
    <m/>
    <m/>
    <m/>
    <n v="0"/>
    <n v="0.69368546965499878"/>
    <n v="1252.1022727272727"/>
    <n v="0"/>
    <m/>
    <n v="0.69368546965499878"/>
    <n v="1.0999999999999999E-2"/>
    <n v="20"/>
    <n v="20"/>
    <n v="0"/>
    <n v="0"/>
    <n v="0"/>
    <s v="Fortunei"/>
    <s v="11, 13"/>
    <n v="0.47700831024930745"/>
    <n v="861"/>
    <m/>
    <m/>
    <m/>
    <n v="861"/>
    <m/>
    <m/>
    <m/>
    <m/>
    <m/>
    <m/>
  </r>
  <r>
    <s v="US0091"/>
    <x v="4"/>
    <x v="6"/>
    <n v="2030"/>
    <s v="Billy Gordie"/>
    <n v="10079"/>
    <s v="Billy Gordie"/>
    <s v="334-791-5944"/>
    <x v="2"/>
    <s v="billygordie@gmail.com"/>
    <s v="11517 E State Highway 52 Webb AL 36376-6465"/>
    <s v="11517 E State Highway 52 Webb AL 36376-6465"/>
    <x v="0"/>
    <s v="31.264032, -85.211331"/>
    <n v="10.02"/>
    <n v="10"/>
    <m/>
    <n v="1100"/>
    <n v="1100"/>
    <s v=""/>
    <m/>
    <n v="1"/>
    <n v="1100"/>
    <n v="1100"/>
    <m/>
    <m/>
    <m/>
    <m/>
    <n v="0"/>
    <n v="1"/>
    <n v="1100"/>
    <n v="0"/>
    <m/>
    <n v="1"/>
    <n v="1"/>
    <n v="1100"/>
    <n v="1100"/>
    <n v="0"/>
    <n v="0"/>
    <n v="0"/>
    <s v="Fortunei"/>
    <s v="2, 11"/>
    <n v="7.636363636363637E-2"/>
    <n v="84"/>
    <m/>
    <m/>
    <m/>
    <n v="84"/>
    <m/>
    <m/>
    <m/>
    <m/>
    <m/>
    <m/>
  </r>
  <r>
    <s v="US0092"/>
    <x v="4"/>
    <x v="6"/>
    <n v="2030"/>
    <s v="Billy Strange"/>
    <n v="10048"/>
    <s v="Billy Strange"/>
    <s v="318-481-1835, 318-481-1833"/>
    <x v="2"/>
    <s v="riza_strange@yahoo.com"/>
    <s v="1142 Good Road, Jonesville, Louisiana 71343"/>
    <s v="1142 Good Road, Jonesville, Louisiana 71343"/>
    <x v="0"/>
    <s v="31.623947, -91.865519"/>
    <n v="10"/>
    <n v="8.1818181818181817"/>
    <m/>
    <n v="900"/>
    <n v="900"/>
    <s v=""/>
    <m/>
    <n v="1"/>
    <n v="900"/>
    <n v="900"/>
    <m/>
    <m/>
    <m/>
    <m/>
    <n v="0"/>
    <n v="0.59791666666666665"/>
    <n v="538.125"/>
    <n v="0"/>
    <m/>
    <n v="0.59791666666666665"/>
    <n v="0.59791666666666665"/>
    <n v="538.125"/>
    <n v="538.125"/>
    <n v="0"/>
    <n v="0"/>
    <n v="0"/>
    <s v="Fortunei"/>
    <s v="12, 18"/>
    <n v="1.5022222222222221"/>
    <n v="1352"/>
    <m/>
    <m/>
    <n v="500"/>
    <n v="252"/>
    <n v="600"/>
    <m/>
    <m/>
    <m/>
    <m/>
    <m/>
  </r>
  <r>
    <s v="US0094"/>
    <x v="4"/>
    <x v="6"/>
    <n v="2030"/>
    <s v="Bobby Searcy"/>
    <n v="10080"/>
    <s v="Bobby  Searcy"/>
    <s v="334-405-2409, 334.618.1380"/>
    <x v="2"/>
    <s v="searcyfarmsangus@gmail.com"/>
    <s v="115 Livingston Loop Webb AL 36376-6435"/>
    <s v="115 Livingston Loop Webb AL 36376-6435"/>
    <x v="0"/>
    <s v="31.258754, -85.252275"/>
    <n v="14"/>
    <n v="14"/>
    <s v="Y"/>
    <n v="1540"/>
    <n v="1540"/>
    <s v=""/>
    <m/>
    <n v="1"/>
    <n v="1540"/>
    <n v="1540"/>
    <m/>
    <m/>
    <m/>
    <m/>
    <n v="0"/>
    <n v="0.83598053152784135"/>
    <n v="1287.4100185528757"/>
    <n v="0"/>
    <m/>
    <n v="0.83598053152784135"/>
    <n v="0.83598053152784135"/>
    <n v="1287.4100185528757"/>
    <n v="1287.4100185528757"/>
    <n v="0"/>
    <n v="0"/>
    <n v="0"/>
    <s v="Fortunei"/>
    <s v="11, 13"/>
    <n v="0.12987012987012986"/>
    <n v="200"/>
    <m/>
    <m/>
    <m/>
    <n v="185"/>
    <n v="15"/>
    <m/>
    <m/>
    <m/>
    <m/>
    <m/>
  </r>
  <r>
    <s v="US0095"/>
    <x v="4"/>
    <x v="6"/>
    <n v="2030"/>
    <s v="Brent Stiehl"/>
    <n v="10081"/>
    <s v="Brent  Stiehl"/>
    <s v="678-378-7574"/>
    <x v="2"/>
    <s v="Drstiehl@stiehldental.com"/>
    <s v="2577 Highway 54 Moreland GA 30259-2808"/>
    <s v="2577 Highway 54 Moreland GA 30259-2808"/>
    <x v="0"/>
    <s v="33.118028, -84.690333"/>
    <n v="10.56"/>
    <n v="10"/>
    <m/>
    <n v="1100"/>
    <n v="1100"/>
    <s v=""/>
    <m/>
    <n v="1"/>
    <n v="1100"/>
    <n v="1100"/>
    <m/>
    <m/>
    <m/>
    <m/>
    <n v="0"/>
    <n v="0.75911976911976908"/>
    <n v="835.03174603174602"/>
    <n v="0"/>
    <m/>
    <n v="0.75911976911976908"/>
    <n v="0.75911976911976908"/>
    <n v="835.03174603174602"/>
    <n v="835.03174603174602"/>
    <n v="0"/>
    <n v="0"/>
    <n v="0"/>
    <s v="Fortunei"/>
    <s v="11, 13"/>
    <n v="0.19090909090909092"/>
    <n v="210"/>
    <m/>
    <m/>
    <m/>
    <n v="210"/>
    <m/>
    <m/>
    <m/>
    <m/>
    <m/>
    <m/>
  </r>
  <r>
    <s v="US0096"/>
    <x v="4"/>
    <x v="6"/>
    <n v="2030"/>
    <s v="Chris Bolen"/>
    <n v="10082"/>
    <s v="Chris  Bolen"/>
    <s v="678-478-2288"/>
    <x v="2"/>
    <s v="jcbolen73@gmail.com"/>
    <s v="1751 Heidi Trl Buckhead GA 30625-1530"/>
    <s v="Fawn Rd, Jackson, GA, USA"/>
    <x v="0"/>
    <s v="33.220833, -83.948611"/>
    <n v="10.3"/>
    <n v="10"/>
    <s v="Y"/>
    <n v="1100"/>
    <n v="1100"/>
    <s v=""/>
    <m/>
    <n v="1"/>
    <n v="1100"/>
    <n v="1100"/>
    <m/>
    <m/>
    <m/>
    <m/>
    <n v="0"/>
    <n v="0.9412066115702481"/>
    <n v="1035.3272727272729"/>
    <n v="0"/>
    <m/>
    <n v="0.9412066115702481"/>
    <n v="0.9412066115702481"/>
    <n v="1035.3272727272729"/>
    <n v="1035.3272727272729"/>
    <n v="0"/>
    <n v="0"/>
    <n v="0"/>
    <s v="Fortunei"/>
    <s v="2, 11"/>
    <n v="0.37454545454545457"/>
    <n v="412"/>
    <m/>
    <m/>
    <n v="189"/>
    <n v="223"/>
    <m/>
    <m/>
    <m/>
    <m/>
    <m/>
    <m/>
  </r>
  <r>
    <s v="US0097"/>
    <x v="4"/>
    <x v="6"/>
    <n v="2030"/>
    <s v="Chris Hoehn"/>
    <n v="10083"/>
    <s v="Chris  Hoehn"/>
    <s v="256-366-1612"/>
    <x v="2"/>
    <s v="chris.d.hoehn@gmail.com"/>
    <s v="4923 Jenna Cir SE Owens Cross Roads AL 35763-9165"/>
    <s v="348 Nix Mill Pond Rd Phil Campbell AL 35581-4433"/>
    <x v="0"/>
    <s v="34.355772, -87.809977"/>
    <n v="21.7"/>
    <n v="25.454545454545453"/>
    <m/>
    <n v="2800"/>
    <n v="2800"/>
    <s v=""/>
    <m/>
    <n v="1"/>
    <n v="2800"/>
    <n v="2800"/>
    <m/>
    <m/>
    <m/>
    <m/>
    <n v="0"/>
    <n v="0.62958758503401357"/>
    <n v="1762.8452380952381"/>
    <n v="0"/>
    <m/>
    <n v="0.62958758503401357"/>
    <n v="0.62958758503401357"/>
    <n v="1762.8452380952381"/>
    <n v="1762.8452380952381"/>
    <n v="0"/>
    <n v="0"/>
    <n v="0"/>
    <s v="Fortunei"/>
    <s v="11, 13"/>
    <n v="0.18"/>
    <n v="504"/>
    <m/>
    <m/>
    <n v="504"/>
    <m/>
    <m/>
    <m/>
    <m/>
    <m/>
    <m/>
    <m/>
  </r>
  <r>
    <s v="US0099"/>
    <x v="6"/>
    <x v="6"/>
    <n v="2030"/>
    <s v="Ivette Alcoba"/>
    <n v="10085"/>
    <s v="Ivette  Alcoba"/>
    <s v="786-877-2208"/>
    <x v="2"/>
    <s v="ivettealcoba1@gmail.com, ialcoba@yahoo.com, ivettealcoba1@gmail.com"/>
    <s v="2451 Brickell Ave Apt 15H Miami FL 33129-2421"/>
    <s v="0 cane Mill Rd LL 305 and 334 14th LD."/>
    <x v="0"/>
    <s v="32.087257, -83.779869"/>
    <n v="10.1"/>
    <n v="11"/>
    <m/>
    <n v="1210"/>
    <n v="1210"/>
    <s v=""/>
    <m/>
    <n v="1"/>
    <n v="1210"/>
    <n v="1210"/>
    <m/>
    <m/>
    <m/>
    <m/>
    <n v="0"/>
    <n v="0.28859595200692123"/>
    <n v="349.20110192837467"/>
    <n v="0"/>
    <m/>
    <n v="0.28859595200692123"/>
    <n v="0.28859595200692123"/>
    <n v="349.20110192837467"/>
    <n v="349.20110192837467"/>
    <n v="0"/>
    <n v="0"/>
    <n v="0"/>
    <s v="Fortunei"/>
    <s v="11, 13"/>
    <n v="1.7289256198347107"/>
    <n v="2092"/>
    <m/>
    <m/>
    <m/>
    <n v="882"/>
    <n v="1210"/>
    <m/>
    <m/>
    <m/>
    <m/>
    <m/>
  </r>
  <r>
    <s v="US0100"/>
    <x v="6"/>
    <x v="6"/>
    <n v="2030"/>
    <s v="James Cochran"/>
    <n v="10086"/>
    <s v="James  Cochran"/>
    <s v="864-903-1919"/>
    <x v="2"/>
    <s v="jncmd90@gmx.com"/>
    <s v="235 Scenic Heights Rd West Union SC 29696-3134"/>
    <s v="235 Scenic Heights Rd West Union SC 29696-3134"/>
    <x v="0"/>
    <s v="34.771515, -83.016177"/>
    <n v="10.01"/>
    <n v="10"/>
    <m/>
    <n v="1100"/>
    <n v="1100"/>
    <s v=""/>
    <m/>
    <n v="1"/>
    <n v="1100"/>
    <n v="1100"/>
    <m/>
    <m/>
    <m/>
    <m/>
    <n v="0"/>
    <n v="0.98090909090909095"/>
    <n v="1079"/>
    <n v="0"/>
    <m/>
    <n v="0.98090909090909095"/>
    <n v="0.98090909090909095"/>
    <n v="1079"/>
    <n v="1079"/>
    <n v="0"/>
    <n v="0"/>
    <n v="0"/>
    <s v="Fortunei"/>
    <s v="11, 13"/>
    <n v="0.59272727272727277"/>
    <n v="652"/>
    <m/>
    <m/>
    <m/>
    <n v="231"/>
    <n v="421"/>
    <m/>
    <m/>
    <m/>
    <m/>
    <m/>
  </r>
  <r>
    <s v="US0101"/>
    <x v="4"/>
    <x v="6"/>
    <n v="2030"/>
    <s v="Jamie Hayes"/>
    <n v="10087"/>
    <s v="Jamie  Hayes"/>
    <s v="205-229-8176"/>
    <x v="2"/>
    <s v="bayraynay@gmail.com"/>
    <s v="31840 Shoal Water Dr Orange Beach AL 36561-3770"/>
    <s v="4111 County Road 5 Thorsby AL 35171-7051"/>
    <x v="0"/>
    <s v="32.899323, -86.760369"/>
    <n v="9.8699999999999992"/>
    <n v="10"/>
    <m/>
    <n v="1100"/>
    <n v="1100"/>
    <s v=""/>
    <m/>
    <n v="1"/>
    <n v="1100"/>
    <n v="1100"/>
    <m/>
    <m/>
    <m/>
    <m/>
    <n v="0"/>
    <n v="0.80335858585858588"/>
    <n v="883.69444444444446"/>
    <n v="0"/>
    <m/>
    <n v="0.80335858585858588"/>
    <n v="0.80335858585858588"/>
    <n v="883.69444444444446"/>
    <n v="883.69444444444446"/>
    <n v="0"/>
    <n v="0"/>
    <n v="0"/>
    <s v="Fortunei"/>
    <s v="2, 12"/>
    <n v="0.79363636363636358"/>
    <n v="873"/>
    <m/>
    <m/>
    <n v="125"/>
    <n v="588"/>
    <n v="160"/>
    <m/>
    <m/>
    <m/>
    <m/>
    <m/>
  </r>
  <r>
    <s v="US0102"/>
    <x v="4"/>
    <x v="6"/>
    <n v="2030"/>
    <s v="Jared Lilly"/>
    <n v="10088"/>
    <s v="Jared  Lilly"/>
    <s v="850-643-8515"/>
    <x v="2"/>
    <s v="jjlilly13@gmail.com"/>
    <s v="15779 NW Ashley Shiver Rd Altha FL 32421-4815"/>
    <s v="15779 NW Ashley Shiver Rd Altha FL 32421-4815"/>
    <x v="0"/>
    <s v="30.503376, -85.128196"/>
    <n v="6.6"/>
    <n v="8"/>
    <m/>
    <n v="880"/>
    <n v="880"/>
    <s v=""/>
    <m/>
    <n v="1"/>
    <n v="880"/>
    <n v="880"/>
    <m/>
    <m/>
    <m/>
    <m/>
    <n v="0"/>
    <n v="0.90427328353464731"/>
    <n v="795.76048951048961"/>
    <n v="0"/>
    <m/>
    <n v="0.90427328353464731"/>
    <n v="0.90427328353464731"/>
    <n v="795.76048951048961"/>
    <n v="795.76048951048961"/>
    <n v="0"/>
    <n v="0"/>
    <n v="0"/>
    <s v="Fortunei"/>
    <s v="2, 11"/>
    <n v="0.5011363636363636"/>
    <n v="441"/>
    <m/>
    <m/>
    <n v="210"/>
    <n v="231"/>
    <m/>
    <m/>
    <m/>
    <m/>
    <m/>
    <m/>
  </r>
  <r>
    <s v="US0103"/>
    <x v="4"/>
    <x v="6"/>
    <n v="2030"/>
    <s v="Anthony Lea"/>
    <n v="10089"/>
    <s v="Anthony Lea"/>
    <m/>
    <x v="2"/>
    <s v="anthonylearph@gmail.com"/>
    <s v="130 Bertel Dr Covington LA 70433-4815"/>
    <s v="130 Bertel Dr Covington LA 70433-4815"/>
    <x v="0"/>
    <s v="30.512148, -90.149143"/>
    <n v="9.5"/>
    <n v="10"/>
    <m/>
    <n v="1100"/>
    <n v="1100"/>
    <s v=""/>
    <m/>
    <n v="1"/>
    <n v="1100"/>
    <n v="1100"/>
    <m/>
    <m/>
    <m/>
    <m/>
    <n v="0"/>
    <n v="1"/>
    <n v="1100"/>
    <n v="0"/>
    <m/>
    <n v="1"/>
    <n v="1"/>
    <n v="1100"/>
    <n v="1100"/>
    <n v="0"/>
    <n v="0"/>
    <n v="0"/>
    <s v="Fortunei"/>
    <s v="11, 13"/>
    <n v="0.45818181818181819"/>
    <n v="504"/>
    <m/>
    <m/>
    <m/>
    <n v="504"/>
    <m/>
    <m/>
    <m/>
    <m/>
    <m/>
    <m/>
  </r>
  <r>
    <s v="US0104"/>
    <x v="6"/>
    <x v="6"/>
    <n v="2030"/>
    <s v="Joe Lilly"/>
    <n v="10090"/>
    <s v="Joe Lilly"/>
    <s v="850-693-3946"/>
    <x v="2"/>
    <s v="joelilly1953@gmail.com"/>
    <s v="7701 SE Marysville School Rd Blountstown FL 32424-5623"/>
    <s v="7701 SE Marysville School Rd Blountstown FL 32424-5623"/>
    <x v="0"/>
    <s v="30.296870,-85.118840"/>
    <n v="9.0299999999999994"/>
    <n v="11"/>
    <m/>
    <n v="1210"/>
    <n v="1210"/>
    <s v=""/>
    <m/>
    <n v="1"/>
    <n v="1210"/>
    <n v="1210"/>
    <m/>
    <m/>
    <m/>
    <m/>
    <n v="0"/>
    <n v="0.98422238918106675"/>
    <n v="1190.9090909090908"/>
    <n v="0"/>
    <m/>
    <n v="0.98422238918106675"/>
    <n v="0.98422238918106675"/>
    <n v="1190.9090909090908"/>
    <n v="1190.9090909090908"/>
    <n v="0"/>
    <n v="0"/>
    <n v="0"/>
    <s v="Fortunei"/>
    <s v="11, 13"/>
    <n v="0.10413223140495868"/>
    <n v="126"/>
    <m/>
    <m/>
    <n v="21"/>
    <n v="105"/>
    <m/>
    <m/>
    <m/>
    <m/>
    <m/>
    <m/>
  </r>
  <r>
    <s v="US0106"/>
    <x v="6"/>
    <x v="6"/>
    <n v="2030"/>
    <s v="John Wilson"/>
    <n v="10091"/>
    <s v="John Wilson"/>
    <s v="334-324-3475, 334-799-4219"/>
    <x v="2"/>
    <s v="johntammy72289@gmail.com"/>
    <s v="761 Old Farm Rd Deatsville AL 36022-5853"/>
    <s v="761 Old Farm Rd Deatsville AL 36022-5853"/>
    <x v="0"/>
    <s v="32.629858, -86.343719"/>
    <n v="9.85"/>
    <n v="10"/>
    <m/>
    <n v="1100"/>
    <n v="1100"/>
    <s v=""/>
    <m/>
    <n v="1"/>
    <n v="1100"/>
    <n v="1100"/>
    <m/>
    <m/>
    <m/>
    <m/>
    <n v="0"/>
    <n v="0.89767355371900837"/>
    <n v="987.44090909090926"/>
    <n v="0"/>
    <m/>
    <n v="0.89767355371900837"/>
    <n v="0.89767355371900837"/>
    <n v="987.44090909090926"/>
    <n v="987.44090909090926"/>
    <n v="0"/>
    <n v="0"/>
    <n v="0"/>
    <s v="Fortunei"/>
    <n v="2"/>
    <n v="0.37727272727272726"/>
    <n v="415"/>
    <m/>
    <n v="100"/>
    <m/>
    <n v="315"/>
    <m/>
    <m/>
    <m/>
    <m/>
    <m/>
    <m/>
  </r>
  <r>
    <s v="US0109"/>
    <x v="4"/>
    <x v="6"/>
    <n v="2030"/>
    <s v="Keith Bell"/>
    <n v="10093"/>
    <s v="Keith  Bell"/>
    <s v="334-494-4395"/>
    <x v="2"/>
    <s v="ecurrencykeith@gmail.com, keith.b.bell@centurytel.net"/>
    <s v="1156-1368 Co Rd 224 Elba, AL 36323"/>
    <s v="1156 Co Rd 224 Elba, AL 36323"/>
    <x v="0"/>
    <s v="31.511507, -86.030343"/>
    <n v="10.65"/>
    <n v="10"/>
    <m/>
    <n v="1100"/>
    <n v="1100"/>
    <s v=""/>
    <m/>
    <n v="1"/>
    <n v="1100"/>
    <n v="1100"/>
    <m/>
    <m/>
    <m/>
    <m/>
    <n v="0"/>
    <n v="0.95415977961432497"/>
    <n v="1049.5757575757575"/>
    <n v="0"/>
    <m/>
    <n v="0.95415977961432497"/>
    <n v="0.95415977961432497"/>
    <n v="1049.5757575757575"/>
    <n v="1049.5757575757575"/>
    <n v="0"/>
    <n v="0"/>
    <n v="0"/>
    <s v="Fortunei"/>
    <s v="2, 11"/>
    <n v="0.60818181818181816"/>
    <n v="669"/>
    <m/>
    <m/>
    <m/>
    <n v="189"/>
    <n v="480"/>
    <m/>
    <m/>
    <m/>
    <m/>
    <m/>
  </r>
  <r>
    <s v="US0112"/>
    <x v="6"/>
    <x v="6"/>
    <n v="2030"/>
    <s v="Lori Fults"/>
    <n v="10096"/>
    <s v="Lori &amp; Don Fults"/>
    <s v="541-660-0190"/>
    <x v="2"/>
    <s v="caprith@live.com"/>
    <s v="91722 Prairie Meadows, Junction City, OR 97448, USA"/>
    <s v="91722 Prairie Rd Junction City OR 97448-9419"/>
    <x v="0"/>
    <s v="44.153595, -123.184589"/>
    <n v="10"/>
    <n v="10"/>
    <s v="Y"/>
    <n v="1100"/>
    <n v="1100"/>
    <s v=""/>
    <m/>
    <n v="1"/>
    <n v="1100"/>
    <n v="1100"/>
    <m/>
    <m/>
    <m/>
    <m/>
    <n v="0"/>
    <n v="1"/>
    <n v="1100"/>
    <n v="0"/>
    <m/>
    <n v="1"/>
    <n v="1"/>
    <n v="1100"/>
    <n v="1100"/>
    <n v="0"/>
    <n v="0"/>
    <n v="0"/>
    <s v="Fortunei"/>
    <s v="11, TG Cool"/>
    <n v="0.24545454545454545"/>
    <n v="270"/>
    <m/>
    <m/>
    <n v="60"/>
    <n v="210"/>
    <m/>
    <m/>
    <m/>
    <m/>
    <m/>
    <m/>
  </r>
  <r>
    <s v="US0113"/>
    <x v="6"/>
    <x v="6"/>
    <n v="2030"/>
    <s v="Mac Alexander"/>
    <n v="10097"/>
    <s v="Mac  Alexander"/>
    <s v="205-999-4665"/>
    <x v="2"/>
    <s v="alexaar3457@gmail.com, macalex79@gmail.com"/>
    <s v="1802 Dudleyville Rd Dadeville AL 36853-3700"/>
    <s v="1802 Dudleyville Rd Dadeville AL 36853-3700"/>
    <x v="0"/>
    <s v="32.847766, -85.747348"/>
    <n v="10.6"/>
    <n v="10"/>
    <m/>
    <n v="1100"/>
    <n v="1100"/>
    <s v=""/>
    <m/>
    <n v="1"/>
    <n v="1100"/>
    <n v="1100"/>
    <m/>
    <m/>
    <m/>
    <m/>
    <n v="0"/>
    <n v="1"/>
    <n v="1100"/>
    <n v="0"/>
    <m/>
    <n v="1"/>
    <n v="1"/>
    <n v="1100"/>
    <n v="1100"/>
    <n v="0"/>
    <n v="0"/>
    <n v="0"/>
    <s v="Fortunei"/>
    <s v="2, 13"/>
    <n v="0.18272727272727274"/>
    <n v="201"/>
    <m/>
    <m/>
    <n v="75"/>
    <n v="126"/>
    <m/>
    <m/>
    <m/>
    <m/>
    <m/>
    <m/>
  </r>
  <r>
    <s v="US0114"/>
    <x v="6"/>
    <x v="6"/>
    <n v="2030"/>
    <s v="Marty Causseaux"/>
    <n v="10098"/>
    <s v="Marty  Causseaux"/>
    <s v="850-251-7047"/>
    <x v="2"/>
    <s v="martyhq02@gmail.com"/>
    <s v="10644 Woodville Hwy Tallahassee FL 32305-1960"/>
    <s v="161 Centerline Rd Crawfordville FL 32327-5408"/>
    <x v="0"/>
    <s v="30.281944, -84.261389"/>
    <n v="10.7"/>
    <n v="10.409090909090908"/>
    <s v="Y"/>
    <n v="1145"/>
    <n v="1145"/>
    <s v=""/>
    <m/>
    <n v="1"/>
    <n v="1145"/>
    <n v="1145"/>
    <m/>
    <m/>
    <m/>
    <m/>
    <n v="0"/>
    <n v="1"/>
    <n v="1145"/>
    <n v="0"/>
    <m/>
    <n v="1"/>
    <n v="1"/>
    <n v="1145"/>
    <n v="1145"/>
    <n v="0"/>
    <n v="0"/>
    <n v="0"/>
    <s v="Fortunei"/>
    <s v="2, 11"/>
    <n v="0.17292576419213973"/>
    <n v="198"/>
    <m/>
    <m/>
    <n v="21"/>
    <m/>
    <n v="177"/>
    <m/>
    <m/>
    <m/>
    <m/>
    <m/>
  </r>
  <r>
    <s v="US0115"/>
    <x v="4"/>
    <x v="6"/>
    <n v="2030"/>
    <s v="Michael Roe"/>
    <n v="10099"/>
    <s v="Michael  Roe"/>
    <s v="504-210-6684"/>
    <x v="2"/>
    <s v="michael@WindmillNurseryLLC.com"/>
    <s v="12398 Highway 25 Franklinton LA 70438-4602"/>
    <s v="12398 Highway 25 Franklinton LA 70438-4602"/>
    <x v="0"/>
    <s v="30.7101463, -90.1702716"/>
    <n v="9.6999999999999993"/>
    <n v="10"/>
    <s v="Y"/>
    <n v="1100"/>
    <n v="1100"/>
    <s v=""/>
    <m/>
    <n v="1"/>
    <n v="1100"/>
    <n v="1100"/>
    <m/>
    <m/>
    <m/>
    <m/>
    <n v="0"/>
    <n v="0.88691470650561566"/>
    <n v="975.60617715617718"/>
    <n v="0"/>
    <m/>
    <n v="0.88691470650561566"/>
    <n v="0.88691470650561566"/>
    <n v="975.60617715617718"/>
    <n v="975.60617715617718"/>
    <n v="0"/>
    <n v="0"/>
    <n v="0"/>
    <s v="Fortunei"/>
    <s v="11, 13"/>
    <n v="0.24818181818181817"/>
    <n v="273"/>
    <m/>
    <m/>
    <m/>
    <n v="273"/>
    <m/>
    <m/>
    <m/>
    <m/>
    <m/>
    <m/>
  </r>
  <r>
    <s v="US0117"/>
    <x v="6"/>
    <x v="6"/>
    <n v="2030"/>
    <s v="Ronnie and Kent Mathis"/>
    <n v="10072"/>
    <s v="Ronnie and Kent Mathis"/>
    <s v="706-499-6493, 706 499 1501"/>
    <x v="2"/>
    <s v="ronmountainearthfarms@gmail.com, kentrm1@yahoo.com"/>
    <s v="PO Box 1592 Cornelia GA 30531-1026"/>
    <s v="260 Hollywood Hwy Clarkesville GA 30523-4731"/>
    <x v="0"/>
    <s v="34.43919 N, 83.23246 W"/>
    <n v="3.21"/>
    <n v="3"/>
    <m/>
    <n v="330"/>
    <n v="330"/>
    <s v=""/>
    <m/>
    <n v="1"/>
    <n v="330"/>
    <n v="330"/>
    <m/>
    <m/>
    <m/>
    <m/>
    <n v="0"/>
    <n v="0.88636363636363635"/>
    <n v="292.5"/>
    <n v="0"/>
    <m/>
    <n v="0.88636363636363635"/>
    <n v="0.88636363636363635"/>
    <n v="292.5"/>
    <n v="292.5"/>
    <n v="0"/>
    <n v="0"/>
    <n v="0"/>
    <s v="Fortunei"/>
    <s v="2, 14, 18"/>
    <n v="0.88787878787878793"/>
    <n v="293"/>
    <m/>
    <m/>
    <n v="231"/>
    <n v="62"/>
    <m/>
    <m/>
    <m/>
    <m/>
    <m/>
    <m/>
  </r>
  <r>
    <s v="US0118"/>
    <x v="6"/>
    <x v="6"/>
    <n v="2030"/>
    <s v="Roy Price"/>
    <n v="10100"/>
    <s v="Roy  Price"/>
    <s v="334-799-3713"/>
    <x v="2"/>
    <s v="roy@priceceiling.com"/>
    <s v="350 Price Drive, Clanton, AL, 35046"/>
    <s v="350 Price Drive, Clanton, AL, 35046"/>
    <x v="0"/>
    <s v="32.884628, -86.619910"/>
    <n v="19.489999999999998"/>
    <n v="18"/>
    <m/>
    <n v="1980"/>
    <n v="1980"/>
    <s v=""/>
    <m/>
    <n v="1"/>
    <n v="1980"/>
    <n v="1980"/>
    <m/>
    <m/>
    <m/>
    <m/>
    <n v="0"/>
    <n v="1"/>
    <n v="1980"/>
    <n v="0"/>
    <m/>
    <n v="1"/>
    <n v="1"/>
    <n v="1980"/>
    <n v="1980"/>
    <n v="0"/>
    <n v="0"/>
    <n v="0"/>
    <s v="Fortunei"/>
    <s v="2, 11"/>
    <n v="0.28686868686868688"/>
    <n v="568"/>
    <m/>
    <m/>
    <m/>
    <n v="168"/>
    <n v="400"/>
    <m/>
    <m/>
    <m/>
    <m/>
    <m/>
  </r>
  <r>
    <s v="US0120"/>
    <x v="4"/>
    <x v="6"/>
    <n v="2030"/>
    <s v="Scotty Mckenzie"/>
    <n v="10101"/>
    <s v="Scotty  Mckenzie"/>
    <s v="478-960-3760"/>
    <x v="2"/>
    <s v="mac12.5@windstream.net"/>
    <s v="0 Cane Mill Rd, Elko, GA, 31025"/>
    <s v="0 Cane Mill Rd, Elko, GA, 31025"/>
    <x v="0"/>
    <s v="32.294732, -83.771057"/>
    <n v="12.06"/>
    <n v="12"/>
    <m/>
    <n v="1320"/>
    <n v="1320"/>
    <s v=""/>
    <m/>
    <n v="1"/>
    <n v="1320"/>
    <n v="1320"/>
    <m/>
    <m/>
    <m/>
    <m/>
    <n v="0"/>
    <n v="0.4554595429822702"/>
    <n v="601.20659673659668"/>
    <n v="0"/>
    <m/>
    <n v="0.4554595429822702"/>
    <n v="0.4554595429822702"/>
    <n v="601.20659673659668"/>
    <n v="601.20659673659668"/>
    <n v="0"/>
    <n v="0"/>
    <n v="0"/>
    <s v="Fortunei"/>
    <s v="11"/>
    <n v="0.33409090909090911"/>
    <n v="441"/>
    <m/>
    <m/>
    <m/>
    <n v="441"/>
    <m/>
    <m/>
    <m/>
    <m/>
    <m/>
    <m/>
  </r>
  <r>
    <s v="US0121"/>
    <x v="4"/>
    <x v="6"/>
    <n v="2030"/>
    <s v="Sisay Souphom"/>
    <n v="10102"/>
    <s v="Sisay  Souphom"/>
    <s v="334-220-2957"/>
    <x v="2"/>
    <s v="ssouphom@gmail.com"/>
    <s v="625 Fern Rd Wetumpka AL 36092-7465"/>
    <s v="789 Fern Rd Wetumpka, Al 36092"/>
    <x v="0"/>
    <s v="32.619274, -86.316458"/>
    <n v="10.7"/>
    <n v="10"/>
    <s v="Y"/>
    <n v="1100"/>
    <n v="1100"/>
    <s v=""/>
    <m/>
    <n v="1"/>
    <n v="1100"/>
    <n v="1100"/>
    <m/>
    <m/>
    <m/>
    <m/>
    <n v="0"/>
    <n v="0.99066942148760306"/>
    <n v="1089.7363636363634"/>
    <n v="0"/>
    <m/>
    <n v="0.99066942148760306"/>
    <n v="0.99066942148760306"/>
    <n v="1089.7363636363634"/>
    <n v="1089.7363636363634"/>
    <n v="0"/>
    <n v="0"/>
    <n v="0"/>
    <s v="Fortunei"/>
    <s v="11"/>
    <n v="0.18727272727272729"/>
    <n v="206"/>
    <m/>
    <m/>
    <m/>
    <n v="206"/>
    <m/>
    <m/>
    <m/>
    <m/>
    <m/>
    <m/>
  </r>
  <r>
    <s v="US0123"/>
    <x v="4"/>
    <x v="6"/>
    <n v="2030"/>
    <s v="Steven Hunter"/>
    <n v="10104"/>
    <s v="Steven and Christy Hunter"/>
    <s v="205-405-0233"/>
    <x v="2"/>
    <s v="stevenhunter@protonmail.com"/>
    <s v="PO Box 395 Maplesville AL 36750-0395"/>
    <s v="2645 State Highway 139, Maplesville, Alabama 36750, USA"/>
    <x v="0"/>
    <s v="32.819540, -86.884327"/>
    <n v="33.700000000000003"/>
    <n v="32.909090909090907"/>
    <s v="Y"/>
    <n v="3620"/>
    <n v="3620"/>
    <s v=""/>
    <m/>
    <n v="1"/>
    <n v="3620"/>
    <n v="3620"/>
    <m/>
    <m/>
    <m/>
    <m/>
    <n v="0"/>
    <n v="0.85214989190487611"/>
    <n v="3084.7826086956516"/>
    <n v="0"/>
    <m/>
    <n v="0.85214989190487611"/>
    <n v="0.85214989190487611"/>
    <n v="3084.7826086956516"/>
    <n v="3084.7826086956516"/>
    <n v="0"/>
    <n v="0"/>
    <n v="0"/>
    <s v="Fortunei"/>
    <s v="2"/>
    <n v="0.21933701657458562"/>
    <n v="794"/>
    <m/>
    <m/>
    <n v="46"/>
    <n v="748"/>
    <m/>
    <m/>
    <m/>
    <m/>
    <m/>
    <m/>
  </r>
  <r>
    <s v="US0124"/>
    <x v="4"/>
    <x v="6"/>
    <n v="2030"/>
    <s v="Teresa Beam"/>
    <n v="10105"/>
    <s v="Teresa and Josh Beam"/>
    <s v="704-530-8581, 704-530-8587"/>
    <x v="2"/>
    <s v="beamberrypatch@gmail.com"/>
    <s v="963 Sunbeam Dr Lincolnton NC 28092-9749"/>
    <s v="5224 7 Pines Rd, Lawndale, NC 28090, USA"/>
    <x v="0"/>
    <s v="35.469667, -81.623418"/>
    <n v="10.17"/>
    <n v="10"/>
    <m/>
    <n v="1100"/>
    <n v="1100"/>
    <s v=""/>
    <m/>
    <n v="1"/>
    <n v="1100"/>
    <n v="1100"/>
    <m/>
    <m/>
    <m/>
    <m/>
    <n v="0"/>
    <n v="0.5412396694214876"/>
    <n v="595.36363636363637"/>
    <n v="0"/>
    <m/>
    <n v="0.5412396694214876"/>
    <n v="0.5412396694214876"/>
    <n v="595.36363636363637"/>
    <n v="595.36363636363637"/>
    <n v="0"/>
    <n v="0"/>
    <n v="0"/>
    <s v="Fortunei"/>
    <s v="2"/>
    <n v="0.5154545454545455"/>
    <n v="567"/>
    <m/>
    <m/>
    <n v="189"/>
    <n v="378"/>
    <m/>
    <m/>
    <m/>
    <m/>
    <m/>
    <m/>
  </r>
  <r>
    <s v="US0126"/>
    <x v="4"/>
    <x v="6"/>
    <n v="2030"/>
    <s v="Wendy Muhammad"/>
    <n v="10107"/>
    <s v="Wendy Muhammad"/>
    <s v="678-571-7763, 404.219.8878"/>
    <x v="2"/>
    <s v="farmsforliving@gmail.com"/>
    <s v="177 Porter Rd Fayetteville GA 30215-3053"/>
    <s v="177 Porter Rd Fayetteville GA 30215-3053"/>
    <x v="0"/>
    <s v="33.355810, -84.466823"/>
    <n v="9.9700000000000006"/>
    <n v="10"/>
    <m/>
    <n v="1100"/>
    <n v="1100"/>
    <s v=""/>
    <m/>
    <n v="1"/>
    <n v="1100"/>
    <n v="1100"/>
    <m/>
    <m/>
    <m/>
    <m/>
    <n v="0"/>
    <n v="0.96896969696969704"/>
    <n v="1065.8666666666668"/>
    <n v="0"/>
    <m/>
    <n v="0.96896969696969704"/>
    <n v="0.96896969696969704"/>
    <n v="1065.8666666666668"/>
    <n v="1065.8666666666668"/>
    <n v="0"/>
    <n v="0"/>
    <n v="0"/>
    <s v="Fortunei"/>
    <s v="2, 11"/>
    <n v="5.7272727272727274E-2"/>
    <n v="63"/>
    <m/>
    <m/>
    <m/>
    <n v="63"/>
    <m/>
    <m/>
    <m/>
    <m/>
    <m/>
    <m/>
  </r>
  <r>
    <s v="US0127"/>
    <x v="6"/>
    <x v="6"/>
    <n v="2030"/>
    <s v="Wesley and Stanley Todd"/>
    <n v="10108"/>
    <s v="Wesley and Stanley Todd"/>
    <s v="256-452-1441"/>
    <x v="2"/>
    <s v="wesleytodd95@gmail.com"/>
    <s v="1658 Dailey St Piedmont AL 36272-7582"/>
    <s v="1658 Dailey St Piedmont AL 36272-7582"/>
    <x v="0"/>
    <s v="33.902222, -85.603611"/>
    <n v="5.21"/>
    <n v="6"/>
    <m/>
    <n v="660"/>
    <n v="660"/>
    <s v=""/>
    <m/>
    <n v="1"/>
    <n v="660"/>
    <n v="660"/>
    <m/>
    <m/>
    <m/>
    <m/>
    <n v="0"/>
    <n v="0.94881118881118898"/>
    <n v="521.84615384615392"/>
    <n v="0"/>
    <m/>
    <n v="0.94881118881118898"/>
    <n v="0.95692307692307599"/>
    <n v="622"/>
    <n v="622"/>
    <n v="0"/>
    <n v="0"/>
    <n v="0"/>
    <s v="Fortunei"/>
    <s v="2"/>
    <n v="8.4848484848484854E-2"/>
    <n v="56"/>
    <m/>
    <m/>
    <m/>
    <n v="16"/>
    <n v="40"/>
    <m/>
    <m/>
    <m/>
    <m/>
    <m/>
  </r>
  <r>
    <s v="US0089"/>
    <x v="6"/>
    <x v="6"/>
    <n v="0"/>
    <s v="Andy Thomas"/>
    <n v="10077"/>
    <s v="Andy  Thomas"/>
    <s v="912-381-3658"/>
    <x v="1"/>
    <s v="athomas31552@gmail.com, athomas@elixirext.com"/>
    <s v="4610 Andrew Tanner Rd Nicholls GA 31554-6371"/>
    <s v="4610 Andrew Tanner Rd Nicholls GA 31554-6371"/>
    <x v="0"/>
    <m/>
    <m/>
    <s v=""/>
    <m/>
    <n v="1100"/>
    <n v="1100"/>
    <s v=""/>
    <m/>
    <n v="1"/>
    <n v="1100"/>
    <n v="1100"/>
    <m/>
    <m/>
    <m/>
    <m/>
    <n v="0"/>
    <n v="0"/>
    <n v="0"/>
    <n v="0"/>
    <n v="0"/>
    <n v="0"/>
    <n v="0"/>
    <n v="0"/>
    <n v="0"/>
    <n v="0"/>
    <n v="0"/>
    <n v="0"/>
    <s v="Fortunei"/>
    <s v="2, 13"/>
    <n v="0.33636363636363636"/>
    <n v="370"/>
    <m/>
    <m/>
    <m/>
    <m/>
    <n v="370"/>
    <m/>
    <m/>
    <m/>
    <m/>
    <m/>
  </r>
  <r>
    <s v="US0093"/>
    <x v="4"/>
    <x v="6"/>
    <n v="0"/>
    <s v="Billy Whittaker"/>
    <n v="10030"/>
    <s v="Billy Whittaker "/>
    <s v="229-243-3487, 229 400 2304"/>
    <x v="1"/>
    <s v="whihm@aol.com"/>
    <s v="7701 Reynolds Landing Rd Donalsonville GA 39845-6928"/>
    <s v="7701 Reynolds Landing Rd Donalsonville GA 39845-6928"/>
    <x v="0"/>
    <m/>
    <m/>
    <s v=""/>
    <m/>
    <n v="280"/>
    <n v="280"/>
    <s v=""/>
    <m/>
    <n v="1"/>
    <n v="280"/>
    <n v="280"/>
    <m/>
    <m/>
    <m/>
    <m/>
    <n v="0"/>
    <n v="0"/>
    <n v="0"/>
    <n v="0"/>
    <n v="0"/>
    <n v="0"/>
    <n v="0"/>
    <n v="0"/>
    <n v="0"/>
    <n v="0"/>
    <n v="0"/>
    <n v="0"/>
    <s v="Fortunei"/>
    <s v="11, 12, 14"/>
    <n v="0"/>
    <n v="0"/>
    <m/>
    <m/>
    <m/>
    <m/>
    <m/>
    <m/>
    <m/>
    <m/>
    <m/>
    <m/>
  </r>
  <r>
    <s v="US0098"/>
    <x v="4"/>
    <x v="6"/>
    <n v="2030"/>
    <s v="David Fordham"/>
    <n v="10084"/>
    <s v="David  Fordham"/>
    <s v="912-685-5887"/>
    <x v="0"/>
    <s v="fordhaminsurance@yahoo.com"/>
    <s v="7357 Harvest Rd Metter GA 30439-8914"/>
    <s v="7357 Harvest Rd Metter GA 30439-8914"/>
    <x v="0"/>
    <s v="32.461693, -82.125609"/>
    <m/>
    <s v=""/>
    <m/>
    <n v="1650"/>
    <n v="1650"/>
    <s v=""/>
    <m/>
    <n v="1"/>
    <n v="1650"/>
    <n v="1650"/>
    <m/>
    <m/>
    <m/>
    <m/>
    <n v="0"/>
    <n v="0.25020633687300353"/>
    <n v="412.84045584045583"/>
    <n v="0"/>
    <m/>
    <n v="0.25020633687300353"/>
    <n v="0"/>
    <n v="412.84045584045583"/>
    <n v="412.84045584045583"/>
    <n v="0"/>
    <n v="0"/>
    <n v="0"/>
    <s v="Fortunei"/>
    <s v="13, 18"/>
    <n v="0.25454545454545452"/>
    <n v="420"/>
    <m/>
    <m/>
    <m/>
    <n v="420"/>
    <m/>
    <m/>
    <m/>
    <m/>
    <m/>
    <m/>
  </r>
  <r>
    <s v="US0105"/>
    <x v="6"/>
    <x v="6"/>
    <n v="0"/>
    <s v="John Hayes"/>
    <n v="10062"/>
    <s v="Hayes Farms LLC"/>
    <s v="334-726-8074"/>
    <x v="1"/>
    <s v="john.hayes09@icloud.com"/>
    <s v="5053 Pansey Rd Pansey AL 36370-4059"/>
    <s v="2536 S County Road 75, Pansey AL 36370-4922"/>
    <x v="0"/>
    <m/>
    <n v="3"/>
    <s v=""/>
    <m/>
    <n v="330"/>
    <n v="330"/>
    <s v=""/>
    <m/>
    <n v="1"/>
    <n v="330"/>
    <n v="330"/>
    <m/>
    <m/>
    <m/>
    <m/>
    <n v="0"/>
    <n v="0.37906336088154269"/>
    <n v="125.09090909090909"/>
    <n v="0"/>
    <n v="0"/>
    <n v="0"/>
    <n v="0"/>
    <n v="0"/>
    <n v="0"/>
    <n v="0"/>
    <n v="0"/>
    <n v="0"/>
    <s v="Fortunei"/>
    <s v="11, 14"/>
    <n v="1.2636363636363637"/>
    <n v="417"/>
    <m/>
    <m/>
    <m/>
    <n v="126"/>
    <m/>
    <n v="291"/>
    <m/>
    <m/>
    <m/>
    <m/>
  </r>
  <r>
    <s v="US0107"/>
    <x v="4"/>
    <x v="6"/>
    <n v="0"/>
    <s v="Jordy McMahan"/>
    <n v="10092"/>
    <s v="Jordy and Kim P McMahan"/>
    <s v="470-351-8043, 256-201-9099"/>
    <x v="1"/>
    <s v="jordy@barco-us.com, KMcMahan@alfains.com"/>
    <s v="PO Box 113 Heflin AL 36264-0113"/>
    <s v="6568 Highway 78 Heflin AL 36264-2422; 2444 Steadman Rd, Tallapoosa, GA 30176"/>
    <x v="0"/>
    <s v="33.669076, -85.558646"/>
    <n v="5.91"/>
    <s v=""/>
    <m/>
    <n v="550"/>
    <n v="550"/>
    <s v=""/>
    <m/>
    <n v="1"/>
    <n v="550"/>
    <n v="550"/>
    <m/>
    <m/>
    <m/>
    <m/>
    <n v="0"/>
    <n v="0.90649035812672174"/>
    <n v="498.56969696969696"/>
    <n v="0"/>
    <n v="0"/>
    <n v="0"/>
    <n v="0"/>
    <n v="0"/>
    <n v="0"/>
    <n v="0"/>
    <n v="0"/>
    <n v="0"/>
    <s v="Fortunei"/>
    <s v="11, 13"/>
    <n v="0.34545454545454546"/>
    <n v="190"/>
    <m/>
    <m/>
    <m/>
    <n v="190"/>
    <m/>
    <m/>
    <m/>
    <m/>
    <m/>
    <m/>
  </r>
  <r>
    <s v="US0108"/>
    <x v="4"/>
    <x v="6"/>
    <n v="0"/>
    <s v="Jordy McMahan"/>
    <n v="10092"/>
    <s v="Jordy McMahan"/>
    <s v="470-351-8043, 256-201-9099"/>
    <x v="1"/>
    <s v="jordy@barco-us.com, KMcMahan@alfains.com"/>
    <s v="PO Box 113 Heflin AL 36264-0113"/>
    <s v="6568 Highway 78 Heflin AL 36264-2422; 2444 Steadman Rd, Tallapoosa, GA 30176"/>
    <x v="0"/>
    <s v="33.817511, -85.333604"/>
    <n v="10.78"/>
    <s v=""/>
    <m/>
    <n v="1100"/>
    <n v="1100"/>
    <s v=""/>
    <m/>
    <n v="1"/>
    <n v="1100"/>
    <n v="1100"/>
    <m/>
    <m/>
    <m/>
    <m/>
    <n v="0"/>
    <n v="0.89884615384615374"/>
    <n v="988.73076923076917"/>
    <n v="0"/>
    <n v="0"/>
    <n v="0"/>
    <n v="0"/>
    <n v="0"/>
    <n v="0"/>
    <n v="0"/>
    <n v="0"/>
    <n v="0"/>
    <s v="Fortunei"/>
    <s v="11, 13"/>
    <n v="0.11363636363636363"/>
    <n v="125"/>
    <m/>
    <m/>
    <m/>
    <n v="125"/>
    <m/>
    <m/>
    <m/>
    <m/>
    <m/>
    <m/>
  </r>
  <r>
    <s v="US0110"/>
    <x v="6"/>
    <x v="6"/>
    <n v="2030"/>
    <s v="Kyle Flint"/>
    <n v="10094"/>
    <s v="RD Land and Materials LLC"/>
    <s v="405-215-8195"/>
    <x v="0"/>
    <s v="kyle.flint@bhboring.com"/>
    <s v="301 James Dean Dr Norman OK 73072-9793"/>
    <s v="2450 Cox City Rd Rush Springs OK 73082-3122"/>
    <x v="0"/>
    <m/>
    <m/>
    <s v=""/>
    <m/>
    <n v="1100"/>
    <n v="1100"/>
    <s v=""/>
    <m/>
    <n v="1"/>
    <n v="1100"/>
    <n v="1100"/>
    <m/>
    <m/>
    <m/>
    <m/>
    <n v="0"/>
    <n v="0"/>
    <n v="0"/>
    <n v="0"/>
    <m/>
    <n v="0"/>
    <n v="0"/>
    <n v="0"/>
    <n v="0"/>
    <n v="0"/>
    <n v="0"/>
    <n v="0"/>
    <s v="Fortunei"/>
    <s v="2, 11"/>
    <n v="0.35272727272727272"/>
    <n v="388"/>
    <m/>
    <m/>
    <m/>
    <n v="388"/>
    <m/>
    <m/>
    <m/>
    <m/>
    <m/>
    <m/>
  </r>
  <r>
    <s v="US0111"/>
    <x v="6"/>
    <x v="6"/>
    <n v="2030"/>
    <s v="Loren Raymer"/>
    <n v="10095"/>
    <s v="Loren  Raymer"/>
    <s v="469-404-3681, 214-334-6829"/>
    <x v="0"/>
    <s v="loren.raymer@gmail.com"/>
    <s v="10031 FM Rd, 1390 Scurry TX 75158"/>
    <s v="10031 FM Rd, 1390 Scurry TX 75158"/>
    <x v="0"/>
    <m/>
    <m/>
    <s v=""/>
    <m/>
    <n v="1100"/>
    <n v="1100"/>
    <s v=""/>
    <m/>
    <n v="1"/>
    <n v="1100"/>
    <n v="1100"/>
    <m/>
    <m/>
    <m/>
    <m/>
    <n v="0"/>
    <n v="0"/>
    <n v="0"/>
    <n v="0"/>
    <m/>
    <n v="0"/>
    <n v="0"/>
    <n v="0"/>
    <n v="0"/>
    <n v="0"/>
    <n v="0"/>
    <n v="0"/>
    <s v="Fortunei"/>
    <s v="2, 11"/>
    <n v="0.88272727272727269"/>
    <n v="971"/>
    <m/>
    <m/>
    <m/>
    <n v="609"/>
    <n v="362"/>
    <m/>
    <m/>
    <m/>
    <m/>
    <m/>
  </r>
  <r>
    <s v="US0116"/>
    <x v="4"/>
    <x v="6"/>
    <n v="2030"/>
    <s v="Mike Porter"/>
    <n v="10067"/>
    <s v="Mike Porter and Teri Galardi"/>
    <s v="702-406-7479"/>
    <x v="2"/>
    <s v="mikeporter64@gmail.com"/>
    <s v="2146 Highway 42 S Flovilla GA 30216-2318"/>
    <s v="2146 Highway 42 S Flovilla GA 30216-2318"/>
    <x v="0"/>
    <s v="33.218413, -83.932813"/>
    <n v="9.5"/>
    <n v="10"/>
    <m/>
    <n v="1100"/>
    <n v="1100"/>
    <s v=""/>
    <m/>
    <n v="1"/>
    <n v="1100"/>
    <n v="1100"/>
    <m/>
    <m/>
    <m/>
    <m/>
    <n v="0"/>
    <n v="0.88247803030303029"/>
    <n v="970.7258333333333"/>
    <n v="0"/>
    <m/>
    <n v="0.88247803030303029"/>
    <n v="0"/>
    <n v="0"/>
    <n v="0"/>
    <n v="0"/>
    <n v="0"/>
    <n v="0"/>
    <s v="Fortunei"/>
    <s v="2, 11, 12"/>
    <n v="0.55181818181818176"/>
    <n v="607"/>
    <m/>
    <m/>
    <m/>
    <n v="387"/>
    <m/>
    <n v="220"/>
    <m/>
    <m/>
    <m/>
    <m/>
  </r>
  <r>
    <s v="US0119"/>
    <x v="4"/>
    <x v="6"/>
    <n v="2030"/>
    <s v="Scott Landreau"/>
    <n v="10075"/>
    <s v="Cidney Scott and Stuart Page Landreau"/>
    <s v="334-303-0827"/>
    <x v="0"/>
    <s v="landreauinc@yahoo.com, scott2lallc@yahoo.com, Mklandreau@yahoo.com"/>
    <s v="3063 Little Road, Tallassee, AL 36078-3267"/>
    <s v="494 State Hwy 26, Hatchechubbee, AL, USA"/>
    <x v="0"/>
    <s v="32.278489, -85.247919"/>
    <n v="8.4700000000000006"/>
    <s v=""/>
    <m/>
    <n v="880"/>
    <n v="880"/>
    <s v=""/>
    <m/>
    <n v="1"/>
    <n v="880"/>
    <n v="880"/>
    <m/>
    <m/>
    <m/>
    <m/>
    <n v="0"/>
    <n v="0.24936868686868685"/>
    <n v="219.44444444444443"/>
    <n v="0"/>
    <m/>
    <n v="0.24936868686868685"/>
    <n v="0"/>
    <n v="219.44444444444443"/>
    <n v="219.44444444444443"/>
    <n v="0"/>
    <n v="0"/>
    <n v="0"/>
    <s v="Fortunei"/>
    <s v="2, 11, 14, 18"/>
    <n v="0.35227272727272729"/>
    <n v="310"/>
    <m/>
    <m/>
    <m/>
    <m/>
    <m/>
    <n v="310"/>
    <m/>
    <m/>
    <m/>
    <m/>
  </r>
  <r>
    <s v="US0122"/>
    <x v="4"/>
    <x v="6"/>
    <n v="0"/>
    <s v="Stephen Andrews"/>
    <n v="10103"/>
    <s v="Stephen  Andrews"/>
    <s v="912-658-9372"/>
    <x v="1"/>
    <s v="sda308@aol.com"/>
    <s v="242 Rivercrest Dr, Brooklet, GA, 30415-5691"/>
    <s v="1001 North 2nd Street, Stillmore, GA, USA"/>
    <x v="0"/>
    <m/>
    <m/>
    <s v=""/>
    <m/>
    <n v="1100"/>
    <n v="1100"/>
    <s v=""/>
    <m/>
    <n v="1"/>
    <n v="1100"/>
    <n v="1100"/>
    <m/>
    <m/>
    <m/>
    <m/>
    <n v="0"/>
    <n v="0"/>
    <n v="0"/>
    <n v="0"/>
    <n v="0"/>
    <n v="0"/>
    <n v="0"/>
    <n v="0"/>
    <n v="0"/>
    <n v="0"/>
    <n v="0"/>
    <n v="0"/>
    <s v="Fortunei"/>
    <s v="11, 13"/>
    <n v="0"/>
    <n v="0"/>
    <m/>
    <m/>
    <m/>
    <m/>
    <m/>
    <m/>
    <m/>
    <m/>
    <m/>
    <m/>
  </r>
  <r>
    <s v="US0125"/>
    <x v="4"/>
    <x v="6"/>
    <n v="2030"/>
    <s v="Tim Harper"/>
    <n v="10106"/>
    <s v="Tim  Harper"/>
    <s v="334-726-9624"/>
    <x v="0"/>
    <s v="fld120_1994@yahoo.com"/>
    <s v="4471 E County Road 8 Pansey AL 36370-6043"/>
    <s v="4471 E County Road 8 Pansey AL 36370-6043"/>
    <x v="0"/>
    <m/>
    <m/>
    <s v=""/>
    <m/>
    <n v="1650"/>
    <n v="1650"/>
    <s v=""/>
    <m/>
    <n v="1"/>
    <n v="1650"/>
    <n v="1650"/>
    <m/>
    <m/>
    <m/>
    <m/>
    <n v="0"/>
    <n v="0"/>
    <n v="0"/>
    <n v="0"/>
    <m/>
    <n v="0"/>
    <n v="0"/>
    <n v="0"/>
    <n v="0"/>
    <n v="0"/>
    <n v="0"/>
    <n v="0"/>
    <s v="Fortunei"/>
    <s v="2, 13"/>
    <n v="0"/>
    <n v="0"/>
    <m/>
    <m/>
    <m/>
    <m/>
    <m/>
    <m/>
    <m/>
    <m/>
    <m/>
    <m/>
  </r>
  <r>
    <s v="CR0097"/>
    <x v="6"/>
    <x v="7"/>
    <n v="2031"/>
    <s v="Alvaro Vargas"/>
    <n v="20089"/>
    <s v="Alvaro Vargas"/>
    <s v="506 87912122"/>
    <x v="0"/>
    <s v="acastromeza943@gmail.com"/>
    <s v="Provincia de Puntarenas, Buenos Aires, Costa Rica"/>
    <m/>
    <x v="1"/>
    <s v="9.1788952,-83.3352067"/>
    <m/>
    <s v=""/>
    <m/>
    <n v="1200"/>
    <n v="1200"/>
    <s v=""/>
    <m/>
    <n v="1"/>
    <n v="1200"/>
    <n v="1200"/>
    <m/>
    <m/>
    <m/>
    <m/>
    <n v="0"/>
    <n v="1"/>
    <n v="1200"/>
    <n v="0"/>
    <m/>
    <n v="0"/>
    <n v="0"/>
    <n v="0"/>
    <n v="0"/>
    <n v="0"/>
    <n v="0"/>
    <n v="0"/>
    <m/>
    <m/>
    <n v="0.16666666666666666"/>
    <n v="200"/>
    <m/>
    <m/>
    <n v="200"/>
    <m/>
    <m/>
    <m/>
    <m/>
    <m/>
    <m/>
    <m/>
  </r>
  <r>
    <s v="CR0098"/>
    <x v="6"/>
    <x v="7"/>
    <n v="2031"/>
    <s v="Jacobo Pardo Jara"/>
    <n v="20090"/>
    <s v="Grettel Jara Lara"/>
    <s v="506 72048081"/>
    <x v="2"/>
    <s v="jacparja@gmail.com"/>
    <s v="Bijagua"/>
    <m/>
    <x v="1"/>
    <s v="10.737670, -85.045668"/>
    <m/>
    <n v="6.1776252590741585"/>
    <m/>
    <n v="1000"/>
    <n v="1000"/>
    <s v=""/>
    <m/>
    <n v="1"/>
    <n v="1000"/>
    <n v="1000"/>
    <m/>
    <m/>
    <m/>
    <m/>
    <n v="0"/>
    <n v="1"/>
    <n v="1000"/>
    <n v="982"/>
    <n v="0.98199999999999998"/>
    <n v="0.98"/>
    <n v="0.98"/>
    <n v="982"/>
    <n v="982"/>
    <n v="0"/>
    <n v="0"/>
    <n v="0"/>
    <m/>
    <m/>
    <n v="0"/>
    <n v="0"/>
    <m/>
    <m/>
    <m/>
    <m/>
    <m/>
    <m/>
    <m/>
    <m/>
    <m/>
    <m/>
  </r>
  <r>
    <s v="CR0099"/>
    <x v="6"/>
    <x v="7"/>
    <n v="2031"/>
    <s v="Corporacion Comercial San Miguel del Pacifico S.A"/>
    <n v="20091"/>
    <s v="Jose Francisco Angulo"/>
    <n v="88777278"/>
    <x v="2"/>
    <s v="federnais2000@gmail.com]"/>
    <s v="Pozos de Santa Ana. De la esquina la Chispa 100m N y 75m E"/>
    <m/>
    <x v="1"/>
    <s v="9.708597,-84.486891"/>
    <m/>
    <n v="12.355250518148317"/>
    <m/>
    <n v="2000"/>
    <n v="2000"/>
    <s v=""/>
    <m/>
    <n v="1"/>
    <n v="2000"/>
    <n v="2000"/>
    <m/>
    <m/>
    <m/>
    <m/>
    <n v="0"/>
    <n v="1"/>
    <n v="2000"/>
    <n v="0"/>
    <m/>
    <n v="1"/>
    <n v="1"/>
    <n v="2000"/>
    <n v="2000"/>
    <n v="0"/>
    <n v="0"/>
    <n v="0"/>
    <m/>
    <m/>
    <n v="0"/>
    <n v="0"/>
    <m/>
    <m/>
    <m/>
    <m/>
    <m/>
    <m/>
    <m/>
    <m/>
    <m/>
    <m/>
  </r>
  <r>
    <s v="GT0031b"/>
    <x v="6"/>
    <x v="7"/>
    <n v="2031"/>
    <s v="Derek José Herman Gordillo"/>
    <n v="30028"/>
    <s v="Agroindustrias Nativa S.A./Derek José Herman Gordillo"/>
    <s v="+502 40117762"/>
    <x v="2"/>
    <s v="hermangster@gmail.com, dherman@grupoadh.com"/>
    <s v="Aldea Laguna Bermeja, Granja San Luis, Condominio Laguna del Bosque Casa '1169, zona 7, Santa Cata­rina Pinula, Guatemala"/>
    <s v="Aldea El Parafso, municipio de Sayaxche, Departamento de Peten"/>
    <x v="2"/>
    <s v="16.490000, -90.127200"/>
    <n v="149.69999999999999"/>
    <n v="162.80909090909091"/>
    <m/>
    <n v="20500"/>
    <n v="17909"/>
    <n v="2591"/>
    <m/>
    <n v="1"/>
    <n v="20500"/>
    <n v="17909"/>
    <m/>
    <m/>
    <m/>
    <m/>
    <n v="0"/>
    <n v="1"/>
    <n v="4751"/>
    <n v="16810"/>
    <n v="0.82"/>
    <n v="0.82"/>
    <n v="0.82"/>
    <n v="16810"/>
    <n v="16810"/>
    <n v="0"/>
    <n v="0"/>
    <n v="0"/>
    <s v="CL502, 18K"/>
    <m/>
    <n v="0"/>
    <n v="0"/>
    <m/>
    <m/>
    <m/>
    <m/>
    <m/>
    <m/>
    <m/>
    <m/>
    <m/>
    <m/>
  </r>
  <r>
    <s v="GT0041"/>
    <x v="6"/>
    <x v="7"/>
    <n v="2031"/>
    <s v="Trapiche de la Vega S.A. /María Isabel Agüero"/>
    <n v="30033"/>
    <s v="Trapiche de la Vega S.A. /María Isabel Agüero"/>
    <s v="502 59910111"/>
    <x v="2"/>
    <s v="maguero@grupotecun.com"/>
    <s v="23 av enida 6 72, zona 15, Vista Hermosa I"/>
    <m/>
    <x v="2"/>
    <s v="14.355278, -90.460000"/>
    <m/>
    <n v="9.0909090909090917"/>
    <m/>
    <n v="1000"/>
    <n v="1000"/>
    <s v=""/>
    <m/>
    <n v="1"/>
    <n v="1000"/>
    <n v="1000"/>
    <m/>
    <m/>
    <m/>
    <m/>
    <n v="0"/>
    <n v="1"/>
    <n v="1000"/>
    <n v="935"/>
    <n v="0.93500000000000005"/>
    <n v="0.94"/>
    <n v="0.93500000000000005"/>
    <n v="935"/>
    <n v="935"/>
    <n v="0"/>
    <n v="0"/>
    <n v="0"/>
    <s v="18K"/>
    <m/>
    <n v="0.36"/>
    <n v="360"/>
    <m/>
    <m/>
    <n v="360"/>
    <m/>
    <m/>
    <m/>
    <m/>
    <m/>
    <m/>
    <m/>
  </r>
  <r>
    <s v="GT0042"/>
    <x v="6"/>
    <x v="7"/>
    <n v="2031"/>
    <s v="Julio Francisco Morán Pérez"/>
    <n v="30023"/>
    <s v="Julio Francisco Morán Pérez"/>
    <s v="(502) 56972396"/>
    <x v="2"/>
    <s v="julmora213@gmail.com"/>
    <s v="14 A VENIDA LAS AMERICAS 7-62, ZONA 3, EDIFICIO TORRE PRADE­RA XELA, OCTAVO NTVEL, OFTCTNA 812, MUNTCTPTO DE QUETZALTENANGO, DEPARTAMENTO DE QUETZAL TENA NGO"/>
    <s v="FTNCA 4 PTLARES DE LAS PAULOWNTAS, MUNTCTPTO DE EL PALMAR, DEPARTAMENTO DE QUETZALTENANGO"/>
    <x v="2"/>
    <s v="14.696111, -91.608056"/>
    <m/>
    <n v="36.363636363636367"/>
    <m/>
    <n v="4000"/>
    <n v="4000"/>
    <s v=""/>
    <m/>
    <n v="1"/>
    <n v="4000"/>
    <n v="4000"/>
    <m/>
    <m/>
    <m/>
    <m/>
    <n v="0"/>
    <n v="1"/>
    <n v="4000"/>
    <n v="3420"/>
    <n v="0.85499999999999998"/>
    <n v="0.86"/>
    <n v="0.85499999999999998"/>
    <n v="3420"/>
    <n v="3420"/>
    <n v="0"/>
    <n v="0"/>
    <n v="0"/>
    <s v="CL502, 18K"/>
    <m/>
    <n v="0"/>
    <n v="0"/>
    <m/>
    <m/>
    <m/>
    <m/>
    <m/>
    <m/>
    <m/>
    <m/>
    <m/>
    <m/>
  </r>
  <r>
    <s v="GT0043"/>
    <x v="6"/>
    <x v="7"/>
    <n v="2031"/>
    <s v="Richard Steven Callaway Ayau - Eco Energía H20"/>
    <n v="30026"/>
    <s v="Richard Steven Callaway Ayau"/>
    <s v="(502) 52063353"/>
    <x v="2"/>
    <s v="rcallaway@armaviacion.com"/>
    <s v="AVENIDA HINCAPIE, ZONA 13, HANGAR K2, MUNICIPIO DE GUA-TEMALA, DEPARTAMENTO DE GUATEMALA"/>
    <s v="MUNICIPIO DE BARBERENA, DEPARTAMENTO DE SANTA ROSA"/>
    <x v="2"/>
    <s v="14.323333, -90.434028"/>
    <m/>
    <n v="18.181818181818183"/>
    <m/>
    <n v="2000"/>
    <n v="2000"/>
    <s v=""/>
    <m/>
    <n v="1"/>
    <n v="2000"/>
    <n v="2000"/>
    <m/>
    <m/>
    <m/>
    <m/>
    <n v="0"/>
    <n v="1"/>
    <n v="2000"/>
    <n v="1952"/>
    <n v="0.97599999999999998"/>
    <n v="0.98"/>
    <n v="0.97599999999999998"/>
    <n v="1952"/>
    <n v="1952"/>
    <n v="0"/>
    <n v="0"/>
    <n v="0"/>
    <s v="CL502, 18K"/>
    <m/>
    <n v="0.125"/>
    <n v="250"/>
    <m/>
    <m/>
    <n v="250"/>
    <m/>
    <m/>
    <m/>
    <m/>
    <m/>
    <m/>
    <m/>
  </r>
  <r>
    <s v="MX0026"/>
    <x v="6"/>
    <x v="7"/>
    <n v="2031"/>
    <s v="Caralampio Arreola López"/>
    <n v="40025"/>
    <s v="Caralampio Arreola López"/>
    <s v="922 227 2099"/>
    <x v="2"/>
    <s v="hvargasforestal@hotmail.com"/>
    <m/>
    <m/>
    <x v="3"/>
    <s v="17.213206, -94.592429"/>
    <m/>
    <n v="12.355108275676161"/>
    <m/>
    <n v="2750"/>
    <n v="2750"/>
    <s v=""/>
    <m/>
    <n v="1"/>
    <n v="2750"/>
    <n v="2750"/>
    <m/>
    <m/>
    <m/>
    <m/>
    <n v="0"/>
    <n v="1"/>
    <n v="2750"/>
    <n v="2593.25"/>
    <n v="0.94299999999999995"/>
    <n v="0.94"/>
    <n v="0.94299999999999995"/>
    <n v="2593.25"/>
    <n v="2593.25"/>
    <n v="0"/>
    <n v="0"/>
    <n v="0"/>
    <m/>
    <m/>
    <n v="0.54545454545454541"/>
    <n v="1500"/>
    <m/>
    <m/>
    <n v="1500"/>
    <m/>
    <m/>
    <m/>
    <m/>
    <m/>
    <m/>
    <m/>
  </r>
  <r>
    <s v="MX0027"/>
    <x v="6"/>
    <x v="7"/>
    <n v="2031"/>
    <s v="Carlos Carbajal"/>
    <n v="40026"/>
    <s v="Carlos Carbajal"/>
    <s v="992 186 2852"/>
    <x v="2"/>
    <s v="icarbaial. q@hotmai l.co m"/>
    <m/>
    <m/>
    <x v="3"/>
    <s v="17.502881, -94.437142"/>
    <m/>
    <n v="12.355108275676161"/>
    <m/>
    <n v="2750"/>
    <n v="2750"/>
    <s v=""/>
    <m/>
    <n v="1"/>
    <n v="2750"/>
    <n v="2750"/>
    <m/>
    <m/>
    <m/>
    <m/>
    <n v="0"/>
    <n v="1"/>
    <n v="2750"/>
    <n v="2686.75"/>
    <n v="0.97699999999999998"/>
    <n v="0.98"/>
    <n v="0.97699999999999998"/>
    <n v="2686.75"/>
    <n v="2686.75"/>
    <n v="0"/>
    <n v="0"/>
    <n v="0"/>
    <m/>
    <m/>
    <n v="0.96363636363636362"/>
    <n v="2650"/>
    <m/>
    <m/>
    <n v="2050"/>
    <n v="600"/>
    <m/>
    <m/>
    <m/>
    <m/>
    <m/>
    <m/>
  </r>
  <r>
    <s v="MX0028"/>
    <x v="6"/>
    <x v="7"/>
    <n v="2031"/>
    <s v="Cirilo Carbajal Hernandez"/>
    <n v="40027"/>
    <s v="Cirilo Carbajal Hernandez"/>
    <m/>
    <x v="2"/>
    <s v="carvajalcirilo37@gmail.com"/>
    <m/>
    <m/>
    <x v="3"/>
    <s v="17.511583, -94.450417, 17.513567, -94.419008"/>
    <m/>
    <n v="12.355108275676161"/>
    <m/>
    <n v="2750"/>
    <n v="2750"/>
    <s v=""/>
    <m/>
    <n v="1"/>
    <n v="2750"/>
    <n v="2750"/>
    <m/>
    <m/>
    <m/>
    <m/>
    <n v="0"/>
    <n v="1"/>
    <n v="2750"/>
    <n v="2645.5"/>
    <n v="0.96199999999999997"/>
    <n v="0.96"/>
    <n v="0.96199999999999997"/>
    <n v="2645.5"/>
    <n v="2645.5"/>
    <n v="0"/>
    <n v="0"/>
    <n v="0"/>
    <m/>
    <m/>
    <n v="1.0618181818181818"/>
    <n v="2920"/>
    <m/>
    <m/>
    <n v="2600"/>
    <n v="320"/>
    <m/>
    <m/>
    <m/>
    <m/>
    <m/>
    <m/>
  </r>
  <r>
    <s v="MX0029"/>
    <x v="6"/>
    <x v="7"/>
    <n v="2031"/>
    <s v="Francisco Contreras"/>
    <n v="40028"/>
    <s v="Francisco Contreras"/>
    <s v="993 117 2791__"/>
    <x v="2"/>
    <s v="proye.spazios@gmail.com"/>
    <m/>
    <m/>
    <x v="3"/>
    <s v="17.547283, -93.072147"/>
    <m/>
    <n v="25.159493215922364"/>
    <m/>
    <n v="5600"/>
    <n v="5600"/>
    <s v=""/>
    <m/>
    <n v="1"/>
    <n v="5600"/>
    <n v="5600"/>
    <m/>
    <m/>
    <m/>
    <m/>
    <n v="0"/>
    <n v="1"/>
    <n v="5600"/>
    <n v="4524.8"/>
    <n v="0.80800000000000005"/>
    <n v="0.81"/>
    <n v="0.80800000000000005"/>
    <n v="4524.8"/>
    <n v="4524.8"/>
    <n v="0"/>
    <n v="0"/>
    <n v="0"/>
    <m/>
    <m/>
    <n v="0"/>
    <n v="0"/>
    <m/>
    <m/>
    <m/>
    <m/>
    <m/>
    <m/>
    <m/>
    <m/>
    <m/>
    <m/>
  </r>
  <r>
    <s v="MX0030"/>
    <x v="6"/>
    <x v="7"/>
    <n v="2031"/>
    <s v="Heradio Hernandez Jímenez"/>
    <n v="40029"/>
    <s v="Heradio Hernandez Jimenez"/>
    <m/>
    <x v="2"/>
    <s v="heradiohernandes@gmail.com; rubendhj@hotmail.com"/>
    <s v="Av. Francisco I madero N° 39, Col. Centro, Municipio de Ostuacán, Estado de "/>
    <m/>
    <x v="3"/>
    <s v="17.359914, -93.325036"/>
    <m/>
    <n v="9.8840866205409288"/>
    <m/>
    <n v="2200"/>
    <n v="2200"/>
    <s v=""/>
    <m/>
    <n v="1"/>
    <n v="2200"/>
    <n v="2200"/>
    <m/>
    <m/>
    <m/>
    <m/>
    <n v="0"/>
    <n v="1"/>
    <n v="2200"/>
    <n v="541.20000000000005"/>
    <n v="0.246"/>
    <n v="0.25"/>
    <n v="0.246"/>
    <n v="541.20000000000005"/>
    <n v="541.20000000000005"/>
    <n v="0"/>
    <n v="0"/>
    <n v="0"/>
    <m/>
    <m/>
    <n v="0.18181818181818182"/>
    <n v="400"/>
    <m/>
    <m/>
    <n v="400"/>
    <m/>
    <m/>
    <m/>
    <m/>
    <m/>
    <m/>
    <m/>
  </r>
  <r>
    <s v="MX0031"/>
    <x v="6"/>
    <x v="7"/>
    <n v="2031"/>
    <s v="Jesus Rauda Gutierrez"/>
    <n v="40030"/>
    <s v="Jesus Rauda Gutierrez"/>
    <s v="922207 7454"/>
    <x v="2"/>
    <s v="brd1392@outlook.com"/>
    <s v="Chiapas. CP 29550."/>
    <m/>
    <x v="3"/>
    <s v="17.547844, -94.467956"/>
    <m/>
    <n v="12.355108275676161"/>
    <m/>
    <n v="2750"/>
    <n v="2750"/>
    <s v=""/>
    <m/>
    <n v="1"/>
    <n v="2750"/>
    <n v="2750"/>
    <m/>
    <m/>
    <m/>
    <m/>
    <n v="0"/>
    <n v="1"/>
    <n v="2750"/>
    <n v="2673"/>
    <n v="0.97199999999999998"/>
    <n v="0.97"/>
    <n v="0.97199999999999998"/>
    <n v="2673"/>
    <n v="2673"/>
    <n v="0"/>
    <n v="0"/>
    <n v="0"/>
    <m/>
    <m/>
    <n v="0.74545454545454548"/>
    <n v="2050"/>
    <m/>
    <m/>
    <n v="1900"/>
    <n v="150"/>
    <m/>
    <m/>
    <m/>
    <m/>
    <m/>
    <m/>
  </r>
  <r>
    <s v="MX0032"/>
    <x v="6"/>
    <x v="7"/>
    <n v="2031"/>
    <s v="Jose Armando Carbajal Ocampo"/>
    <n v="40031"/>
    <s v="Jose Armando Carbajal Ocampo"/>
    <s v="922 286 5063"/>
    <x v="2"/>
    <s v="iosea rmandoca rvajalocam po@gma i l.com"/>
    <m/>
    <m/>
    <x v="3"/>
    <s v="17.515256, -94.456917"/>
    <m/>
    <n v="12.355108275676161"/>
    <m/>
    <n v="2750"/>
    <n v="2750"/>
    <s v=""/>
    <m/>
    <n v="1"/>
    <n v="2750"/>
    <n v="2750"/>
    <m/>
    <m/>
    <m/>
    <m/>
    <n v="0"/>
    <n v="1"/>
    <n v="2750"/>
    <n v="2425.5"/>
    <n v="0.88200000000000001"/>
    <n v="0.88"/>
    <n v="0.88200000000000001"/>
    <n v="2425.5"/>
    <n v="2425.5"/>
    <n v="0"/>
    <n v="0"/>
    <n v="0"/>
    <m/>
    <m/>
    <n v="1.1090909090909091"/>
    <n v="3050"/>
    <m/>
    <m/>
    <n v="2300"/>
    <n v="750"/>
    <m/>
    <m/>
    <m/>
    <m/>
    <m/>
    <m/>
  </r>
  <r>
    <s v="MX0033"/>
    <x v="6"/>
    <x v="7"/>
    <n v="2031"/>
    <s v="Lucas Raudas Guitierrez"/>
    <n v="40032"/>
    <s v="Lucas Raudas Guitierrez"/>
    <m/>
    <x v="2"/>
    <s v="ofeliagamboa12345@gmail.com"/>
    <m/>
    <m/>
    <x v="3"/>
    <s v="17.567000, -94.448319"/>
    <m/>
    <n v="21.187887501123189"/>
    <m/>
    <n v="4716"/>
    <n v="4716"/>
    <s v=""/>
    <m/>
    <n v="1"/>
    <n v="4716"/>
    <n v="4716"/>
    <m/>
    <m/>
    <m/>
    <m/>
    <n v="0"/>
    <n v="1"/>
    <n v="4716"/>
    <n v="4428.3239999999996"/>
    <n v="0.93899999999999995"/>
    <n v="0.94"/>
    <n v="0.93899999999999995"/>
    <n v="4428.3239999999996"/>
    <n v="4428.3239999999996"/>
    <n v="0"/>
    <n v="0"/>
    <n v="0"/>
    <m/>
    <m/>
    <n v="0.79325699745547074"/>
    <n v="3741"/>
    <m/>
    <m/>
    <n v="3600"/>
    <n v="141"/>
    <m/>
    <m/>
    <m/>
    <m/>
    <m/>
    <m/>
  </r>
  <r>
    <s v="MX0034"/>
    <x v="6"/>
    <x v="7"/>
    <n v="2031"/>
    <s v="Pedro Molina Sanchez"/>
    <n v="40033"/>
    <s v="Pedro Molina Sanchez"/>
    <m/>
    <x v="2"/>
    <s v="hvargasforestal@hotmail.com"/>
    <m/>
    <m/>
    <x v="3"/>
    <s v="17.242739, -94.827503"/>
    <m/>
    <n v="19.768173241081858"/>
    <m/>
    <n v="4400"/>
    <n v="4400"/>
    <s v=""/>
    <m/>
    <n v="1"/>
    <n v="4400"/>
    <n v="4400"/>
    <m/>
    <m/>
    <m/>
    <m/>
    <n v="0"/>
    <n v="1"/>
    <n v="4400"/>
    <n v="0"/>
    <n v="0"/>
    <n v="0"/>
    <n v="0"/>
    <n v="0"/>
    <n v="0"/>
    <n v="0"/>
    <n v="0"/>
    <n v="0"/>
    <m/>
    <m/>
    <n v="3.4090909090909088E-2"/>
    <n v="150"/>
    <m/>
    <m/>
    <n v="150"/>
    <m/>
    <m/>
    <m/>
    <m/>
    <m/>
    <m/>
    <m/>
  </r>
  <r>
    <s v="MX0035"/>
    <x v="6"/>
    <x v="7"/>
    <n v="2031"/>
    <s v="Rafael Hernández Hernández"/>
    <n v="40034"/>
    <s v="Rafael Hernández Hernández"/>
    <s v="556 897 8244"/>
    <x v="2"/>
    <s v="taizonhernandez181@gmail.com"/>
    <m/>
    <m/>
    <x v="3"/>
    <s v="17.5192162, -94.4582382"/>
    <m/>
    <n v="9.8840866205409288"/>
    <m/>
    <n v="2200"/>
    <n v="2200"/>
    <s v=""/>
    <m/>
    <n v="1"/>
    <n v="2200"/>
    <n v="2200"/>
    <m/>
    <m/>
    <m/>
    <m/>
    <n v="0"/>
    <n v="1"/>
    <n v="2200"/>
    <n v="2046"/>
    <n v="0.93"/>
    <n v="0.93"/>
    <n v="0.93"/>
    <n v="2046"/>
    <n v="2046"/>
    <n v="0"/>
    <n v="0"/>
    <n v="0"/>
    <m/>
    <m/>
    <n v="0.99590909090909085"/>
    <n v="2191"/>
    <m/>
    <m/>
    <n v="1500"/>
    <n v="691"/>
    <m/>
    <m/>
    <m/>
    <m/>
    <m/>
    <m/>
  </r>
  <r>
    <s v="MX0036"/>
    <x v="6"/>
    <x v="7"/>
    <n v="2031"/>
    <s v="Tito Soria"/>
    <n v="40035"/>
    <s v="Tito Soria"/>
    <m/>
    <x v="2"/>
    <s v="‎soriapereztito@gmail.com;facturastitosoria@gmail.com"/>
    <m/>
    <m/>
    <x v="3"/>
    <s v="17.796072, -93.463639"/>
    <m/>
    <n v="12.355108275676161"/>
    <m/>
    <n v="2750"/>
    <n v="2750"/>
    <s v=""/>
    <m/>
    <n v="1"/>
    <n v="2750"/>
    <n v="2750"/>
    <m/>
    <m/>
    <m/>
    <m/>
    <n v="0"/>
    <n v="1"/>
    <n v="2750"/>
    <n v="1815"/>
    <n v="0.66"/>
    <n v="0.66"/>
    <n v="0.66"/>
    <n v="1815"/>
    <n v="1815"/>
    <n v="0"/>
    <n v="0"/>
    <n v="0"/>
    <m/>
    <m/>
    <n v="0.13454545454545455"/>
    <n v="370"/>
    <m/>
    <m/>
    <m/>
    <n v="370"/>
    <m/>
    <m/>
    <m/>
    <m/>
    <m/>
    <m/>
  </r>
  <r>
    <s v="MX0037"/>
    <x v="6"/>
    <x v="7"/>
    <n v="2031"/>
    <s v="Ubaldo Guillermo Pérez Cruz"/>
    <n v="40036"/>
    <s v="Ubaldo Guillermo Pérez Cruz"/>
    <s v="932 106 9604"/>
    <x v="2"/>
    <s v="ugperez@hotmail.com;memosum56@outlook.com"/>
    <m/>
    <m/>
    <x v="3"/>
    <s v="17.489817, -92.894725"/>
    <m/>
    <n v="12.355108275676161"/>
    <m/>
    <n v="2750"/>
    <n v="2750"/>
    <s v=""/>
    <m/>
    <n v="1"/>
    <n v="2750"/>
    <n v="2750"/>
    <m/>
    <m/>
    <m/>
    <m/>
    <n v="0"/>
    <n v="1"/>
    <n v="2750"/>
    <n v="330"/>
    <n v="0.12"/>
    <n v="0.12"/>
    <n v="0.12"/>
    <n v="330"/>
    <n v="330"/>
    <n v="0"/>
    <n v="0"/>
    <n v="0"/>
    <m/>
    <m/>
    <n v="0"/>
    <n v="0"/>
    <m/>
    <m/>
    <m/>
    <m/>
    <m/>
    <m/>
    <m/>
    <m/>
    <m/>
    <m/>
  </r>
  <r>
    <s v="US0128"/>
    <x v="6"/>
    <x v="7"/>
    <n v="2031"/>
    <s v="Belinda Twohig"/>
    <n v="10109"/>
    <s v="Belinda Twohig"/>
    <s v="865-603-0451"/>
    <x v="2"/>
    <s v="doubletalpacas@gmail.com"/>
    <s v="210 County Road 292 Niota TN 37826-2064"/>
    <s v="210 County Road 292, Niota, TN, USA 37826"/>
    <x v="0"/>
    <s v="35.624443, -84.560837"/>
    <n v="11.3"/>
    <n v="12"/>
    <s v="Y"/>
    <n v="1320"/>
    <n v="1320"/>
    <s v=""/>
    <m/>
    <n v="1"/>
    <n v="1320"/>
    <n v="1320"/>
    <m/>
    <m/>
    <m/>
    <m/>
    <n v="0"/>
    <n v="1"/>
    <n v="1320"/>
    <n v="1244.76"/>
    <n v="0.94299999999999995"/>
    <n v="0.94"/>
    <n v="0.94299999999999995"/>
    <n v="1244.76"/>
    <n v="1244.76"/>
    <n v="0"/>
    <n v="0"/>
    <n v="0"/>
    <s v="Fortunei"/>
    <s v="13, 14, CV"/>
    <n v="0.34621212121212119"/>
    <n v="457"/>
    <m/>
    <n v="100"/>
    <n v="357"/>
    <m/>
    <m/>
    <m/>
    <m/>
    <m/>
    <m/>
    <m/>
  </r>
  <r>
    <s v="US0129"/>
    <x v="6"/>
    <x v="7"/>
    <n v="2031"/>
    <s v="Bobby Searcy"/>
    <n v="10080"/>
    <s v="Bobby Searcy"/>
    <s v="334-405-2409, 334.618.1380"/>
    <x v="2"/>
    <s v="searcyfarmsangus@gmail.com"/>
    <s v="115 Livingston Loop Webb AL 36376-6435"/>
    <s v="115 Livingston Loop Webb AL 36376-6435"/>
    <x v="0"/>
    <s v="31.258754, -85.252275"/>
    <n v="6.6"/>
    <n v="5"/>
    <s v="Y"/>
    <n v="550"/>
    <n v="550"/>
    <s v=""/>
    <m/>
    <n v="1"/>
    <n v="550"/>
    <n v="550"/>
    <m/>
    <m/>
    <m/>
    <m/>
    <n v="0"/>
    <n v="1"/>
    <n v="550"/>
    <n v="0"/>
    <n v="0"/>
    <n v="0"/>
    <n v="0"/>
    <n v="0"/>
    <n v="0"/>
    <n v="0"/>
    <n v="0"/>
    <n v="0"/>
    <s v="Fortunei"/>
    <s v="11, 13"/>
    <n v="0"/>
    <n v="0"/>
    <m/>
    <m/>
    <m/>
    <m/>
    <m/>
    <m/>
    <m/>
    <m/>
    <m/>
    <m/>
  </r>
  <r>
    <s v="US0130"/>
    <x v="6"/>
    <x v="7"/>
    <n v="2031"/>
    <s v="Chris Bolen"/>
    <n v="10082"/>
    <s v="Chris Bolen"/>
    <s v="678-478-2288"/>
    <x v="2"/>
    <s v="jcbolen73@gmail.com"/>
    <s v="1751 Heidi Trl Buckhead GA 30625-1530"/>
    <s v="Fawn Rd, Jackson, GA, USA"/>
    <x v="0"/>
    <s v="33.220833, -83.948611"/>
    <n v="9"/>
    <n v="10"/>
    <s v="Y"/>
    <n v="1100"/>
    <n v="1100"/>
    <s v=""/>
    <m/>
    <n v="1"/>
    <n v="1100"/>
    <n v="1100"/>
    <m/>
    <m/>
    <m/>
    <m/>
    <n v="0"/>
    <n v="1"/>
    <n v="1100"/>
    <n v="0"/>
    <m/>
    <n v="1"/>
    <n v="1"/>
    <n v="1100"/>
    <n v="1100"/>
    <n v="0"/>
    <n v="0"/>
    <n v="0"/>
    <s v="Fortunei"/>
    <s v="2, 14,13"/>
    <n v="4.5454545454545456E-2"/>
    <n v="50"/>
    <m/>
    <n v="50"/>
    <m/>
    <m/>
    <m/>
    <m/>
    <m/>
    <m/>
    <m/>
    <m/>
  </r>
  <r>
    <s v="US0131"/>
    <x v="6"/>
    <x v="7"/>
    <n v="2031"/>
    <s v="David Hall"/>
    <n v="10110"/>
    <s v="David Hall"/>
    <s v="229-416-8076"/>
    <x v="2"/>
    <s v="dhall123@netzero.net"/>
    <s v="2975 Herring Buckhole Rd Donalsonville GA 39845-6025"/>
    <s v="2975 Herring Buckhole Rd Donalsonville GA 39845-6025"/>
    <x v="0"/>
    <s v="30.959732, -84.864059"/>
    <n v="34.6"/>
    <n v="34.809090909090912"/>
    <s v="Y"/>
    <n v="3829"/>
    <n v="3829"/>
    <s v=""/>
    <m/>
    <n v="1"/>
    <n v="3829"/>
    <n v="3829"/>
    <m/>
    <m/>
    <m/>
    <m/>
    <n v="0"/>
    <n v="1"/>
    <n v="3829"/>
    <n v="3737.1039999999998"/>
    <n v="0.97599999999999998"/>
    <n v="0.98"/>
    <n v="0.98"/>
    <n v="3737"/>
    <n v="3737"/>
    <n v="0"/>
    <n v="0"/>
    <n v="0"/>
    <s v="Fortunei"/>
    <s v="2, 11"/>
    <n v="0.21937842778793418"/>
    <n v="840"/>
    <m/>
    <m/>
    <n v="840"/>
    <m/>
    <m/>
    <m/>
    <m/>
    <m/>
    <m/>
    <m/>
  </r>
  <r>
    <s v="US0132"/>
    <x v="6"/>
    <x v="7"/>
    <n v="2031"/>
    <s v="David Lewis"/>
    <n v="10111"/>
    <s v="David Lewis"/>
    <s v="850-910-0141"/>
    <x v="2"/>
    <s v="dlewis63@att.net"/>
    <s v="6981 Ranchers Cove Trl Milton FL 32570-5597"/>
    <s v="Eagle Drive, Milton, FL, USA gate code 0720#"/>
    <x v="0"/>
    <s v="30.694789, -87.088518"/>
    <n v="9.4"/>
    <n v="10"/>
    <s v="Y"/>
    <n v="1100"/>
    <n v="1100"/>
    <s v=""/>
    <m/>
    <n v="1"/>
    <n v="1100"/>
    <n v="1100"/>
    <m/>
    <m/>
    <m/>
    <m/>
    <n v="0"/>
    <n v="1"/>
    <n v="1100"/>
    <n v="1072.5"/>
    <n v="0.97499999999999998"/>
    <n v="0.98"/>
    <n v="0.98"/>
    <n v="1073"/>
    <n v="1073"/>
    <n v="0"/>
    <n v="0"/>
    <n v="0"/>
    <s v="Fortunei"/>
    <s v="2, 12"/>
    <n v="4.5454545454545456E-2"/>
    <n v="50"/>
    <m/>
    <m/>
    <n v="50"/>
    <m/>
    <m/>
    <m/>
    <m/>
    <m/>
    <m/>
    <m/>
  </r>
  <r>
    <s v="US0133"/>
    <x v="6"/>
    <x v="7"/>
    <n v="2031"/>
    <s v="Heather Rule"/>
    <n v="10112"/>
    <s v="Heather Rule"/>
    <s v="303-984-1014, 719-271-4390"/>
    <x v="2"/>
    <s v="calantini@live.com, calantini@aol.com"/>
    <s v="3404 S Pierce St, Lakewood, CO 80227, USA"/>
    <s v="111 Myer Rd Morton WA 98356-9504"/>
    <x v="0"/>
    <s v="46.537576, -122.354751"/>
    <n v="16.5"/>
    <n v="12.481818181818182"/>
    <s v="Y"/>
    <n v="1373"/>
    <n v="1373"/>
    <s v=""/>
    <m/>
    <n v="1"/>
    <n v="1373"/>
    <n v="1373"/>
    <m/>
    <m/>
    <m/>
    <m/>
    <n v="0"/>
    <n v="1"/>
    <n v="1373"/>
    <n v="0"/>
    <m/>
    <n v="0"/>
    <n v="0"/>
    <n v="0"/>
    <n v="0"/>
    <n v="0"/>
    <n v="0"/>
    <n v="0"/>
    <s v="Fortunei"/>
    <s v="2, 11, 12, 13, 14, 18, 20, TG"/>
    <n v="0.29133284777858703"/>
    <n v="400"/>
    <m/>
    <m/>
    <n v="400"/>
    <m/>
    <m/>
    <m/>
    <m/>
    <m/>
    <m/>
    <m/>
  </r>
  <r>
    <s v="US0134"/>
    <x v="6"/>
    <x v="7"/>
    <n v="2031"/>
    <s v="Kennsel Bennett"/>
    <n v="10113"/>
    <s v="Kennsel Bennett"/>
    <s v="912-387-8919"/>
    <x v="2"/>
    <s v="kennselb@gmail.com"/>
    <s v="2592 Seminole Trail, Waycross, GA 31501, USA"/>
    <s v="1341 Manor Millwood Rd N, Manor, GA 31550, USA"/>
    <x v="0"/>
    <s v="31.220170, -82.632183"/>
    <n v="9.8000000000000007"/>
    <n v="10"/>
    <s v="Y"/>
    <n v="1100"/>
    <n v="1100"/>
    <s v=""/>
    <m/>
    <n v="1"/>
    <n v="1100"/>
    <n v="1100"/>
    <m/>
    <m/>
    <m/>
    <m/>
    <n v="0"/>
    <n v="1"/>
    <n v="1100"/>
    <n v="739.2"/>
    <n v="0.67200000000000004"/>
    <n v="0.67"/>
    <n v="0.67"/>
    <n v="739"/>
    <n v="739"/>
    <n v="0"/>
    <n v="0"/>
    <n v="0"/>
    <s v="Fortunei"/>
    <s v="2, 13"/>
    <n v="0"/>
    <n v="0"/>
    <m/>
    <m/>
    <m/>
    <m/>
    <m/>
    <m/>
    <m/>
    <m/>
    <m/>
    <m/>
  </r>
  <r>
    <s v="US0135"/>
    <x v="6"/>
    <x v="7"/>
    <n v="2031"/>
    <s v="Kyle Flint"/>
    <n v="10094"/>
    <s v="Kyle Flint"/>
    <s v="405-215-8195"/>
    <x v="2"/>
    <s v="kyle.flint@bhboring.com"/>
    <s v="301 James Dean Dr Norman OK 73072-9793"/>
    <s v="2450 Cox City Rd Rush Springs OK 73082-3122"/>
    <x v="0"/>
    <s v="34.778478, -97.835937; 34.994595, -97.562043"/>
    <m/>
    <n v="40"/>
    <m/>
    <n v="4400"/>
    <n v="4400"/>
    <s v=""/>
    <m/>
    <n v="1"/>
    <n v="4400"/>
    <n v="4400"/>
    <m/>
    <m/>
    <m/>
    <m/>
    <n v="0"/>
    <n v="1"/>
    <n v="4400"/>
    <n v="0"/>
    <m/>
    <n v="0.5"/>
    <n v="0.5"/>
    <n v="2200"/>
    <n v="2200"/>
    <n v="0"/>
    <n v="0"/>
    <n v="0"/>
    <s v="Fortunei"/>
    <s v="2, 11, 13, 18"/>
    <n v="0.21590909090909091"/>
    <n v="950"/>
    <m/>
    <m/>
    <n v="950"/>
    <m/>
    <m/>
    <m/>
    <m/>
    <m/>
    <m/>
    <m/>
  </r>
  <r>
    <s v="US0139"/>
    <x v="6"/>
    <x v="7"/>
    <n v="2031"/>
    <s v="Rob Cason"/>
    <n v="10116"/>
    <s v="Rob Cason"/>
    <s v="352-494-3072"/>
    <x v="2"/>
    <s v="robc@cheneybrothers.com"/>
    <s v="12060 NE County Road 237 Lake Butler FL 32054-5200"/>
    <s v="12060 NE County Road 237 Lake Butler FL 32054-5200"/>
    <x v="0"/>
    <s v="30.047118, -82.259403"/>
    <n v="22.8"/>
    <n v="20"/>
    <s v="Y"/>
    <n v="2200"/>
    <n v="2200"/>
    <s v=""/>
    <m/>
    <n v="1"/>
    <n v="2200"/>
    <n v="2200"/>
    <m/>
    <m/>
    <m/>
    <m/>
    <n v="0"/>
    <n v="1"/>
    <n v="2200"/>
    <n v="908.59999999999991"/>
    <n v="0.41299999999999998"/>
    <n v="0.41"/>
    <n v="0.41"/>
    <n v="909"/>
    <n v="909"/>
    <n v="0"/>
    <n v="0"/>
    <n v="0"/>
    <s v="Fortunei"/>
    <s v="2, 13"/>
    <n v="0.17181818181818181"/>
    <n v="378"/>
    <m/>
    <m/>
    <n v="252"/>
    <n v="126"/>
    <m/>
    <m/>
    <m/>
    <m/>
    <m/>
    <m/>
  </r>
  <r>
    <s v="US0140"/>
    <x v="6"/>
    <x v="7"/>
    <n v="2031"/>
    <s v="Scott Hamilton"/>
    <n v="10117"/>
    <s v="Scott Hamilton"/>
    <s v="562-857-1953"/>
    <x v="2"/>
    <s v="Scott.hamilton@enpinstitute.com"/>
    <s v="689 High Falls Road, Jackson, GA, USA 30233"/>
    <s v="689 High Falls Road, Jackson, GA, USA"/>
    <x v="0"/>
    <s v="33.191421, -84.068182"/>
    <n v="17.899999999999999"/>
    <n v="18"/>
    <s v="Y"/>
    <n v="1980"/>
    <n v="1980"/>
    <s v=""/>
    <m/>
    <n v="1"/>
    <n v="1980"/>
    <n v="1980"/>
    <m/>
    <m/>
    <m/>
    <m/>
    <n v="0"/>
    <n v="1"/>
    <n v="1980"/>
    <n v="0"/>
    <m/>
    <n v="1"/>
    <n v="1"/>
    <n v="1980"/>
    <n v="1980"/>
    <n v="0"/>
    <n v="0"/>
    <n v="0"/>
    <s v="Fortunei"/>
    <s v="12, 18"/>
    <n v="0.71111111111111114"/>
    <n v="1408"/>
    <m/>
    <n v="625"/>
    <n v="783"/>
    <m/>
    <m/>
    <m/>
    <m/>
    <m/>
    <m/>
    <m/>
  </r>
  <r>
    <s v="US0141"/>
    <x v="6"/>
    <x v="7"/>
    <n v="2031"/>
    <s v="Sisay Souphom"/>
    <n v="10102"/>
    <s v="Sisay Souphom"/>
    <s v="334-220-2957"/>
    <x v="2"/>
    <s v="ssouphom@gmail.com"/>
    <s v="625 Fern Rd Wetumpka AL 36092-7465"/>
    <s v="789 Fern Rd Wetumpka, Al 36092"/>
    <x v="0"/>
    <s v="32.619274,- 86.316458"/>
    <n v="6.7"/>
    <n v="5"/>
    <s v="Y"/>
    <n v="550"/>
    <n v="550"/>
    <s v=""/>
    <m/>
    <n v="1"/>
    <n v="550"/>
    <n v="550"/>
    <m/>
    <m/>
    <m/>
    <m/>
    <n v="0"/>
    <n v="1"/>
    <n v="550"/>
    <n v="399.3"/>
    <n v="0.72599999999999998"/>
    <n v="0.73"/>
    <n v="0.73"/>
    <n v="399"/>
    <n v="399"/>
    <n v="0"/>
    <n v="0"/>
    <n v="0"/>
    <s v="Fortunei"/>
    <n v="2"/>
    <n v="0"/>
    <n v="0"/>
    <m/>
    <m/>
    <m/>
    <m/>
    <m/>
    <m/>
    <m/>
    <m/>
    <m/>
    <m/>
  </r>
  <r>
    <s v="US0142"/>
    <x v="6"/>
    <x v="7"/>
    <n v="2031"/>
    <s v="Steven Hunter"/>
    <n v="10104"/>
    <s v="Steven Hunter"/>
    <s v="205-405-0233"/>
    <x v="2"/>
    <s v="stevenhunter@protonmail.com"/>
    <s v="PO Box 395 Maplesville AL 36750-0395"/>
    <s v="2645 State Highway 139, Maplesville, Alabama 36750, USA"/>
    <x v="0"/>
    <s v="32.819540, -86.884327"/>
    <n v="9.3000000000000007"/>
    <n v="10"/>
    <s v="Y"/>
    <n v="1100"/>
    <n v="1100"/>
    <s v=""/>
    <m/>
    <n v="1"/>
    <n v="1100"/>
    <n v="1100"/>
    <m/>
    <m/>
    <m/>
    <m/>
    <n v="0"/>
    <n v="1"/>
    <n v="1100"/>
    <n v="66"/>
    <n v="0.06"/>
    <n v="0.06"/>
    <n v="0.06"/>
    <n v="66"/>
    <n v="66"/>
    <n v="0"/>
    <n v="0"/>
    <n v="0"/>
    <s v="Fortunei"/>
    <s v="13, 18"/>
    <n v="0"/>
    <n v="0"/>
    <m/>
    <m/>
    <m/>
    <m/>
    <m/>
    <m/>
    <m/>
    <m/>
    <m/>
    <m/>
  </r>
  <r>
    <s v="US0143"/>
    <x v="6"/>
    <x v="7"/>
    <n v="2031"/>
    <s v="Todd McCarley"/>
    <n v="10118"/>
    <s v="Todd McCarley"/>
    <s v="334-657-8505"/>
    <x v="2"/>
    <s v="toddm87413@gmail.com"/>
    <s v="818 Foreman Rd Deatsville AL 36022-3546"/>
    <s v="818 Foreman Rd Deatsville AL 36022-3546"/>
    <x v="0"/>
    <s v="32.646970, -86.381339"/>
    <n v="10.199999999999999"/>
    <n v="10"/>
    <s v="Y"/>
    <n v="1100"/>
    <n v="1100"/>
    <s v=""/>
    <m/>
    <n v="1"/>
    <n v="1100"/>
    <n v="1100"/>
    <m/>
    <m/>
    <m/>
    <m/>
    <n v="0"/>
    <n v="1"/>
    <n v="1100"/>
    <n v="726"/>
    <n v="0.66"/>
    <n v="0.66"/>
    <n v="0.66"/>
    <n v="726"/>
    <n v="726"/>
    <n v="0"/>
    <n v="0"/>
    <n v="0"/>
    <s v="Fortunei"/>
    <s v="13, 18"/>
    <n v="5.7272727272727274E-2"/>
    <n v="63"/>
    <m/>
    <m/>
    <m/>
    <n v="63"/>
    <m/>
    <m/>
    <m/>
    <m/>
    <m/>
    <m/>
  </r>
  <r>
    <s v="US0144"/>
    <x v="6"/>
    <x v="7"/>
    <n v="2031"/>
    <s v="William (Cliff) Scales"/>
    <n v="10119"/>
    <s v="William (Cliff) Scales"/>
    <s v="478-955-0051"/>
    <x v="2"/>
    <s v="cliff.scales@outlook.com"/>
    <s v="45B Old Milledgeville Rd Hawkinsville GA 31036-6706"/>
    <s v="45B Old Milledgeville Rd Hawkinsville GA 31036-6706"/>
    <x v="0"/>
    <s v="32.329099, -83.418513"/>
    <n v="9.6999999999999993"/>
    <n v="10"/>
    <s v="Y"/>
    <n v="1100"/>
    <n v="1100"/>
    <s v=""/>
    <m/>
    <n v="1"/>
    <n v="1100"/>
    <n v="1100"/>
    <m/>
    <m/>
    <m/>
    <m/>
    <n v="0"/>
    <n v="1"/>
    <n v="1100"/>
    <n v="0"/>
    <m/>
    <n v="1"/>
    <n v="1"/>
    <n v="1100"/>
    <n v="1100"/>
    <n v="0"/>
    <n v="0"/>
    <n v="0"/>
    <s v="Fortunei"/>
    <s v="2, 11"/>
    <n v="0.15636363636363637"/>
    <n v="172"/>
    <m/>
    <n v="25"/>
    <n v="147"/>
    <m/>
    <m/>
    <m/>
    <m/>
    <m/>
    <m/>
    <m/>
  </r>
  <r>
    <s v="US0136"/>
    <x v="6"/>
    <x v="7"/>
    <n v="2031"/>
    <s v="Michele Dominguez"/>
    <n v="10114"/>
    <s v="Michele Dominguez"/>
    <s v="540-905-5647"/>
    <x v="0"/>
    <s v="jacknimbel@aol.com"/>
    <s v="2530 Ayers Rd Moneta VA 24121-3522"/>
    <s v="2530 Ayers Rd Moneta VA 24121-3522"/>
    <x v="0"/>
    <s v="37.159784, -79.564229"/>
    <n v="23"/>
    <s v=""/>
    <s v="Y"/>
    <n v="1112"/>
    <n v="1112"/>
    <s v=""/>
    <m/>
    <n v="1"/>
    <n v="1112"/>
    <n v="1112"/>
    <m/>
    <m/>
    <m/>
    <m/>
    <n v="0"/>
    <n v="1"/>
    <n v="1112"/>
    <n v="0"/>
    <m/>
    <n v="1"/>
    <n v="0"/>
    <n v="1112"/>
    <n v="1112"/>
    <n v="0"/>
    <n v="0"/>
    <n v="0"/>
    <s v="Fortunei"/>
    <s v="2, CV"/>
    <n v="9.4424460431654672E-2"/>
    <n v="105"/>
    <m/>
    <m/>
    <n v="105"/>
    <m/>
    <m/>
    <m/>
    <m/>
    <m/>
    <m/>
    <m/>
  </r>
  <r>
    <s v="US0137"/>
    <x v="6"/>
    <x v="7"/>
    <n v="2031"/>
    <s v="Pete Preskitt"/>
    <n v="10068"/>
    <s v="Pete Preskitt"/>
    <s v="334-651-1377"/>
    <x v="0"/>
    <s v="ppreskitt@icloud.com"/>
    <s v="2140 Weoka Rd Wetumpka AL 36092-4520"/>
    <s v="2140 Weoka Rd Wetumpka AL 36092-4520"/>
    <x v="0"/>
    <s v="32.617043, -86.203639"/>
    <n v="10.5"/>
    <s v=""/>
    <s v="Y"/>
    <n v="1100"/>
    <n v="1100"/>
    <s v=""/>
    <m/>
    <n v="1"/>
    <n v="1100"/>
    <n v="1100"/>
    <m/>
    <m/>
    <m/>
    <m/>
    <n v="0"/>
    <n v="1"/>
    <n v="1100"/>
    <n v="0"/>
    <m/>
    <n v="1"/>
    <n v="0"/>
    <n v="1100"/>
    <n v="1100"/>
    <n v="0"/>
    <n v="0"/>
    <n v="0"/>
    <s v="Fortunei"/>
    <s v="12, 14"/>
    <n v="0"/>
    <n v="0"/>
    <m/>
    <m/>
    <m/>
    <m/>
    <m/>
    <m/>
    <m/>
    <m/>
    <m/>
    <m/>
  </r>
  <r>
    <s v="US0138"/>
    <x v="6"/>
    <x v="7"/>
    <n v="2031"/>
    <s v="Rick Griffis"/>
    <n v="10115"/>
    <s v="Rick Griffis"/>
    <s v="229 834 8941"/>
    <x v="0"/>
    <s v="rickgriffis53@gmail.com, rickgriffis@gmail.com"/>
    <s v="3272 GA Highway 135 N Lake Park GA 31636-6137"/>
    <s v="3272 GA Highway 135 N Lake Park GA 31636-6137"/>
    <x v="0"/>
    <s v="30.824649, -83.054345"/>
    <n v="13"/>
    <s v=""/>
    <s v="Y"/>
    <n v="1100"/>
    <n v="1100"/>
    <s v=""/>
    <m/>
    <n v="1"/>
    <n v="1100"/>
    <n v="1100"/>
    <m/>
    <m/>
    <m/>
    <m/>
    <n v="0"/>
    <n v="1"/>
    <n v="1100"/>
    <n v="0"/>
    <m/>
    <n v="1"/>
    <n v="0"/>
    <n v="1100"/>
    <n v="1100"/>
    <n v="0"/>
    <n v="0"/>
    <n v="0"/>
    <s v="Fortunei"/>
    <s v="2, 11"/>
    <n v="5.7272727272727274E-2"/>
    <n v="63"/>
    <m/>
    <m/>
    <m/>
    <n v="63"/>
    <m/>
    <m/>
    <m/>
    <m/>
    <m/>
    <m/>
  </r>
  <r>
    <s v="MX0041"/>
    <x v="7"/>
    <x v="8"/>
    <n v="0"/>
    <s v="Aquiles Augusto Del Río Radilla"/>
    <n v="40040"/>
    <m/>
    <m/>
    <x v="1"/>
    <m/>
    <m/>
    <m/>
    <x v="3"/>
    <s v="17.680469, -94.024183"/>
    <m/>
    <s v=""/>
    <m/>
    <n v="2750"/>
    <n v="420"/>
    <m/>
    <m/>
    <n v="1"/>
    <n v="2750"/>
    <n v="420"/>
    <m/>
    <m/>
    <m/>
    <m/>
    <n v="0"/>
    <m/>
    <m/>
    <n v="0"/>
    <n v="0"/>
    <n v="0"/>
    <n v="0"/>
    <n v="0"/>
    <n v="0"/>
    <n v="0"/>
    <n v="0"/>
    <n v="0"/>
    <m/>
    <m/>
    <n v="0"/>
    <n v="0"/>
    <m/>
    <m/>
    <m/>
    <m/>
    <m/>
    <m/>
    <m/>
    <m/>
    <m/>
    <m/>
  </r>
  <r>
    <s v="MX0045"/>
    <x v="7"/>
    <x v="8"/>
    <n v="0"/>
    <s v="Juan Ramón Aguilar Rodríguez"/>
    <n v="40042"/>
    <m/>
    <m/>
    <x v="1"/>
    <m/>
    <m/>
    <m/>
    <x v="3"/>
    <m/>
    <m/>
    <s v=""/>
    <m/>
    <n v="550"/>
    <n v="200"/>
    <m/>
    <m/>
    <n v="1"/>
    <n v="550"/>
    <n v="200"/>
    <m/>
    <m/>
    <m/>
    <m/>
    <n v="0"/>
    <m/>
    <m/>
    <n v="0"/>
    <n v="0"/>
    <n v="0"/>
    <n v="0"/>
    <n v="0"/>
    <n v="0"/>
    <n v="0"/>
    <n v="0"/>
    <n v="0"/>
    <m/>
    <m/>
    <n v="0"/>
    <n v="0"/>
    <m/>
    <m/>
    <m/>
    <m/>
    <m/>
    <m/>
    <m/>
    <m/>
    <m/>
    <m/>
  </r>
  <r>
    <m/>
    <x v="8"/>
    <x v="9"/>
    <m/>
    <m/>
    <m/>
    <m/>
    <m/>
    <x v="3"/>
    <m/>
    <m/>
    <m/>
    <x v="4"/>
    <m/>
    <m/>
    <s v=""/>
    <m/>
    <m/>
    <m/>
    <m/>
    <m/>
    <m/>
    <m/>
    <n v="0"/>
    <m/>
    <m/>
    <m/>
    <m/>
    <n v="0"/>
    <m/>
    <m/>
    <m/>
    <m/>
    <m/>
    <m/>
    <m/>
    <m/>
    <n v="0"/>
    <n v="0"/>
    <n v="0"/>
    <m/>
    <m/>
    <m/>
    <m/>
    <m/>
    <m/>
    <m/>
    <m/>
    <m/>
    <m/>
    <m/>
    <m/>
    <m/>
    <m/>
  </r>
  <r>
    <s v="CR0100"/>
    <x v="6"/>
    <x v="8"/>
    <n v="2032"/>
    <s v="Samuel Wards"/>
    <n v="20092"/>
    <s v="Samule Wards"/>
    <s v="506-6298-7677"/>
    <x v="2"/>
    <s v="ward_samuel@yahoo.com"/>
    <s v="Frente a la Iglesia Metodista de Pacuarito de Siquirres, Limón"/>
    <m/>
    <x v="1"/>
    <s v="10.106916, -83.469906"/>
    <n v="6.1776299999999997"/>
    <n v="6.1776252590741585"/>
    <m/>
    <n v="1000"/>
    <n v="1000"/>
    <s v=""/>
    <m/>
    <n v="1"/>
    <n v="1000"/>
    <n v="1000"/>
    <m/>
    <m/>
    <m/>
    <m/>
    <n v="0"/>
    <n v="1"/>
    <n v="1000"/>
    <n v="0"/>
    <m/>
    <n v="1"/>
    <n v="1"/>
    <n v="1000"/>
    <n v="1000"/>
    <n v="0"/>
    <n v="0"/>
    <n v="0"/>
    <m/>
    <m/>
    <n v="0.312"/>
    <n v="312"/>
    <m/>
    <n v="62"/>
    <n v="250"/>
    <m/>
    <m/>
    <m/>
    <m/>
    <m/>
    <m/>
    <m/>
  </r>
  <r>
    <s v="CR0101"/>
    <x v="6"/>
    <x v="8"/>
    <n v="2032"/>
    <s v="Leonardo Barquero"/>
    <n v="20093"/>
    <s v="Tecamachalco S.A"/>
    <s v="52 55 70698839"/>
    <x v="2"/>
    <s v="barqueroj@gmail.com, ravenard@yahoo.com"/>
    <s v="De la Cruz Roja de Santa Ana, 400m Oeste, 300m Norte y 200 m oeste. Condominio La Hacienda #22"/>
    <m/>
    <x v="1"/>
    <s v="9.9405556, -84.4611111"/>
    <n v="9.8842199999999991"/>
    <n v="10.50196294042607"/>
    <m/>
    <n v="1700"/>
    <n v="1700"/>
    <s v=""/>
    <m/>
    <n v="1"/>
    <n v="1700"/>
    <n v="1700"/>
    <m/>
    <m/>
    <m/>
    <m/>
    <n v="0"/>
    <n v="1"/>
    <n v="1700"/>
    <n v="0"/>
    <m/>
    <n v="1"/>
    <n v="1"/>
    <n v="1700"/>
    <n v="1700"/>
    <n v="0"/>
    <n v="0"/>
    <n v="0"/>
    <m/>
    <m/>
    <n v="0.20882352941176471"/>
    <n v="355"/>
    <m/>
    <n v="355"/>
    <m/>
    <m/>
    <m/>
    <m/>
    <m/>
    <m/>
    <m/>
    <m/>
  </r>
  <r>
    <s v="CR0102"/>
    <x v="7"/>
    <x v="8"/>
    <n v="2032"/>
    <s v="William Romero"/>
    <n v="20094"/>
    <s v="Karen Vargas Fernandez y William Romero Fernandez"/>
    <s v="506 8392-9488, 506 8867-9772"/>
    <x v="2"/>
    <s v="brprecision@hotmail.com"/>
    <s v="Heredia, Ulloa: Calle la Carpintera, de lubricentro Freddy 400mts sur-oeste, tapia color gris a mano izquierda"/>
    <m/>
    <x v="1"/>
    <s v="10.311763, -85.032074"/>
    <n v="7.4131600000000004"/>
    <n v="7.4131503108889909"/>
    <m/>
    <n v="1200"/>
    <n v="1200"/>
    <s v=""/>
    <m/>
    <n v="1"/>
    <n v="1200"/>
    <n v="1200"/>
    <m/>
    <m/>
    <m/>
    <m/>
    <n v="0"/>
    <n v="1"/>
    <n v="1200"/>
    <n v="1143.5999999999999"/>
    <n v="0.95299999999999996"/>
    <n v="0.95"/>
    <n v="0.95"/>
    <n v="1144"/>
    <n v="1144"/>
    <n v="0"/>
    <n v="0"/>
    <n v="0"/>
    <m/>
    <m/>
    <n v="8.3333333333333329E-2"/>
    <n v="100"/>
    <m/>
    <m/>
    <n v="100"/>
    <m/>
    <m/>
    <m/>
    <m/>
    <m/>
    <m/>
    <m/>
  </r>
  <r>
    <s v="CR0103"/>
    <x v="7"/>
    <x v="8"/>
    <n v="2032"/>
    <s v="Jorge Alberto Cole"/>
    <n v="20095"/>
    <s v="Himalaya Verde  LTDA"/>
    <s v="506 8599-3617"/>
    <x v="2"/>
    <s v="guanabanasdeosa@gmail.com"/>
    <s v="Puntarenas Province, Ciudad Cortés, Costa Rica"/>
    <m/>
    <x v="1"/>
    <s v="8.948962,-83.454376"/>
    <n v="12.3553"/>
    <n v="12.355250518148317"/>
    <m/>
    <n v="2000"/>
    <n v="2000"/>
    <s v=""/>
    <m/>
    <n v="1"/>
    <n v="2000"/>
    <n v="2000"/>
    <m/>
    <m/>
    <m/>
    <m/>
    <n v="0"/>
    <n v="1"/>
    <n v="2000"/>
    <n v="0"/>
    <m/>
    <n v="1"/>
    <n v="1"/>
    <n v="2000"/>
    <n v="2000"/>
    <n v="0"/>
    <n v="0"/>
    <n v="0"/>
    <m/>
    <m/>
    <n v="0.09"/>
    <n v="180"/>
    <m/>
    <n v="180"/>
    <m/>
    <m/>
    <m/>
    <m/>
    <m/>
    <m/>
    <m/>
    <m/>
  </r>
  <r>
    <s v="CR0104"/>
    <x v="7"/>
    <x v="8"/>
    <n v="2032"/>
    <s v="Emmanuel Manuel Ruiz"/>
    <n v="20096"/>
    <s v="Jose Manuel Ruiz"/>
    <s v="506 8357-0986"/>
    <x v="2"/>
    <s v="emaruiztorres@gmail.com"/>
    <s v="Heredia Province, La Virgen, Costa Rica"/>
    <m/>
    <x v="1"/>
    <s v="10.357575,-84.067108"/>
    <n v="12.3553"/>
    <n v="12.355250518148317"/>
    <m/>
    <n v="2000"/>
    <n v="2000"/>
    <s v=""/>
    <m/>
    <n v="1"/>
    <n v="2000"/>
    <n v="2000"/>
    <m/>
    <m/>
    <m/>
    <m/>
    <n v="0"/>
    <n v="1"/>
    <n v="2000"/>
    <n v="1862"/>
    <n v="0.93100000000000005"/>
    <n v="0.93"/>
    <n v="0.93"/>
    <n v="1862"/>
    <n v="1862"/>
    <n v="0"/>
    <n v="0"/>
    <n v="0"/>
    <m/>
    <m/>
    <n v="7.0000000000000007E-2"/>
    <n v="140"/>
    <m/>
    <n v="140"/>
    <m/>
    <m/>
    <m/>
    <m/>
    <m/>
    <m/>
    <m/>
    <m/>
  </r>
  <r>
    <s v="CR0105"/>
    <x v="6"/>
    <x v="8"/>
    <n v="2032"/>
    <s v="Johaner Rosales Flores"/>
    <n v="20097"/>
    <s v="Johaner Rosales Flores"/>
    <s v="506 8323-6963"/>
    <x v="2"/>
    <s v="johaner.rf@gmail.com"/>
    <s v="Valle de la estrella"/>
    <m/>
    <x v="1"/>
    <s v="9.681389, -82.927467"/>
    <n v="14.8263"/>
    <n v="14.826300621777982"/>
    <m/>
    <n v="2400"/>
    <n v="2400"/>
    <s v=""/>
    <m/>
    <n v="1"/>
    <n v="2400"/>
    <n v="2400"/>
    <m/>
    <m/>
    <m/>
    <m/>
    <n v="0"/>
    <n v="1"/>
    <n v="2400"/>
    <n v="0"/>
    <m/>
    <n v="1"/>
    <n v="1"/>
    <n v="2400"/>
    <n v="2400"/>
    <n v="0"/>
    <n v="0"/>
    <n v="0"/>
    <m/>
    <m/>
    <n v="0"/>
    <n v="0"/>
    <m/>
    <m/>
    <m/>
    <m/>
    <m/>
    <m/>
    <m/>
    <m/>
    <m/>
    <m/>
  </r>
  <r>
    <s v="GT0031c"/>
    <x v="7"/>
    <x v="8"/>
    <n v="2032"/>
    <s v="Derek José Herman Gordillo"/>
    <n v="30028"/>
    <s v="Agroindustrias Nativa S.A./Derek José Herman Gordillo"/>
    <s v="+502 40117762"/>
    <x v="2"/>
    <s v="hermangster@gmail.com, dherman@grupoadh.com"/>
    <s v="Aldea Laguna Bermeja, Granja San Luis, Condominio Laguna del Bosque Casa '1169, zona 7, Santa Cata­rina Pinula, Guatemala"/>
    <s v="Aldea El Parafso, municipio de Sayaxche, Departamento de Peten"/>
    <x v="2"/>
    <s v="16.490000, -90.127200"/>
    <n v="149.69999999999999"/>
    <n v="0"/>
    <m/>
    <n v="9420"/>
    <n v="0"/>
    <n v="9420"/>
    <m/>
    <n v="1"/>
    <n v="9420"/>
    <n v="0"/>
    <m/>
    <m/>
    <m/>
    <m/>
    <n v="0"/>
    <n v="1"/>
    <n v="0"/>
    <n v="0"/>
    <m/>
    <n v="1"/>
    <n v="1"/>
    <n v="0"/>
    <n v="0"/>
    <n v="0"/>
    <n v="0"/>
    <n v="0"/>
    <m/>
    <m/>
    <n v="0"/>
    <n v="0"/>
    <m/>
    <m/>
    <m/>
    <m/>
    <m/>
    <m/>
    <m/>
    <m/>
    <m/>
    <m/>
  </r>
  <r>
    <s v="GT0044"/>
    <x v="7"/>
    <x v="8"/>
    <n v="2032"/>
    <s v="David Horacio Estrada Jeréz"/>
    <n v="30017"/>
    <s v="David Horacio Estrada Jeréz"/>
    <s v="(502) 56940037"/>
    <x v="2"/>
    <s v="estradahoracio@yahoo.es"/>
    <s v="ASOCIACION DE DESARROLLO VERDE DE GUATEMALA - ASOVERDE, CASA NÚMERO 4, COLONIA PRADOS DE CANNAN, MUNICIPIO DE CHIQUIMULA, DEPARTAMENTO DE CHIQUIMULA"/>
    <s v="ALDEA EL DURAZNO, MUNICIPIO DE CHIQUIMULA, DEPARTAMENTO DE CHIQUIMULA"/>
    <x v="2"/>
    <s v="14.131222, -90.386278"/>
    <n v="8.8957899999999999"/>
    <n v="9.0909090909090917"/>
    <m/>
    <n v="1000"/>
    <n v="1000"/>
    <s v=""/>
    <m/>
    <n v="1"/>
    <n v="1000"/>
    <n v="1000"/>
    <m/>
    <m/>
    <m/>
    <m/>
    <n v="0"/>
    <n v="1"/>
    <n v="1000"/>
    <n v="855"/>
    <n v="0.85499999999999998"/>
    <n v="0.86"/>
    <n v="0.86"/>
    <n v="855"/>
    <n v="855"/>
    <n v="0"/>
    <n v="0"/>
    <n v="0"/>
    <m/>
    <m/>
    <n v="0"/>
    <n v="0"/>
    <m/>
    <m/>
    <m/>
    <m/>
    <m/>
    <m/>
    <m/>
    <m/>
    <m/>
    <m/>
  </r>
  <r>
    <s v="GT0045"/>
    <x v="7"/>
    <x v="8"/>
    <n v="2032"/>
    <s v="Trapiche de la Vega S.A. /María Isabel Agüero"/>
    <n v="30033"/>
    <s v="Trapiche de la Vega Sociedad Anónima / Walesca María Isabel Agüero Urruela de Maegli"/>
    <s v="502 59910111"/>
    <x v="2"/>
    <s v="maguero@grupotecun.com"/>
    <s v="23 av enida 6 72, zona 15, Vista Hermosa I"/>
    <m/>
    <x v="2"/>
    <s v="14.355278, -90.460000"/>
    <n v="14.5792"/>
    <n v="14.909090909090908"/>
    <m/>
    <n v="1640"/>
    <n v="1640"/>
    <s v=""/>
    <m/>
    <n v="1"/>
    <n v="1640"/>
    <n v="1640"/>
    <m/>
    <m/>
    <m/>
    <m/>
    <n v="0"/>
    <n v="1"/>
    <n v="1640"/>
    <n v="1193.92"/>
    <n v="0.72799999999999998"/>
    <n v="0.73"/>
    <n v="0.73"/>
    <n v="1194"/>
    <n v="1194"/>
    <n v="0"/>
    <n v="0"/>
    <n v="0"/>
    <m/>
    <m/>
    <n v="0"/>
    <n v="0"/>
    <m/>
    <m/>
    <m/>
    <m/>
    <m/>
    <m/>
    <m/>
    <m/>
    <m/>
    <m/>
  </r>
  <r>
    <s v="MX0038"/>
    <x v="6"/>
    <x v="8"/>
    <n v="2032"/>
    <s v="Abraham Arreola Salto"/>
    <n v="40037"/>
    <m/>
    <s v="917 109 7180"/>
    <x v="2"/>
    <s v="banchearreola@hotmail.com"/>
    <m/>
    <m/>
    <x v="3"/>
    <s v="17.6007097, -94.5515989"/>
    <m/>
    <n v="12.355108275676161"/>
    <m/>
    <n v="2750"/>
    <n v="2750"/>
    <s v=""/>
    <m/>
    <n v="1"/>
    <n v="2750"/>
    <n v="2750"/>
    <m/>
    <m/>
    <m/>
    <m/>
    <n v="0"/>
    <n v="1"/>
    <n v="2750"/>
    <n v="0"/>
    <m/>
    <n v="1"/>
    <n v="1"/>
    <n v="2750"/>
    <n v="2750"/>
    <n v="0"/>
    <n v="0"/>
    <n v="0"/>
    <m/>
    <m/>
    <n v="0.29090909090909089"/>
    <n v="800"/>
    <m/>
    <m/>
    <n v="800"/>
    <m/>
    <m/>
    <m/>
    <m/>
    <m/>
    <m/>
    <m/>
  </r>
  <r>
    <s v="MX0039"/>
    <x v="7"/>
    <x v="8"/>
    <n v="2032"/>
    <s v="Agustín Ayala Torres"/>
    <n v="40038"/>
    <m/>
    <m/>
    <x v="2"/>
    <s v="Joseayalavazquez911@gmail.com"/>
    <m/>
    <m/>
    <x v="3"/>
    <s v="17.5162635, -94.4338635"/>
    <m/>
    <n v="12.579746607961182"/>
    <m/>
    <n v="3542"/>
    <n v="2800"/>
    <n v="742"/>
    <m/>
    <n v="1"/>
    <n v="3542"/>
    <n v="2800"/>
    <m/>
    <m/>
    <m/>
    <m/>
    <n v="0"/>
    <n v="1"/>
    <n v="2800"/>
    <n v="0"/>
    <m/>
    <n v="1"/>
    <n v="1"/>
    <n v="2800"/>
    <n v="2800"/>
    <n v="0"/>
    <n v="0"/>
    <n v="0"/>
    <m/>
    <m/>
    <n v="0"/>
    <n v="0"/>
    <m/>
    <m/>
    <m/>
    <m/>
    <m/>
    <m/>
    <m/>
    <m/>
    <m/>
    <m/>
  </r>
  <r>
    <s v="MX0040"/>
    <x v="6"/>
    <x v="8"/>
    <n v="2032"/>
    <s v="Angela López Cruz"/>
    <n v="40039"/>
    <m/>
    <m/>
    <x v="2"/>
    <s v="cruzambrosio370@gmail.com "/>
    <m/>
    <m/>
    <x v="3"/>
    <s v="17.491062, -94.436408"/>
    <m/>
    <n v="12.355108275676161"/>
    <m/>
    <n v="2750"/>
    <n v="2750"/>
    <s v=""/>
    <m/>
    <n v="1"/>
    <n v="2750"/>
    <n v="2750"/>
    <m/>
    <m/>
    <m/>
    <m/>
    <n v="0"/>
    <n v="1"/>
    <n v="2750"/>
    <n v="0"/>
    <m/>
    <n v="1"/>
    <n v="1"/>
    <n v="2750"/>
    <n v="2750"/>
    <n v="0"/>
    <n v="0"/>
    <n v="0"/>
    <m/>
    <m/>
    <n v="0.23636363636363636"/>
    <n v="650"/>
    <m/>
    <m/>
    <n v="650"/>
    <m/>
    <m/>
    <m/>
    <m/>
    <m/>
    <m/>
    <m/>
  </r>
  <r>
    <s v="MX0042"/>
    <x v="7"/>
    <x v="8"/>
    <n v="2032"/>
    <s v="Caralampio Arreola López"/>
    <n v="40025"/>
    <m/>
    <m/>
    <x v="2"/>
    <s v="hvargasforestal@hotmail.com"/>
    <m/>
    <m/>
    <x v="3"/>
    <s v="17.211378, -94.592932"/>
    <m/>
    <n v="4.9420433102704644"/>
    <m/>
    <n v="1100"/>
    <n v="1100"/>
    <s v=""/>
    <m/>
    <n v="1"/>
    <n v="1100"/>
    <n v="1100"/>
    <m/>
    <m/>
    <m/>
    <m/>
    <n v="0"/>
    <n v="1"/>
    <n v="1100"/>
    <n v="0"/>
    <m/>
    <n v="1"/>
    <n v="1"/>
    <n v="1100"/>
    <n v="1100"/>
    <n v="0"/>
    <n v="0"/>
    <n v="0"/>
    <m/>
    <m/>
    <n v="0"/>
    <n v="0"/>
    <m/>
    <m/>
    <m/>
    <m/>
    <m/>
    <m/>
    <m/>
    <m/>
    <m/>
    <m/>
  </r>
  <r>
    <s v="MX0043"/>
    <x v="7"/>
    <x v="8"/>
    <n v="2032"/>
    <s v="Carlos Carbajal Gutiérrez"/>
    <n v="40026"/>
    <m/>
    <m/>
    <x v="2"/>
    <s v="jcarbajal.g@hotmail.com"/>
    <m/>
    <m/>
    <x v="3"/>
    <s v="17.502994, -94.439860"/>
    <m/>
    <n v="4.9420433102704644"/>
    <m/>
    <n v="1100"/>
    <n v="1100"/>
    <s v=""/>
    <m/>
    <n v="1"/>
    <n v="1100"/>
    <n v="1100"/>
    <m/>
    <m/>
    <m/>
    <m/>
    <n v="0"/>
    <n v="1"/>
    <n v="1100"/>
    <n v="0"/>
    <m/>
    <n v="1"/>
    <n v="1"/>
    <n v="1100"/>
    <n v="1100"/>
    <n v="0"/>
    <n v="0"/>
    <n v="0"/>
    <m/>
    <m/>
    <n v="0"/>
    <n v="0"/>
    <m/>
    <m/>
    <m/>
    <m/>
    <m/>
    <m/>
    <m/>
    <m/>
    <m/>
    <m/>
  </r>
  <r>
    <s v="MX0044"/>
    <x v="6"/>
    <x v="8"/>
    <n v="2032"/>
    <s v="Eduardo Romero Aguilar"/>
    <n v="40041"/>
    <m/>
    <m/>
    <x v="2"/>
    <m/>
    <m/>
    <m/>
    <x v="3"/>
    <s v="17.6514457, -93.7004533"/>
    <m/>
    <n v="12.355108275676161"/>
    <m/>
    <n v="2750"/>
    <n v="2750"/>
    <s v=""/>
    <m/>
    <n v="1"/>
    <n v="2750"/>
    <n v="2750"/>
    <m/>
    <m/>
    <m/>
    <m/>
    <n v="0"/>
    <n v="1"/>
    <n v="2750"/>
    <n v="0"/>
    <m/>
    <n v="1"/>
    <n v="1"/>
    <n v="2750"/>
    <n v="2750"/>
    <n v="0"/>
    <n v="0"/>
    <n v="0"/>
    <m/>
    <m/>
    <n v="0.1690909090909091"/>
    <n v="465"/>
    <m/>
    <m/>
    <n v="465"/>
    <m/>
    <m/>
    <m/>
    <m/>
    <m/>
    <m/>
    <m/>
  </r>
  <r>
    <s v="MX0046"/>
    <x v="6"/>
    <x v="8"/>
    <n v="2032"/>
    <s v="Lorenzo Rodríguez Osorio"/>
    <n v="40043"/>
    <m/>
    <m/>
    <x v="2"/>
    <m/>
    <m/>
    <m/>
    <x v="3"/>
    <s v="17.1850153, -94.2047243"/>
    <m/>
    <n v="4.9420433102704644"/>
    <m/>
    <n v="1100"/>
    <n v="1100"/>
    <s v=""/>
    <m/>
    <n v="1"/>
    <n v="1100"/>
    <n v="1100"/>
    <m/>
    <m/>
    <m/>
    <m/>
    <n v="0"/>
    <n v="1"/>
    <n v="1100"/>
    <n v="0"/>
    <m/>
    <n v="1"/>
    <n v="1"/>
    <n v="1100"/>
    <n v="1100"/>
    <n v="0"/>
    <n v="0"/>
    <n v="0"/>
    <m/>
    <m/>
    <n v="0.5"/>
    <n v="550"/>
    <m/>
    <m/>
    <n v="550"/>
    <m/>
    <m/>
    <m/>
    <m/>
    <m/>
    <m/>
    <m/>
  </r>
  <r>
    <s v="MX0047"/>
    <x v="7"/>
    <x v="8"/>
    <n v="2032"/>
    <s v="Moisés Jacinto Felipe"/>
    <n v="40044"/>
    <m/>
    <m/>
    <x v="2"/>
    <s v="jacintofelipemoises16@gmail.com"/>
    <m/>
    <m/>
    <x v="3"/>
    <s v="17.2663584, -94.8070242"/>
    <m/>
    <n v="11.905831611106118"/>
    <m/>
    <n v="4400"/>
    <n v="2650"/>
    <n v="1750"/>
    <m/>
    <n v="1"/>
    <n v="4400"/>
    <n v="2650"/>
    <m/>
    <m/>
    <m/>
    <m/>
    <n v="0"/>
    <n v="1"/>
    <n v="2650"/>
    <n v="0"/>
    <m/>
    <n v="1"/>
    <n v="1"/>
    <n v="2650"/>
    <n v="2650"/>
    <n v="0"/>
    <n v="0"/>
    <n v="0"/>
    <m/>
    <m/>
    <n v="0"/>
    <n v="0"/>
    <m/>
    <m/>
    <m/>
    <m/>
    <m/>
    <m/>
    <m/>
    <m/>
    <m/>
    <m/>
  </r>
  <r>
    <s v="MX0048"/>
    <x v="7"/>
    <x v="8"/>
    <n v="2032"/>
    <s v="Pedro Molina Sánchez"/>
    <n v="40033"/>
    <m/>
    <m/>
    <x v="2"/>
    <s v="molina_2155@hotmail.com"/>
    <m/>
    <m/>
    <x v="3"/>
    <s v="17.242757, -94.827848"/>
    <m/>
    <n v="7.4130649654056961"/>
    <m/>
    <n v="1650"/>
    <n v="1650"/>
    <s v=""/>
    <m/>
    <n v="1"/>
    <n v="1650"/>
    <n v="1650"/>
    <m/>
    <m/>
    <m/>
    <m/>
    <n v="0"/>
    <n v="1"/>
    <n v="1650"/>
    <n v="0"/>
    <m/>
    <n v="1"/>
    <n v="1"/>
    <n v="1650"/>
    <n v="1650"/>
    <n v="0"/>
    <n v="0"/>
    <n v="0"/>
    <m/>
    <m/>
    <n v="0"/>
    <n v="0"/>
    <m/>
    <m/>
    <m/>
    <m/>
    <m/>
    <m/>
    <m/>
    <m/>
    <m/>
    <m/>
  </r>
  <r>
    <s v="MX0049"/>
    <x v="7"/>
    <x v="8"/>
    <n v="2032"/>
    <s v="Roberta Felipe Cruz"/>
    <n v="40045"/>
    <m/>
    <m/>
    <x v="2"/>
    <s v="jacintofelipemoises16@gmail.com"/>
    <m/>
    <m/>
    <x v="3"/>
    <s v="17.2702675, -94.8103548"/>
    <m/>
    <n v="7.4130649654056961"/>
    <m/>
    <n v="2750"/>
    <n v="1650"/>
    <n v="1100"/>
    <m/>
    <n v="1"/>
    <n v="2750"/>
    <n v="1650"/>
    <m/>
    <m/>
    <m/>
    <m/>
    <n v="0"/>
    <n v="1"/>
    <n v="1650"/>
    <n v="0"/>
    <m/>
    <n v="1"/>
    <n v="1"/>
    <n v="1650"/>
    <n v="1650"/>
    <n v="0"/>
    <n v="0"/>
    <n v="0"/>
    <m/>
    <m/>
    <n v="0"/>
    <n v="0"/>
    <m/>
    <m/>
    <m/>
    <m/>
    <m/>
    <m/>
    <m/>
    <m/>
    <m/>
    <m/>
  </r>
  <r>
    <s v="MX0050"/>
    <x v="6"/>
    <x v="8"/>
    <n v="2032"/>
    <s v="Sofía Bautista Bustos"/>
    <n v="40046"/>
    <m/>
    <m/>
    <x v="2"/>
    <s v="dalarconb@hotmail.com"/>
    <m/>
    <m/>
    <x v="3"/>
    <s v="17.581839, -95.235197"/>
    <m/>
    <n v="12.355108275676161"/>
    <m/>
    <n v="2750"/>
    <n v="2750"/>
    <s v=""/>
    <m/>
    <n v="1"/>
    <n v="2750"/>
    <n v="2750"/>
    <m/>
    <m/>
    <m/>
    <m/>
    <n v="0"/>
    <n v="1"/>
    <n v="2750"/>
    <n v="0"/>
    <m/>
    <n v="1"/>
    <n v="1"/>
    <n v="2750"/>
    <n v="2750"/>
    <n v="0"/>
    <n v="0"/>
    <n v="0"/>
    <m/>
    <m/>
    <n v="0"/>
    <n v="0"/>
    <m/>
    <m/>
    <m/>
    <m/>
    <m/>
    <m/>
    <m/>
    <m/>
    <m/>
    <m/>
  </r>
  <r>
    <s v="MX0051"/>
    <x v="7"/>
    <x v="8"/>
    <n v="2032"/>
    <s v="Tito Soria Pérez"/>
    <n v="40035"/>
    <m/>
    <m/>
    <x v="2"/>
    <s v="‎soriapereztito@gmail.com"/>
    <m/>
    <m/>
    <x v="3"/>
    <s v="17.799281, -93.462602"/>
    <m/>
    <n v="49.420433102704642"/>
    <m/>
    <n v="11000"/>
    <n v="11000"/>
    <s v=""/>
    <m/>
    <n v="1"/>
    <n v="11000"/>
    <n v="11000"/>
    <m/>
    <m/>
    <m/>
    <m/>
    <n v="0"/>
    <n v="1"/>
    <n v="11000"/>
    <n v="0"/>
    <m/>
    <n v="1"/>
    <n v="1"/>
    <n v="11000"/>
    <n v="11000"/>
    <n v="0"/>
    <n v="0"/>
    <n v="0"/>
    <m/>
    <m/>
    <n v="0"/>
    <n v="0"/>
    <m/>
    <m/>
    <m/>
    <m/>
    <m/>
    <m/>
    <m/>
    <m/>
    <m/>
    <m/>
  </r>
  <r>
    <s v="MX0052"/>
    <x v="6"/>
    <x v="8"/>
    <n v="2032"/>
    <s v="Victorico Ortega Cohetero"/>
    <n v="40047"/>
    <m/>
    <m/>
    <x v="2"/>
    <s v="Victoricoortegacohetero@gmail.com"/>
    <m/>
    <m/>
    <x v="3"/>
    <s v="17.216251, -94.217917"/>
    <m/>
    <n v="12.355108275676161"/>
    <m/>
    <n v="2750"/>
    <n v="2750"/>
    <s v=""/>
    <m/>
    <n v="1"/>
    <n v="2750"/>
    <n v="2750"/>
    <m/>
    <m/>
    <m/>
    <m/>
    <n v="0"/>
    <n v="1"/>
    <n v="2750"/>
    <n v="0"/>
    <m/>
    <n v="1"/>
    <n v="1"/>
    <n v="2750"/>
    <n v="2750"/>
    <n v="0"/>
    <n v="0"/>
    <n v="0"/>
    <m/>
    <m/>
    <n v="3.6363636363636362E-2"/>
    <n v="100"/>
    <m/>
    <m/>
    <n v="100"/>
    <m/>
    <m/>
    <m/>
    <m/>
    <m/>
    <m/>
    <m/>
  </r>
  <r>
    <s v="US0145"/>
    <x v="6"/>
    <x v="8"/>
    <n v="2032"/>
    <s v="Andy McCormick"/>
    <n v="10120"/>
    <s v="Andy McCormick"/>
    <s v="256-201-1839"/>
    <x v="2"/>
    <s v="grandmastersx32x@yahoo.com"/>
    <s v="380 County Road 923 Heflin AL 36264-3658"/>
    <s v="380 County Road 923 Heflin AL 36264-3658"/>
    <x v="0"/>
    <s v="33.544381, -85.638128"/>
    <n v="15"/>
    <n v="15"/>
    <m/>
    <n v="1650"/>
    <n v="1650"/>
    <s v=""/>
    <m/>
    <n v="1"/>
    <n v="1650"/>
    <n v="1650"/>
    <m/>
    <m/>
    <m/>
    <m/>
    <n v="0"/>
    <n v="1"/>
    <n v="1650"/>
    <n v="0"/>
    <m/>
    <n v="1"/>
    <n v="1"/>
    <n v="1650"/>
    <n v="1650"/>
    <n v="0"/>
    <n v="0"/>
    <n v="0"/>
    <s v="Fortunei"/>
    <m/>
    <n v="0.12121212121212122"/>
    <n v="200"/>
    <m/>
    <n v="200"/>
    <m/>
    <m/>
    <m/>
    <m/>
    <m/>
    <m/>
    <m/>
    <m/>
  </r>
  <r>
    <s v="US0146"/>
    <x v="6"/>
    <x v="8"/>
    <n v="2032"/>
    <s v="Clinton Hardie"/>
    <n v="10121"/>
    <s v="Anita J Hardie"/>
    <s v="478-808-1458"/>
    <x v="2"/>
    <s v="awnfarms@hotmail.com"/>
    <s v="177 Hwy 243 Ivey GA. 31031"/>
    <s v="181 GA-243, Ivey, GA 31031, USA"/>
    <x v="0"/>
    <s v="32.9159, -83.2916"/>
    <n v="28"/>
    <n v="25.454545454545453"/>
    <m/>
    <n v="2800"/>
    <n v="2800"/>
    <m/>
    <m/>
    <n v="1"/>
    <n v="2800"/>
    <n v="2800"/>
    <m/>
    <m/>
    <m/>
    <m/>
    <n v="0"/>
    <n v="1"/>
    <n v="2800"/>
    <n v="0"/>
    <m/>
    <n v="1"/>
    <n v="1"/>
    <n v="2800"/>
    <n v="2800"/>
    <n v="0"/>
    <n v="0"/>
    <n v="0"/>
    <s v="Fortunei"/>
    <m/>
    <n v="0.27214285714285713"/>
    <n v="762"/>
    <m/>
    <n v="475"/>
    <n v="287"/>
    <m/>
    <m/>
    <m/>
    <m/>
    <m/>
    <m/>
    <m/>
  </r>
  <r>
    <s v="US0147"/>
    <x v="6"/>
    <x v="8"/>
    <n v="2032"/>
    <s v="Colin McCulley"/>
    <n v="10122"/>
    <s v="Colin McCulley"/>
    <s v="478-457-6214"/>
    <x v="2"/>
    <s v="mcc120797@gmail.com"/>
    <s v="23780 U.S. 441, Milledgeville, GA 31061"/>
    <s v="23780 U.S. 441, Milledgeville, GA 31061"/>
    <x v="0"/>
    <s v="32.950704, -83.201976"/>
    <n v="15"/>
    <n v="12"/>
    <m/>
    <n v="1320"/>
    <n v="1320"/>
    <m/>
    <m/>
    <n v="1"/>
    <n v="1320"/>
    <n v="1320"/>
    <m/>
    <m/>
    <m/>
    <m/>
    <n v="0"/>
    <n v="1"/>
    <n v="1320"/>
    <n v="0"/>
    <m/>
    <n v="1"/>
    <n v="1"/>
    <n v="1320"/>
    <n v="1320"/>
    <n v="0"/>
    <n v="0"/>
    <n v="0"/>
    <s v="Fortunei"/>
    <m/>
    <n v="0.12272727272727273"/>
    <n v="162"/>
    <m/>
    <n v="75"/>
    <n v="87"/>
    <m/>
    <m/>
    <m/>
    <m/>
    <m/>
    <m/>
    <m/>
  </r>
  <r>
    <s v="US0148"/>
    <x v="6"/>
    <x v="8"/>
    <n v="2032"/>
    <s v="David Hall"/>
    <n v="10110"/>
    <s v="David Hall"/>
    <s v="229-416-8076"/>
    <x v="2"/>
    <s v="dhall123@netzero.net"/>
    <s v="2975 Herring Buckhole Rd Donalsonville GA 39845-6025"/>
    <s v="2975 Herring Buckhole Rd Donalsonville GA 39845-6025"/>
    <x v="0"/>
    <s v="30.959732, -84.864059"/>
    <n v="10"/>
    <n v="10"/>
    <m/>
    <n v="1100"/>
    <n v="1100"/>
    <s v=""/>
    <m/>
    <n v="1"/>
    <n v="1100"/>
    <n v="1100"/>
    <m/>
    <m/>
    <m/>
    <m/>
    <n v="0"/>
    <n v="1"/>
    <n v="1100"/>
    <n v="0"/>
    <m/>
    <n v="1"/>
    <n v="1"/>
    <n v="1100"/>
    <n v="1100"/>
    <n v="0"/>
    <n v="0"/>
    <n v="0"/>
    <s v="Fortunei"/>
    <m/>
    <n v="3.090909090909091E-2"/>
    <n v="34"/>
    <m/>
    <m/>
    <n v="34"/>
    <m/>
    <m/>
    <m/>
    <m/>
    <m/>
    <m/>
    <m/>
  </r>
  <r>
    <s v="US0149"/>
    <x v="6"/>
    <x v="8"/>
    <n v="2032"/>
    <s v="Greg Lumpkin"/>
    <n v="10123"/>
    <s v="WT Lumpkin Farms"/>
    <s v="229-317-3926"/>
    <x v="2"/>
    <s v="gregtlumpkin@yahoo.com"/>
    <s v="274 Snapper Rd, Cuthbert GA, 39840"/>
    <s v="274 Snapper Rd, Cuthbert GA, 39840"/>
    <x v="0"/>
    <s v="31.6476889, -84.8328527, 31.6701278, -84.811122"/>
    <n v="16"/>
    <n v="19.054545454545455"/>
    <m/>
    <n v="2096"/>
    <n v="2096"/>
    <s v=""/>
    <m/>
    <n v="1"/>
    <n v="2096"/>
    <n v="2096"/>
    <m/>
    <m/>
    <m/>
    <m/>
    <n v="0"/>
    <n v="1"/>
    <n v="1760"/>
    <n v="0"/>
    <m/>
    <n v="1"/>
    <n v="1"/>
    <n v="1760"/>
    <n v="1760"/>
    <n v="0"/>
    <n v="0"/>
    <n v="0"/>
    <s v="Fortunei"/>
    <m/>
    <n v="0"/>
    <n v="0"/>
    <m/>
    <m/>
    <m/>
    <m/>
    <m/>
    <m/>
    <m/>
    <m/>
    <m/>
    <m/>
  </r>
  <r>
    <s v="US0150"/>
    <x v="6"/>
    <x v="8"/>
    <n v="2032"/>
    <s v="Jim Lamberth"/>
    <n v="10124"/>
    <s v="James Lamberth"/>
    <s v="615-351-6509"/>
    <x v="2"/>
    <s v="jim@sunshinepoolstn.com"/>
    <s v="901 Clearview Rd, COTTONTOWN, TN, 37048"/>
    <s v="901 Clearview Rd, COTTONTOWN, TN, 37048"/>
    <x v="0"/>
    <s v="36.547, -86.5798"/>
    <n v="20"/>
    <n v="20"/>
    <m/>
    <n v="2200"/>
    <n v="2200"/>
    <s v=""/>
    <m/>
    <n v="1"/>
    <n v="2200"/>
    <n v="2200"/>
    <m/>
    <m/>
    <m/>
    <m/>
    <n v="0"/>
    <n v="1"/>
    <n v="2200"/>
    <n v="0"/>
    <m/>
    <n v="1"/>
    <n v="1"/>
    <n v="2200"/>
    <n v="2200"/>
    <n v="0"/>
    <n v="0"/>
    <n v="0"/>
    <s v="Fortunei"/>
    <m/>
    <n v="9.0909090909090912E-2"/>
    <n v="200"/>
    <m/>
    <n v="200"/>
    <m/>
    <m/>
    <m/>
    <m/>
    <m/>
    <m/>
    <m/>
    <m/>
  </r>
  <r>
    <s v="US0151"/>
    <x v="6"/>
    <x v="8"/>
    <n v="2032"/>
    <s v="Jim West"/>
    <n v="10061"/>
    <s v="Jim West"/>
    <s v="706-200-6522"/>
    <x v="2"/>
    <s v="westjb@hotmail.com"/>
    <s v="2984 Georgia 255, Sautee Nacoochee, GA, USA"/>
    <s v="2984 Georgia 255, Sautee Nacoochee, GA, USA"/>
    <x v="0"/>
    <s v="34.7043556, -83.6595083"/>
    <n v="10"/>
    <n v="10"/>
    <m/>
    <n v="1100"/>
    <n v="1100"/>
    <s v=""/>
    <m/>
    <n v="1"/>
    <n v="1100"/>
    <n v="1100"/>
    <m/>
    <m/>
    <m/>
    <m/>
    <n v="0"/>
    <n v="1"/>
    <n v="1100"/>
    <n v="0"/>
    <m/>
    <n v="1"/>
    <n v="1"/>
    <n v="1100"/>
    <n v="1100"/>
    <n v="0"/>
    <n v="0"/>
    <n v="0"/>
    <s v="Fortunei"/>
    <m/>
    <n v="8.1818181818181818E-2"/>
    <n v="90"/>
    <m/>
    <n v="90"/>
    <m/>
    <m/>
    <m/>
    <m/>
    <m/>
    <m/>
    <m/>
    <m/>
  </r>
  <r>
    <s v="US0152"/>
    <x v="6"/>
    <x v="8"/>
    <n v="2032"/>
    <s v="Kyle Flint"/>
    <n v="10094"/>
    <s v="Kyle Flint"/>
    <s v="405-215-8195"/>
    <x v="2"/>
    <s v="kyle.flint@bhboring.com"/>
    <s v="301 James Dean Dr Norman OK 73072-9793"/>
    <s v="2450 Cox City Rd, Rush Springs, OK, USA"/>
    <x v="0"/>
    <s v="35.023722, -97.734500"/>
    <n v="10"/>
    <n v="10"/>
    <m/>
    <n v="1100"/>
    <n v="1100"/>
    <s v=""/>
    <m/>
    <n v="1"/>
    <n v="1100"/>
    <n v="1100"/>
    <m/>
    <m/>
    <m/>
    <m/>
    <n v="0"/>
    <n v="1"/>
    <n v="1100"/>
    <n v="0"/>
    <m/>
    <n v="1"/>
    <n v="0.5"/>
    <n v="550"/>
    <n v="550"/>
    <n v="0"/>
    <n v="0"/>
    <n v="0"/>
    <s v="Fortunei"/>
    <m/>
    <n v="0"/>
    <n v="0"/>
    <m/>
    <m/>
    <m/>
    <m/>
    <m/>
    <m/>
    <m/>
    <m/>
    <m/>
    <m/>
  </r>
  <r>
    <s v="US0153"/>
    <x v="7"/>
    <x v="8"/>
    <n v="2032"/>
    <s v="Rob Cason"/>
    <n v="10116"/>
    <s v="Rob Cason"/>
    <s v="352-494-3072"/>
    <x v="2"/>
    <s v="robc@cheneybrothers.com"/>
    <s v="12060 NE County Road 237 Lake Butler FL 32054-5200"/>
    <s v="12060 NE County Road 237 Lake Butler FL 32054-5200"/>
    <x v="0"/>
    <s v="30.047118, -82.259403"/>
    <n v="13"/>
    <n v="13"/>
    <m/>
    <n v="1430"/>
    <n v="1430"/>
    <s v=""/>
    <m/>
    <n v="1"/>
    <n v="1430"/>
    <n v="1430"/>
    <m/>
    <m/>
    <m/>
    <m/>
    <n v="0"/>
    <n v="1"/>
    <n v="1430"/>
    <n v="0"/>
    <m/>
    <n v="1"/>
    <n v="1"/>
    <n v="1430"/>
    <n v="1430"/>
    <n v="0"/>
    <n v="0"/>
    <n v="0"/>
    <s v="Fortunei"/>
    <m/>
    <n v="1.3286713286713287E-2"/>
    <n v="19"/>
    <m/>
    <m/>
    <n v="19"/>
    <m/>
    <m/>
    <m/>
    <m/>
    <m/>
    <m/>
    <m/>
  </r>
  <r>
    <s v="US0154"/>
    <x v="7"/>
    <x v="8"/>
    <n v="2032"/>
    <s v="Steve Carson"/>
    <n v="10125"/>
    <s v="Steve Carson"/>
    <s v="813-731-1266"/>
    <x v="2"/>
    <s v="makanifl@verizon.net"/>
    <s v="9024 Breland Dr Tampa FL 33626-2974"/>
    <s v="1631 Georgia Highway 253, Donalsonville 39845 USA"/>
    <x v="0"/>
    <s v="31.002013, -84.443413"/>
    <n v="25"/>
    <n v="25"/>
    <m/>
    <n v="2750"/>
    <n v="2750"/>
    <s v=""/>
    <m/>
    <n v="1"/>
    <n v="2750"/>
    <n v="2750"/>
    <m/>
    <m/>
    <m/>
    <m/>
    <n v="0"/>
    <n v="1"/>
    <n v="2750"/>
    <n v="0"/>
    <m/>
    <n v="1"/>
    <n v="1"/>
    <n v="2750"/>
    <n v="2750"/>
    <n v="0"/>
    <n v="0"/>
    <n v="0"/>
    <s v="Fortunei"/>
    <s v="11,12"/>
    <n v="0.2"/>
    <n v="550"/>
    <m/>
    <n v="550"/>
    <m/>
    <m/>
    <m/>
    <m/>
    <m/>
    <m/>
    <m/>
    <m/>
  </r>
  <r>
    <s v="US0155"/>
    <x v="9"/>
    <x v="10"/>
    <n v="2033"/>
    <s v="Anthony Lea"/>
    <n v="10089"/>
    <s v="Jacqueline and Anthony Lea"/>
    <s v="225-939-2710"/>
    <x v="2"/>
    <s v="anthonylearph@gmail.com"/>
    <s v="41190 Cannon Road, Gonzales, LA 70737"/>
    <s v="Gretchen Lane Off, Covington, LA 70435"/>
    <x v="0"/>
    <s v="30.512792, -90.144444"/>
    <m/>
    <n v="12"/>
    <m/>
    <n v="1320"/>
    <n v="1320"/>
    <m/>
    <m/>
    <n v="1"/>
    <n v="1320"/>
    <n v="1320"/>
    <m/>
    <m/>
    <m/>
    <m/>
    <n v="0"/>
    <m/>
    <m/>
    <n v="1320"/>
    <n v="1"/>
    <n v="1"/>
    <n v="1"/>
    <n v="0"/>
    <n v="0"/>
    <n v="0"/>
    <n v="0"/>
    <n v="0"/>
    <s v="Fortunei"/>
    <s v="2,12,13,14,18"/>
    <n v="0"/>
    <n v="0"/>
    <m/>
    <m/>
    <m/>
    <m/>
    <m/>
    <m/>
    <m/>
    <m/>
    <m/>
    <m/>
  </r>
  <r>
    <s v="US0156"/>
    <x v="7"/>
    <x v="10"/>
    <n v="2033"/>
    <s v="Austin Stacy"/>
    <n v="10126"/>
    <s v="S&amp;S Timber Farms, Inc"/>
    <s v="678-943-7687"/>
    <x v="2"/>
    <s v="greggstacy2@aol.com , austinstacy25@gmail.com"/>
    <s v="5334 Birchland Court Buford GA 30518"/>
    <s v="1321 Ga Highway 15 S, Adrian, GA, 31002"/>
    <x v="0"/>
    <s v="32.5623385, -82.6182654"/>
    <m/>
    <n v="40"/>
    <m/>
    <n v="4400"/>
    <n v="4400"/>
    <s v=""/>
    <m/>
    <n v="1"/>
    <n v="4400"/>
    <n v="4400"/>
    <m/>
    <m/>
    <m/>
    <m/>
    <n v="0"/>
    <m/>
    <m/>
    <n v="4400"/>
    <n v="1"/>
    <n v="1"/>
    <n v="1"/>
    <n v="4400"/>
    <n v="4400"/>
    <n v="0"/>
    <n v="0"/>
    <n v="0"/>
    <s v="Fortunei"/>
    <m/>
    <n v="0"/>
    <n v="0"/>
    <m/>
    <m/>
    <m/>
    <m/>
    <m/>
    <m/>
    <m/>
    <m/>
    <m/>
    <m/>
  </r>
  <r>
    <s v="US0157"/>
    <x v="7"/>
    <x v="10"/>
    <n v="2033"/>
    <s v="Cortney and Josh Chancey"/>
    <n v="10127"/>
    <s v="Cortney and Josh Chancey"/>
    <s v="334-202-2441"/>
    <x v="2"/>
    <s v="cmp926@gmail.com"/>
    <s v="521 County Road 20 East, Marbury, AL 36051"/>
    <s v="521 County Road 20 E, Marbury, AL 36051"/>
    <x v="0"/>
    <s v="32.706608, -86.430760"/>
    <m/>
    <n v="10"/>
    <m/>
    <n v="1100"/>
    <n v="1100"/>
    <s v=""/>
    <m/>
    <n v="1"/>
    <n v="1100"/>
    <n v="1100"/>
    <m/>
    <m/>
    <m/>
    <m/>
    <n v="0"/>
    <m/>
    <m/>
    <n v="1100"/>
    <n v="1"/>
    <n v="1"/>
    <n v="1"/>
    <n v="1100"/>
    <n v="1100"/>
    <n v="0"/>
    <n v="0"/>
    <n v="0"/>
    <s v="Fortunei"/>
    <s v="18, 13"/>
    <n v="2.2727272727272728E-2"/>
    <n v="25"/>
    <m/>
    <n v="25"/>
    <m/>
    <m/>
    <m/>
    <m/>
    <m/>
    <m/>
    <m/>
    <m/>
  </r>
  <r>
    <s v="US0158"/>
    <x v="9"/>
    <x v="10"/>
    <n v="2033"/>
    <s v="Gary Goldsmith"/>
    <n v="10128"/>
    <s v="Gary Goldsmith and_x000a_Chester Dooly"/>
    <s v="850-240-0780, 850-305-3985"/>
    <x v="2"/>
    <s v="gmgoldsmith@hotmail.com, chester.dooly@conlanacres.com"/>
    <s v="211 Avondale Circle, Warner Robins, GA 31088"/>
    <s v="5690 Pine Level Road, Oglethorpe, GA 31068"/>
    <x v="0"/>
    <s v="32.42897, -84.09932"/>
    <m/>
    <n v="10"/>
    <m/>
    <n v="1100"/>
    <n v="1100"/>
    <m/>
    <m/>
    <n v="1"/>
    <n v="1100"/>
    <n v="1100"/>
    <m/>
    <m/>
    <m/>
    <m/>
    <n v="0"/>
    <m/>
    <m/>
    <n v="1100"/>
    <n v="1"/>
    <n v="1"/>
    <n v="1"/>
    <n v="0"/>
    <n v="0"/>
    <n v="0"/>
    <n v="0"/>
    <n v="0"/>
    <s v="Fortunei"/>
    <m/>
    <n v="0"/>
    <n v="0"/>
    <m/>
    <m/>
    <m/>
    <m/>
    <m/>
    <m/>
    <m/>
    <m/>
    <m/>
    <m/>
  </r>
  <r>
    <s v="US0159"/>
    <x v="9"/>
    <x v="10"/>
    <n v="2033"/>
    <s v="Greg Lumpkin"/>
    <n v="10123"/>
    <s v="WT Lumpkin Farms"/>
    <s v="229-317-3926"/>
    <x v="2"/>
    <s v="gregtlumpkin@yahoo.com"/>
    <s v="274 Snapper rd Coleman Ga 39836"/>
    <s v="274 Snapper Rd, Coleman GA, 39840"/>
    <x v="0"/>
    <s v="31.6701278, -84.811122"/>
    <m/>
    <n v="6"/>
    <m/>
    <n v="660"/>
    <n v="660"/>
    <s v=""/>
    <m/>
    <n v="1"/>
    <n v="660"/>
    <n v="660"/>
    <m/>
    <m/>
    <m/>
    <m/>
    <n v="0"/>
    <m/>
    <m/>
    <n v="660"/>
    <n v="1"/>
    <n v="1"/>
    <n v="1"/>
    <n v="660"/>
    <n v="660"/>
    <n v="0"/>
    <n v="0"/>
    <n v="0"/>
    <s v="Fortunei"/>
    <m/>
    <n v="0.30303030303030304"/>
    <n v="200"/>
    <m/>
    <n v="200"/>
    <m/>
    <m/>
    <m/>
    <m/>
    <m/>
    <m/>
    <m/>
    <m/>
  </r>
  <r>
    <s v="US0160"/>
    <x v="9"/>
    <x v="10"/>
    <n v="2033"/>
    <s v="Keller Galpin"/>
    <n v="10129"/>
    <s v="Keller Galpin"/>
    <s v="229-220-9169"/>
    <x v="2"/>
    <s v="kwgalpin@gmail.com"/>
    <s v="2113 Blacklake Circle, Bainbridge, Ga 39819"/>
    <s v="Off Sharber Rd, Bainbridge, GA, 39817"/>
    <x v="0"/>
    <s v="30.9439, -84.52606"/>
    <m/>
    <n v="10"/>
    <m/>
    <n v="1100"/>
    <n v="1100"/>
    <s v=""/>
    <m/>
    <n v="1"/>
    <n v="1100"/>
    <n v="1100"/>
    <m/>
    <m/>
    <m/>
    <m/>
    <n v="0"/>
    <m/>
    <m/>
    <n v="1100"/>
    <n v="1"/>
    <n v="1"/>
    <n v="1"/>
    <n v="1100"/>
    <n v="1100"/>
    <n v="0"/>
    <n v="0"/>
    <n v="0"/>
    <s v="Fortunei"/>
    <m/>
    <n v="0"/>
    <n v="0"/>
    <m/>
    <m/>
    <m/>
    <m/>
    <m/>
    <m/>
    <m/>
    <m/>
    <m/>
    <m/>
  </r>
  <r>
    <s v="US0161"/>
    <x v="9"/>
    <x v="10"/>
    <n v="2033"/>
    <s v="Ken English"/>
    <n v="10130"/>
    <s v="Ken English"/>
    <s v="334-447-1046"/>
    <x v="2"/>
    <s v="kenenglish27@gmail.com"/>
    <s v="285 County Road 247, Elba, AL, USA"/>
    <s v="285 County Road 247, Elba, AL, USA"/>
    <x v="0"/>
    <s v="31.44218, -85.98702"/>
    <m/>
    <n v="15.454545454545455"/>
    <m/>
    <n v="1700"/>
    <n v="1700"/>
    <s v=""/>
    <m/>
    <n v="1"/>
    <n v="1700"/>
    <n v="1700"/>
    <m/>
    <m/>
    <m/>
    <m/>
    <n v="0"/>
    <m/>
    <m/>
    <n v="1700"/>
    <n v="1"/>
    <n v="1"/>
    <n v="1"/>
    <n v="1700"/>
    <n v="1700"/>
    <n v="0"/>
    <n v="0"/>
    <n v="0"/>
    <s v="Fortunei"/>
    <m/>
    <n v="0"/>
    <n v="0"/>
    <m/>
    <m/>
    <m/>
    <m/>
    <m/>
    <m/>
    <m/>
    <m/>
    <m/>
    <m/>
  </r>
  <r>
    <s v="US0162"/>
    <x v="9"/>
    <x v="10"/>
    <n v="2033"/>
    <s v="Manuel Folsom"/>
    <n v="10131"/>
    <s v="Manuel Folsom"/>
    <s v="850-624-2222"/>
    <x v="2"/>
    <s v="manuel.folsom@yahoo.com"/>
    <s v="4213 De Len Drive, Panama City, FL 32404"/>
    <s v="3821 Southwest County Road 534, Mayo, FL, USA"/>
    <x v="0"/>
    <s v="30.08279, -83.29082"/>
    <m/>
    <n v="17"/>
    <m/>
    <n v="1870"/>
    <n v="1870"/>
    <s v=""/>
    <m/>
    <n v="1"/>
    <n v="1870"/>
    <n v="1870"/>
    <m/>
    <m/>
    <m/>
    <m/>
    <n v="0"/>
    <m/>
    <m/>
    <n v="1870"/>
    <n v="1"/>
    <n v="1"/>
    <n v="0.3"/>
    <n v="561"/>
    <n v="561"/>
    <n v="0"/>
    <n v="0"/>
    <n v="0"/>
    <s v="Fortunei"/>
    <m/>
    <n v="0"/>
    <n v="0"/>
    <m/>
    <m/>
    <m/>
    <m/>
    <m/>
    <m/>
    <m/>
    <m/>
    <m/>
    <m/>
  </r>
  <r>
    <s v="US0163"/>
    <x v="9"/>
    <x v="10"/>
    <n v="2033"/>
    <s v="Rick Griffis"/>
    <n v="10115"/>
    <s v="Martha and Rick Griffis"/>
    <s v="229-834-8941"/>
    <x v="2"/>
    <s v="rickgriffis53@gmail.com"/>
    <s v="3272 GA Highway 135 N Lake Park GA 31636-6137"/>
    <s v="3272 GA Highway 135 N Lake Park GA 31636-6137"/>
    <x v="0"/>
    <s v="30.824649, -83.054345"/>
    <m/>
    <n v="10"/>
    <m/>
    <n v="1100"/>
    <n v="1100"/>
    <s v=""/>
    <m/>
    <n v="1"/>
    <n v="1100"/>
    <n v="1100"/>
    <m/>
    <m/>
    <m/>
    <m/>
    <n v="0"/>
    <m/>
    <m/>
    <n v="1100"/>
    <n v="1"/>
    <n v="1"/>
    <n v="1"/>
    <n v="1100"/>
    <n v="1100"/>
    <n v="0"/>
    <n v="0"/>
    <n v="0"/>
    <s v="Fortunei"/>
    <m/>
    <n v="0"/>
    <n v="0"/>
    <m/>
    <m/>
    <m/>
    <m/>
    <m/>
    <m/>
    <m/>
    <m/>
    <m/>
    <m/>
  </r>
  <r>
    <s v="US0164"/>
    <x v="9"/>
    <x v="10"/>
    <n v="2033"/>
    <s v="Steve Carson"/>
    <n v="10125"/>
    <s v="Steve Carson"/>
    <s v="813-731-1266"/>
    <x v="2"/>
    <s v="makanifl78@yahoo.com"/>
    <s v="9024 Breland Dr Tampa FL 33626-2974"/>
    <m/>
    <x v="0"/>
    <s v="31.00422383,-84.4464961"/>
    <m/>
    <n v="20"/>
    <m/>
    <n v="2310"/>
    <n v="2200"/>
    <n v="110"/>
    <n v="-110"/>
    <n v="1"/>
    <n v="2310"/>
    <n v="2200"/>
    <m/>
    <m/>
    <m/>
    <m/>
    <n v="0"/>
    <m/>
    <m/>
    <n v="2200"/>
    <n v="1"/>
    <n v="1"/>
    <n v="1"/>
    <n v="2200"/>
    <n v="2200"/>
    <n v="0"/>
    <n v="0"/>
    <n v="0"/>
    <s v="Fortunei"/>
    <n v="11"/>
    <n v="0.23809523809523808"/>
    <n v="550"/>
    <m/>
    <n v="550"/>
    <m/>
    <m/>
    <m/>
    <m/>
    <m/>
    <m/>
    <m/>
    <m/>
  </r>
  <r>
    <s v="US0165"/>
    <x v="9"/>
    <x v="10"/>
    <n v="2033"/>
    <s v="Steven Hunter"/>
    <n v="10104"/>
    <s v="Steven and_x000a_Christy Hunter"/>
    <s v="205-405-0233"/>
    <x v="2"/>
    <s v="stevenhunter@protonmail.com"/>
    <s v="2645 State Highway 139, Maplesville, Alabama_x000a_36750, USA"/>
    <s v="AL HWY 139, Maplesville, AL"/>
    <x v="0"/>
    <s v="32.8212800, -86.8920200"/>
    <m/>
    <n v="20"/>
    <m/>
    <n v="2200"/>
    <n v="2200"/>
    <s v=""/>
    <m/>
    <n v="1"/>
    <n v="2200"/>
    <n v="2200"/>
    <m/>
    <m/>
    <m/>
    <m/>
    <n v="0"/>
    <m/>
    <m/>
    <n v="2200"/>
    <n v="1"/>
    <n v="1"/>
    <n v="1"/>
    <n v="2200"/>
    <n v="2200"/>
    <n v="0"/>
    <n v="0"/>
    <n v="0"/>
    <s v="Fortunei"/>
    <s v="18, "/>
    <n v="4.5454545454545456E-2"/>
    <n v="100"/>
    <m/>
    <n v="100"/>
    <m/>
    <m/>
    <m/>
    <m/>
    <m/>
    <m/>
    <m/>
    <m/>
  </r>
  <r>
    <s v="CR0106"/>
    <x v="7"/>
    <x v="10"/>
    <n v="2033"/>
    <s v="Eduardo Trejos"/>
    <n v="20098"/>
    <s v="Eduardo Trejos"/>
    <m/>
    <x v="2"/>
    <s v="eduardotrejosobando@gmail.com"/>
    <m/>
    <s v="La Rita de Guapiles"/>
    <x v="1"/>
    <s v="10.331239, -83.715675"/>
    <m/>
    <n v="7.4131503108889909"/>
    <m/>
    <n v="1200"/>
    <n v="1200"/>
    <s v=""/>
    <m/>
    <n v="1"/>
    <n v="1200"/>
    <n v="1200"/>
    <m/>
    <m/>
    <m/>
    <m/>
    <n v="0"/>
    <m/>
    <m/>
    <n v="1200"/>
    <n v="1"/>
    <n v="1"/>
    <n v="1"/>
    <n v="1200"/>
    <n v="1200"/>
    <n v="0"/>
    <n v="0"/>
    <n v="0"/>
    <s v="Elongata CR"/>
    <s v="Elongata CR"/>
    <m/>
    <m/>
    <m/>
    <m/>
    <m/>
    <m/>
    <m/>
    <m/>
    <m/>
    <m/>
    <m/>
    <m/>
  </r>
  <r>
    <s v="CR0107"/>
    <x v="7"/>
    <x v="10"/>
    <n v="2033"/>
    <m/>
    <n v="20099"/>
    <s v="Rodrigo Mora"/>
    <n v="50686947869"/>
    <x v="2"/>
    <s v="roalmoa@gmail.com"/>
    <m/>
    <m/>
    <x v="1"/>
    <m/>
    <m/>
    <n v="7.4131503108889909"/>
    <m/>
    <n v="1200"/>
    <n v="1200"/>
    <s v=""/>
    <m/>
    <n v="1"/>
    <n v="1200"/>
    <n v="1200"/>
    <m/>
    <m/>
    <m/>
    <m/>
    <n v="0"/>
    <m/>
    <m/>
    <n v="1200"/>
    <n v="1"/>
    <n v="1"/>
    <n v="1"/>
    <n v="1200"/>
    <n v="1200"/>
    <n v="0"/>
    <n v="0"/>
    <n v="0"/>
    <m/>
    <s v="Elongata CR"/>
    <m/>
    <m/>
    <m/>
    <m/>
    <m/>
    <m/>
    <m/>
    <m/>
    <m/>
    <m/>
    <m/>
    <m/>
  </r>
  <r>
    <s v="CR0108"/>
    <x v="9"/>
    <x v="10"/>
    <n v="2033"/>
    <s v="Leidi Villalobos Arius"/>
    <n v="20100"/>
    <s v="Leidy Judith de la Trinidad Villalobos Arias, Carolina Castro"/>
    <s v="83120389 and 84152315"/>
    <x v="2"/>
    <s v="serviciosvillalobos94@gmail,com"/>
    <m/>
    <m/>
    <x v="1"/>
    <s v="10.7182-84.8363"/>
    <m/>
    <n v="7.4131503108889909"/>
    <m/>
    <n v="1200"/>
    <n v="1200"/>
    <s v=""/>
    <m/>
    <n v="1"/>
    <n v="1200"/>
    <n v="1200"/>
    <m/>
    <m/>
    <m/>
    <m/>
    <n v="0"/>
    <m/>
    <m/>
    <n v="1200"/>
    <n v="1"/>
    <n v="1"/>
    <n v="1"/>
    <n v="1200"/>
    <n v="1200"/>
    <n v="0"/>
    <n v="0"/>
    <n v="0"/>
    <m/>
    <s v="Elongata CR"/>
    <m/>
    <m/>
    <m/>
    <m/>
    <m/>
    <m/>
    <m/>
    <m/>
    <m/>
    <m/>
    <m/>
    <m/>
  </r>
  <r>
    <s v="CR0110"/>
    <x v="9"/>
    <x v="10"/>
    <n v="2033"/>
    <m/>
    <n v="20091"/>
    <s v="Jose Francisco Angulo"/>
    <m/>
    <x v="2"/>
    <s v="eraulangulo@gmail.com;fedemais2000@gmail.com"/>
    <m/>
    <m/>
    <x v="1"/>
    <s v="9.715530-84.493030"/>
    <m/>
    <n v="4.942100207259327"/>
    <m/>
    <n v="800"/>
    <n v="800"/>
    <m/>
    <m/>
    <n v="1"/>
    <n v="800"/>
    <n v="800"/>
    <m/>
    <m/>
    <m/>
    <m/>
    <n v="0"/>
    <m/>
    <m/>
    <n v="800"/>
    <n v="1"/>
    <n v="1"/>
    <n v="1"/>
    <n v="800"/>
    <n v="800"/>
    <n v="0"/>
    <n v="0"/>
    <n v="0"/>
    <m/>
    <m/>
    <m/>
    <m/>
    <m/>
    <m/>
    <m/>
    <m/>
    <m/>
    <m/>
    <m/>
    <m/>
    <m/>
    <m/>
  </r>
  <r>
    <s v="CR0109"/>
    <x v="9"/>
    <x v="10"/>
    <n v="2033"/>
    <m/>
    <n v="20101"/>
    <s v="Carlos Garcia"/>
    <s v="506-85998467,50663441753"/>
    <x v="2"/>
    <s v="cgarcia.rodriguez.75@gmail.com;marlenyrodcam@gmail.com"/>
    <m/>
    <m/>
    <x v="1"/>
    <s v="10.4297514509-84.4295795273"/>
    <m/>
    <m/>
    <m/>
    <n v="1800"/>
    <n v="1800"/>
    <m/>
    <m/>
    <n v="1"/>
    <n v="1800"/>
    <n v="1800"/>
    <m/>
    <m/>
    <m/>
    <m/>
    <n v="0"/>
    <m/>
    <m/>
    <n v="1800"/>
    <n v="1"/>
    <n v="1"/>
    <n v="1"/>
    <n v="1800"/>
    <n v="1800"/>
    <n v="0"/>
    <n v="0"/>
    <n v="0"/>
    <m/>
    <m/>
    <m/>
    <m/>
    <m/>
    <m/>
    <m/>
    <m/>
    <m/>
    <m/>
    <m/>
    <m/>
    <m/>
    <m/>
  </r>
  <r>
    <s v="CR0111"/>
    <x v="9"/>
    <x v="10"/>
    <n v="2033"/>
    <m/>
    <n v="20102"/>
    <s v="Ricardo Blanco"/>
    <m/>
    <x v="2"/>
    <s v="provial.ro@gmail.com"/>
    <m/>
    <m/>
    <x v="1"/>
    <s v="10.393608-84.433483"/>
    <m/>
    <m/>
    <m/>
    <n v="2400"/>
    <n v="2400"/>
    <m/>
    <m/>
    <n v="1"/>
    <n v="2400"/>
    <n v="2400"/>
    <m/>
    <m/>
    <m/>
    <m/>
    <n v="0"/>
    <m/>
    <m/>
    <n v="2400"/>
    <n v="1"/>
    <n v="1"/>
    <n v="1"/>
    <n v="2400"/>
    <n v="2400"/>
    <n v="0"/>
    <n v="0"/>
    <n v="0"/>
    <m/>
    <m/>
    <m/>
    <m/>
    <m/>
    <m/>
    <m/>
    <m/>
    <m/>
    <m/>
    <m/>
    <m/>
    <m/>
    <m/>
  </r>
  <r>
    <m/>
    <x v="7"/>
    <x v="10"/>
    <n v="2033"/>
    <m/>
    <m/>
    <s v="Roberto Morales Domínguez"/>
    <s v="923 117 6486"/>
    <x v="2"/>
    <m/>
    <m/>
    <s v="Ej. Benito Juárez S/N, Las Choapas, Veracruz."/>
    <x v="3"/>
    <s v="17.3262367,-93.7438911"/>
    <m/>
    <m/>
    <m/>
    <n v="2475"/>
    <n v="1000"/>
    <n v="1475"/>
    <m/>
    <n v="1"/>
    <n v="2475"/>
    <n v="2400"/>
    <m/>
    <m/>
    <m/>
    <m/>
    <m/>
    <m/>
    <m/>
    <m/>
    <m/>
    <m/>
    <m/>
    <m/>
    <m/>
    <m/>
    <m/>
    <m/>
    <m/>
    <m/>
    <m/>
    <m/>
    <m/>
    <m/>
    <m/>
    <m/>
    <m/>
    <m/>
    <m/>
    <m/>
    <m/>
    <m/>
  </r>
  <r>
    <m/>
    <x v="7"/>
    <x v="10"/>
    <n v="2033"/>
    <m/>
    <m/>
    <s v="Samuel Domínguez Gómez"/>
    <m/>
    <x v="2"/>
    <m/>
    <m/>
    <s v="Ej. Benito Juárez S/N, Las Choapas, Veracruz."/>
    <x v="3"/>
    <s v="17.3189185,-93.7432548"/>
    <m/>
    <m/>
    <m/>
    <n v="2200"/>
    <n v="1150"/>
    <n v="1050"/>
    <m/>
    <n v="1"/>
    <n v="2200"/>
    <n v="2400"/>
    <m/>
    <m/>
    <m/>
    <m/>
    <m/>
    <m/>
    <m/>
    <m/>
    <m/>
    <m/>
    <m/>
    <m/>
    <m/>
    <m/>
    <m/>
    <m/>
    <m/>
    <m/>
    <m/>
    <m/>
    <m/>
    <m/>
    <m/>
    <m/>
    <m/>
    <m/>
    <m/>
    <m/>
    <m/>
    <m/>
  </r>
  <r>
    <m/>
    <x v="7"/>
    <x v="10"/>
    <n v="2033"/>
    <m/>
    <m/>
    <s v="Gelix Quirasco Sixteco"/>
    <m/>
    <x v="2"/>
    <m/>
    <m/>
    <s v="Ejido N.C.P.A. Vicente Guerrero. Las Choapas, Veracruz."/>
    <x v="3"/>
    <s v="17.424491, -93.803707"/>
    <m/>
    <m/>
    <m/>
    <n v="550"/>
    <n v="550"/>
    <s v=""/>
    <m/>
    <n v="1"/>
    <n v="550"/>
    <n v="2400"/>
    <m/>
    <m/>
    <m/>
    <m/>
    <m/>
    <m/>
    <m/>
    <m/>
    <m/>
    <m/>
    <m/>
    <m/>
    <m/>
    <m/>
    <m/>
    <m/>
    <m/>
    <m/>
    <m/>
    <m/>
    <m/>
    <n v="550"/>
    <m/>
    <m/>
    <m/>
    <m/>
    <m/>
    <m/>
    <m/>
    <m/>
  </r>
  <r>
    <m/>
    <x v="7"/>
    <x v="10"/>
    <n v="2033"/>
    <m/>
    <m/>
    <s v="Gustavo David Zamora Utrera"/>
    <n v="529231208846"/>
    <x v="2"/>
    <m/>
    <m/>
    <m/>
    <x v="3"/>
    <s v="17.39534167-93.77971765"/>
    <m/>
    <s v=""/>
    <m/>
    <n v="1100"/>
    <n v="550"/>
    <n v="550"/>
    <m/>
    <n v="1"/>
    <n v="1100"/>
    <n v="2400"/>
    <m/>
    <m/>
    <m/>
    <m/>
    <n v="0"/>
    <m/>
    <m/>
    <m/>
    <m/>
    <m/>
    <m/>
    <m/>
    <m/>
    <n v="0"/>
    <n v="0"/>
    <n v="0"/>
    <m/>
    <m/>
    <m/>
    <m/>
    <m/>
    <m/>
    <m/>
    <m/>
    <m/>
    <m/>
    <m/>
    <m/>
    <m/>
    <m/>
  </r>
  <r>
    <m/>
    <x v="7"/>
    <x v="10"/>
    <n v="2033"/>
    <m/>
    <m/>
    <s v="Hugo Zamora Viveros"/>
    <m/>
    <x v="2"/>
    <m/>
    <m/>
    <s v="Ejido Río Playas. Las Choapas, Veracruz."/>
    <x v="3"/>
    <s v="17.38856997 -93.77116978"/>
    <m/>
    <m/>
    <m/>
    <n v="1650"/>
    <n v="670"/>
    <n v="980"/>
    <m/>
    <n v="1"/>
    <n v="1650"/>
    <n v="2400"/>
    <m/>
    <m/>
    <m/>
    <m/>
    <m/>
    <m/>
    <m/>
    <m/>
    <m/>
    <m/>
    <m/>
    <m/>
    <m/>
    <m/>
    <m/>
    <m/>
    <m/>
    <m/>
    <m/>
    <m/>
    <m/>
    <m/>
    <m/>
    <m/>
    <m/>
    <m/>
    <m/>
    <m/>
    <m/>
    <m/>
  </r>
  <r>
    <m/>
    <x v="7"/>
    <x v="10"/>
    <n v="2033"/>
    <m/>
    <m/>
    <s v="José Crecencio Zamora Viveros"/>
    <m/>
    <x v="2"/>
    <m/>
    <m/>
    <s v="Ejido Pueblo Viejo. Las Choapas, Veracruz de la Llave. "/>
    <x v="3"/>
    <s v="17.39444359 -93.77239354"/>
    <m/>
    <m/>
    <m/>
    <n v="550"/>
    <n v="1000"/>
    <n v="-450"/>
    <m/>
    <n v="1"/>
    <n v="550"/>
    <n v="2400"/>
    <m/>
    <m/>
    <m/>
    <m/>
    <m/>
    <m/>
    <m/>
    <m/>
    <m/>
    <m/>
    <m/>
    <m/>
    <m/>
    <m/>
    <m/>
    <m/>
    <m/>
    <m/>
    <m/>
    <m/>
    <m/>
    <m/>
    <m/>
    <m/>
    <m/>
    <m/>
    <m/>
    <m/>
    <m/>
    <m/>
  </r>
  <r>
    <m/>
    <x v="7"/>
    <x v="10"/>
    <n v="2033"/>
    <m/>
    <m/>
    <s v="Leopoldo Torales González"/>
    <m/>
    <x v="2"/>
    <m/>
    <m/>
    <s v="Predio Rústico San Juan Camalotal del Municipio de Las Choapas, Veracruz."/>
    <x v="3"/>
    <s v="17.42363581 -93.7994805"/>
    <m/>
    <m/>
    <m/>
    <n v="1100"/>
    <n v="1100"/>
    <s v=""/>
    <m/>
    <n v="1"/>
    <n v="1100"/>
    <n v="2400"/>
    <m/>
    <m/>
    <m/>
    <m/>
    <m/>
    <m/>
    <m/>
    <m/>
    <m/>
    <m/>
    <m/>
    <m/>
    <m/>
    <m/>
    <m/>
    <m/>
    <m/>
    <m/>
    <m/>
    <m/>
    <m/>
    <m/>
    <m/>
    <m/>
    <m/>
    <m/>
    <m/>
    <m/>
    <m/>
    <m/>
  </r>
  <r>
    <m/>
    <x v="7"/>
    <x v="10"/>
    <n v="2033"/>
    <m/>
    <m/>
    <s v="Valente Zamora Utrera"/>
    <m/>
    <x v="2"/>
    <m/>
    <m/>
    <s v="Ejido Pueblo Viejo. Las Choapas, Veracruz de la Llave. "/>
    <x v="3"/>
    <s v="17.38913629 -93.77397504"/>
    <m/>
    <m/>
    <m/>
    <n v="1100"/>
    <n v="1100"/>
    <s v=""/>
    <m/>
    <n v="1"/>
    <n v="1100"/>
    <n v="2400"/>
    <m/>
    <m/>
    <m/>
    <m/>
    <m/>
    <m/>
    <m/>
    <m/>
    <m/>
    <m/>
    <m/>
    <m/>
    <m/>
    <m/>
    <m/>
    <m/>
    <m/>
    <m/>
    <m/>
    <m/>
    <m/>
    <n v="150"/>
    <m/>
    <m/>
    <m/>
    <m/>
    <m/>
    <m/>
    <m/>
    <m/>
  </r>
  <r>
    <m/>
    <x v="7"/>
    <x v="10"/>
    <n v="2033"/>
    <s v="Alberto Amezcua"/>
    <m/>
    <s v="Alberto Amezcua Chávez"/>
    <n v="8162998970"/>
    <x v="2"/>
    <s v="alberto-aac@hotmail.com"/>
    <m/>
    <s v="Colonia Agrícola y Ganadera Coahuila, del municipio de Playa Vicente, Veracruz."/>
    <x v="3"/>
    <s v="17.6995652-95.5325522"/>
    <m/>
    <m/>
    <m/>
    <n v="2750"/>
    <n v="2750"/>
    <s v=""/>
    <m/>
    <n v="1"/>
    <n v="2750"/>
    <n v="2400"/>
    <m/>
    <m/>
    <m/>
    <m/>
    <m/>
    <m/>
    <m/>
    <m/>
    <m/>
    <m/>
    <m/>
    <m/>
    <m/>
    <m/>
    <m/>
    <m/>
    <m/>
    <m/>
    <m/>
    <m/>
    <m/>
    <m/>
    <m/>
    <m/>
    <m/>
    <m/>
    <m/>
    <m/>
    <m/>
    <m/>
  </r>
  <r>
    <m/>
    <x v="7"/>
    <x v="10"/>
    <n v="2033"/>
    <s v="María Álvarez Rivera"/>
    <m/>
    <s v="Leonel Mendoza Moreno"/>
    <n v="524433374096"/>
    <x v="2"/>
    <s v="mariaalvarezrivera321@gmail.com"/>
    <m/>
    <s v="Predio Rústico Santa Sofía, Tuxtepec, Oaxaca."/>
    <x v="3"/>
    <s v="17.8019092-95.8793005"/>
    <m/>
    <m/>
    <m/>
    <n v="2750"/>
    <n v="2750"/>
    <s v=""/>
    <m/>
    <n v="1"/>
    <n v="2750"/>
    <n v="2400"/>
    <m/>
    <m/>
    <m/>
    <m/>
    <m/>
    <m/>
    <m/>
    <m/>
    <m/>
    <m/>
    <m/>
    <m/>
    <m/>
    <m/>
    <m/>
    <m/>
    <m/>
    <m/>
    <m/>
    <m/>
    <m/>
    <m/>
    <m/>
    <m/>
    <m/>
    <m/>
    <m/>
    <m/>
    <m/>
    <m/>
  </r>
  <r>
    <m/>
    <x v="7"/>
    <x v="10"/>
    <n v="2033"/>
    <m/>
    <m/>
    <s v="Ruben Fernández Méndez"/>
    <n v="522831003239"/>
    <x v="2"/>
    <s v="bulbarela12345@gmail.com"/>
    <m/>
    <s v="Localidad La Soledad, Juan Rodríguez Clara, Veracruz, México, C.P. 95676."/>
    <x v="3"/>
    <s v="17.9506003-95.3010965"/>
    <m/>
    <m/>
    <m/>
    <n v="5500"/>
    <n v="1980"/>
    <n v="3520"/>
    <m/>
    <n v="1"/>
    <n v="5500"/>
    <n v="2400"/>
    <m/>
    <m/>
    <m/>
    <m/>
    <m/>
    <m/>
    <m/>
    <m/>
    <m/>
    <m/>
    <m/>
    <m/>
    <m/>
    <m/>
    <m/>
    <m/>
    <m/>
    <m/>
    <m/>
    <m/>
    <m/>
    <m/>
    <m/>
    <m/>
    <m/>
    <m/>
    <m/>
    <m/>
    <m/>
    <m/>
  </r>
  <r>
    <m/>
    <x v="7"/>
    <x v="10"/>
    <n v="2033"/>
    <m/>
    <m/>
    <s v="José Pastor Gutiérrez Rodríguez "/>
    <n v="529231393940"/>
    <x v="2"/>
    <m/>
    <m/>
    <s v="Ejido Los Liberales, Municipio de Uxpanapa, Estado de Veracruz."/>
    <x v="3"/>
    <s v="17.3242687-94.1495566"/>
    <m/>
    <m/>
    <m/>
    <n v="550"/>
    <n v="550"/>
    <s v=""/>
    <m/>
    <n v="1"/>
    <n v="550"/>
    <n v="2400"/>
    <m/>
    <m/>
    <m/>
    <m/>
    <m/>
    <m/>
    <m/>
    <m/>
    <m/>
    <m/>
    <m/>
    <m/>
    <m/>
    <m/>
    <m/>
    <m/>
    <m/>
    <m/>
    <m/>
    <m/>
    <m/>
    <n v="140"/>
    <m/>
    <m/>
    <m/>
    <m/>
    <m/>
    <m/>
    <m/>
    <m/>
  </r>
  <r>
    <m/>
    <x v="7"/>
    <x v="10"/>
    <n v="2033"/>
    <m/>
    <m/>
    <s v="Tomás García Rodríguez"/>
    <n v="529221006546"/>
    <x v="2"/>
    <m/>
    <m/>
    <s v="Ejido Los Liberales, Municipio de Uxpanapa, Estado de Veracruz."/>
    <x v="3"/>
    <s v="17.3168959-94.1362131"/>
    <m/>
    <m/>
    <m/>
    <n v="550"/>
    <n v="550"/>
    <s v=""/>
    <m/>
    <n v="1"/>
    <n v="550"/>
    <n v="2400"/>
    <m/>
    <m/>
    <m/>
    <m/>
    <m/>
    <m/>
    <m/>
    <m/>
    <m/>
    <m/>
    <m/>
    <m/>
    <m/>
    <m/>
    <m/>
    <m/>
    <m/>
    <m/>
    <m/>
    <m/>
    <m/>
    <n v="50"/>
    <m/>
    <m/>
    <m/>
    <m/>
    <m/>
    <m/>
    <m/>
    <m/>
  </r>
  <r>
    <m/>
    <x v="7"/>
    <x v="10"/>
    <n v="2033"/>
    <m/>
    <m/>
    <s v="Reyna Rangel Cruz"/>
    <m/>
    <x v="2"/>
    <m/>
    <m/>
    <s v="Ejido Los Liberales, Municipio de Uxpanapa, Estado de Veracruz."/>
    <x v="3"/>
    <s v="17.3227256-94.1536424"/>
    <m/>
    <m/>
    <m/>
    <n v="550"/>
    <n v="550"/>
    <s v=""/>
    <m/>
    <n v="1"/>
    <n v="550"/>
    <n v="2400"/>
    <m/>
    <m/>
    <m/>
    <m/>
    <m/>
    <m/>
    <m/>
    <m/>
    <m/>
    <m/>
    <m/>
    <m/>
    <m/>
    <m/>
    <m/>
    <m/>
    <m/>
    <m/>
    <m/>
    <m/>
    <m/>
    <n v="140"/>
    <m/>
    <m/>
    <m/>
    <m/>
    <m/>
    <m/>
    <m/>
    <m/>
  </r>
  <r>
    <m/>
    <x v="7"/>
    <x v="10"/>
    <n v="2033"/>
    <m/>
    <m/>
    <s v="Facundo Medina Delgado"/>
    <m/>
    <x v="2"/>
    <m/>
    <m/>
    <s v="Ejido Los Liberales, Municipio de Uxpanapa, Estado de Veracruz."/>
    <x v="3"/>
    <s v="17.3314977-94.1353051"/>
    <m/>
    <m/>
    <m/>
    <n v="550"/>
    <n v="550"/>
    <s v=""/>
    <m/>
    <n v="1"/>
    <n v="550"/>
    <n v="2400"/>
    <m/>
    <m/>
    <m/>
    <m/>
    <m/>
    <m/>
    <m/>
    <m/>
    <m/>
    <m/>
    <m/>
    <m/>
    <m/>
    <m/>
    <m/>
    <m/>
    <m/>
    <m/>
    <m/>
    <m/>
    <m/>
    <m/>
    <m/>
    <m/>
    <m/>
    <m/>
    <m/>
    <m/>
    <m/>
    <m/>
  </r>
  <r>
    <m/>
    <x v="7"/>
    <x v="10"/>
    <n v="2033"/>
    <m/>
    <m/>
    <s v="Benita Rendón Ambrocio"/>
    <m/>
    <x v="2"/>
    <m/>
    <m/>
    <s v="Ejido Los Liberales, Municipio de Uxpanapa, Estado de Veracruz."/>
    <x v="3"/>
    <s v="17.3251813-94.138121"/>
    <m/>
    <m/>
    <m/>
    <n v="550"/>
    <n v="550"/>
    <s v=""/>
    <m/>
    <n v="1"/>
    <n v="550"/>
    <n v="2400"/>
    <m/>
    <m/>
    <m/>
    <m/>
    <m/>
    <m/>
    <m/>
    <m/>
    <m/>
    <m/>
    <m/>
    <m/>
    <m/>
    <m/>
    <m/>
    <m/>
    <m/>
    <m/>
    <m/>
    <m/>
    <m/>
    <n v="150"/>
    <m/>
    <m/>
    <m/>
    <m/>
    <m/>
    <m/>
    <m/>
    <m/>
  </r>
  <r>
    <m/>
    <x v="7"/>
    <x v="10"/>
    <n v="2033"/>
    <m/>
    <m/>
    <s v="Alfonso Juan Durán"/>
    <m/>
    <x v="2"/>
    <m/>
    <m/>
    <s v="Ejido Los Liberales, Municipio de Uxpanapa, Estado de Veracruz."/>
    <x v="3"/>
    <s v="17.3173835-94.126369"/>
    <m/>
    <m/>
    <m/>
    <n v="550"/>
    <n v="550"/>
    <s v=""/>
    <m/>
    <n v="1"/>
    <n v="550"/>
    <n v="2400"/>
    <m/>
    <m/>
    <m/>
    <m/>
    <m/>
    <m/>
    <m/>
    <m/>
    <m/>
    <m/>
    <m/>
    <m/>
    <m/>
    <m/>
    <m/>
    <m/>
    <m/>
    <m/>
    <m/>
    <m/>
    <m/>
    <n v="150"/>
    <m/>
    <m/>
    <m/>
    <m/>
    <m/>
    <m/>
    <m/>
    <m/>
  </r>
  <r>
    <m/>
    <x v="7"/>
    <x v="10"/>
    <n v="2033"/>
    <s v="Delfino Cruz Mil"/>
    <m/>
    <s v="Gonzalo Cruz Jiménez"/>
    <n v="524401684602"/>
    <x v="2"/>
    <s v="trujillojuana798@gmail.com"/>
    <m/>
    <s v="Ejido Candido Aguilar, Municipio de Minatitlan, Veracruz, México, C.P. 96700"/>
    <x v="3"/>
    <s v="17.4902304-94.4526763"/>
    <m/>
    <m/>
    <m/>
    <n v="1100"/>
    <n v="1100"/>
    <s v=""/>
    <m/>
    <n v="1"/>
    <n v="1100"/>
    <n v="2400"/>
    <m/>
    <m/>
    <m/>
    <m/>
    <m/>
    <m/>
    <m/>
    <m/>
    <m/>
    <m/>
    <m/>
    <m/>
    <m/>
    <m/>
    <m/>
    <m/>
    <m/>
    <m/>
    <m/>
    <m/>
    <m/>
    <m/>
    <m/>
    <m/>
    <m/>
    <m/>
    <m/>
    <m/>
    <m/>
    <m/>
  </r>
  <r>
    <m/>
    <x v="7"/>
    <x v="10"/>
    <n v="2033"/>
    <s v="Delfino Cruz Mil"/>
    <m/>
    <s v="Delfino Cruz Mil"/>
    <n v="525608443532"/>
    <x v="2"/>
    <s v="trujillojuana798@gmail.com"/>
    <m/>
    <s v="Ejido Cándido Aguilar, Municipio de Minatitlán, Veracruz, México, C.P. 96926"/>
    <x v="3"/>
    <s v="17.4952513-94.4474044"/>
    <m/>
    <m/>
    <m/>
    <n v="2750"/>
    <n v="2750"/>
    <s v=""/>
    <m/>
    <n v="1"/>
    <n v="2750"/>
    <n v="2400"/>
    <m/>
    <m/>
    <m/>
    <m/>
    <m/>
    <m/>
    <m/>
    <m/>
    <m/>
    <m/>
    <m/>
    <m/>
    <m/>
    <m/>
    <m/>
    <m/>
    <m/>
    <m/>
    <m/>
    <m/>
    <m/>
    <m/>
    <m/>
    <m/>
    <m/>
    <m/>
    <m/>
    <m/>
    <m/>
    <m/>
  </r>
  <r>
    <m/>
    <x v="7"/>
    <x v="10"/>
    <n v="2033"/>
    <s v="Casto De la Cruz Francisco"/>
    <m/>
    <s v="Casto De la Cruz Francisco"/>
    <n v="529241970205"/>
    <x v="2"/>
    <s v="delacruz5castro@gmail.com"/>
    <m/>
    <s v="Ejido Plan de Arroyos, Municipio de Uxpanapa, Estado de Veracruz De La Llave. CP 96997"/>
    <x v="3"/>
    <s v="17.23688551-94.62315052"/>
    <m/>
    <m/>
    <m/>
    <n v="550"/>
    <n v="550"/>
    <s v=""/>
    <m/>
    <n v="1"/>
    <n v="550"/>
    <n v="2400"/>
    <m/>
    <m/>
    <m/>
    <m/>
    <m/>
    <m/>
    <m/>
    <m/>
    <m/>
    <m/>
    <m/>
    <m/>
    <m/>
    <m/>
    <m/>
    <m/>
    <m/>
    <m/>
    <m/>
    <m/>
    <m/>
    <m/>
    <m/>
    <m/>
    <m/>
    <m/>
    <m/>
    <m/>
    <m/>
    <m/>
  </r>
  <r>
    <m/>
    <x v="9"/>
    <x v="10"/>
    <n v="2033"/>
    <m/>
    <m/>
    <s v="Ciro Martínez Gutiérrez"/>
    <m/>
    <x v="2"/>
    <m/>
    <m/>
    <s v="Ejido General Valerio Trujano, Municipio de Uxpanapa, Estado de Veracruz. CP 96998"/>
    <x v="3"/>
    <s v="17.32442-94.1406212;17.3229306-94.1413751"/>
    <m/>
    <m/>
    <m/>
    <n v="1100"/>
    <n v="1100"/>
    <s v=""/>
    <m/>
    <n v="1"/>
    <n v="1100"/>
    <n v="1100"/>
    <m/>
    <m/>
    <m/>
    <m/>
    <m/>
    <m/>
    <m/>
    <m/>
    <m/>
    <m/>
    <m/>
    <m/>
    <m/>
    <m/>
    <m/>
    <m/>
    <m/>
    <m/>
    <m/>
    <m/>
    <m/>
    <m/>
    <m/>
    <m/>
    <m/>
    <m/>
    <m/>
    <m/>
    <m/>
    <m/>
  </r>
  <r>
    <m/>
    <x v="9"/>
    <x v="10"/>
    <n v="2033"/>
    <m/>
    <m/>
    <s v="Mauricio Maya Chávez"/>
    <n v="529231019162"/>
    <x v="2"/>
    <m/>
    <m/>
    <s v="Ejido Los Liberales, Municipio de Uxpanapa, Estado de Veracruz. CP 96998"/>
    <x v="3"/>
    <s v="17.300934-94.173452"/>
    <m/>
    <m/>
    <m/>
    <n v="550"/>
    <n v="550"/>
    <s v=""/>
    <m/>
    <n v="1"/>
    <n v="550"/>
    <n v="550"/>
    <m/>
    <m/>
    <m/>
    <m/>
    <m/>
    <m/>
    <m/>
    <m/>
    <m/>
    <m/>
    <m/>
    <m/>
    <m/>
    <m/>
    <m/>
    <m/>
    <m/>
    <m/>
    <m/>
    <m/>
    <m/>
    <m/>
    <m/>
    <m/>
    <m/>
    <m/>
    <m/>
    <m/>
    <m/>
    <m/>
  </r>
  <r>
    <m/>
    <x v="9"/>
    <x v="10"/>
    <n v="2033"/>
    <m/>
    <m/>
    <s v="Eugenia Vargas Hernández"/>
    <m/>
    <x v="2"/>
    <m/>
    <m/>
    <s v="Ejido Los Liberales, Municipio de Uxpanapa, Estado de Veracruz. CP 96998"/>
    <x v="3"/>
    <s v="17.324828-94.138915"/>
    <m/>
    <m/>
    <m/>
    <n v="1100"/>
    <n v="1100"/>
    <s v=""/>
    <m/>
    <n v="1"/>
    <n v="1100"/>
    <n v="1100"/>
    <m/>
    <m/>
    <m/>
    <m/>
    <m/>
    <m/>
    <m/>
    <m/>
    <m/>
    <m/>
    <m/>
    <m/>
    <m/>
    <m/>
    <m/>
    <m/>
    <m/>
    <m/>
    <m/>
    <m/>
    <m/>
    <m/>
    <m/>
    <m/>
    <m/>
    <m/>
    <m/>
    <m/>
    <m/>
    <m/>
  </r>
  <r>
    <m/>
    <x v="9"/>
    <x v="10"/>
    <n v="2033"/>
    <m/>
    <m/>
    <s v="Félix Álvarez Vázquez"/>
    <m/>
    <x v="2"/>
    <m/>
    <m/>
    <s v="Ejido Plan de Arroyos, Municipio de Uxpanapa, Estado de Veracruz De La Llave. CP 96997"/>
    <x v="3"/>
    <s v="17.2322696-94.6381162"/>
    <m/>
    <m/>
    <m/>
    <n v="1100"/>
    <n v="1100"/>
    <s v=""/>
    <m/>
    <n v="1"/>
    <n v="1100"/>
    <n v="1100"/>
    <m/>
    <m/>
    <m/>
    <m/>
    <m/>
    <m/>
    <m/>
    <m/>
    <m/>
    <m/>
    <m/>
    <m/>
    <m/>
    <m/>
    <m/>
    <m/>
    <m/>
    <m/>
    <m/>
    <m/>
    <m/>
    <m/>
    <m/>
    <m/>
    <m/>
    <m/>
    <m/>
    <m/>
    <m/>
    <m/>
  </r>
  <r>
    <m/>
    <x v="9"/>
    <x v="10"/>
    <n v="2033"/>
    <m/>
    <m/>
    <s v="Carolina García García"/>
    <m/>
    <x v="2"/>
    <m/>
    <m/>
    <s v="Ejido Los Liberales, Municipio de Uxpanapa, Estado de Veracruz. CP 96998"/>
    <x v="3"/>
    <s v="17.3095507-94.1507831"/>
    <m/>
    <m/>
    <m/>
    <n v="1100"/>
    <n v="1100"/>
    <s v=""/>
    <m/>
    <n v="1"/>
    <n v="1100"/>
    <n v="1100"/>
    <m/>
    <m/>
    <m/>
    <m/>
    <m/>
    <m/>
    <m/>
    <m/>
    <m/>
    <m/>
    <m/>
    <m/>
    <m/>
    <m/>
    <m/>
    <m/>
    <m/>
    <m/>
    <m/>
    <m/>
    <m/>
    <m/>
    <m/>
    <m/>
    <m/>
    <m/>
    <m/>
    <m/>
    <m/>
    <m/>
  </r>
  <r>
    <m/>
    <x v="9"/>
    <x v="10"/>
    <n v="2033"/>
    <m/>
    <m/>
    <s v="Virginia Torrecilla Castillo"/>
    <n v="522881358918"/>
    <x v="2"/>
    <m/>
    <m/>
    <s v="Ejido Los Liberales, Municipio de Uxpanapa, Estado de Veracruz. CP 96998"/>
    <x v="3"/>
    <s v="17.309490-94.158382"/>
    <m/>
    <m/>
    <m/>
    <n v="550"/>
    <n v="550"/>
    <s v=""/>
    <m/>
    <n v="1"/>
    <n v="550"/>
    <n v="550"/>
    <m/>
    <m/>
    <m/>
    <m/>
    <m/>
    <m/>
    <m/>
    <m/>
    <m/>
    <m/>
    <m/>
    <m/>
    <m/>
    <m/>
    <m/>
    <m/>
    <m/>
    <m/>
    <m/>
    <m/>
    <m/>
    <m/>
    <m/>
    <m/>
    <m/>
    <m/>
    <m/>
    <m/>
    <m/>
    <m/>
  </r>
  <r>
    <m/>
    <x v="9"/>
    <x v="10"/>
    <n v="2033"/>
    <m/>
    <m/>
    <s v="Lorenzo Rodríguez Osorio"/>
    <n v="529222062079"/>
    <x v="2"/>
    <s v="eddiel279@hotmail.com"/>
    <m/>
    <s v="Ejido N.C.P.E. La Horqueta, Municipio de Uxpanapa, Estado de Veracruz. CP 96998"/>
    <x v="3"/>
    <s v="17.2390516-94.1949683"/>
    <m/>
    <m/>
    <m/>
    <n v="1100"/>
    <n v="1100"/>
    <s v=""/>
    <m/>
    <n v="1"/>
    <n v="1100"/>
    <n v="1100"/>
    <m/>
    <m/>
    <m/>
    <m/>
    <m/>
    <m/>
    <m/>
    <m/>
    <m/>
    <m/>
    <m/>
    <m/>
    <m/>
    <m/>
    <m/>
    <m/>
    <m/>
    <m/>
    <m/>
    <m/>
    <m/>
    <m/>
    <m/>
    <m/>
    <m/>
    <m/>
    <m/>
    <m/>
    <m/>
    <m/>
  </r>
  <r>
    <m/>
    <x v="9"/>
    <x v="10"/>
    <n v="2033"/>
    <m/>
    <m/>
    <s v="Rubén Fernández Méndez"/>
    <n v="522831003239"/>
    <x v="2"/>
    <s v="bulbarela12345@gmail.com"/>
    <m/>
    <s v="Localidad La Soledad, Juan Rodríguez Clara, Veracruz, México. CP 95676."/>
    <x v="3"/>
    <s v="17.9506003-95.3010965"/>
    <m/>
    <m/>
    <m/>
    <n v="5500"/>
    <n v="2220"/>
    <n v="3280"/>
    <m/>
    <n v="1"/>
    <n v="5500"/>
    <n v="2220"/>
    <m/>
    <m/>
    <m/>
    <m/>
    <m/>
    <m/>
    <m/>
    <m/>
    <m/>
    <m/>
    <m/>
    <m/>
    <m/>
    <m/>
    <m/>
    <m/>
    <m/>
    <m/>
    <m/>
    <m/>
    <m/>
    <m/>
    <m/>
    <m/>
    <m/>
    <m/>
    <m/>
    <m/>
    <m/>
    <m/>
  </r>
  <r>
    <m/>
    <x v="9"/>
    <x v="10"/>
    <n v="2033"/>
    <s v="Casto De la Cruz Francisco"/>
    <m/>
    <s v="Marcelino De la Cruz Olarte"/>
    <m/>
    <x v="2"/>
    <s v="delacruz5castro@gmail.com"/>
    <m/>
    <m/>
    <x v="3"/>
    <s v="17.2373253-946166264"/>
    <m/>
    <m/>
    <m/>
    <n v="2475"/>
    <n v="1820"/>
    <n v="655"/>
    <m/>
    <n v="1"/>
    <n v="2475"/>
    <n v="1820"/>
    <m/>
    <m/>
    <m/>
    <m/>
    <m/>
    <m/>
    <m/>
    <m/>
    <m/>
    <m/>
    <m/>
    <m/>
    <m/>
    <m/>
    <m/>
    <m/>
    <m/>
    <m/>
    <m/>
    <m/>
    <m/>
    <m/>
    <m/>
    <m/>
    <m/>
    <m/>
    <m/>
    <m/>
    <m/>
    <m/>
  </r>
  <r>
    <m/>
    <x v="9"/>
    <x v="10"/>
    <n v="2033"/>
    <s v="Casto De la Cruz Francisco"/>
    <m/>
    <s v="Facundo De la Cruz Francisco"/>
    <m/>
    <x v="2"/>
    <s v="delacruz5castro@gmail.com"/>
    <m/>
    <m/>
    <x v="3"/>
    <s v="17.23549747-94.63290514"/>
    <m/>
    <m/>
    <m/>
    <n v="1100"/>
    <n v="1100"/>
    <s v=""/>
    <m/>
    <n v="1"/>
    <n v="1100"/>
    <n v="1100"/>
    <m/>
    <m/>
    <m/>
    <m/>
    <m/>
    <m/>
    <m/>
    <m/>
    <m/>
    <m/>
    <m/>
    <m/>
    <m/>
    <m/>
    <m/>
    <m/>
    <m/>
    <m/>
    <m/>
    <m/>
    <m/>
    <m/>
    <m/>
    <m/>
    <m/>
    <m/>
    <m/>
    <m/>
    <m/>
    <m/>
  </r>
  <r>
    <m/>
    <x v="9"/>
    <x v="10"/>
    <n v="2033"/>
    <s v="Casto De la Cruz Francisco"/>
    <m/>
    <s v="Venustiano Lino Sisto"/>
    <m/>
    <x v="2"/>
    <s v="delacruz5castro@gmail.com"/>
    <m/>
    <m/>
    <x v="3"/>
    <s v="17.217334-94.629938"/>
    <m/>
    <m/>
    <m/>
    <n v="1100"/>
    <n v="1100"/>
    <s v=""/>
    <m/>
    <n v="1"/>
    <n v="1100"/>
    <n v="1100"/>
    <m/>
    <m/>
    <m/>
    <m/>
    <m/>
    <m/>
    <m/>
    <m/>
    <m/>
    <m/>
    <m/>
    <m/>
    <m/>
    <m/>
    <m/>
    <m/>
    <m/>
    <m/>
    <m/>
    <m/>
    <m/>
    <m/>
    <m/>
    <m/>
    <m/>
    <m/>
    <m/>
    <m/>
    <m/>
    <m/>
  </r>
  <r>
    <m/>
    <x v="9"/>
    <x v="10"/>
    <n v="2033"/>
    <s v="Casto De la Cruz Francisco"/>
    <m/>
    <s v="José De la Cruz Olarte"/>
    <m/>
    <x v="2"/>
    <s v="delacruz5castro@gmail.com"/>
    <m/>
    <m/>
    <x v="3"/>
    <s v="17.217873-94.638552"/>
    <m/>
    <m/>
    <m/>
    <n v="2750"/>
    <n v="1100"/>
    <n v="1650"/>
    <m/>
    <n v="1"/>
    <n v="2750"/>
    <n v="1100"/>
    <m/>
    <m/>
    <m/>
    <m/>
    <m/>
    <m/>
    <m/>
    <m/>
    <m/>
    <m/>
    <m/>
    <m/>
    <m/>
    <m/>
    <m/>
    <m/>
    <m/>
    <m/>
    <m/>
    <m/>
    <m/>
    <m/>
    <m/>
    <m/>
    <m/>
    <m/>
    <m/>
    <m/>
    <m/>
    <m/>
  </r>
  <r>
    <m/>
    <x v="9"/>
    <x v="10"/>
    <n v="2033"/>
    <m/>
    <m/>
    <s v="Concepción Rueda Díaz"/>
    <m/>
    <x v="2"/>
    <m/>
    <m/>
    <m/>
    <x v="3"/>
    <s v="17.35488148-93.78831346"/>
    <m/>
    <m/>
    <m/>
    <n v="550"/>
    <n v="550"/>
    <s v=""/>
    <m/>
    <n v="1"/>
    <n v="550"/>
    <n v="550"/>
    <m/>
    <m/>
    <m/>
    <m/>
    <m/>
    <m/>
    <m/>
    <m/>
    <m/>
    <m/>
    <m/>
    <m/>
    <m/>
    <m/>
    <m/>
    <m/>
    <m/>
    <m/>
    <m/>
    <m/>
    <m/>
    <m/>
    <m/>
    <m/>
    <m/>
    <m/>
    <m/>
    <m/>
    <m/>
    <m/>
  </r>
  <r>
    <m/>
    <x v="9"/>
    <x v="10"/>
    <n v="2033"/>
    <m/>
    <m/>
    <s v="José Enrique Lorenzo Solís"/>
    <m/>
    <x v="2"/>
    <m/>
    <m/>
    <m/>
    <x v="3"/>
    <s v="17.34223477-93.7660538"/>
    <m/>
    <m/>
    <m/>
    <n v="1650"/>
    <n v="1660"/>
    <m/>
    <m/>
    <n v="1"/>
    <n v="1650"/>
    <n v="1660"/>
    <m/>
    <m/>
    <m/>
    <m/>
    <m/>
    <m/>
    <m/>
    <m/>
    <m/>
    <m/>
    <m/>
    <m/>
    <m/>
    <m/>
    <m/>
    <m/>
    <m/>
    <m/>
    <m/>
    <m/>
    <m/>
    <m/>
    <m/>
    <m/>
    <m/>
    <m/>
    <m/>
    <m/>
    <m/>
    <m/>
  </r>
  <r>
    <m/>
    <x v="9"/>
    <x v="10"/>
    <n v="2033"/>
    <s v="Casto De la Cruz Francisco"/>
    <m/>
    <s v="Casto De la Cruz Francisco"/>
    <n v="529241970205"/>
    <x v="2"/>
    <s v="delacruz5castro@gmail.com"/>
    <m/>
    <m/>
    <x v="3"/>
    <s v="17.23688551-94.62315052"/>
    <m/>
    <m/>
    <m/>
    <n v="550"/>
    <n v="550"/>
    <m/>
    <m/>
    <n v="1"/>
    <n v="550"/>
    <n v="550"/>
    <m/>
    <m/>
    <m/>
    <m/>
    <m/>
    <m/>
    <m/>
    <m/>
    <m/>
    <m/>
    <m/>
    <m/>
    <m/>
    <m/>
    <m/>
    <m/>
    <m/>
    <m/>
    <m/>
    <m/>
    <m/>
    <m/>
    <m/>
    <m/>
    <m/>
    <m/>
    <m/>
    <m/>
    <m/>
    <m/>
  </r>
  <r>
    <m/>
    <x v="9"/>
    <x v="10"/>
    <n v="2033"/>
    <m/>
    <m/>
    <s v="Milton Domínguez Morales"/>
    <m/>
    <x v="2"/>
    <m/>
    <m/>
    <m/>
    <x v="3"/>
    <s v="17.3617901-93.78557324"/>
    <m/>
    <m/>
    <m/>
    <n v="550"/>
    <n v="400"/>
    <n v="150"/>
    <m/>
    <n v="1"/>
    <n v="550"/>
    <n v="400"/>
    <m/>
    <m/>
    <m/>
    <m/>
    <m/>
    <m/>
    <m/>
    <m/>
    <m/>
    <m/>
    <m/>
    <m/>
    <m/>
    <m/>
    <m/>
    <m/>
    <m/>
    <m/>
    <m/>
    <m/>
    <m/>
    <m/>
    <m/>
    <m/>
    <m/>
    <m/>
    <m/>
    <m/>
    <m/>
    <m/>
  </r>
  <r>
    <m/>
    <x v="9"/>
    <x v="10"/>
    <n v="2033"/>
    <m/>
    <m/>
    <s v="Emma Barrios Goméz"/>
    <n v="529222113224"/>
    <x v="2"/>
    <m/>
    <m/>
    <m/>
    <x v="3"/>
    <s v="17.3628535-94.4446755"/>
    <m/>
    <m/>
    <m/>
    <n v="825"/>
    <n v="550"/>
    <n v="275"/>
    <m/>
    <n v="1"/>
    <n v="825"/>
    <n v="550"/>
    <m/>
    <m/>
    <m/>
    <m/>
    <m/>
    <m/>
    <m/>
    <m/>
    <m/>
    <m/>
    <m/>
    <m/>
    <m/>
    <m/>
    <m/>
    <m/>
    <m/>
    <m/>
    <m/>
    <m/>
    <m/>
    <m/>
    <m/>
    <m/>
    <m/>
    <m/>
    <m/>
    <m/>
    <m/>
    <m/>
  </r>
  <r>
    <m/>
    <x v="9"/>
    <x v="10"/>
    <n v="2033"/>
    <m/>
    <m/>
    <s v="Miguel Felipe Mauro"/>
    <m/>
    <x v="2"/>
    <m/>
    <m/>
    <m/>
    <x v="3"/>
    <s v="17.2219009-94.6369167"/>
    <m/>
    <m/>
    <m/>
    <n v="550"/>
    <n v="550"/>
    <s v=""/>
    <m/>
    <n v="1"/>
    <n v="550"/>
    <n v="550"/>
    <m/>
    <m/>
    <m/>
    <m/>
    <m/>
    <m/>
    <m/>
    <m/>
    <m/>
    <m/>
    <m/>
    <m/>
    <m/>
    <m/>
    <m/>
    <m/>
    <m/>
    <m/>
    <m/>
    <m/>
    <m/>
    <m/>
    <m/>
    <m/>
    <m/>
    <m/>
    <m/>
    <m/>
    <m/>
    <m/>
  </r>
  <r>
    <m/>
    <x v="9"/>
    <x v="10"/>
    <n v="2033"/>
    <m/>
    <m/>
    <s v="Inocente Zamora Utera"/>
    <n v="529231013383"/>
    <x v="2"/>
    <m/>
    <m/>
    <m/>
    <x v="3"/>
    <s v="17.3916399-93.77523065"/>
    <m/>
    <m/>
    <m/>
    <n v="550"/>
    <n v="550"/>
    <s v=""/>
    <m/>
    <n v="1"/>
    <n v="550"/>
    <n v="550"/>
    <m/>
    <m/>
    <m/>
    <m/>
    <m/>
    <m/>
    <m/>
    <m/>
    <m/>
    <m/>
    <m/>
    <m/>
    <m/>
    <m/>
    <m/>
    <m/>
    <m/>
    <m/>
    <m/>
    <m/>
    <m/>
    <m/>
    <m/>
    <m/>
    <m/>
    <m/>
    <m/>
    <m/>
    <m/>
    <m/>
  </r>
  <r>
    <m/>
    <x v="9"/>
    <x v="10"/>
    <n v="2033"/>
    <m/>
    <m/>
    <s v="Noel Zamora Viveros"/>
    <n v="529231013383"/>
    <x v="2"/>
    <m/>
    <m/>
    <m/>
    <x v="3"/>
    <s v="17.38517395-93.77421711"/>
    <m/>
    <m/>
    <m/>
    <n v="550"/>
    <n v="1650"/>
    <n v="-1100"/>
    <m/>
    <n v="1"/>
    <n v="550"/>
    <n v="1650"/>
    <m/>
    <m/>
    <m/>
    <m/>
    <m/>
    <m/>
    <m/>
    <m/>
    <m/>
    <m/>
    <m/>
    <m/>
    <m/>
    <m/>
    <m/>
    <m/>
    <m/>
    <m/>
    <m/>
    <m/>
    <m/>
    <m/>
    <m/>
    <m/>
    <m/>
    <m/>
    <m/>
    <m/>
    <m/>
    <m/>
  </r>
  <r>
    <m/>
    <x v="9"/>
    <x v="10"/>
    <n v="2033"/>
    <s v="Justino Cruz"/>
    <m/>
    <s v="Justino Cruz Mendoza"/>
    <n v="529721214079"/>
    <x v="2"/>
    <s v="greenway.stonemasonry@gmail.com"/>
    <m/>
    <m/>
    <x v="3"/>
    <s v="17.2068758-94.7027043"/>
    <m/>
    <m/>
    <m/>
    <n v="550"/>
    <n v="550"/>
    <s v=""/>
    <m/>
    <n v="1"/>
    <n v="550"/>
    <n v="550"/>
    <m/>
    <m/>
    <m/>
    <m/>
    <m/>
    <m/>
    <m/>
    <m/>
    <m/>
    <m/>
    <m/>
    <m/>
    <m/>
    <m/>
    <m/>
    <m/>
    <m/>
    <m/>
    <m/>
    <m/>
    <m/>
    <m/>
    <m/>
    <m/>
    <m/>
    <m/>
    <m/>
    <m/>
    <m/>
    <m/>
  </r>
  <r>
    <m/>
    <x v="9"/>
    <x v="10"/>
    <n v="2033"/>
    <m/>
    <m/>
    <s v="Calixtro Cruz Silva"/>
    <m/>
    <x v="2"/>
    <m/>
    <m/>
    <m/>
    <x v="3"/>
    <s v="17.3284854-94.1451928"/>
    <m/>
    <m/>
    <m/>
    <n v="550"/>
    <n v="550"/>
    <s v=""/>
    <m/>
    <n v="1"/>
    <n v="550"/>
    <n v="550"/>
    <m/>
    <m/>
    <m/>
    <m/>
    <m/>
    <m/>
    <m/>
    <m/>
    <m/>
    <m/>
    <m/>
    <m/>
    <m/>
    <m/>
    <m/>
    <m/>
    <m/>
    <m/>
    <m/>
    <m/>
    <m/>
    <m/>
    <m/>
    <m/>
    <m/>
    <m/>
    <m/>
    <m/>
    <m/>
    <m/>
  </r>
  <r>
    <m/>
    <x v="9"/>
    <x v="10"/>
    <n v="2033"/>
    <m/>
    <m/>
    <s v="Irma García Camacho"/>
    <m/>
    <x v="2"/>
    <m/>
    <m/>
    <m/>
    <x v="3"/>
    <s v="17.310944-94.149801"/>
    <m/>
    <m/>
    <m/>
    <n v="550"/>
    <n v="550"/>
    <s v=""/>
    <m/>
    <n v="1"/>
    <n v="550"/>
    <n v="550"/>
    <m/>
    <m/>
    <m/>
    <m/>
    <m/>
    <m/>
    <m/>
    <m/>
    <m/>
    <m/>
    <m/>
    <m/>
    <m/>
    <m/>
    <m/>
    <m/>
    <m/>
    <m/>
    <m/>
    <m/>
    <m/>
    <m/>
    <m/>
    <m/>
    <m/>
    <m/>
    <m/>
    <m/>
    <m/>
    <m/>
  </r>
  <r>
    <m/>
    <x v="9"/>
    <x v="10"/>
    <n v="2033"/>
    <m/>
    <m/>
    <s v="José Becerra García"/>
    <m/>
    <x v="2"/>
    <m/>
    <m/>
    <m/>
    <x v="3"/>
    <s v="17.3139202-94.1468291"/>
    <m/>
    <m/>
    <m/>
    <n v="550"/>
    <n v="550"/>
    <s v=""/>
    <m/>
    <n v="1"/>
    <n v="550"/>
    <n v="550"/>
    <m/>
    <m/>
    <m/>
    <m/>
    <m/>
    <m/>
    <m/>
    <m/>
    <m/>
    <m/>
    <m/>
    <m/>
    <m/>
    <m/>
    <m/>
    <m/>
    <m/>
    <m/>
    <m/>
    <m/>
    <m/>
    <m/>
    <m/>
    <m/>
    <m/>
    <m/>
    <m/>
    <m/>
    <m/>
    <m/>
  </r>
  <r>
    <m/>
    <x v="9"/>
    <x v="10"/>
    <n v="2033"/>
    <m/>
    <m/>
    <s v="Marcelo Sánchez Miravete"/>
    <n v="522831245608"/>
    <x v="2"/>
    <s v="30sanchez.12345@gmail.com"/>
    <m/>
    <m/>
    <x v="3"/>
    <s v="17.4764004478068953-95.60631006752998"/>
    <m/>
    <m/>
    <m/>
    <n v="2200"/>
    <n v="1100"/>
    <n v="1100"/>
    <m/>
    <n v="1"/>
    <n v="2200"/>
    <n v="1100"/>
    <m/>
    <m/>
    <m/>
    <m/>
    <m/>
    <m/>
    <m/>
    <m/>
    <m/>
    <m/>
    <m/>
    <m/>
    <m/>
    <m/>
    <m/>
    <m/>
    <m/>
    <m/>
    <m/>
    <m/>
    <m/>
    <m/>
    <m/>
    <m/>
    <m/>
    <m/>
    <m/>
    <m/>
    <m/>
    <m/>
  </r>
  <r>
    <m/>
    <x v="9"/>
    <x v="10"/>
    <n v="2033"/>
    <s v="Rosario Sánchez"/>
    <m/>
    <s v="Rosario Sánchez Miravete"/>
    <n v="522831245608"/>
    <x v="2"/>
    <s v="chayo052574@gmail.com"/>
    <m/>
    <m/>
    <x v="3"/>
    <s v="17.484439223613975-95.5933437605206"/>
    <m/>
    <s v=""/>
    <m/>
    <n v="1650"/>
    <n v="825"/>
    <n v="825"/>
    <m/>
    <n v="1"/>
    <n v="1650"/>
    <n v="825"/>
    <m/>
    <m/>
    <m/>
    <m/>
    <n v="0"/>
    <m/>
    <m/>
    <m/>
    <m/>
    <m/>
    <m/>
    <m/>
    <m/>
    <n v="0"/>
    <n v="0"/>
    <n v="0"/>
    <m/>
    <m/>
    <m/>
    <m/>
    <m/>
    <m/>
    <m/>
    <m/>
    <m/>
    <m/>
    <m/>
    <m/>
    <m/>
    <m/>
  </r>
  <r>
    <m/>
    <x v="9"/>
    <x v="10"/>
    <n v="2033"/>
    <m/>
    <m/>
    <s v="Hilario Estrada Rodríguez"/>
    <n v="522831052485"/>
    <x v="2"/>
    <s v="a_estrada31@hotmail.com"/>
    <m/>
    <m/>
    <x v="3"/>
    <s v="17.7307534-95.8595157"/>
    <m/>
    <s v=""/>
    <m/>
    <n v="2750"/>
    <n v="1100"/>
    <n v="1650"/>
    <m/>
    <n v="1"/>
    <n v="2750"/>
    <n v="1100"/>
    <m/>
    <m/>
    <m/>
    <m/>
    <n v="0"/>
    <m/>
    <m/>
    <m/>
    <m/>
    <m/>
    <m/>
    <m/>
    <m/>
    <n v="0"/>
    <n v="0"/>
    <n v="0"/>
    <m/>
    <m/>
    <m/>
    <m/>
    <m/>
    <m/>
    <m/>
    <m/>
    <m/>
    <m/>
    <m/>
    <m/>
    <m/>
    <m/>
  </r>
  <r>
    <m/>
    <x v="9"/>
    <x v="10"/>
    <n v="2033"/>
    <m/>
    <m/>
    <s v="Francisco Ramírez Zamorano"/>
    <n v="522881013093"/>
    <x v="2"/>
    <s v="30sanchez.12345@gmail.com"/>
    <m/>
    <m/>
    <x v="3"/>
    <s v="18.00437184494997-95.63166565877397"/>
    <m/>
    <s v=""/>
    <m/>
    <n v="2200"/>
    <n v="850"/>
    <n v="1350"/>
    <m/>
    <n v="1"/>
    <n v="2200"/>
    <n v="850"/>
    <m/>
    <m/>
    <m/>
    <m/>
    <n v="0"/>
    <m/>
    <m/>
    <m/>
    <m/>
    <m/>
    <m/>
    <m/>
    <m/>
    <n v="0"/>
    <n v="0"/>
    <n v="0"/>
    <m/>
    <m/>
    <m/>
    <m/>
    <m/>
    <m/>
    <m/>
    <m/>
    <m/>
    <m/>
    <m/>
    <m/>
    <m/>
    <m/>
  </r>
  <r>
    <m/>
    <x v="8"/>
    <x v="9"/>
    <m/>
    <m/>
    <m/>
    <m/>
    <m/>
    <x v="3"/>
    <m/>
    <m/>
    <m/>
    <x v="4"/>
    <m/>
    <m/>
    <s v=""/>
    <m/>
    <m/>
    <m/>
    <m/>
    <m/>
    <m/>
    <m/>
    <m/>
    <m/>
    <m/>
    <m/>
    <m/>
    <n v="0"/>
    <m/>
    <m/>
    <m/>
    <m/>
    <m/>
    <m/>
    <m/>
    <m/>
    <n v="0"/>
    <n v="0"/>
    <n v="0"/>
    <m/>
    <m/>
    <m/>
    <m/>
    <m/>
    <m/>
    <m/>
    <m/>
    <m/>
    <m/>
    <m/>
    <m/>
    <m/>
    <m/>
  </r>
  <r>
    <m/>
    <x v="8"/>
    <x v="9"/>
    <m/>
    <m/>
    <m/>
    <m/>
    <m/>
    <x v="3"/>
    <m/>
    <m/>
    <m/>
    <x v="4"/>
    <m/>
    <m/>
    <s v=""/>
    <m/>
    <m/>
    <m/>
    <m/>
    <m/>
    <m/>
    <m/>
    <m/>
    <m/>
    <m/>
    <m/>
    <m/>
    <n v="0"/>
    <m/>
    <m/>
    <m/>
    <m/>
    <m/>
    <m/>
    <m/>
    <m/>
    <n v="0"/>
    <n v="0"/>
    <n v="0"/>
    <m/>
    <m/>
    <m/>
    <m/>
    <m/>
    <m/>
    <m/>
    <m/>
    <m/>
    <m/>
    <m/>
    <m/>
    <m/>
    <m/>
  </r>
  <r>
    <m/>
    <x v="8"/>
    <x v="9"/>
    <m/>
    <m/>
    <m/>
    <m/>
    <m/>
    <x v="3"/>
    <m/>
    <m/>
    <m/>
    <x v="4"/>
    <m/>
    <m/>
    <s v=""/>
    <m/>
    <m/>
    <m/>
    <m/>
    <m/>
    <m/>
    <m/>
    <m/>
    <m/>
    <m/>
    <m/>
    <m/>
    <n v="0"/>
    <m/>
    <m/>
    <m/>
    <m/>
    <m/>
    <m/>
    <m/>
    <m/>
    <n v="0"/>
    <n v="0"/>
    <n v="0"/>
    <m/>
    <m/>
    <m/>
    <m/>
    <m/>
    <m/>
    <m/>
    <m/>
    <m/>
    <m/>
    <m/>
    <m/>
    <m/>
    <m/>
  </r>
  <r>
    <m/>
    <x v="8"/>
    <x v="9"/>
    <m/>
    <m/>
    <m/>
    <m/>
    <m/>
    <x v="3"/>
    <m/>
    <m/>
    <m/>
    <x v="4"/>
    <m/>
    <m/>
    <s v=""/>
    <m/>
    <m/>
    <m/>
    <m/>
    <m/>
    <m/>
    <m/>
    <m/>
    <m/>
    <m/>
    <m/>
    <m/>
    <n v="0"/>
    <m/>
    <m/>
    <m/>
    <m/>
    <m/>
    <m/>
    <m/>
    <m/>
    <n v="0"/>
    <n v="0"/>
    <n v="0"/>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r>
    <m/>
    <x v="8"/>
    <x v="9"/>
    <m/>
    <m/>
    <m/>
    <m/>
    <m/>
    <x v="3"/>
    <m/>
    <m/>
    <m/>
    <x v="4"/>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0">
  <r>
    <s v="US0001"/>
    <x v="0"/>
    <x v="0"/>
    <n v="2024"/>
    <s v="Bruce Gamble"/>
    <n v="10001"/>
    <s v="Bruce Gamble"/>
    <s v="956-873-2487"/>
    <x v="0"/>
    <s v="brucegamblefarms@gmail.com"/>
    <s v="10539 Mile 8 Road, LaFeria, TX, USA, 78559"/>
    <s v="10539 Mile 8 Road, LaFeria, TX, USA, 78559"/>
    <x v="0"/>
    <s v="26.278008, -97.890074"/>
    <m/>
    <s v=""/>
    <m/>
    <n v="2200"/>
    <n v="2200"/>
    <s v=""/>
    <m/>
    <m/>
    <m/>
    <m/>
    <n v="1"/>
    <n v="2200"/>
    <m/>
    <m/>
    <n v="2200"/>
    <n v="0"/>
    <n v="0"/>
    <n v="0"/>
    <m/>
    <n v="0"/>
    <n v="0"/>
    <n v="0"/>
    <n v="0"/>
    <n v="0"/>
    <n v="0"/>
    <n v="0"/>
    <s v="Fortunei"/>
    <s v="TG Cool"/>
    <n v="0.45454545454545453"/>
    <n v="1000"/>
    <m/>
    <m/>
    <m/>
    <m/>
    <m/>
    <m/>
    <m/>
    <m/>
    <m/>
    <n v="1000"/>
    <n v="1"/>
    <n v="1"/>
    <m/>
    <m/>
    <m/>
    <n v="0"/>
    <m/>
    <n v="0"/>
    <n v="0"/>
    <n v="0"/>
    <n v="0"/>
    <n v="0"/>
    <n v="0"/>
    <n v="0"/>
    <n v="0"/>
    <n v="8.8888888888888889E-3"/>
  </r>
  <r>
    <s v="CR0001"/>
    <x v="0"/>
    <x v="1"/>
    <n v="0"/>
    <s v="Cecilia Sanders"/>
    <n v="20001"/>
    <s v="Cecilia Castillo Umaña"/>
    <m/>
    <x v="1"/>
    <m/>
    <m/>
    <m/>
    <x v="1"/>
    <m/>
    <m/>
    <s v=""/>
    <m/>
    <n v="1000"/>
    <n v="1000"/>
    <s v=""/>
    <m/>
    <m/>
    <m/>
    <m/>
    <n v="1"/>
    <n v="1000"/>
    <m/>
    <m/>
    <n v="1000"/>
    <n v="0"/>
    <n v="0"/>
    <n v="0"/>
    <n v="0"/>
    <n v="0"/>
    <n v="0"/>
    <n v="0"/>
    <n v="0"/>
    <n v="0"/>
    <n v="0"/>
    <n v="0"/>
    <s v="P. fortunei"/>
    <m/>
    <n v="0"/>
    <n v="0"/>
    <m/>
    <m/>
    <m/>
    <m/>
    <m/>
    <m/>
    <m/>
    <m/>
    <m/>
    <m/>
    <n v="1"/>
    <m/>
    <m/>
    <m/>
    <m/>
    <n v="0"/>
    <m/>
    <n v="0"/>
    <n v="0"/>
    <n v="0"/>
    <n v="0"/>
    <n v="0"/>
    <n v="0"/>
    <n v="0"/>
    <n v="0"/>
    <n v="18"/>
  </r>
  <r>
    <s v="CR0002"/>
    <x v="0"/>
    <x v="1"/>
    <n v="0"/>
    <s v="Coopedota"/>
    <n v="20002"/>
    <s v="Coopedota"/>
    <m/>
    <x v="1"/>
    <m/>
    <m/>
    <m/>
    <x v="1"/>
    <m/>
    <m/>
    <s v=""/>
    <m/>
    <n v="100"/>
    <n v="100"/>
    <s v=""/>
    <m/>
    <m/>
    <m/>
    <m/>
    <n v="1"/>
    <n v="100"/>
    <m/>
    <m/>
    <n v="100"/>
    <n v="0"/>
    <n v="0"/>
    <n v="0"/>
    <n v="0"/>
    <n v="0"/>
    <n v="0"/>
    <n v="0"/>
    <n v="0"/>
    <n v="0"/>
    <n v="0"/>
    <n v="0"/>
    <s v="P. fortunei"/>
    <m/>
    <n v="0"/>
    <n v="0"/>
    <m/>
    <m/>
    <m/>
    <m/>
    <m/>
    <m/>
    <m/>
    <m/>
    <m/>
    <m/>
    <n v="1"/>
    <m/>
    <m/>
    <m/>
    <m/>
    <n v="0"/>
    <m/>
    <n v="0"/>
    <n v="0"/>
    <n v="0"/>
    <n v="0"/>
    <n v="0"/>
    <n v="0"/>
    <n v="0"/>
    <n v="0"/>
    <n v="18"/>
  </r>
  <r>
    <s v="CR0003"/>
    <x v="0"/>
    <x v="1"/>
    <m/>
    <s v="Erasmo Aguilera "/>
    <n v="20003"/>
    <s v="Agricola Los Robles de Naranjo S.A"/>
    <m/>
    <x v="1"/>
    <m/>
    <m/>
    <m/>
    <x v="1"/>
    <m/>
    <m/>
    <s v=""/>
    <m/>
    <n v="1750"/>
    <n v="1750"/>
    <s v=""/>
    <m/>
    <m/>
    <m/>
    <m/>
    <n v="1"/>
    <n v="1750"/>
    <m/>
    <m/>
    <n v="1750"/>
    <n v="0"/>
    <n v="0"/>
    <n v="0"/>
    <n v="0"/>
    <n v="0"/>
    <n v="0"/>
    <n v="0"/>
    <n v="0"/>
    <n v="0"/>
    <n v="0"/>
    <n v="0"/>
    <s v="P. fortunei"/>
    <m/>
    <n v="0"/>
    <n v="0"/>
    <m/>
    <m/>
    <m/>
    <m/>
    <m/>
    <m/>
    <m/>
    <m/>
    <m/>
    <m/>
    <n v="1"/>
    <m/>
    <m/>
    <m/>
    <m/>
    <n v="0"/>
    <m/>
    <n v="0"/>
    <n v="0"/>
    <n v="0"/>
    <n v="0"/>
    <n v="0"/>
    <n v="0"/>
    <n v="0"/>
    <n v="0"/>
    <n v="18"/>
  </r>
  <r>
    <s v="CR0004"/>
    <x v="0"/>
    <x v="1"/>
    <n v="0"/>
    <s v="Esteban Chacon "/>
    <n v="20004"/>
    <s v="Fernando Esteban Chacon"/>
    <m/>
    <x v="1"/>
    <m/>
    <m/>
    <m/>
    <x v="1"/>
    <m/>
    <m/>
    <s v=""/>
    <m/>
    <n v="1000"/>
    <n v="1000"/>
    <s v=""/>
    <m/>
    <m/>
    <m/>
    <m/>
    <n v="1"/>
    <n v="1000"/>
    <m/>
    <m/>
    <n v="1000"/>
    <n v="0"/>
    <n v="0"/>
    <n v="0"/>
    <n v="0"/>
    <n v="0"/>
    <n v="0"/>
    <n v="0"/>
    <n v="0"/>
    <n v="0"/>
    <n v="0"/>
    <n v="0"/>
    <s v="P. fortunei"/>
    <m/>
    <n v="0"/>
    <n v="0"/>
    <m/>
    <m/>
    <m/>
    <m/>
    <m/>
    <m/>
    <m/>
    <m/>
    <m/>
    <m/>
    <n v="1"/>
    <m/>
    <m/>
    <m/>
    <m/>
    <n v="0"/>
    <m/>
    <n v="0"/>
    <n v="0"/>
    <n v="0"/>
    <n v="0"/>
    <n v="0"/>
    <n v="0"/>
    <n v="0"/>
    <n v="0"/>
    <n v="18"/>
  </r>
  <r>
    <s v="CR0005"/>
    <x v="0"/>
    <x v="1"/>
    <n v="0"/>
    <s v="Juan Luis Chaves"/>
    <n v="20005"/>
    <s v="ASESORIA DE EMPRESAS TONAL S A, "/>
    <m/>
    <x v="1"/>
    <m/>
    <m/>
    <m/>
    <x v="1"/>
    <m/>
    <m/>
    <s v=""/>
    <m/>
    <n v="500"/>
    <n v="500"/>
    <s v=""/>
    <m/>
    <m/>
    <m/>
    <m/>
    <n v="1"/>
    <n v="500"/>
    <m/>
    <m/>
    <n v="500"/>
    <n v="0"/>
    <n v="0"/>
    <n v="0"/>
    <n v="0"/>
    <n v="0"/>
    <n v="0"/>
    <n v="0"/>
    <n v="0"/>
    <n v="0"/>
    <n v="0"/>
    <n v="0"/>
    <s v="P. fortunei"/>
    <m/>
    <n v="0"/>
    <n v="0"/>
    <m/>
    <m/>
    <m/>
    <m/>
    <m/>
    <m/>
    <m/>
    <m/>
    <m/>
    <m/>
    <n v="1"/>
    <m/>
    <m/>
    <m/>
    <m/>
    <n v="0"/>
    <m/>
    <n v="0"/>
    <n v="0"/>
    <n v="0"/>
    <n v="0"/>
    <n v="0"/>
    <n v="0"/>
    <n v="0"/>
    <n v="0"/>
    <n v="18"/>
  </r>
  <r>
    <s v="CR0006"/>
    <x v="0"/>
    <x v="1"/>
    <n v="0"/>
    <s v="Minor Montero"/>
    <n v="20006"/>
    <s v="Jose Joaquin Montero Calderon"/>
    <m/>
    <x v="1"/>
    <m/>
    <m/>
    <m/>
    <x v="1"/>
    <m/>
    <m/>
    <s v=""/>
    <m/>
    <n v="500"/>
    <n v="500"/>
    <s v=""/>
    <m/>
    <m/>
    <m/>
    <m/>
    <n v="1"/>
    <n v="500"/>
    <m/>
    <m/>
    <n v="500"/>
    <n v="0"/>
    <n v="0"/>
    <n v="0"/>
    <n v="0"/>
    <n v="0"/>
    <n v="0"/>
    <n v="0"/>
    <n v="0"/>
    <n v="0"/>
    <n v="0"/>
    <n v="0"/>
    <s v="P. fortunei"/>
    <m/>
    <n v="0"/>
    <n v="0"/>
    <m/>
    <m/>
    <m/>
    <m/>
    <m/>
    <m/>
    <m/>
    <m/>
    <m/>
    <m/>
    <n v="1"/>
    <m/>
    <m/>
    <m/>
    <m/>
    <n v="0"/>
    <m/>
    <n v="0"/>
    <n v="0"/>
    <n v="0"/>
    <n v="0"/>
    <n v="0"/>
    <n v="0"/>
    <n v="0"/>
    <n v="0"/>
    <n v="18"/>
  </r>
  <r>
    <s v="CR0007"/>
    <x v="0"/>
    <x v="1"/>
    <n v="0"/>
    <s v="William Guiterrez"/>
    <n v="20007"/>
    <s v="Segrufor Segundo Grupo Forestal, S.A"/>
    <m/>
    <x v="1"/>
    <m/>
    <m/>
    <m/>
    <x v="1"/>
    <m/>
    <m/>
    <s v=""/>
    <m/>
    <n v="400"/>
    <n v="400"/>
    <s v=""/>
    <m/>
    <m/>
    <m/>
    <m/>
    <n v="1"/>
    <n v="400"/>
    <m/>
    <m/>
    <n v="400"/>
    <n v="0"/>
    <n v="0"/>
    <n v="0"/>
    <n v="0"/>
    <n v="0"/>
    <n v="0"/>
    <n v="0"/>
    <n v="0"/>
    <n v="0"/>
    <n v="0"/>
    <n v="0"/>
    <s v="P. fortunei"/>
    <m/>
    <n v="0.155"/>
    <n v="62"/>
    <m/>
    <m/>
    <m/>
    <m/>
    <n v="62"/>
    <m/>
    <m/>
    <m/>
    <m/>
    <m/>
    <n v="1"/>
    <m/>
    <m/>
    <m/>
    <m/>
    <n v="0"/>
    <m/>
    <n v="0"/>
    <n v="0"/>
    <n v="0"/>
    <n v="0"/>
    <n v="0"/>
    <n v="0"/>
    <n v="0"/>
    <n v="0"/>
    <n v="18"/>
  </r>
  <r>
    <s v="US0004"/>
    <x v="0"/>
    <x v="1"/>
    <n v="2025"/>
    <s v="Bruce Gamble"/>
    <n v="10001"/>
    <s v="Bruce Gamble"/>
    <s v="956-873-2487"/>
    <x v="2"/>
    <s v="brucegamblefarms@gmail.com"/>
    <s v="10539 Mile 8 Road, LaFeria, TX, USA, 78559"/>
    <s v="10539 Mile 8 Road, LaFeria, TX, USA, 78559"/>
    <x v="0"/>
    <s v="26.275504, -97.890818"/>
    <n v="25.4"/>
    <n v="20"/>
    <m/>
    <n v="2200"/>
    <n v="2200"/>
    <s v=""/>
    <m/>
    <m/>
    <m/>
    <m/>
    <n v="1"/>
    <n v="2200"/>
    <m/>
    <m/>
    <n v="2200"/>
    <n v="0.55583906046107012"/>
    <n v="1222.8459330143542"/>
    <n v="0"/>
    <m/>
    <n v="0.55583906046107012"/>
    <n v="0.55583906046107012"/>
    <n v="1222.8459330143542"/>
    <n v="0"/>
    <n v="1222.8459330143542"/>
    <n v="0"/>
    <n v="1222.8459330143542"/>
    <s v="Fortunei"/>
    <s v="TG Cool"/>
    <n v="0.81818181818181823"/>
    <n v="1800"/>
    <m/>
    <m/>
    <m/>
    <m/>
    <m/>
    <m/>
    <m/>
    <m/>
    <n v="1800"/>
    <m/>
    <n v="1"/>
    <m/>
    <m/>
    <m/>
    <m/>
    <n v="0"/>
    <m/>
    <n v="0"/>
    <n v="0"/>
    <n v="0"/>
    <n v="0"/>
    <n v="0"/>
    <n v="0"/>
    <n v="239677.80287081341"/>
    <n v="239677.80287081341"/>
    <n v="8.8845014807502464E-3"/>
  </r>
  <r>
    <s v="US0006"/>
    <x v="0"/>
    <x v="1"/>
    <n v="2025"/>
    <s v="David Smith"/>
    <n v="10004"/>
    <s v="David Smith"/>
    <s v="228-861-5711"/>
    <x v="2"/>
    <s v="davidsmith@coastepa.com"/>
    <s v="42 M K Layne  Poplarville  MS  39470-4337"/>
    <s v="42 M K Layne  Poplarville  MS  39470-4337"/>
    <x v="0"/>
    <s v="30.770056, -89.532565"/>
    <n v="18"/>
    <n v="20"/>
    <s v="Y"/>
    <n v="2200"/>
    <n v="2200"/>
    <s v=""/>
    <m/>
    <m/>
    <m/>
    <m/>
    <n v="1"/>
    <n v="2200"/>
    <m/>
    <m/>
    <n v="2200"/>
    <n v="0.91650284090909095"/>
    <n v="2016.3062500000001"/>
    <n v="0"/>
    <m/>
    <n v="0.91650284090909095"/>
    <n v="0.91650284090909095"/>
    <n v="2016.3062500000001"/>
    <n v="0"/>
    <n v="2016.3062500000001"/>
    <n v="0"/>
    <n v="2016.3062500000001"/>
    <s v="Fortunei"/>
    <s v="11, 13"/>
    <n v="0.61363636363636365"/>
    <n v="1350"/>
    <m/>
    <m/>
    <m/>
    <m/>
    <m/>
    <m/>
    <m/>
    <n v="650"/>
    <n v="700"/>
    <m/>
    <n v="1"/>
    <m/>
    <m/>
    <m/>
    <m/>
    <n v="0"/>
    <m/>
    <n v="0"/>
    <n v="0"/>
    <n v="0"/>
    <n v="0"/>
    <n v="0"/>
    <n v="0"/>
    <n v="395196.02500000002"/>
    <n v="395196.02500000002"/>
    <n v="8.8845014807502464E-3"/>
  </r>
  <r>
    <s v="US0008"/>
    <x v="0"/>
    <x v="1"/>
    <n v="2025"/>
    <s v="Eugene Martens"/>
    <n v="10006"/>
    <s v="Eugene Martens"/>
    <s v="334-646-0227, 334-885-6998"/>
    <x v="2"/>
    <s v="emartens@teleclipse.net"/>
    <s v="516 County Road 664, Roanoke, AL. 36274-5431"/>
    <s v="516 County Road 664, Roanoke, AL. 36274-5431"/>
    <x v="0"/>
    <s v="33.146328, -85.297633"/>
    <n v="6.6"/>
    <n v="7.2727272727272725"/>
    <s v="Y"/>
    <n v="800"/>
    <n v="800"/>
    <s v=""/>
    <m/>
    <m/>
    <m/>
    <m/>
    <n v="1"/>
    <n v="800"/>
    <m/>
    <m/>
    <n v="800"/>
    <n v="0.86235416666666664"/>
    <n v="689.88333333333333"/>
    <n v="0"/>
    <m/>
    <n v="0.86235416666666664"/>
    <n v="0.86235416666666664"/>
    <n v="689.88333333333333"/>
    <n v="0"/>
    <n v="689.88333333333333"/>
    <n v="0"/>
    <n v="689.88333333333333"/>
    <s v="Fortunei"/>
    <s v="11, 14"/>
    <n v="0.42499999999999999"/>
    <n v="340"/>
    <m/>
    <m/>
    <m/>
    <m/>
    <m/>
    <m/>
    <m/>
    <n v="40"/>
    <n v="300"/>
    <m/>
    <n v="1"/>
    <m/>
    <m/>
    <m/>
    <m/>
    <n v="0"/>
    <m/>
    <n v="0"/>
    <n v="0"/>
    <n v="0"/>
    <n v="0"/>
    <n v="0"/>
    <n v="0"/>
    <n v="135217.13333333333"/>
    <n v="135217.13333333333"/>
    <n v="8.8845014807502464E-3"/>
  </r>
  <r>
    <s v="US0011"/>
    <x v="0"/>
    <x v="1"/>
    <n v="2025"/>
    <s v="Joseph Hostetler"/>
    <n v="10009"/>
    <s v="Joseph Hostetler"/>
    <s v="724-946-2819 - message only, 234-567-1751"/>
    <x v="2"/>
    <n v="0"/>
    <s v="47 B&amp;H Lane, New Wilmington PA 16142"/>
    <s v="8080 Branch Rd SE Scio OH 43988-9552"/>
    <x v="0"/>
    <s v="40.450392, -81.009647"/>
    <n v="14.2"/>
    <n v="11.772727272727273"/>
    <m/>
    <n v="1295"/>
    <n v="1295"/>
    <s v=""/>
    <m/>
    <m/>
    <m/>
    <m/>
    <n v="1"/>
    <n v="1295"/>
    <m/>
    <m/>
    <n v="1295"/>
    <n v="0.12183612183612186"/>
    <n v="458.18181818181807"/>
    <n v="0"/>
    <m/>
    <n v="0.12183612183612186"/>
    <n v="0.12183612183612186"/>
    <n v="157.7777777777778"/>
    <n v="0"/>
    <n v="157.7777777777778"/>
    <n v="0"/>
    <n v="157.7777777777778"/>
    <s v="Fortunei"/>
    <s v="TG Cool"/>
    <n v="0.11583011583011583"/>
    <n v="150"/>
    <m/>
    <m/>
    <m/>
    <m/>
    <m/>
    <m/>
    <m/>
    <m/>
    <n v="150"/>
    <m/>
    <n v="1"/>
    <m/>
    <m/>
    <m/>
    <m/>
    <n v="0"/>
    <m/>
    <n v="0"/>
    <n v="0"/>
    <n v="0"/>
    <n v="0"/>
    <n v="0"/>
    <n v="0"/>
    <n v="30924.444444444449"/>
    <n v="30924.444444444449"/>
    <n v="8.8845014807502464E-3"/>
  </r>
  <r>
    <s v="US0014"/>
    <x v="0"/>
    <x v="1"/>
    <n v="2025"/>
    <s v="Wayne Owen"/>
    <n v="10012"/>
    <s v="Todd H Owen"/>
    <s v="901-356-4125"/>
    <x v="2"/>
    <n v="0"/>
    <s v="292 Ralph Rd  Covington  TN  38019-4916"/>
    <s v="292 Ralph Rd  Covington  TN  38019-4916"/>
    <x v="0"/>
    <s v="35.551192, -89.559985"/>
    <n v="6"/>
    <n v="6"/>
    <s v="Y"/>
    <n v="660"/>
    <n v="660"/>
    <s v=""/>
    <m/>
    <m/>
    <m/>
    <m/>
    <n v="1"/>
    <n v="660"/>
    <m/>
    <m/>
    <n v="660"/>
    <n v="1"/>
    <n v="660"/>
    <n v="0"/>
    <m/>
    <n v="1"/>
    <n v="1"/>
    <n v="660"/>
    <n v="0"/>
    <n v="660"/>
    <n v="0"/>
    <n v="660"/>
    <s v="Fortunei"/>
    <s v="12, 14"/>
    <n v="1.4393939393939394"/>
    <n v="950"/>
    <m/>
    <m/>
    <m/>
    <m/>
    <m/>
    <m/>
    <m/>
    <n v="400"/>
    <n v="550"/>
    <m/>
    <n v="1"/>
    <m/>
    <m/>
    <m/>
    <m/>
    <n v="0"/>
    <m/>
    <n v="0"/>
    <n v="0"/>
    <n v="0"/>
    <n v="0"/>
    <n v="0"/>
    <n v="0"/>
    <n v="129360"/>
    <n v="129360"/>
    <n v="8.8845014807502464E-3"/>
  </r>
  <r>
    <s v="CR0079"/>
    <x v="0"/>
    <x v="1"/>
    <n v="0"/>
    <s v="Dennis Cordoba"/>
    <n v="20073"/>
    <s v="Dennis Cordoba"/>
    <m/>
    <x v="1"/>
    <m/>
    <m/>
    <m/>
    <x v="1"/>
    <m/>
    <m/>
    <s v=""/>
    <m/>
    <n v="275"/>
    <n v="275"/>
    <s v=""/>
    <m/>
    <m/>
    <m/>
    <m/>
    <n v="1"/>
    <n v="275"/>
    <m/>
    <m/>
    <n v="275"/>
    <n v="0"/>
    <n v="0"/>
    <n v="0"/>
    <n v="0"/>
    <n v="0"/>
    <n v="0"/>
    <n v="0"/>
    <n v="0"/>
    <n v="0"/>
    <n v="0"/>
    <n v="0"/>
    <s v="P.fortunei"/>
    <m/>
    <n v="0"/>
    <n v="0"/>
    <m/>
    <m/>
    <m/>
    <m/>
    <m/>
    <m/>
    <m/>
    <m/>
    <m/>
    <m/>
    <n v="1"/>
    <m/>
    <m/>
    <m/>
    <m/>
    <n v="0"/>
    <m/>
    <n v="0"/>
    <n v="0"/>
    <n v="0"/>
    <n v="0"/>
    <n v="0"/>
    <n v="0"/>
    <n v="0"/>
    <n v="0"/>
    <n v="18"/>
  </r>
  <r>
    <s v="CR0093"/>
    <x v="0"/>
    <x v="1"/>
    <n v="0"/>
    <s v="Roberto Solis"/>
    <n v="20085"/>
    <s v="Orsom Proyect S.A"/>
    <m/>
    <x v="1"/>
    <m/>
    <m/>
    <m/>
    <x v="1"/>
    <m/>
    <m/>
    <s v=""/>
    <m/>
    <n v="250"/>
    <n v="250"/>
    <s v=""/>
    <m/>
    <m/>
    <m/>
    <m/>
    <n v="1"/>
    <n v="250"/>
    <m/>
    <m/>
    <n v="250"/>
    <n v="0"/>
    <n v="0"/>
    <n v="0"/>
    <n v="0"/>
    <n v="0"/>
    <n v="0"/>
    <n v="0"/>
    <n v="0"/>
    <n v="0"/>
    <n v="0"/>
    <n v="0"/>
    <m/>
    <m/>
    <n v="0"/>
    <n v="0"/>
    <m/>
    <m/>
    <m/>
    <m/>
    <m/>
    <m/>
    <m/>
    <m/>
    <m/>
    <m/>
    <n v="1"/>
    <m/>
    <m/>
    <m/>
    <m/>
    <n v="0"/>
    <m/>
    <n v="0"/>
    <n v="0"/>
    <n v="0"/>
    <n v="0"/>
    <n v="0"/>
    <n v="0"/>
    <n v="0"/>
    <n v="0"/>
    <n v="18"/>
  </r>
  <r>
    <s v="CR0094"/>
    <x v="0"/>
    <x v="1"/>
    <n v="0"/>
    <s v="Mauro Solis"/>
    <n v="20086"/>
    <s v="Carlos Roberto Solis"/>
    <m/>
    <x v="1"/>
    <m/>
    <m/>
    <m/>
    <x v="1"/>
    <m/>
    <m/>
    <s v=""/>
    <m/>
    <n v="900"/>
    <n v="900"/>
    <s v=""/>
    <m/>
    <m/>
    <m/>
    <m/>
    <n v="1"/>
    <n v="900"/>
    <m/>
    <m/>
    <n v="900"/>
    <n v="0"/>
    <n v="0"/>
    <n v="0"/>
    <n v="0"/>
    <n v="0"/>
    <n v="0"/>
    <n v="0"/>
    <n v="0"/>
    <n v="0"/>
    <n v="0"/>
    <n v="0"/>
    <m/>
    <m/>
    <n v="0"/>
    <n v="0"/>
    <m/>
    <m/>
    <m/>
    <m/>
    <m/>
    <m/>
    <m/>
    <m/>
    <m/>
    <m/>
    <n v="1"/>
    <m/>
    <m/>
    <m/>
    <m/>
    <n v="0"/>
    <m/>
    <n v="0"/>
    <n v="0"/>
    <n v="0"/>
    <n v="0"/>
    <n v="0"/>
    <n v="0"/>
    <n v="0"/>
    <n v="0"/>
    <n v="18"/>
  </r>
  <r>
    <s v="CR0095"/>
    <x v="0"/>
    <x v="1"/>
    <n v="0"/>
    <s v="Mario Rodriguez"/>
    <n v="20087"/>
    <s v="Coopronaranjo R.L"/>
    <m/>
    <x v="1"/>
    <m/>
    <m/>
    <m/>
    <x v="1"/>
    <m/>
    <m/>
    <s v=""/>
    <m/>
    <n v="1000"/>
    <n v="1000"/>
    <s v=""/>
    <m/>
    <m/>
    <m/>
    <m/>
    <n v="1"/>
    <n v="1000"/>
    <m/>
    <m/>
    <n v="1000"/>
    <n v="0"/>
    <n v="0"/>
    <n v="0"/>
    <n v="0"/>
    <n v="0"/>
    <n v="0"/>
    <n v="0"/>
    <n v="0"/>
    <n v="0"/>
    <n v="0"/>
    <n v="0"/>
    <m/>
    <m/>
    <n v="0"/>
    <n v="0"/>
    <m/>
    <m/>
    <m/>
    <m/>
    <m/>
    <m/>
    <m/>
    <m/>
    <m/>
    <m/>
    <n v="1"/>
    <m/>
    <m/>
    <m/>
    <m/>
    <n v="0"/>
    <m/>
    <n v="0"/>
    <n v="0"/>
    <n v="0"/>
    <n v="0"/>
    <n v="0"/>
    <n v="0"/>
    <n v="0"/>
    <n v="0"/>
    <n v="18"/>
  </r>
  <r>
    <s v="CR0096"/>
    <x v="0"/>
    <x v="1"/>
    <n v="0"/>
    <s v="Daniel Ureña"/>
    <n v="20088"/>
    <s v="Daniel Ureña"/>
    <m/>
    <x v="1"/>
    <m/>
    <m/>
    <m/>
    <x v="1"/>
    <m/>
    <m/>
    <s v=""/>
    <m/>
    <n v="250"/>
    <n v="250"/>
    <s v=""/>
    <m/>
    <m/>
    <m/>
    <m/>
    <n v="1"/>
    <n v="250"/>
    <m/>
    <m/>
    <n v="250"/>
    <n v="0"/>
    <n v="0"/>
    <n v="0"/>
    <n v="0"/>
    <n v="0"/>
    <n v="0"/>
    <n v="0"/>
    <n v="0"/>
    <n v="0"/>
    <n v="0"/>
    <n v="0"/>
    <m/>
    <m/>
    <n v="0"/>
    <n v="0"/>
    <m/>
    <m/>
    <m/>
    <m/>
    <m/>
    <m/>
    <m/>
    <m/>
    <m/>
    <m/>
    <n v="1"/>
    <m/>
    <m/>
    <m/>
    <m/>
    <n v="0"/>
    <m/>
    <n v="0"/>
    <n v="0"/>
    <n v="0"/>
    <n v="0"/>
    <n v="0"/>
    <n v="0"/>
    <n v="0"/>
    <n v="0"/>
    <n v="18"/>
  </r>
  <r>
    <s v="US0002"/>
    <x v="0"/>
    <x v="1"/>
    <n v="0"/>
    <s v="Bob Miller"/>
    <n v="10002"/>
    <s v="Bob Miller"/>
    <m/>
    <x v="1"/>
    <m/>
    <m/>
    <m/>
    <x v="0"/>
    <s v="27.478449, -81.296945"/>
    <m/>
    <s v=""/>
    <m/>
    <n v="1200"/>
    <n v="1200"/>
    <s v=""/>
    <m/>
    <m/>
    <m/>
    <m/>
    <n v="1"/>
    <n v="1200"/>
    <m/>
    <m/>
    <n v="1200"/>
    <n v="0"/>
    <n v="0"/>
    <n v="0"/>
    <n v="0"/>
    <n v="0"/>
    <n v="0"/>
    <n v="0"/>
    <n v="0"/>
    <n v="0"/>
    <n v="0"/>
    <n v="0"/>
    <s v="Fortunei"/>
    <m/>
    <n v="0"/>
    <n v="0"/>
    <m/>
    <m/>
    <m/>
    <m/>
    <m/>
    <m/>
    <m/>
    <m/>
    <m/>
    <m/>
    <n v="1"/>
    <m/>
    <m/>
    <m/>
    <m/>
    <n v="0"/>
    <m/>
    <n v="0"/>
    <n v="0"/>
    <n v="0"/>
    <n v="0"/>
    <n v="0"/>
    <n v="0"/>
    <n v="0"/>
    <n v="0"/>
    <n v="18"/>
  </r>
  <r>
    <s v="US0003"/>
    <x v="0"/>
    <x v="1"/>
    <n v="0"/>
    <s v="Brian Lusnia"/>
    <n v="10003"/>
    <s v="Brian Lusnia"/>
    <m/>
    <x v="1"/>
    <m/>
    <m/>
    <m/>
    <x v="0"/>
    <s v="45.321683 -122.533558"/>
    <m/>
    <s v=""/>
    <m/>
    <n v="1100"/>
    <n v="1100"/>
    <s v=""/>
    <m/>
    <m/>
    <m/>
    <m/>
    <n v="1"/>
    <n v="1100"/>
    <m/>
    <m/>
    <n v="1100"/>
    <n v="0"/>
    <n v="0"/>
    <n v="0"/>
    <n v="0"/>
    <n v="0"/>
    <n v="0"/>
    <n v="0"/>
    <n v="0"/>
    <n v="0"/>
    <n v="0"/>
    <n v="0"/>
    <s v="Fortunei"/>
    <m/>
    <n v="0.18636363636363637"/>
    <n v="205"/>
    <m/>
    <m/>
    <m/>
    <m/>
    <m/>
    <m/>
    <m/>
    <m/>
    <n v="55"/>
    <n v="150"/>
    <n v="1"/>
    <m/>
    <m/>
    <m/>
    <m/>
    <n v="0"/>
    <m/>
    <n v="0"/>
    <n v="0"/>
    <n v="0"/>
    <n v="0"/>
    <n v="0"/>
    <n v="0"/>
    <n v="0"/>
    <n v="0"/>
    <n v="18"/>
  </r>
  <r>
    <s v="US0007"/>
    <x v="0"/>
    <x v="1"/>
    <n v="0"/>
    <s v="Dennis Stoltzfoos"/>
    <n v="10005"/>
    <s v="Dennis Stoltzfoos"/>
    <m/>
    <x v="1"/>
    <m/>
    <m/>
    <m/>
    <x v="0"/>
    <s v="30.13526 -83.18676"/>
    <m/>
    <s v=""/>
    <m/>
    <n v="1100"/>
    <n v="1100"/>
    <s v=""/>
    <m/>
    <m/>
    <m/>
    <m/>
    <n v="1"/>
    <n v="1100"/>
    <m/>
    <m/>
    <n v="1100"/>
    <n v="0"/>
    <n v="0"/>
    <n v="0"/>
    <n v="0"/>
    <n v="0"/>
    <n v="0"/>
    <n v="0"/>
    <n v="0"/>
    <n v="0"/>
    <n v="0"/>
    <n v="0"/>
    <s v="Fortunei"/>
    <m/>
    <n v="0.21818181818181817"/>
    <n v="240"/>
    <m/>
    <m/>
    <m/>
    <m/>
    <m/>
    <m/>
    <m/>
    <m/>
    <m/>
    <n v="240"/>
    <n v="1"/>
    <m/>
    <m/>
    <m/>
    <m/>
    <n v="0"/>
    <m/>
    <n v="0"/>
    <n v="0"/>
    <n v="0"/>
    <n v="0"/>
    <n v="0"/>
    <n v="0"/>
    <n v="0"/>
    <n v="0"/>
    <n v="18"/>
  </r>
  <r>
    <s v="US0009"/>
    <x v="0"/>
    <x v="1"/>
    <n v="2025"/>
    <s v="Jay Ridings"/>
    <n v="10007"/>
    <s v="Jay Ridings"/>
    <s v="901-619-5991, 901-476-1263, 901-313-9793"/>
    <x v="0"/>
    <s v="jridings01@aol.com, jayspaintandbody@gmail.com, jridings01@aol.com"/>
    <s v="1972 Leighs Chapel Rd, Covington, TN 38019-4522"/>
    <s v="1972 Leighs Chapel Rd, Covington, TN 38019-4522"/>
    <x v="0"/>
    <s v="35.616983, -89.699598"/>
    <n v="12"/>
    <s v=""/>
    <m/>
    <n v="1650"/>
    <n v="1650"/>
    <s v=""/>
    <m/>
    <m/>
    <m/>
    <m/>
    <n v="1"/>
    <n v="1650"/>
    <m/>
    <m/>
    <n v="1650"/>
    <n v="0.27768595041322308"/>
    <n v="458.18181818181807"/>
    <n v="0"/>
    <m/>
    <n v="0.27768595041322308"/>
    <n v="0.28000000000000003"/>
    <n v="458.18181818181807"/>
    <n v="0"/>
    <n v="458.18181818181807"/>
    <n v="0"/>
    <n v="458.18181818181807"/>
    <s v="Fortunei"/>
    <m/>
    <n v="1.2424242424242424"/>
    <n v="2050"/>
    <m/>
    <m/>
    <m/>
    <m/>
    <n v="400"/>
    <m/>
    <m/>
    <m/>
    <n v="1650"/>
    <m/>
    <n v="1"/>
    <m/>
    <m/>
    <m/>
    <m/>
    <n v="0"/>
    <m/>
    <n v="0"/>
    <n v="0"/>
    <n v="0"/>
    <n v="0"/>
    <n v="0"/>
    <n v="0"/>
    <n v="89803.636363636339"/>
    <n v="89803.636363636339"/>
    <n v="8.8845014807502464E-3"/>
  </r>
  <r>
    <s v="US0010"/>
    <x v="0"/>
    <x v="1"/>
    <n v="0"/>
    <s v="Jonathan Walker"/>
    <n v="10008"/>
    <s v="Jonathan Walker"/>
    <m/>
    <x v="1"/>
    <m/>
    <m/>
    <m/>
    <x v="0"/>
    <s v="33.77408, -85.77677"/>
    <m/>
    <s v=""/>
    <m/>
    <n v="550"/>
    <n v="550"/>
    <s v=""/>
    <m/>
    <m/>
    <m/>
    <m/>
    <n v="1"/>
    <n v="550"/>
    <m/>
    <m/>
    <n v="550"/>
    <n v="0"/>
    <n v="0"/>
    <n v="0"/>
    <n v="0"/>
    <n v="0"/>
    <n v="0"/>
    <n v="0"/>
    <n v="0"/>
    <n v="0"/>
    <n v="0"/>
    <n v="0"/>
    <s v="Fortunei"/>
    <m/>
    <n v="1.5727272727272728"/>
    <n v="865"/>
    <m/>
    <m/>
    <m/>
    <m/>
    <m/>
    <m/>
    <m/>
    <n v="365"/>
    <n v="500"/>
    <m/>
    <n v="1"/>
    <m/>
    <m/>
    <m/>
    <m/>
    <n v="0"/>
    <m/>
    <n v="0"/>
    <n v="0"/>
    <n v="0"/>
    <n v="0"/>
    <n v="0"/>
    <n v="0"/>
    <n v="0"/>
    <n v="0"/>
    <n v="18"/>
  </r>
  <r>
    <s v="US0012"/>
    <x v="0"/>
    <x v="1"/>
    <n v="0"/>
    <s v="Loretta Adderson"/>
    <n v="10010"/>
    <s v="Loretta Adderson"/>
    <m/>
    <x v="1"/>
    <m/>
    <m/>
    <m/>
    <x v="0"/>
    <s v="33.121452, -82.197412"/>
    <m/>
    <s v=""/>
    <m/>
    <n v="2200"/>
    <n v="2200"/>
    <s v=""/>
    <m/>
    <m/>
    <m/>
    <m/>
    <n v="1"/>
    <n v="2200"/>
    <m/>
    <m/>
    <n v="2200"/>
    <n v="0"/>
    <n v="0"/>
    <n v="0"/>
    <n v="0"/>
    <n v="0"/>
    <n v="0"/>
    <n v="0"/>
    <n v="0"/>
    <n v="0"/>
    <n v="0"/>
    <n v="0"/>
    <s v="Fortunei"/>
    <m/>
    <n v="0"/>
    <n v="0"/>
    <m/>
    <m/>
    <m/>
    <m/>
    <m/>
    <m/>
    <m/>
    <m/>
    <m/>
    <m/>
    <n v="1"/>
    <m/>
    <m/>
    <m/>
    <m/>
    <n v="0"/>
    <m/>
    <n v="0"/>
    <n v="0"/>
    <n v="0"/>
    <n v="0"/>
    <n v="0"/>
    <n v="0"/>
    <n v="0"/>
    <n v="0"/>
    <n v="18"/>
  </r>
  <r>
    <s v="US0013"/>
    <x v="0"/>
    <x v="1"/>
    <n v="0"/>
    <s v="Nolan Bradford"/>
    <n v="10011"/>
    <s v="Nolan Bradford"/>
    <n v="0"/>
    <x v="1"/>
    <m/>
    <m/>
    <m/>
    <x v="0"/>
    <s v="33.983918, -86.808292"/>
    <m/>
    <s v=""/>
    <m/>
    <n v="550"/>
    <n v="550"/>
    <s v=""/>
    <m/>
    <m/>
    <m/>
    <m/>
    <n v="1"/>
    <n v="550"/>
    <m/>
    <m/>
    <n v="550"/>
    <n v="0"/>
    <n v="0"/>
    <n v="0"/>
    <n v="0"/>
    <n v="0"/>
    <n v="0"/>
    <n v="0"/>
    <n v="0"/>
    <n v="0"/>
    <n v="0"/>
    <n v="0"/>
    <s v="Fortunei"/>
    <m/>
    <n v="0"/>
    <n v="0"/>
    <m/>
    <m/>
    <m/>
    <m/>
    <m/>
    <m/>
    <m/>
    <m/>
    <m/>
    <m/>
    <n v="1"/>
    <m/>
    <m/>
    <m/>
    <m/>
    <n v="0"/>
    <m/>
    <n v="0"/>
    <n v="0"/>
    <n v="0"/>
    <n v="0"/>
    <n v="0"/>
    <n v="0"/>
    <n v="0"/>
    <n v="0"/>
    <n v="18"/>
  </r>
  <r>
    <s v="US0005"/>
    <x v="1"/>
    <x v="1"/>
    <n v="2025"/>
    <s v="Bruce Gamble"/>
    <n v="10001"/>
    <s v="Bruce Gamble"/>
    <s v="956-873-2487"/>
    <x v="0"/>
    <s v="brucegamblefarms@gmail.com"/>
    <s v="10539 Mile 8 Road, LaFeria, TX, USA, 78559"/>
    <s v="10539 Mile 8 Road, LaFeria, TX, USA, 78559"/>
    <x v="0"/>
    <s v="26.278008, -97.890074"/>
    <n v="21.6"/>
    <s v=""/>
    <m/>
    <n v="2200"/>
    <n v="2200"/>
    <s v=""/>
    <m/>
    <n v="0"/>
    <m/>
    <m/>
    <n v="1"/>
    <n v="2200"/>
    <m/>
    <m/>
    <n v="2200"/>
    <n v="0.53441505333295214"/>
    <n v="1175.7131173324947"/>
    <n v="0"/>
    <m/>
    <n v="0.53441505333295214"/>
    <n v="0.53"/>
    <n v="1175.7131173324947"/>
    <n v="0"/>
    <n v="1175.7131173324947"/>
    <n v="0"/>
    <n v="1175.7131173324947"/>
    <s v="Fortunei"/>
    <s v="TG Cool"/>
    <n v="1"/>
    <n v="2200"/>
    <m/>
    <m/>
    <m/>
    <m/>
    <m/>
    <m/>
    <m/>
    <n v="2200"/>
    <m/>
    <m/>
    <n v="1"/>
    <m/>
    <m/>
    <m/>
    <m/>
    <n v="0"/>
    <m/>
    <n v="0"/>
    <n v="0"/>
    <n v="0"/>
    <n v="0"/>
    <n v="0"/>
    <n v="0"/>
    <n v="230439.77099716896"/>
    <n v="230439.77099716896"/>
    <n v="8.8845014807502464E-3"/>
  </r>
  <r>
    <s v="US0018"/>
    <x v="1"/>
    <x v="2"/>
    <n v="0"/>
    <s v="Marlene Lewis"/>
    <n v="10016"/>
    <s v="Lewauta Landholdings Inc"/>
    <s v="250-889-1343"/>
    <x v="1"/>
    <s v="marlene@end-dyslexia.com, mmlewisaccess@gmail.com, marlene@empressacres.ca, petermlewis1@gmail.com"/>
    <s v="2974 Haslam Road, Nanaimo, BC V9X 1T1, Canada"/>
    <s v="2974 Haslam Road, Nanaimo, BC V9X 1T1, Canada"/>
    <x v="0"/>
    <s v="49.06572, -123.854433"/>
    <n v="7.8"/>
    <s v=""/>
    <s v="Y"/>
    <n v="951"/>
    <n v="951"/>
    <s v=""/>
    <m/>
    <n v="0.23974763406940064"/>
    <n v="228"/>
    <n v="228"/>
    <n v="0.76025236593059897"/>
    <n v="722.76"/>
    <m/>
    <m/>
    <n v="722.76"/>
    <n v="0.537280740575518"/>
    <n v="510.95398428731761"/>
    <n v="0"/>
    <n v="0"/>
    <n v="0"/>
    <n v="0"/>
    <n v="0"/>
    <n v="0"/>
    <n v="0"/>
    <n v="0"/>
    <n v="0"/>
    <s v="Fortunei"/>
    <s v="TG Cool"/>
    <n v="4.2060988433228183E-2"/>
    <n v="40"/>
    <m/>
    <m/>
    <m/>
    <m/>
    <m/>
    <m/>
    <m/>
    <m/>
    <n v="40"/>
    <m/>
    <n v="1"/>
    <n v="1"/>
    <m/>
    <m/>
    <m/>
    <n v="0"/>
    <m/>
    <n v="0"/>
    <n v="0"/>
    <n v="0"/>
    <n v="0"/>
    <n v="0"/>
    <n v="0"/>
    <n v="0"/>
    <n v="0"/>
    <n v="18"/>
  </r>
  <r>
    <s v="CR0008"/>
    <x v="1"/>
    <x v="2"/>
    <n v="0"/>
    <s v="Carlos Navarro"/>
    <n v="20008"/>
    <s v="Carlos Navarro"/>
    <m/>
    <x v="1"/>
    <m/>
    <m/>
    <m/>
    <x v="1"/>
    <m/>
    <m/>
    <s v=""/>
    <m/>
    <n v="1200"/>
    <n v="1200"/>
    <s v=""/>
    <m/>
    <n v="0.24"/>
    <n v="288"/>
    <n v="288"/>
    <n v="0.76"/>
    <n v="912"/>
    <m/>
    <m/>
    <n v="912"/>
    <n v="0"/>
    <n v="0"/>
    <n v="0"/>
    <n v="0"/>
    <n v="0"/>
    <n v="0"/>
    <n v="0"/>
    <n v="0"/>
    <n v="0"/>
    <n v="0"/>
    <n v="0"/>
    <s v="P. fortunei"/>
    <m/>
    <n v="0"/>
    <n v="0"/>
    <m/>
    <m/>
    <m/>
    <m/>
    <m/>
    <m/>
    <m/>
    <m/>
    <m/>
    <m/>
    <n v="1"/>
    <n v="1"/>
    <m/>
    <m/>
    <m/>
    <n v="0"/>
    <m/>
    <n v="0"/>
    <n v="0"/>
    <n v="0"/>
    <n v="0"/>
    <n v="0"/>
    <n v="0"/>
    <n v="0"/>
    <n v="0"/>
    <n v="18"/>
  </r>
  <r>
    <s v="CR0009"/>
    <x v="1"/>
    <x v="2"/>
    <n v="0"/>
    <s v="David Gutierrez"/>
    <n v="20009"/>
    <s v="Edgar Gutierrez"/>
    <m/>
    <x v="1"/>
    <m/>
    <m/>
    <m/>
    <x v="1"/>
    <m/>
    <m/>
    <s v=""/>
    <m/>
    <n v="500"/>
    <n v="500"/>
    <s v=""/>
    <m/>
    <n v="0.24"/>
    <n v="120"/>
    <n v="120"/>
    <n v="0.76"/>
    <n v="380"/>
    <m/>
    <m/>
    <n v="380"/>
    <n v="0"/>
    <n v="0"/>
    <n v="0"/>
    <n v="0"/>
    <n v="0"/>
    <n v="0"/>
    <n v="0"/>
    <n v="0"/>
    <n v="0"/>
    <n v="0"/>
    <n v="0"/>
    <s v="P. fortunei"/>
    <m/>
    <n v="0"/>
    <n v="0"/>
    <m/>
    <m/>
    <m/>
    <m/>
    <m/>
    <m/>
    <m/>
    <m/>
    <m/>
    <m/>
    <n v="1"/>
    <m/>
    <m/>
    <m/>
    <m/>
    <n v="0"/>
    <m/>
    <n v="0"/>
    <n v="0"/>
    <n v="0"/>
    <n v="0"/>
    <n v="0"/>
    <n v="0"/>
    <n v="0"/>
    <n v="0"/>
    <n v="18"/>
  </r>
  <r>
    <s v="CR0010"/>
    <x v="1"/>
    <x v="2"/>
    <n v="0"/>
    <s v="Edgar Ureña"/>
    <n v="20010"/>
    <s v="Edgar Ureña"/>
    <m/>
    <x v="1"/>
    <m/>
    <m/>
    <m/>
    <x v="1"/>
    <m/>
    <m/>
    <s v=""/>
    <m/>
    <n v="500"/>
    <n v="500"/>
    <s v=""/>
    <m/>
    <n v="0.24"/>
    <n v="120"/>
    <n v="120"/>
    <n v="0.76"/>
    <n v="380"/>
    <m/>
    <m/>
    <n v="380"/>
    <n v="0"/>
    <n v="0"/>
    <n v="0"/>
    <n v="0"/>
    <n v="0"/>
    <n v="0"/>
    <n v="0"/>
    <n v="0"/>
    <n v="0"/>
    <n v="0"/>
    <n v="0"/>
    <s v="P. fortunei"/>
    <m/>
    <n v="0"/>
    <n v="0"/>
    <m/>
    <m/>
    <m/>
    <m/>
    <m/>
    <m/>
    <m/>
    <m/>
    <m/>
    <m/>
    <n v="1"/>
    <m/>
    <m/>
    <m/>
    <m/>
    <n v="0"/>
    <m/>
    <n v="0"/>
    <n v="0"/>
    <n v="0"/>
    <n v="0"/>
    <n v="0"/>
    <n v="0"/>
    <n v="0"/>
    <n v="0"/>
    <n v="18"/>
  </r>
  <r>
    <s v="CR0011"/>
    <x v="1"/>
    <x v="2"/>
    <n v="0"/>
    <s v="Fernando Altmann"/>
    <n v="20011"/>
    <s v="Fernando Altmann"/>
    <m/>
    <x v="1"/>
    <m/>
    <m/>
    <m/>
    <x v="1"/>
    <m/>
    <m/>
    <s v=""/>
    <m/>
    <n v="13000"/>
    <n v="13000"/>
    <s v=""/>
    <m/>
    <n v="0.24"/>
    <n v="3120"/>
    <n v="3120"/>
    <n v="0.76"/>
    <n v="9880"/>
    <m/>
    <m/>
    <n v="9880"/>
    <n v="0"/>
    <n v="0"/>
    <n v="0"/>
    <n v="0"/>
    <n v="0"/>
    <n v="0"/>
    <n v="0"/>
    <n v="0"/>
    <n v="0"/>
    <n v="0"/>
    <n v="0"/>
    <s v="P. fortunei"/>
    <m/>
    <n v="0"/>
    <n v="0"/>
    <m/>
    <m/>
    <m/>
    <m/>
    <m/>
    <m/>
    <m/>
    <m/>
    <m/>
    <m/>
    <n v="1"/>
    <n v="1"/>
    <m/>
    <m/>
    <m/>
    <n v="0"/>
    <m/>
    <n v="0"/>
    <n v="0"/>
    <n v="0"/>
    <n v="0"/>
    <n v="0"/>
    <n v="0"/>
    <n v="0"/>
    <n v="0"/>
    <n v="18"/>
  </r>
  <r>
    <s v="CR0012"/>
    <x v="1"/>
    <x v="2"/>
    <n v="0"/>
    <s v="Francisco Mena"/>
    <n v="20012"/>
    <s v="Sumava de Lourdes, R.L"/>
    <m/>
    <x v="1"/>
    <m/>
    <m/>
    <m/>
    <x v="1"/>
    <m/>
    <m/>
    <s v=""/>
    <m/>
    <n v="2000"/>
    <n v="2000"/>
    <s v=""/>
    <m/>
    <n v="0.24"/>
    <n v="480"/>
    <n v="480"/>
    <n v="0.76"/>
    <n v="1520"/>
    <m/>
    <m/>
    <n v="1520"/>
    <n v="0"/>
    <n v="0"/>
    <n v="0"/>
    <n v="0"/>
    <n v="0"/>
    <n v="0"/>
    <n v="0"/>
    <n v="0"/>
    <n v="0"/>
    <n v="0"/>
    <n v="0"/>
    <s v="P. fortunei"/>
    <m/>
    <n v="0"/>
    <n v="0"/>
    <m/>
    <m/>
    <m/>
    <m/>
    <m/>
    <m/>
    <m/>
    <m/>
    <m/>
    <m/>
    <n v="1"/>
    <m/>
    <m/>
    <m/>
    <m/>
    <n v="0"/>
    <m/>
    <n v="0"/>
    <n v="0"/>
    <n v="0"/>
    <n v="0"/>
    <n v="0"/>
    <n v="0"/>
    <n v="0"/>
    <n v="0"/>
    <n v="18"/>
  </r>
  <r>
    <s v="CR0013"/>
    <x v="1"/>
    <x v="2"/>
    <n v="2026"/>
    <s v="Herberth Chacon"/>
    <n v="20013"/>
    <s v="Herberth Chacon"/>
    <n v="50687018348"/>
    <x v="0"/>
    <s v="h.chacon@hotmail.es, info@cafelaspenas.com"/>
    <s v="Sabanilla, Provincia de Alajuela, Sabanilla, Costa Rica"/>
    <s v="10.067475, -84.219483"/>
    <x v="1"/>
    <s v="10.064184, -84.202693"/>
    <n v="5.8000000000000007"/>
    <s v=""/>
    <m/>
    <n v="1000"/>
    <n v="1000"/>
    <s v=""/>
    <m/>
    <n v="0.24"/>
    <n v="240"/>
    <n v="240"/>
    <n v="0.76"/>
    <n v="760"/>
    <m/>
    <m/>
    <n v="760"/>
    <n v="0.87"/>
    <n v="870"/>
    <n v="0"/>
    <m/>
    <n v="0.87"/>
    <n v="0.87"/>
    <n v="870"/>
    <n v="208.79999999999998"/>
    <n v="661.2"/>
    <n v="0"/>
    <n v="661.2"/>
    <s v="P. fortunei"/>
    <m/>
    <n v="0.75"/>
    <n v="750"/>
    <m/>
    <m/>
    <m/>
    <m/>
    <m/>
    <m/>
    <n v="200"/>
    <n v="550"/>
    <m/>
    <m/>
    <n v="1"/>
    <n v="1"/>
    <m/>
    <m/>
    <m/>
    <n v="0"/>
    <m/>
    <n v="0"/>
    <n v="0"/>
    <n v="0"/>
    <n v="0"/>
    <n v="0"/>
    <n v="0"/>
    <n v="170520"/>
    <n v="170520"/>
    <n v="8.8801184015786881E-3"/>
  </r>
  <r>
    <s v="CR0014"/>
    <x v="1"/>
    <x v="2"/>
    <n v="0"/>
    <s v="Jorge Arrieta"/>
    <m/>
    <s v="Olymar Santa Lucia"/>
    <m/>
    <x v="1"/>
    <m/>
    <m/>
    <m/>
    <x v="1"/>
    <m/>
    <m/>
    <s v=""/>
    <m/>
    <n v="1000"/>
    <n v="1000"/>
    <s v=""/>
    <m/>
    <n v="0.24"/>
    <n v="240"/>
    <n v="240"/>
    <n v="0.76"/>
    <n v="760"/>
    <m/>
    <m/>
    <n v="760"/>
    <n v="0"/>
    <n v="0"/>
    <n v="0"/>
    <n v="0"/>
    <n v="0"/>
    <n v="0"/>
    <n v="0"/>
    <n v="0"/>
    <n v="0"/>
    <n v="0"/>
    <n v="0"/>
    <s v="P. fortunei"/>
    <m/>
    <n v="0"/>
    <n v="0"/>
    <m/>
    <m/>
    <m/>
    <m/>
    <m/>
    <m/>
    <m/>
    <m/>
    <m/>
    <m/>
    <n v="1"/>
    <m/>
    <m/>
    <m/>
    <m/>
    <n v="0"/>
    <m/>
    <n v="0"/>
    <n v="0"/>
    <n v="0"/>
    <n v="0"/>
    <n v="0"/>
    <n v="0"/>
    <n v="0"/>
    <n v="0"/>
    <n v="18"/>
  </r>
  <r>
    <s v="CR0015"/>
    <x v="1"/>
    <x v="2"/>
    <n v="0"/>
    <s v="Juan Luis  Chaves"/>
    <n v="20005"/>
    <s v="ASESORIA DE EMPRESAS TONAL S A, "/>
    <m/>
    <x v="1"/>
    <m/>
    <m/>
    <m/>
    <x v="1"/>
    <m/>
    <m/>
    <s v=""/>
    <m/>
    <n v="1000"/>
    <n v="1000"/>
    <s v=""/>
    <m/>
    <n v="0.24"/>
    <n v="240"/>
    <n v="240"/>
    <n v="0.76"/>
    <n v="760"/>
    <m/>
    <m/>
    <n v="760"/>
    <n v="0"/>
    <n v="0"/>
    <n v="0"/>
    <n v="0"/>
    <n v="0"/>
    <n v="0"/>
    <n v="0"/>
    <n v="0"/>
    <n v="0"/>
    <n v="0"/>
    <n v="0"/>
    <s v="P. fortunei"/>
    <m/>
    <n v="0"/>
    <n v="0"/>
    <m/>
    <m/>
    <m/>
    <m/>
    <n v="0"/>
    <m/>
    <m/>
    <m/>
    <m/>
    <m/>
    <n v="1"/>
    <m/>
    <m/>
    <m/>
    <m/>
    <n v="0"/>
    <m/>
    <n v="0"/>
    <n v="0"/>
    <n v="0"/>
    <n v="0"/>
    <n v="0"/>
    <n v="0"/>
    <n v="0"/>
    <n v="0"/>
    <n v="18"/>
  </r>
  <r>
    <s v="CR0016"/>
    <x v="1"/>
    <x v="2"/>
    <n v="0"/>
    <s v="Krzysztof Adamski"/>
    <n v="20015"/>
    <s v="Krzysztof Adamski"/>
    <m/>
    <x v="1"/>
    <m/>
    <m/>
    <m/>
    <x v="1"/>
    <m/>
    <m/>
    <s v=""/>
    <m/>
    <n v="600"/>
    <n v="600"/>
    <s v=""/>
    <m/>
    <n v="0.24"/>
    <n v="144"/>
    <n v="144"/>
    <n v="0.76"/>
    <n v="456"/>
    <m/>
    <m/>
    <n v="456"/>
    <n v="0"/>
    <n v="0"/>
    <n v="0"/>
    <n v="0"/>
    <n v="0"/>
    <n v="0"/>
    <n v="0"/>
    <n v="0"/>
    <n v="0"/>
    <n v="0"/>
    <n v="0"/>
    <s v="P. fortunei"/>
    <m/>
    <n v="0"/>
    <n v="0"/>
    <m/>
    <m/>
    <m/>
    <m/>
    <m/>
    <m/>
    <m/>
    <m/>
    <m/>
    <m/>
    <n v="1"/>
    <m/>
    <m/>
    <m/>
    <m/>
    <n v="0"/>
    <m/>
    <n v="0"/>
    <n v="0"/>
    <n v="0"/>
    <n v="0"/>
    <n v="0"/>
    <n v="0"/>
    <n v="0"/>
    <n v="0"/>
    <n v="18"/>
  </r>
  <r>
    <s v="CR0017"/>
    <x v="1"/>
    <x v="2"/>
    <n v="0"/>
    <s v="Manuel Rojas"/>
    <n v="20016"/>
    <s v="Rojas y Pacheco S.R.L, "/>
    <m/>
    <x v="1"/>
    <m/>
    <m/>
    <m/>
    <x v="1"/>
    <m/>
    <m/>
    <s v=""/>
    <m/>
    <n v="1000"/>
    <n v="1000"/>
    <s v=""/>
    <m/>
    <n v="0.24"/>
    <n v="240"/>
    <n v="240"/>
    <n v="0.76"/>
    <n v="760"/>
    <m/>
    <m/>
    <n v="760"/>
    <n v="0"/>
    <n v="0"/>
    <n v="0"/>
    <n v="0"/>
    <n v="0"/>
    <n v="0"/>
    <n v="0"/>
    <n v="0"/>
    <n v="0"/>
    <n v="0"/>
    <n v="0"/>
    <s v="P. fortunei"/>
    <m/>
    <n v="0"/>
    <n v="0"/>
    <m/>
    <m/>
    <m/>
    <m/>
    <m/>
    <m/>
    <m/>
    <m/>
    <m/>
    <m/>
    <n v="1"/>
    <m/>
    <m/>
    <m/>
    <m/>
    <n v="0"/>
    <m/>
    <n v="0"/>
    <n v="0"/>
    <n v="0"/>
    <n v="0"/>
    <n v="0"/>
    <n v="0"/>
    <n v="0"/>
    <n v="0"/>
    <n v="18"/>
  </r>
  <r>
    <s v="CR0018"/>
    <x v="1"/>
    <x v="2"/>
    <n v="0"/>
    <s v="Martin Gutierrez"/>
    <n v="20017"/>
    <s v="Martin Gutierrez"/>
    <m/>
    <x v="1"/>
    <m/>
    <m/>
    <m/>
    <x v="1"/>
    <m/>
    <m/>
    <s v=""/>
    <m/>
    <n v="250"/>
    <n v="250"/>
    <s v=""/>
    <m/>
    <n v="0.24"/>
    <n v="60"/>
    <n v="60"/>
    <n v="0.76"/>
    <n v="190"/>
    <m/>
    <m/>
    <n v="190"/>
    <n v="0"/>
    <n v="0"/>
    <n v="0"/>
    <n v="0"/>
    <n v="0"/>
    <n v="0"/>
    <n v="0"/>
    <n v="0"/>
    <n v="0"/>
    <n v="0"/>
    <n v="0"/>
    <s v="P. fortunei"/>
    <m/>
    <n v="0"/>
    <n v="0"/>
    <m/>
    <m/>
    <m/>
    <m/>
    <m/>
    <m/>
    <m/>
    <m/>
    <m/>
    <m/>
    <n v="1"/>
    <m/>
    <m/>
    <m/>
    <m/>
    <n v="0"/>
    <m/>
    <n v="0"/>
    <n v="0"/>
    <n v="0"/>
    <n v="0"/>
    <n v="0"/>
    <n v="0"/>
    <n v="0"/>
    <n v="0"/>
    <n v="18"/>
  </r>
  <r>
    <s v="CR0019"/>
    <x v="1"/>
    <x v="2"/>
    <n v="0"/>
    <s v="Miguel Angel Cabezas"/>
    <n v="20018"/>
    <s v="Miriam Mora Salazar"/>
    <m/>
    <x v="1"/>
    <m/>
    <m/>
    <m/>
    <x v="1"/>
    <m/>
    <m/>
    <s v=""/>
    <m/>
    <n v="500"/>
    <n v="500"/>
    <s v=""/>
    <m/>
    <n v="0.24"/>
    <n v="120"/>
    <n v="120"/>
    <n v="0.76"/>
    <n v="380"/>
    <m/>
    <m/>
    <n v="380"/>
    <n v="0"/>
    <n v="0"/>
    <n v="0"/>
    <n v="0"/>
    <n v="0"/>
    <n v="0"/>
    <n v="0"/>
    <n v="0"/>
    <n v="0"/>
    <n v="0"/>
    <n v="0"/>
    <s v="P. fortunei"/>
    <m/>
    <n v="0"/>
    <n v="0"/>
    <m/>
    <m/>
    <m/>
    <m/>
    <m/>
    <m/>
    <m/>
    <m/>
    <m/>
    <m/>
    <n v="1"/>
    <n v="1"/>
    <m/>
    <m/>
    <m/>
    <n v="0"/>
    <m/>
    <n v="0"/>
    <n v="0"/>
    <n v="0"/>
    <n v="0"/>
    <n v="0"/>
    <n v="0"/>
    <n v="0"/>
    <n v="0"/>
    <n v="18"/>
  </r>
  <r>
    <s v="CR0020"/>
    <x v="1"/>
    <x v="2"/>
    <n v="0"/>
    <s v="Fernando Chacon "/>
    <n v="20019"/>
    <s v="Esteban Fernando Chacon "/>
    <m/>
    <x v="1"/>
    <m/>
    <m/>
    <m/>
    <x v="1"/>
    <m/>
    <m/>
    <s v=""/>
    <m/>
    <n v="300"/>
    <n v="300"/>
    <s v=""/>
    <m/>
    <n v="0.24"/>
    <n v="72"/>
    <n v="72"/>
    <n v="0.76"/>
    <n v="228"/>
    <m/>
    <m/>
    <n v="228"/>
    <n v="0"/>
    <n v="0"/>
    <n v="0"/>
    <n v="0"/>
    <n v="0"/>
    <n v="0"/>
    <n v="0"/>
    <n v="0"/>
    <n v="0"/>
    <n v="0"/>
    <n v="0"/>
    <s v="P. fortunei"/>
    <m/>
    <n v="0"/>
    <n v="0"/>
    <m/>
    <m/>
    <m/>
    <m/>
    <m/>
    <m/>
    <m/>
    <m/>
    <m/>
    <m/>
    <n v="1"/>
    <m/>
    <m/>
    <m/>
    <m/>
    <n v="0"/>
    <m/>
    <n v="0"/>
    <n v="0"/>
    <n v="0"/>
    <n v="0"/>
    <n v="0"/>
    <n v="0"/>
    <n v="0"/>
    <n v="0"/>
    <n v="18"/>
  </r>
  <r>
    <s v="CR0021"/>
    <x v="1"/>
    <x v="2"/>
    <n v="0"/>
    <s v="Oscar Viquez"/>
    <n v="20020"/>
    <s v="Oscar Viquez,María Isabel Quesada Víquez, Eraida Quesada Víquez, Estelia Quesada Víquez"/>
    <m/>
    <x v="1"/>
    <m/>
    <m/>
    <m/>
    <x v="1"/>
    <m/>
    <m/>
    <s v=""/>
    <m/>
    <n v="1000"/>
    <n v="1000"/>
    <s v=""/>
    <m/>
    <n v="0.24"/>
    <n v="240"/>
    <n v="240"/>
    <n v="0.76"/>
    <n v="760"/>
    <m/>
    <m/>
    <n v="760"/>
    <n v="0"/>
    <n v="0"/>
    <n v="0"/>
    <n v="0"/>
    <n v="0"/>
    <n v="0"/>
    <n v="0"/>
    <n v="0"/>
    <n v="0"/>
    <n v="0"/>
    <n v="0"/>
    <s v="P. fortunei"/>
    <m/>
    <n v="0"/>
    <n v="0"/>
    <m/>
    <m/>
    <m/>
    <m/>
    <m/>
    <m/>
    <m/>
    <m/>
    <m/>
    <m/>
    <n v="1"/>
    <n v="1"/>
    <m/>
    <m/>
    <m/>
    <n v="0"/>
    <m/>
    <n v="0"/>
    <n v="0"/>
    <n v="0"/>
    <n v="0"/>
    <n v="0"/>
    <n v="0"/>
    <n v="0"/>
    <n v="0"/>
    <n v="18"/>
  </r>
  <r>
    <s v="CR0022"/>
    <x v="1"/>
    <x v="2"/>
    <n v="0"/>
    <s v="Susy Calderon"/>
    <n v="20021"/>
    <s v="Susy Calderon"/>
    <m/>
    <x v="1"/>
    <m/>
    <m/>
    <m/>
    <x v="1"/>
    <m/>
    <m/>
    <s v=""/>
    <m/>
    <n v="250"/>
    <n v="250"/>
    <s v=""/>
    <m/>
    <n v="0.24"/>
    <n v="60"/>
    <n v="60"/>
    <n v="0.76"/>
    <n v="190"/>
    <m/>
    <m/>
    <n v="190"/>
    <n v="0"/>
    <n v="0"/>
    <n v="0"/>
    <n v="0"/>
    <n v="0"/>
    <n v="0"/>
    <n v="0"/>
    <n v="0"/>
    <n v="0"/>
    <n v="0"/>
    <n v="0"/>
    <s v="P. fortunei"/>
    <m/>
    <n v="0"/>
    <n v="0"/>
    <m/>
    <m/>
    <m/>
    <m/>
    <m/>
    <m/>
    <m/>
    <m/>
    <m/>
    <m/>
    <n v="1"/>
    <m/>
    <m/>
    <m/>
    <m/>
    <n v="0"/>
    <m/>
    <n v="0"/>
    <n v="0"/>
    <n v="0"/>
    <n v="0"/>
    <n v="0"/>
    <n v="0"/>
    <n v="0"/>
    <n v="0"/>
    <n v="18"/>
  </r>
  <r>
    <s v="US0015"/>
    <x v="1"/>
    <x v="2"/>
    <n v="0"/>
    <s v="Elvire Dembia"/>
    <n v="10013"/>
    <s v="Elvire Frank Dembia"/>
    <m/>
    <x v="1"/>
    <m/>
    <m/>
    <m/>
    <x v="0"/>
    <m/>
    <m/>
    <s v=""/>
    <m/>
    <n v="2200"/>
    <n v="2200"/>
    <s v=""/>
    <m/>
    <n v="0.24"/>
    <n v="528"/>
    <n v="528"/>
    <n v="0.76"/>
    <n v="1672"/>
    <m/>
    <m/>
    <n v="1672"/>
    <n v="0"/>
    <n v="0"/>
    <n v="0"/>
    <n v="0"/>
    <n v="0"/>
    <n v="0"/>
    <n v="0"/>
    <n v="0"/>
    <n v="0"/>
    <n v="0"/>
    <n v="0"/>
    <s v="Fortunei"/>
    <m/>
    <n v="0"/>
    <n v="0"/>
    <m/>
    <m/>
    <m/>
    <m/>
    <m/>
    <m/>
    <m/>
    <m/>
    <m/>
    <m/>
    <n v="1"/>
    <m/>
    <m/>
    <m/>
    <m/>
    <n v="0"/>
    <m/>
    <n v="0"/>
    <n v="0"/>
    <n v="0"/>
    <n v="0"/>
    <n v="0"/>
    <n v="0"/>
    <n v="0"/>
    <n v="0"/>
    <n v="18"/>
  </r>
  <r>
    <s v="US0016"/>
    <x v="1"/>
    <x v="2"/>
    <n v="0"/>
    <s v="Juan Zermeno"/>
    <n v="10014"/>
    <s v="Juan Zermeno"/>
    <m/>
    <x v="1"/>
    <m/>
    <m/>
    <m/>
    <x v="0"/>
    <m/>
    <m/>
    <s v=""/>
    <m/>
    <n v="2200"/>
    <n v="2200"/>
    <s v=""/>
    <m/>
    <n v="0.24"/>
    <n v="528"/>
    <n v="528"/>
    <n v="0.76"/>
    <n v="1672"/>
    <m/>
    <m/>
    <n v="1672"/>
    <n v="0"/>
    <n v="0"/>
    <n v="0"/>
    <n v="0"/>
    <n v="0"/>
    <n v="0"/>
    <n v="0"/>
    <n v="0"/>
    <n v="0"/>
    <n v="0"/>
    <n v="0"/>
    <s v="Fortunei"/>
    <m/>
    <n v="1.3636363636363636E-2"/>
    <n v="30"/>
    <m/>
    <m/>
    <m/>
    <m/>
    <m/>
    <m/>
    <n v="30"/>
    <m/>
    <m/>
    <m/>
    <n v="1"/>
    <n v="1"/>
    <m/>
    <m/>
    <m/>
    <n v="0"/>
    <m/>
    <n v="0"/>
    <n v="0"/>
    <n v="0"/>
    <n v="0"/>
    <n v="0"/>
    <n v="0"/>
    <n v="0"/>
    <n v="0"/>
    <n v="18"/>
  </r>
  <r>
    <s v="US0017"/>
    <x v="1"/>
    <x v="2"/>
    <n v="0"/>
    <s v="Larry Wilcoxen"/>
    <n v="10015"/>
    <s v="Larry Wilcoxen"/>
    <m/>
    <x v="1"/>
    <m/>
    <m/>
    <m/>
    <x v="0"/>
    <m/>
    <m/>
    <s v=""/>
    <m/>
    <n v="550"/>
    <n v="550"/>
    <s v=""/>
    <m/>
    <n v="0.24"/>
    <n v="132"/>
    <n v="132"/>
    <n v="0.76"/>
    <n v="418"/>
    <m/>
    <m/>
    <n v="418"/>
    <n v="0"/>
    <n v="0"/>
    <n v="0"/>
    <n v="0"/>
    <n v="0"/>
    <n v="0"/>
    <n v="0"/>
    <n v="0"/>
    <n v="0"/>
    <n v="0"/>
    <n v="0"/>
    <s v="Fortunei"/>
    <m/>
    <n v="5.4545454545454543E-2"/>
    <n v="30"/>
    <m/>
    <m/>
    <m/>
    <m/>
    <m/>
    <m/>
    <n v="30"/>
    <m/>
    <m/>
    <m/>
    <n v="1"/>
    <m/>
    <m/>
    <m/>
    <m/>
    <n v="0"/>
    <m/>
    <n v="0"/>
    <n v="0"/>
    <n v="0"/>
    <n v="0"/>
    <n v="0"/>
    <n v="0"/>
    <n v="0"/>
    <n v="0"/>
    <n v="18"/>
  </r>
  <r>
    <s v="US0019"/>
    <x v="1"/>
    <x v="2"/>
    <n v="0"/>
    <s v="Paul Hartz"/>
    <n v="10017"/>
    <s v="Paul Hartz"/>
    <m/>
    <x v="1"/>
    <m/>
    <m/>
    <m/>
    <x v="0"/>
    <m/>
    <m/>
    <s v=""/>
    <m/>
    <n v="2200"/>
    <n v="2200"/>
    <s v=""/>
    <m/>
    <n v="0.24"/>
    <n v="528"/>
    <n v="528"/>
    <n v="0.76"/>
    <n v="1672"/>
    <m/>
    <m/>
    <n v="1672"/>
    <n v="0"/>
    <n v="0"/>
    <n v="0"/>
    <n v="0"/>
    <n v="0"/>
    <n v="0"/>
    <n v="0"/>
    <n v="0"/>
    <n v="0"/>
    <n v="0"/>
    <n v="0"/>
    <s v="Fortunei"/>
    <m/>
    <n v="0"/>
    <n v="0"/>
    <m/>
    <m/>
    <m/>
    <m/>
    <m/>
    <m/>
    <m/>
    <m/>
    <m/>
    <m/>
    <n v="1"/>
    <m/>
    <m/>
    <m/>
    <m/>
    <n v="0"/>
    <m/>
    <n v="0"/>
    <n v="0"/>
    <n v="0"/>
    <n v="0"/>
    <n v="0"/>
    <n v="0"/>
    <n v="0"/>
    <n v="0"/>
    <n v="18"/>
  </r>
  <r>
    <s v="US0020"/>
    <x v="1"/>
    <x v="2"/>
    <n v="0"/>
    <s v="Richard Cumberland"/>
    <n v="10018"/>
    <s v="Richard Cumberland"/>
    <m/>
    <x v="1"/>
    <m/>
    <m/>
    <m/>
    <x v="0"/>
    <m/>
    <m/>
    <s v=""/>
    <m/>
    <n v="200"/>
    <n v="200"/>
    <s v=""/>
    <m/>
    <n v="0.24"/>
    <n v="48"/>
    <n v="48"/>
    <n v="0.76"/>
    <n v="152"/>
    <m/>
    <m/>
    <n v="152"/>
    <n v="0"/>
    <n v="0"/>
    <n v="0"/>
    <n v="0"/>
    <n v="0"/>
    <n v="0"/>
    <n v="0"/>
    <n v="0"/>
    <n v="0"/>
    <n v="0"/>
    <n v="0"/>
    <s v="Fortunei"/>
    <m/>
    <n v="0"/>
    <n v="0"/>
    <m/>
    <m/>
    <m/>
    <m/>
    <m/>
    <m/>
    <m/>
    <m/>
    <m/>
    <m/>
    <n v="1"/>
    <m/>
    <m/>
    <m/>
    <m/>
    <n v="0"/>
    <m/>
    <n v="0"/>
    <n v="0"/>
    <n v="0"/>
    <n v="0"/>
    <n v="0"/>
    <n v="0"/>
    <n v="0"/>
    <n v="0"/>
    <n v="18"/>
  </r>
  <r>
    <s v="CR0023"/>
    <x v="1"/>
    <x v="3"/>
    <n v="0"/>
    <s v="Carlos Hernandez"/>
    <n v="20022"/>
    <s v="Carlos Hernandez"/>
    <m/>
    <x v="1"/>
    <m/>
    <m/>
    <m/>
    <x v="1"/>
    <m/>
    <m/>
    <s v=""/>
    <m/>
    <n v="750"/>
    <n v="750"/>
    <s v=""/>
    <m/>
    <n v="0.11333333333333333"/>
    <n v="85"/>
    <n v="85"/>
    <n v="0.33200000000000002"/>
    <n v="247.5"/>
    <n v="0.55466666666666664"/>
    <n v="412.50000000000006"/>
    <n v="660"/>
    <n v="0"/>
    <n v="0"/>
    <n v="0"/>
    <n v="0"/>
    <n v="0"/>
    <n v="0"/>
    <n v="0"/>
    <n v="0"/>
    <n v="0"/>
    <n v="0"/>
    <n v="0"/>
    <s v="P. fortunei"/>
    <m/>
    <n v="6.6666666666666666E-2"/>
    <n v="50"/>
    <m/>
    <m/>
    <m/>
    <m/>
    <m/>
    <n v="50"/>
    <m/>
    <m/>
    <m/>
    <m/>
    <n v="1"/>
    <m/>
    <m/>
    <m/>
    <m/>
    <n v="0"/>
    <m/>
    <n v="0"/>
    <n v="0"/>
    <n v="0"/>
    <n v="0"/>
    <n v="0"/>
    <n v="0"/>
    <n v="0"/>
    <n v="0"/>
    <n v="18"/>
  </r>
  <r>
    <s v="CR0024"/>
    <x v="1"/>
    <x v="3"/>
    <n v="0"/>
    <s v="Carlos Montero"/>
    <n v="20023"/>
    <s v="Carlos Montero"/>
    <m/>
    <x v="1"/>
    <m/>
    <m/>
    <m/>
    <x v="1"/>
    <m/>
    <m/>
    <s v=""/>
    <m/>
    <n v="2500"/>
    <n v="2500"/>
    <s v=""/>
    <m/>
    <n v="0.1132"/>
    <n v="283"/>
    <n v="283"/>
    <n v="0.33200000000000002"/>
    <n v="825"/>
    <n v="0.55520000000000003"/>
    <n v="1400.0000000000002"/>
    <n v="2225"/>
    <n v="0"/>
    <n v="0"/>
    <n v="0"/>
    <n v="0"/>
    <n v="0"/>
    <n v="0"/>
    <n v="0"/>
    <n v="0"/>
    <n v="0"/>
    <n v="0"/>
    <n v="0"/>
    <s v="P. fortunei"/>
    <m/>
    <n v="0"/>
    <n v="0"/>
    <m/>
    <m/>
    <m/>
    <m/>
    <m/>
    <m/>
    <m/>
    <m/>
    <m/>
    <m/>
    <n v="1"/>
    <n v="1"/>
    <m/>
    <m/>
    <m/>
    <n v="0"/>
    <m/>
    <n v="0"/>
    <n v="0"/>
    <n v="0"/>
    <n v="0"/>
    <n v="0"/>
    <n v="0"/>
    <n v="0"/>
    <n v="0"/>
    <n v="18"/>
  </r>
  <r>
    <s v="CR0026"/>
    <x v="1"/>
    <x v="3"/>
    <n v="0"/>
    <s v="David Guiterrez "/>
    <n v="20009"/>
    <s v="Edgar Gutierrez"/>
    <m/>
    <x v="1"/>
    <m/>
    <m/>
    <m/>
    <x v="1"/>
    <m/>
    <m/>
    <s v=""/>
    <m/>
    <n v="500"/>
    <n v="500"/>
    <s v=""/>
    <m/>
    <n v="0.114"/>
    <n v="57"/>
    <n v="57"/>
    <n v="0.33200000000000002"/>
    <n v="165"/>
    <n v="0.55600000000000005"/>
    <n v="280"/>
    <n v="445"/>
    <n v="0"/>
    <n v="0"/>
    <n v="0"/>
    <n v="0"/>
    <n v="0"/>
    <n v="0"/>
    <n v="0"/>
    <n v="0"/>
    <n v="0"/>
    <n v="0"/>
    <n v="0"/>
    <s v="P. fortunei"/>
    <m/>
    <n v="0"/>
    <n v="0"/>
    <m/>
    <m/>
    <m/>
    <m/>
    <m/>
    <m/>
    <m/>
    <m/>
    <m/>
    <m/>
    <n v="1"/>
    <m/>
    <m/>
    <m/>
    <m/>
    <n v="0"/>
    <m/>
    <n v="0"/>
    <n v="0"/>
    <n v="0"/>
    <n v="0"/>
    <n v="0"/>
    <n v="0"/>
    <n v="0"/>
    <n v="0"/>
    <n v="18"/>
  </r>
  <r>
    <s v="CR0027"/>
    <x v="1"/>
    <x v="3"/>
    <n v="0"/>
    <s v="Eduardo Gurdian"/>
    <n v="20024"/>
    <s v="Eduardo Gurdian"/>
    <m/>
    <x v="1"/>
    <m/>
    <m/>
    <m/>
    <x v="1"/>
    <m/>
    <m/>
    <s v=""/>
    <m/>
    <n v="500"/>
    <n v="500"/>
    <s v=""/>
    <m/>
    <n v="0.114"/>
    <n v="57"/>
    <n v="57"/>
    <n v="0.33200000000000002"/>
    <n v="165"/>
    <n v="0.55600000000000005"/>
    <n v="280"/>
    <n v="445"/>
    <n v="0"/>
    <n v="0"/>
    <n v="0"/>
    <n v="0"/>
    <n v="0"/>
    <n v="0"/>
    <n v="0"/>
    <n v="0"/>
    <n v="0"/>
    <n v="0"/>
    <n v="0"/>
    <s v="P. fortunei"/>
    <m/>
    <n v="0"/>
    <n v="0"/>
    <m/>
    <m/>
    <m/>
    <m/>
    <m/>
    <m/>
    <m/>
    <m/>
    <m/>
    <m/>
    <n v="1"/>
    <m/>
    <m/>
    <m/>
    <m/>
    <n v="0"/>
    <m/>
    <n v="0"/>
    <n v="0"/>
    <n v="0"/>
    <n v="0"/>
    <n v="0"/>
    <n v="0"/>
    <n v="0"/>
    <n v="0"/>
    <n v="18"/>
  </r>
  <r>
    <s v="CR0031"/>
    <x v="1"/>
    <x v="3"/>
    <n v="0"/>
    <s v="Oscar Viquez "/>
    <n v="20020"/>
    <s v="Oscar Viquez,María Isabel Quesada Víquez, Eraida Quesada Víquez, Estelia Quesada Víquez"/>
    <m/>
    <x v="1"/>
    <m/>
    <m/>
    <m/>
    <x v="1"/>
    <m/>
    <m/>
    <s v=""/>
    <m/>
    <n v="1000"/>
    <n v="1000"/>
    <s v=""/>
    <m/>
    <n v="0.113"/>
    <n v="113"/>
    <n v="113"/>
    <n v="0.33200000000000002"/>
    <n v="330"/>
    <n v="0.55500000000000005"/>
    <n v="560"/>
    <n v="890"/>
    <n v="0"/>
    <n v="0"/>
    <n v="0"/>
    <n v="0"/>
    <n v="0"/>
    <n v="0"/>
    <n v="0"/>
    <n v="0"/>
    <n v="0"/>
    <n v="0"/>
    <n v="0"/>
    <s v="P.fortunei"/>
    <m/>
    <n v="0"/>
    <n v="0"/>
    <m/>
    <m/>
    <m/>
    <m/>
    <m/>
    <m/>
    <m/>
    <m/>
    <m/>
    <m/>
    <n v="1"/>
    <n v="1"/>
    <m/>
    <m/>
    <m/>
    <n v="0"/>
    <m/>
    <n v="0"/>
    <n v="0"/>
    <n v="0"/>
    <n v="0"/>
    <n v="0"/>
    <n v="0"/>
    <n v="0"/>
    <n v="0"/>
    <n v="18"/>
  </r>
  <r>
    <s v="CR0032"/>
    <x v="1"/>
    <x v="3"/>
    <n v="0"/>
    <s v="Rene Ceciliano"/>
    <n v="20028"/>
    <s v="Inversiones Los Alpinos S.A"/>
    <m/>
    <x v="1"/>
    <m/>
    <m/>
    <m/>
    <x v="1"/>
    <m/>
    <m/>
    <s v=""/>
    <m/>
    <n v="1000"/>
    <n v="1000"/>
    <s v=""/>
    <m/>
    <n v="0.113"/>
    <n v="113"/>
    <n v="113"/>
    <n v="0.33200000000000002"/>
    <n v="330"/>
    <n v="0.55500000000000005"/>
    <n v="560"/>
    <n v="890"/>
    <n v="0"/>
    <n v="0"/>
    <n v="0"/>
    <n v="0"/>
    <n v="0"/>
    <n v="0"/>
    <n v="0"/>
    <n v="0"/>
    <n v="0"/>
    <n v="0"/>
    <n v="0"/>
    <s v="P.elongata and P.fortunei"/>
    <m/>
    <n v="0.5"/>
    <n v="500"/>
    <m/>
    <m/>
    <m/>
    <m/>
    <m/>
    <n v="250"/>
    <n v="250"/>
    <m/>
    <m/>
    <m/>
    <n v="1"/>
    <n v="1"/>
    <m/>
    <m/>
    <m/>
    <n v="0"/>
    <m/>
    <n v="0"/>
    <n v="0"/>
    <n v="0"/>
    <n v="0"/>
    <n v="0"/>
    <n v="0"/>
    <n v="0"/>
    <n v="0"/>
    <n v="18"/>
  </r>
  <r>
    <s v="CR0028"/>
    <x v="1"/>
    <x v="3"/>
    <n v="2027"/>
    <s v="Edgardo Matamoros"/>
    <n v="20025"/>
    <s v="Juan Manuel Sanchez"/>
    <s v="506 88886685, 24500034, 24511126"/>
    <x v="2"/>
    <s v="ematamoros@elcantaro.net, santaanita@elcantaro.net"/>
    <s v="800 metros del cementerio de candelaria de Naranjo Cualquier"/>
    <s v="San Juan de Naranjo, Costa Rica"/>
    <x v="1"/>
    <s v="10.0115921398, -84.0836667227"/>
    <n v="11.9"/>
    <n v="12.355250518148317"/>
    <m/>
    <n v="2000"/>
    <n v="2000"/>
    <s v=""/>
    <m/>
    <n v="0.113"/>
    <n v="226"/>
    <n v="226"/>
    <n v="0.33200000000000002"/>
    <n v="660"/>
    <n v="0.55500000000000005"/>
    <n v="1120"/>
    <n v="1780"/>
    <n v="0.56000000000000005"/>
    <n v="1120"/>
    <n v="0"/>
    <m/>
    <n v="0.56000000000000005"/>
    <n v="0.56000000000000005"/>
    <n v="1120"/>
    <n v="126.56"/>
    <n v="371.84000000000003"/>
    <n v="621.6"/>
    <n v="993.44"/>
    <s v="P. fortunei"/>
    <m/>
    <n v="0.85"/>
    <n v="1700"/>
    <m/>
    <m/>
    <m/>
    <m/>
    <m/>
    <m/>
    <n v="1700"/>
    <m/>
    <m/>
    <m/>
    <n v="1"/>
    <n v="1"/>
    <m/>
    <m/>
    <m/>
    <n v="0"/>
    <m/>
    <n v="0"/>
    <n v="0"/>
    <n v="0"/>
    <n v="0"/>
    <n v="0"/>
    <n v="0"/>
    <n v="219520"/>
    <n v="219520"/>
    <n v="8.8757396449704144E-3"/>
  </r>
  <r>
    <s v="CR0029"/>
    <x v="1"/>
    <x v="3"/>
    <n v="2027"/>
    <s v="María Julia Ramirez"/>
    <n v="20026"/>
    <s v="María Julia Ramirez"/>
    <s v="506 24500063, +506 83565043"/>
    <x v="2"/>
    <s v="mariajulia00@yahoo.com.mx, asis.lamerced@gmail.com"/>
    <s v="500 metros norte colegio de naranjo"/>
    <s v="San Rafael de Naranjo, Costa Rica"/>
    <x v="1"/>
    <s v="10.1081763406, -84.3811140226"/>
    <n v="8.1509999999999998"/>
    <n v="3.0888126295370792"/>
    <m/>
    <n v="500"/>
    <n v="500"/>
    <s v=""/>
    <m/>
    <n v="0.114"/>
    <n v="57"/>
    <n v="57"/>
    <n v="0.33200000000000002"/>
    <n v="165"/>
    <n v="0.55600000000000005"/>
    <n v="280"/>
    <n v="445"/>
    <n v="0.6"/>
    <n v="300"/>
    <n v="0"/>
    <m/>
    <n v="0.6"/>
    <n v="0.6"/>
    <n v="300"/>
    <n v="34.200000000000003"/>
    <n v="99.600000000000009"/>
    <n v="166.8"/>
    <n v="266.40000000000003"/>
    <s v="P.elongata and P.fortunei"/>
    <m/>
    <n v="0.8"/>
    <n v="400"/>
    <m/>
    <m/>
    <m/>
    <m/>
    <m/>
    <n v="100"/>
    <n v="300"/>
    <m/>
    <m/>
    <m/>
    <n v="1"/>
    <n v="1"/>
    <m/>
    <m/>
    <m/>
    <n v="0"/>
    <m/>
    <n v="0"/>
    <n v="0"/>
    <n v="0"/>
    <n v="0"/>
    <n v="0"/>
    <n v="0"/>
    <n v="58800"/>
    <n v="58800"/>
    <n v="8.8757396449704144E-3"/>
  </r>
  <r>
    <s v="CR0030"/>
    <x v="1"/>
    <x v="3"/>
    <n v="2027"/>
    <s v="Mayela Quesada"/>
    <n v="20027"/>
    <s v="Mayela Quesada"/>
    <s v="50683838815, 83838815"/>
    <x v="2"/>
    <s v="mquesada@agricoladelcafetal.com"/>
    <s v="Lourdes de Naranjo, 709, Alajuela Province, Naranjo de Alajuela, Costa Rica"/>
    <s v="10.1525978335, -84.3586197692; 10,1552646 -843609432"/>
    <x v="1"/>
    <s v="10.1525978335, -84.3586197692"/>
    <n v="7.46434"/>
    <n v="6.1776252590741585"/>
    <m/>
    <n v="1000"/>
    <n v="1000"/>
    <s v=""/>
    <m/>
    <n v="0.113"/>
    <n v="113"/>
    <n v="113"/>
    <n v="0.33200000000000002"/>
    <n v="330"/>
    <n v="0.55500000000000005"/>
    <n v="560"/>
    <n v="890"/>
    <n v="0.6"/>
    <n v="600"/>
    <n v="0"/>
    <m/>
    <n v="0.6"/>
    <n v="0.6"/>
    <n v="600"/>
    <n v="67.8"/>
    <n v="199.20000000000002"/>
    <n v="333.00000000000006"/>
    <n v="532.20000000000005"/>
    <s v="P.elongata and P.fortunei"/>
    <m/>
    <n v="0.94"/>
    <n v="940"/>
    <m/>
    <m/>
    <m/>
    <m/>
    <m/>
    <n v="300"/>
    <n v="640"/>
    <m/>
    <m/>
    <m/>
    <n v="1"/>
    <n v="1"/>
    <m/>
    <m/>
    <m/>
    <n v="0"/>
    <m/>
    <n v="0"/>
    <n v="0"/>
    <n v="0"/>
    <n v="0"/>
    <n v="0"/>
    <n v="0"/>
    <n v="117600"/>
    <n v="117600"/>
    <n v="8.8757396449704144E-3"/>
  </r>
  <r>
    <s v="CR0033"/>
    <x v="1"/>
    <x v="3"/>
    <n v="0"/>
    <s v="Ricardo Simpson"/>
    <n v="20029"/>
    <s v="Ricardo Simpson"/>
    <m/>
    <x v="1"/>
    <m/>
    <m/>
    <m/>
    <x v="1"/>
    <m/>
    <m/>
    <s v=""/>
    <m/>
    <n v="1100"/>
    <n v="1100"/>
    <s v=""/>
    <m/>
    <n v="0.11272727272727273"/>
    <n v="124"/>
    <n v="124"/>
    <n v="0.33181818181818185"/>
    <n v="363"/>
    <n v="0.55545454545454542"/>
    <n v="616.00000000000011"/>
    <n v="979.00000000000011"/>
    <n v="0"/>
    <n v="0"/>
    <n v="0"/>
    <n v="0"/>
    <n v="0"/>
    <n v="0"/>
    <n v="0"/>
    <n v="0"/>
    <n v="0"/>
    <n v="0"/>
    <n v="0"/>
    <s v="P.fortunei"/>
    <m/>
    <n v="0.27272727272727271"/>
    <n v="300"/>
    <m/>
    <m/>
    <m/>
    <m/>
    <m/>
    <n v="0"/>
    <n v="300"/>
    <m/>
    <m/>
    <m/>
    <n v="1"/>
    <n v="1"/>
    <m/>
    <m/>
    <m/>
    <n v="0"/>
    <m/>
    <n v="0"/>
    <n v="0"/>
    <n v="0"/>
    <n v="0"/>
    <n v="0"/>
    <n v="0"/>
    <n v="0"/>
    <n v="0"/>
    <n v="18"/>
  </r>
  <r>
    <s v="CR0025"/>
    <x v="1"/>
    <x v="3"/>
    <n v="0"/>
    <s v="Carlos Navarro"/>
    <n v="20008"/>
    <s v="Carlos Navarro"/>
    <m/>
    <x v="1"/>
    <m/>
    <m/>
    <m/>
    <x v="1"/>
    <m/>
    <m/>
    <s v=""/>
    <m/>
    <n v="350"/>
    <n v="350"/>
    <s v=""/>
    <m/>
    <n v="0.11428571428571428"/>
    <n v="40"/>
    <n v="40"/>
    <n v="0.33142857142857141"/>
    <n v="115.5"/>
    <n v="0.55428571428571427"/>
    <n v="192.50000000000003"/>
    <n v="308"/>
    <n v="0"/>
    <n v="0"/>
    <n v="0"/>
    <n v="0"/>
    <n v="0"/>
    <n v="0"/>
    <n v="0"/>
    <n v="0"/>
    <n v="0"/>
    <n v="0"/>
    <n v="0"/>
    <s v="P. fortunei"/>
    <m/>
    <n v="0"/>
    <n v="0"/>
    <m/>
    <m/>
    <m/>
    <m/>
    <m/>
    <m/>
    <m/>
    <m/>
    <m/>
    <m/>
    <n v="1"/>
    <n v="1"/>
    <m/>
    <m/>
    <m/>
    <n v="0"/>
    <m/>
    <n v="0"/>
    <n v="0"/>
    <n v="0"/>
    <n v="0"/>
    <n v="0"/>
    <n v="0"/>
    <n v="0"/>
    <n v="0"/>
    <n v="18"/>
  </r>
  <r>
    <s v="CR0034"/>
    <x v="1"/>
    <x v="3"/>
    <n v="0"/>
    <s v="Richard Valverde"/>
    <n v="20030"/>
    <s v="Richard Valverde"/>
    <m/>
    <x v="1"/>
    <m/>
    <m/>
    <m/>
    <x v="1"/>
    <m/>
    <m/>
    <s v=""/>
    <m/>
    <n v="1100"/>
    <n v="1100"/>
    <s v=""/>
    <m/>
    <n v="0.11363636363636363"/>
    <n v="125"/>
    <n v="125"/>
    <n v="0.33"/>
    <n v="363"/>
    <n v="0.55636363636363639"/>
    <n v="616.00000000000011"/>
    <n v="979.00000000000011"/>
    <n v="0"/>
    <n v="0"/>
    <n v="0"/>
    <n v="0"/>
    <n v="0"/>
    <n v="0"/>
    <n v="0"/>
    <n v="0"/>
    <n v="0"/>
    <n v="0"/>
    <n v="0"/>
    <s v="P.fortunei"/>
    <m/>
    <n v="0"/>
    <n v="0"/>
    <m/>
    <m/>
    <m/>
    <m/>
    <m/>
    <m/>
    <m/>
    <m/>
    <m/>
    <m/>
    <n v="1"/>
    <m/>
    <m/>
    <m/>
    <m/>
    <n v="0"/>
    <m/>
    <n v="0"/>
    <n v="0"/>
    <n v="0"/>
    <n v="0"/>
    <n v="0"/>
    <n v="0"/>
    <n v="0"/>
    <n v="0"/>
    <n v="18"/>
  </r>
  <r>
    <s v="US0028"/>
    <x v="1"/>
    <x v="3"/>
    <n v="2027"/>
    <s v="Matthew Knox"/>
    <n v="10024"/>
    <s v="Matthew Knox"/>
    <s v="256-596-0663"/>
    <x v="2"/>
    <s v="knoxbrothersllc@gmail.com, matthewknox1968@yahoo.com"/>
    <s v="200 Tommy Hill Rd  Dadeville  AL  36853-4391"/>
    <s v="200 Tommy Hill Rd  Dadeville  AL  36853-4391"/>
    <x v="0"/>
    <s v="32.674238, -85.847949"/>
    <n v="5.01"/>
    <n v="5"/>
    <m/>
    <n v="550"/>
    <n v="550"/>
    <s v=""/>
    <m/>
    <n v="0.11272727272727273"/>
    <n v="62"/>
    <n v="62"/>
    <n v="0.3327272727272727"/>
    <n v="181.5"/>
    <n v="0.55454545454545456"/>
    <n v="302.5"/>
    <n v="484"/>
    <n v="0.89130434782608703"/>
    <n v="490.21739130434787"/>
    <n v="0"/>
    <m/>
    <n v="0.89130434782608703"/>
    <n v="0.89130434782608703"/>
    <n v="490.21739130434787"/>
    <n v="55.260869565217398"/>
    <n v="163.10869565217391"/>
    <n v="271.84782608695656"/>
    <n v="434.95652173913049"/>
    <s v="Fortunei"/>
    <s v="14, 18"/>
    <n v="0"/>
    <n v="0"/>
    <m/>
    <m/>
    <m/>
    <m/>
    <m/>
    <m/>
    <m/>
    <m/>
    <m/>
    <m/>
    <n v="1"/>
    <n v="1"/>
    <m/>
    <m/>
    <m/>
    <n v="0"/>
    <m/>
    <n v="0"/>
    <n v="0"/>
    <n v="0"/>
    <n v="0"/>
    <n v="0"/>
    <n v="0"/>
    <n v="96082.608695652176"/>
    <n v="96082.608695652176"/>
    <n v="8.8757396449704144E-3"/>
  </r>
  <r>
    <s v="US0031"/>
    <x v="1"/>
    <x v="3"/>
    <n v="2027"/>
    <s v="Wendell Lynn"/>
    <n v="10027"/>
    <s v="Wendell Lynn"/>
    <s v="912-293-7679"/>
    <x v="2"/>
    <s v="wdlynn99@gmail.com"/>
    <s v="550 Hancock Landing Rd, Waynesboro GA 30830-3000"/>
    <s v="2130 Cedar Creek Church Rd, Collins GA 30421-3240"/>
    <x v="0"/>
    <s v="32.226497, -82.098965"/>
    <n v="4.9000000000000004"/>
    <n v="5"/>
    <m/>
    <n v="550"/>
    <n v="550"/>
    <s v=""/>
    <m/>
    <n v="0.11272727272727273"/>
    <n v="62"/>
    <n v="62"/>
    <n v="0.3327272727272727"/>
    <n v="181.5"/>
    <n v="0.55454545454545456"/>
    <n v="302.5"/>
    <n v="484"/>
    <n v="0.78260869565217395"/>
    <n v="430.43478260869568"/>
    <n v="0"/>
    <m/>
    <n v="0.78260869565217395"/>
    <n v="0.78260869565217395"/>
    <n v="430.43478260869568"/>
    <n v="48.521739130434788"/>
    <n v="143.21739130434781"/>
    <n v="238.69565217391306"/>
    <n v="381.91304347826087"/>
    <s v="Fortunei"/>
    <s v="11, 18"/>
    <n v="0.36363636363636365"/>
    <n v="200"/>
    <m/>
    <m/>
    <m/>
    <m/>
    <m/>
    <m/>
    <n v="200"/>
    <m/>
    <m/>
    <m/>
    <n v="1"/>
    <n v="1"/>
    <m/>
    <m/>
    <m/>
    <n v="0"/>
    <m/>
    <n v="0"/>
    <n v="0"/>
    <n v="0"/>
    <n v="0"/>
    <n v="0"/>
    <n v="0"/>
    <n v="84365.217391304352"/>
    <n v="84365.217391304352"/>
    <n v="8.8757396449704144E-3"/>
  </r>
  <r>
    <s v="US0022"/>
    <x v="1"/>
    <x v="3"/>
    <n v="2027"/>
    <s v="Daniel Byrd"/>
    <n v="10020"/>
    <s v="Daniel Bryd"/>
    <s v="270-261-2663"/>
    <x v="2"/>
    <s v="dbyrd@plinsurance.com"/>
    <s v="1456 Finney Rd Glasgow KY 42141-8796"/>
    <s v="1456 Finney Rd Glasgow KY 42141-8796"/>
    <x v="0"/>
    <s v="36.949087, -85.989939"/>
    <n v="23.5"/>
    <n v="23"/>
    <s v="Y"/>
    <n v="2530"/>
    <n v="2530"/>
    <s v=""/>
    <m/>
    <n v="0.11304347826086956"/>
    <n v="286"/>
    <n v="286"/>
    <n v="0.33201581027667987"/>
    <n v="834.90000000000009"/>
    <n v="0.55494071146245061"/>
    <n v="1391.5"/>
    <n v="2226.4"/>
    <n v="0.65793722892853301"/>
    <n v="1664.5811891891885"/>
    <n v="0"/>
    <m/>
    <n v="0.65793722892853301"/>
    <n v="0.65793722892853301"/>
    <n v="1664.5811891891885"/>
    <n v="188.17004747356043"/>
    <n v="552.66727229996775"/>
    <n v="923.74386941566036"/>
    <n v="1476.4111417156282"/>
    <s v="Fortunei"/>
    <s v="TG Cool"/>
    <n v="0.10474308300395258"/>
    <n v="265"/>
    <m/>
    <m/>
    <m/>
    <m/>
    <n v="225"/>
    <m/>
    <n v="40"/>
    <m/>
    <m/>
    <m/>
    <n v="1"/>
    <n v="1"/>
    <m/>
    <m/>
    <m/>
    <n v="0"/>
    <m/>
    <n v="0"/>
    <n v="0"/>
    <n v="0"/>
    <n v="0"/>
    <n v="0"/>
    <n v="0"/>
    <n v="326257.91308108094"/>
    <n v="326257.91308108094"/>
    <n v="8.8757396449704144E-3"/>
  </r>
  <r>
    <s v="US0030"/>
    <x v="1"/>
    <x v="3"/>
    <n v="2027"/>
    <s v="Wayne Crotty"/>
    <n v="10026"/>
    <s v="Wayne Crotty"/>
    <s v="407-908-0643, 386-938-2468"/>
    <x v="2"/>
    <s v="wayne@allproservicesco.com"/>
    <s v="9451 Southwest Co Road 143, Jasper, FL, USA"/>
    <s v="9451 Southwest Co Road 143, Jasper, FL, USA"/>
    <x v="0"/>
    <s v="30.424531, -83.201936"/>
    <n v="22"/>
    <n v="23"/>
    <s v="Y"/>
    <n v="2530"/>
    <n v="2530"/>
    <s v=""/>
    <m/>
    <n v="0.11304347826086956"/>
    <n v="286"/>
    <n v="286"/>
    <n v="0.33201581027667987"/>
    <n v="834.90000000000009"/>
    <n v="0.55494071146245061"/>
    <n v="1391.5"/>
    <n v="2226.4"/>
    <n v="0.92206828861120005"/>
    <n v="2332.8327701863363"/>
    <n v="0"/>
    <m/>
    <n v="0.92206828861120005"/>
    <n v="0.92206828861120005"/>
    <n v="2332.8327701863363"/>
    <n v="263.71153054280325"/>
    <n v="774.53736243340813"/>
    <n v="1294.5838772101251"/>
    <n v="2069.121239643533"/>
    <s v="Fortunei"/>
    <s v="11, 12, 14"/>
    <n v="0.55019762845849807"/>
    <n v="1392"/>
    <m/>
    <m/>
    <m/>
    <m/>
    <n v="100"/>
    <m/>
    <n v="150"/>
    <n v="1142"/>
    <m/>
    <m/>
    <n v="1"/>
    <n v="1"/>
    <m/>
    <m/>
    <m/>
    <n v="0"/>
    <m/>
    <n v="0"/>
    <n v="0"/>
    <n v="0"/>
    <n v="0"/>
    <n v="0"/>
    <n v="0"/>
    <n v="457235.2229565219"/>
    <n v="457235.2229565219"/>
    <n v="8.8757396449704144E-3"/>
  </r>
  <r>
    <s v="US0023"/>
    <x v="1"/>
    <x v="3"/>
    <n v="2027"/>
    <s v="Eugene Martens"/>
    <n v="10006"/>
    <s v="Eugene Martens"/>
    <s v="334-646-0227, 334-885-6998"/>
    <x v="2"/>
    <s v="emartens@teleclipse.net"/>
    <s v="516 County Road 664, Roanoke, AL. 36274-5431"/>
    <s v="516 County Road 664, Roanoke, AL. 36274-5431"/>
    <x v="0"/>
    <s v="33.147101, -85.298481"/>
    <n v="5.4"/>
    <n v="6"/>
    <m/>
    <n v="660"/>
    <n v="660"/>
    <s v=""/>
    <m/>
    <n v="0.11363636363636363"/>
    <n v="75"/>
    <n v="75"/>
    <n v="0.33181818181818185"/>
    <n v="217.8"/>
    <n v="0.55454545454545456"/>
    <n v="363.00000000000006"/>
    <n v="580.80000000000007"/>
    <n v="0.76315789473684204"/>
    <n v="503.68421052631572"/>
    <n v="0"/>
    <m/>
    <n v="0.76315789473684204"/>
    <n v="0.76315789473684204"/>
    <n v="503.68421052631572"/>
    <n v="57.23684210526315"/>
    <n v="167.13157894736841"/>
    <n v="279.31578947368416"/>
    <n v="446.4473684210526"/>
    <s v="Fortunei"/>
    <s v="11, 14"/>
    <n v="0.34242424242424241"/>
    <n v="226"/>
    <m/>
    <m/>
    <m/>
    <m/>
    <n v="100"/>
    <m/>
    <n v="86"/>
    <n v="40"/>
    <m/>
    <m/>
    <n v="1"/>
    <n v="1"/>
    <m/>
    <m/>
    <m/>
    <n v="0"/>
    <m/>
    <n v="0"/>
    <n v="0"/>
    <n v="0"/>
    <n v="0"/>
    <n v="0"/>
    <n v="0"/>
    <n v="98722.105263157879"/>
    <n v="98722.105263157879"/>
    <n v="8.8757396449704144E-3"/>
  </r>
  <r>
    <s v="US0024"/>
    <x v="1"/>
    <x v="3"/>
    <s v="=COUNTIFS(Table11[Region],$C66,Table11[ETP Year],2020,'Master Data Results'!B181,Table11[USA trees/Allocation/Planted],&quot;&lt;&gt;&quot;)"/>
    <s v="Grover Plunkett"/>
    <n v="10021"/>
    <s v="Southern Innovative Investments LLC"/>
    <s v="334-462-4962, 334-324-6696, 334-322-7480 (Cody Bell Farm manager"/>
    <x v="2"/>
    <s v="gplunkett@faulkner.edu, rebecca.plunkett2@gmail.com"/>
    <s v="6464 Halcyon Dr  Montgomery  AL  36117-3416"/>
    <s v="5129 New Harmony Rd, Arab, AL 35016, USA"/>
    <x v="0"/>
    <s v="34.250719, -86.527252 ; 34.262473, -86.553188"/>
    <n v="22.1"/>
    <n v="20"/>
    <s v="Y"/>
    <n v="2200"/>
    <n v="2200"/>
    <s v=""/>
    <m/>
    <n v="0.11318181818181818"/>
    <n v="248.99999999999997"/>
    <n v="248.99999999999997"/>
    <n v="0.33181818181818185"/>
    <n v="726"/>
    <n v="0.55500000000000005"/>
    <n v="1232.0000000000002"/>
    <n v="1958.0000000000002"/>
    <n v="0.66990291262135904"/>
    <n v="1473.7864077669899"/>
    <n v="0"/>
    <m/>
    <n v="0.66990291262135904"/>
    <n v="0.66990291262135904"/>
    <n v="1473.7864077669899"/>
    <n v="166.80582524271838"/>
    <n v="489.02912621359212"/>
    <n v="817.95145631067942"/>
    <n v="1306.9805825242715"/>
    <s v="Fortunei"/>
    <s v="11, 12, 14, 18"/>
    <n v="0"/>
    <n v="0"/>
    <m/>
    <m/>
    <m/>
    <m/>
    <m/>
    <m/>
    <m/>
    <m/>
    <m/>
    <m/>
    <n v="1"/>
    <n v="1"/>
    <m/>
    <m/>
    <m/>
    <n v="0"/>
    <m/>
    <n v="0"/>
    <n v="0"/>
    <n v="0"/>
    <e v="#VALUE!"/>
    <e v="#VALUE!"/>
    <e v="#VALUE!"/>
    <n v="288862.13592233002"/>
    <e v="#VALUE!"/>
    <e v="#VALUE!"/>
  </r>
  <r>
    <s v="US0021"/>
    <x v="1"/>
    <x v="3"/>
    <n v="0"/>
    <s v="Brandon Bailey"/>
    <n v="10019"/>
    <s v="Brandon Bailey"/>
    <m/>
    <x v="1"/>
    <m/>
    <m/>
    <m/>
    <x v="0"/>
    <m/>
    <m/>
    <s v=""/>
    <m/>
    <n v="2200"/>
    <n v="2200"/>
    <s v=""/>
    <m/>
    <n v="0.11318181818181818"/>
    <n v="248.99999999999997"/>
    <n v="248.99999999999997"/>
    <n v="0.33181818181818185"/>
    <n v="726"/>
    <n v="0.55500000000000005"/>
    <n v="1232.0000000000002"/>
    <n v="1958.0000000000002"/>
    <n v="0"/>
    <n v="0"/>
    <n v="0"/>
    <n v="0"/>
    <n v="0"/>
    <n v="0"/>
    <n v="0"/>
    <n v="0"/>
    <n v="0"/>
    <n v="0"/>
    <n v="0"/>
    <s v="Fortunei"/>
    <m/>
    <n v="0"/>
    <n v="0"/>
    <m/>
    <m/>
    <m/>
    <m/>
    <m/>
    <m/>
    <m/>
    <m/>
    <m/>
    <m/>
    <n v="1"/>
    <m/>
    <m/>
    <m/>
    <m/>
    <n v="0"/>
    <m/>
    <n v="0"/>
    <n v="0"/>
    <n v="0"/>
    <n v="0"/>
    <n v="0"/>
    <n v="0"/>
    <n v="0"/>
    <n v="0"/>
    <n v="18"/>
  </r>
  <r>
    <s v="US0025"/>
    <x v="1"/>
    <x v="3"/>
    <n v="2027"/>
    <s v="Jacob Schwartz"/>
    <n v="10022"/>
    <s v="Jacob Schwartz"/>
    <s v="417-935-2048, 417-859-6283, 417-840-1211, 417-766-1389"/>
    <x v="0"/>
    <n v="0"/>
    <s v="908 Smith Rd  Seymour  MO  65746-8033"/>
    <s v="908 Smith Rd  Seymour  MO  65746-8033"/>
    <x v="0"/>
    <s v="37.21962, -92.693223"/>
    <n v="9.6199999999999992"/>
    <s v=""/>
    <m/>
    <n v="1100"/>
    <n v="1100"/>
    <s v=""/>
    <m/>
    <n v="0.11272727272727273"/>
    <n v="124"/>
    <n v="124"/>
    <n v="0.33181818181818185"/>
    <n v="363"/>
    <n v="0.55545454545454542"/>
    <n v="616.00000000000011"/>
    <n v="979.00000000000011"/>
    <n v="0.72462337662337595"/>
    <n v="797.08571428571349"/>
    <n v="0"/>
    <m/>
    <n v="0.72462337662337595"/>
    <n v="0.72"/>
    <n v="797.08571428571349"/>
    <n v="0"/>
    <n v="264.48753246753222"/>
    <n v="442.74488311688265"/>
    <n v="707.23241558441487"/>
    <s v="Fortunei"/>
    <s v="TG Cool"/>
    <n v="0.26"/>
    <n v="286"/>
    <m/>
    <m/>
    <m/>
    <m/>
    <m/>
    <m/>
    <n v="286"/>
    <m/>
    <m/>
    <m/>
    <n v="1"/>
    <n v="1"/>
    <m/>
    <m/>
    <m/>
    <n v="0"/>
    <m/>
    <n v="0"/>
    <n v="0"/>
    <n v="0"/>
    <n v="0"/>
    <n v="0"/>
    <n v="0"/>
    <n v="156228.79999999984"/>
    <n v="156228.79999999984"/>
    <n v="8.8757396449704144E-3"/>
  </r>
  <r>
    <s v="US0029"/>
    <x v="1"/>
    <x v="3"/>
    <n v="2027"/>
    <s v="Tracy Sturgeon"/>
    <n v="10025"/>
    <s v="Tracy Sturgeon"/>
    <s v="918-413-2680, 918-385-1914"/>
    <x v="0"/>
    <s v="tracyl1a1sw@yahoo.com"/>
    <s v="PO Box 70 Albion OK 74521"/>
    <s v="14602 SE 1103 Ave  Tuskahoma, OK 74574"/>
    <x v="0"/>
    <s v="34.702318, -95.141474"/>
    <n v="9.94"/>
    <s v=""/>
    <m/>
    <n v="1100"/>
    <n v="1100"/>
    <s v=""/>
    <m/>
    <n v="0.11272727272727273"/>
    <n v="124"/>
    <n v="124"/>
    <n v="0.33181818181818185"/>
    <n v="363"/>
    <n v="0.55545454545454542"/>
    <n v="616.00000000000011"/>
    <n v="979.00000000000011"/>
    <n v="0.47499999999999998"/>
    <n v="522.5"/>
    <n v="0"/>
    <m/>
    <n v="0.47499999999999998"/>
    <n v="0.48"/>
    <n v="522.5"/>
    <n v="0"/>
    <n v="173.37500000000003"/>
    <n v="290.22499999999997"/>
    <n v="463.6"/>
    <s v="Fortunei"/>
    <s v="TG Cool"/>
    <n v="0.6454545454545455"/>
    <n v="710"/>
    <m/>
    <m/>
    <m/>
    <n v="110"/>
    <m/>
    <m/>
    <n v="600"/>
    <m/>
    <m/>
    <m/>
    <n v="1"/>
    <n v="1"/>
    <m/>
    <m/>
    <m/>
    <n v="0"/>
    <m/>
    <n v="0"/>
    <n v="0"/>
    <n v="0"/>
    <n v="0"/>
    <n v="0"/>
    <n v="0"/>
    <n v="102410"/>
    <n v="102410"/>
    <n v="8.8757396449704144E-3"/>
  </r>
  <r>
    <s v="US0032"/>
    <x v="1"/>
    <x v="3"/>
    <n v="2027"/>
    <s v="Will Johnson"/>
    <n v="10028"/>
    <s v="Will and Amanda Johnson"/>
    <s v="(386) 697-8079, 386-249-2134"/>
    <x v="2"/>
    <s v="Trophyhillplantation@gmail.com"/>
    <s v="7791 200th St, Mc Alpin, FL, USA 32062-2754"/>
    <s v="7791 200th St, Mc Alpin, FL, USA 32062-2754"/>
    <x v="0"/>
    <s v="30.090810, -82.909628"/>
    <n v="10.9"/>
    <n v="10.6"/>
    <s v="Y"/>
    <n v="1166"/>
    <n v="1166"/>
    <s v=""/>
    <m/>
    <n v="0.11318"/>
    <n v="131.96788000000001"/>
    <n v="131.96788000000001"/>
    <n v="0.33179999999999998"/>
    <n v="384.78000000000003"/>
    <n v="0.55500000000000005"/>
    <n v="652.96"/>
    <n v="1037.74"/>
    <n v="0.93548387096774199"/>
    <n v="1090.7741935483871"/>
    <n v="0"/>
    <m/>
    <n v="0.93548387096774199"/>
    <n v="0.93548387096774199"/>
    <n v="1090.7741935483871"/>
    <n v="123.45382322580645"/>
    <n v="361.91887741935483"/>
    <n v="605.37967741935483"/>
    <n v="967.29855483870961"/>
    <s v="Fortunei"/>
    <s v="11"/>
    <n v="0"/>
    <n v="0"/>
    <m/>
    <m/>
    <m/>
    <m/>
    <m/>
    <m/>
    <m/>
    <m/>
    <m/>
    <m/>
    <n v="1"/>
    <n v="1"/>
    <m/>
    <m/>
    <m/>
    <n v="0"/>
    <m/>
    <n v="0"/>
    <n v="0"/>
    <n v="0"/>
    <n v="0"/>
    <n v="0"/>
    <n v="0"/>
    <n v="213791.74193548388"/>
    <n v="213791.74193548388"/>
    <n v="8.8757396449704144E-3"/>
  </r>
  <r>
    <s v="US0027"/>
    <x v="1"/>
    <x v="3"/>
    <n v="0"/>
    <s v="Marlene Lewis"/>
    <n v="10016"/>
    <s v="Lewauta Landholdings Inc"/>
    <s v="250-889-1343"/>
    <x v="1"/>
    <s v="marlene@end-dyslexia.com, mmlewisaccess@gmail.com, marlene@empressacres.ca, petermlewis1@gmail.com"/>
    <s v="2974 Haslam Road, Nanaimo, BC V9X 1T1, Canada"/>
    <s v="2974 Haslam Road, Nanaimo, BC V9X 1T1, Canada"/>
    <x v="0"/>
    <s v="49.065235, -123.856235"/>
    <n v="4"/>
    <s v=""/>
    <s v="Y"/>
    <n v="425"/>
    <n v="425"/>
    <s v=""/>
    <m/>
    <n v="0.11294117647058824"/>
    <n v="48"/>
    <n v="48"/>
    <n v="0.33176470588235296"/>
    <n v="140.25"/>
    <n v="0.55529411764705883"/>
    <n v="238.00000000000003"/>
    <n v="378.25"/>
    <n v="0.82352941176470584"/>
    <n v="350"/>
    <n v="0"/>
    <n v="0"/>
    <n v="0"/>
    <n v="0"/>
    <n v="0"/>
    <n v="0"/>
    <n v="0"/>
    <n v="0"/>
    <n v="0"/>
    <s v="Fortunei"/>
    <s v="TG Cool"/>
    <n v="0.47058823529411764"/>
    <n v="200"/>
    <m/>
    <m/>
    <m/>
    <m/>
    <m/>
    <m/>
    <n v="200"/>
    <m/>
    <m/>
    <m/>
    <n v="1"/>
    <n v="1"/>
    <m/>
    <m/>
    <m/>
    <n v="0"/>
    <m/>
    <n v="0"/>
    <n v="0"/>
    <n v="0"/>
    <n v="0"/>
    <n v="0"/>
    <n v="0"/>
    <n v="0"/>
    <n v="0"/>
    <n v="18"/>
  </r>
  <r>
    <s v="US0026"/>
    <x v="2"/>
    <x v="3"/>
    <n v="0"/>
    <s v="John Cline"/>
    <n v="10023"/>
    <s v="John Cline"/>
    <m/>
    <x v="1"/>
    <m/>
    <m/>
    <m/>
    <x v="0"/>
    <m/>
    <m/>
    <s v=""/>
    <m/>
    <n v="550"/>
    <n v="550"/>
    <s v=""/>
    <m/>
    <n v="0.64"/>
    <n v="352"/>
    <n v="352"/>
    <n v="0.36"/>
    <n v="181.5"/>
    <m/>
    <m/>
    <n v="181.5"/>
    <n v="0"/>
    <n v="0"/>
    <n v="0"/>
    <n v="0"/>
    <n v="0"/>
    <n v="0"/>
    <n v="0"/>
    <n v="0"/>
    <n v="0"/>
    <n v="0"/>
    <n v="0"/>
    <s v="Fortunei"/>
    <m/>
    <n v="0"/>
    <n v="0"/>
    <m/>
    <m/>
    <m/>
    <m/>
    <m/>
    <m/>
    <m/>
    <m/>
    <m/>
    <m/>
    <n v="1"/>
    <m/>
    <m/>
    <m/>
    <m/>
    <n v="0"/>
    <m/>
    <n v="0"/>
    <n v="0"/>
    <n v="0"/>
    <n v="0"/>
    <n v="0"/>
    <n v="0"/>
    <n v="0"/>
    <n v="0"/>
    <n v="18"/>
  </r>
  <r>
    <s v="CR0089"/>
    <x v="2"/>
    <x v="4"/>
    <n v="2028"/>
    <s v="Miguel Corrales Venegas"/>
    <n v="20081"/>
    <s v="Miguel Corrales Venegas"/>
    <s v="50689876752, 50688005783"/>
    <x v="2"/>
    <s v="vialca81@gmail.com, nanocv77@gmail.com"/>
    <s v="La Potenciana, San José Province, Costa Rica"/>
    <s v="9.79456599997, -84.4494810002"/>
    <x v="1"/>
    <s v="9.79456599997, -84.4494810002"/>
    <n v="10.909000000000001"/>
    <n v="12.355250518148317"/>
    <m/>
    <n v="2000"/>
    <n v="2000"/>
    <s v=""/>
    <m/>
    <n v="0.64"/>
    <n v="1280"/>
    <n v="1280"/>
    <n v="0.36"/>
    <n v="660"/>
    <m/>
    <m/>
    <n v="660"/>
    <n v="0.70532954987550567"/>
    <n v="1410.6590997510114"/>
    <n v="0"/>
    <m/>
    <n v="0.70532954987550567"/>
    <n v="0.70532954987550567"/>
    <n v="1410.6590997510114"/>
    <n v="902.82182384064731"/>
    <n v="507.83727591036404"/>
    <n v="0"/>
    <n v="507.83727591036404"/>
    <s v="P.elongata"/>
    <m/>
    <n v="0.28499999999999998"/>
    <n v="570"/>
    <m/>
    <m/>
    <m/>
    <m/>
    <n v="70"/>
    <n v="500"/>
    <m/>
    <m/>
    <m/>
    <m/>
    <n v="1"/>
    <n v="1"/>
    <m/>
    <m/>
    <m/>
    <n v="0"/>
    <m/>
    <n v="0"/>
    <n v="0"/>
    <n v="0"/>
    <n v="0"/>
    <n v="0"/>
    <n v="0"/>
    <n v="276489.18355119822"/>
    <n v="276489.18355119822"/>
    <n v="8.8713652045342532E-3"/>
  </r>
  <r>
    <s v="GT0001"/>
    <x v="2"/>
    <x v="4"/>
    <n v="2028"/>
    <s v="José Scheel "/>
    <n v="30001"/>
    <s v="Ada Patricia Scheel Bartlett"/>
    <s v="+502 57031213"/>
    <x v="2"/>
    <s v="s_hpatricia@hotmail.com"/>
    <s v="AVENIDA LAS AMERICAS 7-62, ZONA 3, EDIFICIO TORRE PRADE-RA XELA, OCTAVO NIVEL, OFICINA 801, QUETZALTENANGO, GUATEMALA"/>
    <s v="FINCA SAN JOSÉ, MUNICIPIO DE FLORES COSTA CUCA, DEPARTAMENTO DE QUETZALTENANGO"/>
    <x v="2"/>
    <s v="14.673889, -91.808333; 14.990889, -91.990889"/>
    <n v="12.1"/>
    <n v="9.0909090909090917"/>
    <m/>
    <n v="1000"/>
    <n v="1000"/>
    <s v=""/>
    <m/>
    <n v="0.64"/>
    <n v="640"/>
    <n v="640"/>
    <n v="0.36"/>
    <n v="330"/>
    <m/>
    <m/>
    <n v="330"/>
    <n v="1"/>
    <n v="1000"/>
    <n v="0"/>
    <m/>
    <n v="1"/>
    <n v="1"/>
    <n v="1000"/>
    <n v="640"/>
    <n v="360"/>
    <n v="0"/>
    <n v="360"/>
    <s v="Elongata"/>
    <m/>
    <n v="0.5"/>
    <n v="500"/>
    <m/>
    <m/>
    <m/>
    <m/>
    <m/>
    <n v="500"/>
    <m/>
    <m/>
    <m/>
    <m/>
    <n v="1"/>
    <n v="1"/>
    <m/>
    <m/>
    <m/>
    <n v="0"/>
    <m/>
    <n v="0"/>
    <n v="0"/>
    <n v="0"/>
    <n v="0"/>
    <n v="0"/>
    <n v="0"/>
    <n v="196000"/>
    <n v="196000"/>
    <n v="8.8713652045342532E-3"/>
  </r>
  <r>
    <s v="GT0006"/>
    <x v="2"/>
    <x v="4"/>
    <n v="2028"/>
    <s v="Luis Fernando Morán Peréz"/>
    <n v="30006"/>
    <s v="Luis Fernando Morán Peréz"/>
    <s v="+50254114650"/>
    <x v="2"/>
    <s v="lmoran@inversionesluys.com"/>
    <s v="A VENIDA LAS AMERICAS 7-62, ZONA 3, EDIFICIO TORRE PRADE­RA XELA, OCTAVO NIVEL, OFICINA 813, MUNICIPIO DE QUETZALTENANGO, DEPARTAMENTO DE  QUETZAL TENANGO"/>
    <s v="FINCA ENTRE RIOS, MUNICIPIO DE EL PALMAR, DEPARTAMENTO DE QUETZALTENANGO"/>
    <x v="2"/>
    <s v="14.680103, -91.609028"/>
    <n v="85.8"/>
    <n v="136.36363636363637"/>
    <m/>
    <n v="15000"/>
    <n v="15000"/>
    <s v=""/>
    <m/>
    <n v="0.64"/>
    <n v="9600"/>
    <n v="9600"/>
    <n v="0.36"/>
    <n v="4950"/>
    <m/>
    <m/>
    <n v="4950"/>
    <n v="0.48423591965479834"/>
    <n v="7263.538794821975"/>
    <n v="0"/>
    <m/>
    <n v="0.48423591965479834"/>
    <n v="0.48423591965479834"/>
    <n v="7263.538794821975"/>
    <n v="4648.6648286860645"/>
    <n v="2614.8739661359109"/>
    <n v="0"/>
    <n v="2614.8739661359109"/>
    <s v="Elongata, CL502, 18K"/>
    <m/>
    <n v="0"/>
    <n v="0"/>
    <m/>
    <m/>
    <m/>
    <m/>
    <m/>
    <m/>
    <m/>
    <m/>
    <m/>
    <m/>
    <n v="1"/>
    <n v="1"/>
    <m/>
    <m/>
    <m/>
    <n v="0"/>
    <m/>
    <n v="0"/>
    <n v="0"/>
    <n v="0"/>
    <n v="0"/>
    <n v="0"/>
    <n v="0"/>
    <n v="1423653.6037851071"/>
    <n v="1423653.6037851071"/>
    <n v="8.8713652045342532E-3"/>
  </r>
  <r>
    <s v="GT0007"/>
    <x v="2"/>
    <x v="4"/>
    <n v="2028"/>
    <s v="Miguel Roberto Mombiela Bruni"/>
    <n v="30007"/>
    <s v="Miguel Roberto Mombiela Bruni"/>
    <s v="+502 30098257"/>
    <x v="2"/>
    <s v="mrmombiela@gmail.com"/>
    <s v="2ª calle 4A-40 zona 9, La Floresta, Quetzaltenango"/>
    <s v="Municipio de Génova, departamento de Quetzaltenango"/>
    <x v="2"/>
    <s v="14.662500, -91.613889; 14.606417, -91.840889"/>
    <n v="1.9"/>
    <n v="2.7272727272727271"/>
    <m/>
    <n v="300"/>
    <n v="300"/>
    <s v=""/>
    <m/>
    <n v="0.64"/>
    <n v="192"/>
    <n v="192"/>
    <n v="0.36"/>
    <n v="99"/>
    <m/>
    <m/>
    <n v="99"/>
    <n v="0.8680524088888889"/>
    <n v="260.41572266666668"/>
    <n v="0"/>
    <m/>
    <n v="0.8680524088888889"/>
    <n v="0.8680524088888889"/>
    <n v="260.41572266666668"/>
    <n v="166.66606250666669"/>
    <n v="93.749660160000005"/>
    <n v="0"/>
    <n v="93.749660160000005"/>
    <s v="Elongata"/>
    <m/>
    <n v="1"/>
    <n v="300"/>
    <m/>
    <m/>
    <m/>
    <m/>
    <m/>
    <n v="300"/>
    <m/>
    <m/>
    <m/>
    <m/>
    <n v="1"/>
    <n v="1"/>
    <m/>
    <m/>
    <m/>
    <n v="0"/>
    <m/>
    <n v="0"/>
    <n v="0"/>
    <n v="0"/>
    <n v="0"/>
    <n v="0"/>
    <n v="0"/>
    <n v="51041.481642666673"/>
    <n v="51041.481642666673"/>
    <n v="8.8713652045342532E-3"/>
  </r>
  <r>
    <s v="GT0009"/>
    <x v="2"/>
    <x v="4"/>
    <n v="2028"/>
    <s v="Pedro Antonio Mombiela De León "/>
    <n v="30009"/>
    <s v="Pedro Antonio Mombiela De León "/>
    <s v="(502) 55178198"/>
    <x v="2"/>
    <s v="pedroantoniomombiela@yahoo.com.mx"/>
    <s v="AGRO E INDUSTRIAS LAS MARIAS, COLOMBA COSTA CUCA QUETZALTENANGO,GT"/>
    <s v="AGRO E INDUSTRIAS LAS MARIAS, COLOMBA COSTA CUCA QUETZALTENANGO,GT"/>
    <x v="2"/>
    <s v="14.716111, -91.743611"/>
    <n v="4.4000000000000004"/>
    <n v="5"/>
    <m/>
    <n v="550"/>
    <n v="550"/>
    <s v=""/>
    <m/>
    <n v="0.64"/>
    <n v="352"/>
    <n v="352"/>
    <n v="0.36"/>
    <n v="181.5"/>
    <m/>
    <m/>
    <n v="181.5"/>
    <n v="0.81797103593073583"/>
    <n v="449.8840697619047"/>
    <n v="0"/>
    <m/>
    <n v="0.81797103593073583"/>
    <n v="0.81797103593073583"/>
    <n v="449.8840697619047"/>
    <n v="287.92580464761903"/>
    <n v="161.95826511428569"/>
    <n v="0"/>
    <n v="161.95826511428569"/>
    <s v="Elongata (in 2021 CL502)"/>
    <m/>
    <n v="1"/>
    <n v="550"/>
    <m/>
    <m/>
    <m/>
    <m/>
    <n v="550"/>
    <m/>
    <m/>
    <m/>
    <m/>
    <m/>
    <n v="1"/>
    <n v="1"/>
    <m/>
    <m/>
    <m/>
    <n v="0"/>
    <m/>
    <n v="0"/>
    <n v="0"/>
    <n v="0"/>
    <n v="0"/>
    <n v="0"/>
    <n v="0"/>
    <n v="88177.277673333316"/>
    <n v="88177.277673333316"/>
    <n v="8.8713652045342532E-3"/>
  </r>
  <r>
    <s v="CR0080"/>
    <x v="2"/>
    <x v="4"/>
    <n v="0"/>
    <s v="Carlos Batalla"/>
    <n v="20074"/>
    <s v="Carlos Batalla"/>
    <m/>
    <x v="1"/>
    <m/>
    <m/>
    <m/>
    <x v="1"/>
    <m/>
    <m/>
    <s v=""/>
    <m/>
    <n v="500"/>
    <n v="500"/>
    <s v=""/>
    <m/>
    <n v="0.64"/>
    <n v="320"/>
    <n v="320"/>
    <n v="0.36"/>
    <n v="165"/>
    <m/>
    <m/>
    <n v="165"/>
    <n v="0"/>
    <n v="0"/>
    <n v="0"/>
    <n v="0"/>
    <n v="0"/>
    <n v="0"/>
    <n v="0"/>
    <n v="0"/>
    <n v="0"/>
    <n v="0"/>
    <n v="0"/>
    <s v="P.fortunei"/>
    <m/>
    <n v="0"/>
    <n v="0"/>
    <m/>
    <m/>
    <m/>
    <m/>
    <m/>
    <m/>
    <m/>
    <m/>
    <m/>
    <m/>
    <n v="1"/>
    <m/>
    <m/>
    <m/>
    <m/>
    <n v="0"/>
    <m/>
    <n v="0"/>
    <n v="0"/>
    <n v="0"/>
    <n v="0"/>
    <n v="0"/>
    <n v="0"/>
    <n v="0"/>
    <n v="0"/>
    <n v="18"/>
  </r>
  <r>
    <s v="CR0081"/>
    <x v="2"/>
    <x v="4"/>
    <n v="2028"/>
    <s v="Carlos Castro Solano"/>
    <n v="20075"/>
    <s v="Corporacion Lummal S.A"/>
    <s v="50683178860, 5067005-9832"/>
    <x v="0"/>
    <s v="corporacionlumal@hotmail.com"/>
    <s v="San José Province, Vuelta de Jorco, Costa Rica"/>
    <n v="0"/>
    <x v="1"/>
    <s v="9.808026349, -84.1160400027"/>
    <n v="57.96"/>
    <s v=""/>
    <m/>
    <n v="4000"/>
    <n v="4000"/>
    <s v=""/>
    <m/>
    <n v="0.64"/>
    <n v="2560"/>
    <n v="2560"/>
    <n v="0.36"/>
    <n v="1320"/>
    <m/>
    <m/>
    <n v="1320"/>
    <n v="0.39"/>
    <n v="1560"/>
    <n v="0"/>
    <m/>
    <n v="0.39"/>
    <n v="0.39"/>
    <n v="1560"/>
    <n v="998.4"/>
    <n v="561.6"/>
    <n v="0"/>
    <n v="561.6"/>
    <s v="P.elongata and P.fortunei"/>
    <m/>
    <n v="0.28125"/>
    <n v="1125"/>
    <m/>
    <m/>
    <m/>
    <m/>
    <m/>
    <n v="1125"/>
    <m/>
    <m/>
    <m/>
    <m/>
    <n v="1"/>
    <n v="1"/>
    <m/>
    <m/>
    <m/>
    <n v="0"/>
    <m/>
    <n v="0"/>
    <n v="0"/>
    <n v="0"/>
    <n v="0"/>
    <n v="0"/>
    <n v="0"/>
    <n v="305760"/>
    <n v="305760"/>
    <n v="8.8713652045342532E-3"/>
  </r>
  <r>
    <s v="CR0082"/>
    <x v="2"/>
    <x v="4"/>
    <n v="2028"/>
    <s v="Gustavo Arias"/>
    <n v="20076"/>
    <s v="Carlos Luis Arias"/>
    <n v="50683114275"/>
    <x v="0"/>
    <s v="javier.arias.chaves@hotmail.com, gustavoariaschaves@gmail.com"/>
    <s v="Alajuela Province, Sarchi, Costa Rica"/>
    <s v="10.1442903528, -84.3388900105"/>
    <x v="1"/>
    <s v="10.1442903528, -84.3388900105"/>
    <n v="8"/>
    <s v=""/>
    <m/>
    <n v="1000"/>
    <n v="1000"/>
    <s v=""/>
    <m/>
    <n v="0.64"/>
    <n v="640"/>
    <n v="640"/>
    <n v="0.36"/>
    <n v="330"/>
    <m/>
    <m/>
    <n v="330"/>
    <n v="0.6186544270833334"/>
    <n v="618.65442708333342"/>
    <n v="0"/>
    <m/>
    <n v="0.6186544270833334"/>
    <n v="0.62"/>
    <n v="618.65442708333342"/>
    <n v="395.93883333333338"/>
    <n v="222.71559375000001"/>
    <n v="0"/>
    <n v="222.71559375000001"/>
    <s v="P.elongata"/>
    <m/>
    <n v="0.65500000000000003"/>
    <n v="655"/>
    <m/>
    <m/>
    <m/>
    <m/>
    <n v="155"/>
    <n v="500"/>
    <m/>
    <m/>
    <m/>
    <m/>
    <n v="1"/>
    <n v="1"/>
    <m/>
    <m/>
    <m/>
    <n v="0"/>
    <m/>
    <n v="0"/>
    <n v="0"/>
    <n v="0"/>
    <n v="0"/>
    <n v="0"/>
    <n v="0"/>
    <n v="121256.26770833335"/>
    <n v="121256.26770833335"/>
    <n v="8.8713652045342532E-3"/>
  </r>
  <r>
    <s v="CR0083"/>
    <x v="2"/>
    <x v="4"/>
    <n v="2028"/>
    <s v="Carlos Montero"/>
    <n v="20023"/>
    <s v="Carlos Montero"/>
    <m/>
    <x v="0"/>
    <m/>
    <m/>
    <m/>
    <x v="1"/>
    <m/>
    <m/>
    <s v=""/>
    <m/>
    <n v="4000"/>
    <n v="4000"/>
    <s v=""/>
    <m/>
    <n v="0.64"/>
    <n v="2560"/>
    <n v="2560"/>
    <n v="0.36"/>
    <n v="1320"/>
    <m/>
    <m/>
    <n v="1320"/>
    <n v="0"/>
    <n v="0"/>
    <n v="0"/>
    <m/>
    <n v="0"/>
    <n v="0"/>
    <n v="0"/>
    <n v="0"/>
    <n v="0"/>
    <n v="0"/>
    <n v="0"/>
    <s v="P.fortunei"/>
    <m/>
    <n v="0"/>
    <n v="0"/>
    <m/>
    <m/>
    <m/>
    <m/>
    <m/>
    <m/>
    <m/>
    <m/>
    <m/>
    <m/>
    <n v="1"/>
    <n v="1"/>
    <m/>
    <m/>
    <m/>
    <n v="0"/>
    <m/>
    <n v="0"/>
    <n v="0"/>
    <n v="0"/>
    <n v="0"/>
    <n v="0"/>
    <n v="0"/>
    <n v="0"/>
    <n v="0"/>
    <n v="8.8713652045342532E-3"/>
  </r>
  <r>
    <s v="CR0084"/>
    <x v="2"/>
    <x v="4"/>
    <n v="2028"/>
    <s v="Carmelita Soto"/>
    <n v="20077"/>
    <s v="Carmelita Soto"/>
    <n v="50689424551"/>
    <x v="1"/>
    <s v="carmelitasn21@gmail.com"/>
    <s v="Puntarenas Province, San Vito, Costa Rica"/>
    <s v="8.81043499972, -82.9855150001"/>
    <x v="1"/>
    <s v="8.81043499972, -82.9855150001"/>
    <n v="7.17"/>
    <s v=""/>
    <m/>
    <n v="1000"/>
    <n v="1000"/>
    <s v=""/>
    <m/>
    <n v="0.64"/>
    <n v="640"/>
    <n v="640"/>
    <n v="0.36"/>
    <n v="330"/>
    <m/>
    <m/>
    <n v="330"/>
    <n v="1"/>
    <n v="1000"/>
    <n v="0"/>
    <n v="0"/>
    <n v="0"/>
    <n v="0"/>
    <n v="0"/>
    <n v="0"/>
    <n v="0"/>
    <n v="0"/>
    <n v="0"/>
    <s v="P.fortunei"/>
    <m/>
    <n v="1.1499999999999999"/>
    <n v="1150"/>
    <m/>
    <m/>
    <m/>
    <n v="900"/>
    <m/>
    <n v="250"/>
    <m/>
    <m/>
    <m/>
    <m/>
    <n v="1"/>
    <n v="1"/>
    <m/>
    <m/>
    <m/>
    <n v="0"/>
    <m/>
    <n v="0"/>
    <n v="0"/>
    <n v="0"/>
    <n v="0"/>
    <n v="0"/>
    <n v="0"/>
    <n v="0"/>
    <n v="0"/>
    <n v="8.8713652045342532E-3"/>
  </r>
  <r>
    <s v="CR0085"/>
    <x v="2"/>
    <x v="4"/>
    <n v="0"/>
    <s v="David Gutierrez"/>
    <n v="20009"/>
    <s v="Edgar Gutierrez"/>
    <m/>
    <x v="1"/>
    <m/>
    <m/>
    <m/>
    <x v="1"/>
    <m/>
    <m/>
    <s v=""/>
    <m/>
    <n v="285"/>
    <n v="285"/>
    <s v=""/>
    <m/>
    <n v="0.64"/>
    <n v="182.4"/>
    <n v="182.4"/>
    <n v="0.36"/>
    <n v="94.050000000000011"/>
    <m/>
    <m/>
    <n v="94.050000000000011"/>
    <n v="0"/>
    <n v="0"/>
    <n v="0"/>
    <n v="0"/>
    <n v="0"/>
    <n v="0"/>
    <n v="0"/>
    <n v="0"/>
    <n v="0"/>
    <n v="0"/>
    <n v="0"/>
    <s v="P.fortunei"/>
    <m/>
    <n v="0"/>
    <n v="0"/>
    <m/>
    <m/>
    <m/>
    <m/>
    <m/>
    <m/>
    <m/>
    <m/>
    <m/>
    <m/>
    <n v="1"/>
    <m/>
    <m/>
    <m/>
    <m/>
    <n v="0"/>
    <m/>
    <n v="0"/>
    <n v="0"/>
    <n v="0"/>
    <n v="0"/>
    <n v="0"/>
    <n v="0"/>
    <n v="0"/>
    <n v="0"/>
    <n v="18"/>
  </r>
  <r>
    <s v="CR0086"/>
    <x v="2"/>
    <x v="4"/>
    <n v="0"/>
    <s v="Agner Chinchlla"/>
    <n v="20078"/>
    <s v="Edgar Chinchilla Quesada "/>
    <s v="5068952-7886"/>
    <x v="1"/>
    <s v="agnerchinchilla64@gmail.com"/>
    <s v="Sabalito, Puntarenas Province, Costa Rica"/>
    <s v="8.845435,-82.895748"/>
    <x v="1"/>
    <s v="8.845435,-82.895748"/>
    <n v="6.714572092800001"/>
    <s v=""/>
    <m/>
    <n v="1700"/>
    <n v="1700"/>
    <s v=""/>
    <m/>
    <n v="0.64"/>
    <n v="1088"/>
    <n v="1088"/>
    <n v="0.36"/>
    <n v="561"/>
    <m/>
    <m/>
    <n v="561"/>
    <n v="1"/>
    <n v="1700"/>
    <n v="0"/>
    <n v="0"/>
    <n v="0"/>
    <n v="0"/>
    <n v="0"/>
    <n v="0"/>
    <n v="0"/>
    <n v="0"/>
    <n v="0"/>
    <s v="P.fortunei"/>
    <m/>
    <n v="0.72058823529411764"/>
    <n v="1225"/>
    <m/>
    <m/>
    <m/>
    <n v="800"/>
    <m/>
    <n v="425"/>
    <m/>
    <m/>
    <m/>
    <m/>
    <n v="1"/>
    <n v="1"/>
    <m/>
    <m/>
    <m/>
    <n v="0"/>
    <m/>
    <n v="0"/>
    <n v="0"/>
    <n v="0"/>
    <n v="0"/>
    <n v="0"/>
    <n v="0"/>
    <n v="0"/>
    <n v="0"/>
    <n v="18"/>
  </r>
  <r>
    <s v="CR0087"/>
    <x v="2"/>
    <x v="4"/>
    <n v="2028"/>
    <s v="Francisco Flores"/>
    <n v="20079"/>
    <s v="Beneficio La Guaria S.A"/>
    <s v="50685334949, 50624484800, 50683822204"/>
    <x v="0"/>
    <s v="beneguaria@ice.co.cr, brasacha@gmail.com"/>
    <s v="San Rafael de Poas, Alajuela Province, San Rafael, Costa Rica"/>
    <s v="10.094975, -84.2569388889"/>
    <x v="1"/>
    <s v="10.094975, -84.2569388889"/>
    <n v="16.521830000000001"/>
    <s v=""/>
    <m/>
    <n v="4500"/>
    <n v="4500"/>
    <s v=""/>
    <m/>
    <n v="0.64"/>
    <n v="2880"/>
    <n v="2880"/>
    <n v="0.36"/>
    <n v="1485"/>
    <m/>
    <m/>
    <n v="1485"/>
    <n v="0.60207975308641981"/>
    <n v="2709.3588888888889"/>
    <n v="0"/>
    <m/>
    <n v="0.60207975308641981"/>
    <n v="0.6"/>
    <n v="2709.3588888888889"/>
    <n v="1733.9896888888888"/>
    <n v="975.36919999999998"/>
    <n v="0"/>
    <n v="975.36919999999998"/>
    <s v="P.elongata"/>
    <m/>
    <n v="0.33333333333333331"/>
    <n v="1500"/>
    <m/>
    <m/>
    <m/>
    <m/>
    <m/>
    <n v="1500"/>
    <m/>
    <m/>
    <m/>
    <m/>
    <n v="1"/>
    <n v="1"/>
    <m/>
    <m/>
    <m/>
    <n v="0"/>
    <m/>
    <n v="0"/>
    <n v="0"/>
    <n v="0"/>
    <n v="0"/>
    <n v="0"/>
    <n v="0"/>
    <n v="531034.34222222224"/>
    <n v="531034.34222222224"/>
    <n v="8.8713652045342532E-3"/>
  </r>
  <r>
    <s v="CR0088"/>
    <x v="2"/>
    <x v="4"/>
    <n v="2028"/>
    <s v="Leonardo Cordero"/>
    <n v="20080"/>
    <s v="Greivin Cordero"/>
    <n v="50689554585"/>
    <x v="0"/>
    <s v="leonardocrdr986@gmail.com"/>
    <s v="Tuis, Cartago Province, Turrialba, Costa Rica"/>
    <s v="9.85458385907, -83.5665219867"/>
    <x v="1"/>
    <s v="9.85458385907, -83.5665219867"/>
    <n v="4.6899999999999995"/>
    <s v=""/>
    <m/>
    <n v="1000"/>
    <n v="1000"/>
    <s v=""/>
    <m/>
    <n v="0.64"/>
    <n v="640"/>
    <n v="640"/>
    <n v="0.36"/>
    <n v="330"/>
    <m/>
    <m/>
    <n v="330"/>
    <n v="0.9"/>
    <n v="900"/>
    <n v="0"/>
    <m/>
    <n v="0.9"/>
    <n v="0.9"/>
    <n v="900"/>
    <n v="576"/>
    <n v="324"/>
    <n v="0"/>
    <n v="324"/>
    <s v="P.fortunei"/>
    <m/>
    <n v="0.4"/>
    <n v="400"/>
    <m/>
    <m/>
    <m/>
    <n v="150"/>
    <m/>
    <n v="250"/>
    <m/>
    <m/>
    <m/>
    <m/>
    <n v="1"/>
    <n v="1"/>
    <m/>
    <m/>
    <m/>
    <n v="0"/>
    <m/>
    <n v="0"/>
    <n v="0"/>
    <n v="0"/>
    <n v="0"/>
    <n v="0"/>
    <n v="0"/>
    <n v="176400"/>
    <n v="176400"/>
    <n v="8.8713652045342532E-3"/>
  </r>
  <r>
    <s v="US0034"/>
    <x v="2"/>
    <x v="4"/>
    <n v="2028"/>
    <s v="Billy Whittaker"/>
    <n v="10030"/>
    <s v="Billy Whittaker"/>
    <s v="229-243-3487, 229 400 2304"/>
    <x v="2"/>
    <s v="whihm@aol.com"/>
    <s v="7701 Reynolds Landing Rd Donalsonville GA 39845-6928"/>
    <s v="7701 Reynolds Landing Rd Donalsonville GA 39845-6928"/>
    <x v="0"/>
    <s v="30.820767, -84.808612"/>
    <n v="6.7"/>
    <n v="10"/>
    <m/>
    <n v="1100"/>
    <n v="1100"/>
    <s v=""/>
    <m/>
    <n v="0.64"/>
    <n v="704"/>
    <n v="704"/>
    <n v="0.36"/>
    <n v="396"/>
    <m/>
    <m/>
    <n v="396"/>
    <n v="0.9550545454545456"/>
    <n v="1050.5600000000002"/>
    <n v="0"/>
    <m/>
    <n v="0.9550545454545456"/>
    <n v="0.9550545454545456"/>
    <n v="1050.5600000000002"/>
    <n v="672.35840000000007"/>
    <n v="378.20160000000004"/>
    <n v="0"/>
    <n v="378.20160000000004"/>
    <s v="Fortunei"/>
    <s v="11, 12, 14"/>
    <n v="1.5772727272727274"/>
    <n v="1735"/>
    <m/>
    <m/>
    <m/>
    <m/>
    <n v="363"/>
    <n v="1372"/>
    <m/>
    <m/>
    <m/>
    <m/>
    <n v="1"/>
    <n v="1"/>
    <m/>
    <m/>
    <m/>
    <n v="0"/>
    <m/>
    <n v="0"/>
    <n v="0"/>
    <n v="0"/>
    <n v="0"/>
    <n v="0"/>
    <n v="0"/>
    <n v="205909.76000000004"/>
    <n v="205909.76000000004"/>
    <n v="8.8713652045342532E-3"/>
  </r>
  <r>
    <s v="CR0090"/>
    <x v="2"/>
    <x v="4"/>
    <n v="0"/>
    <s v="Omar Cascante"/>
    <n v="20082"/>
    <s v="Omar Cascante"/>
    <m/>
    <x v="1"/>
    <m/>
    <m/>
    <m/>
    <x v="1"/>
    <m/>
    <m/>
    <s v=""/>
    <m/>
    <n v="1800"/>
    <n v="1800"/>
    <s v=""/>
    <m/>
    <n v="0.64"/>
    <n v="1152"/>
    <n v="1152"/>
    <n v="0.36"/>
    <n v="594"/>
    <m/>
    <m/>
    <n v="594"/>
    <n v="0"/>
    <n v="0"/>
    <n v="0"/>
    <n v="0"/>
    <n v="0"/>
    <n v="0"/>
    <n v="0"/>
    <n v="0"/>
    <n v="0"/>
    <n v="0"/>
    <n v="0"/>
    <s v="P.fortunei"/>
    <m/>
    <n v="0"/>
    <n v="0"/>
    <m/>
    <m/>
    <m/>
    <m/>
    <m/>
    <m/>
    <m/>
    <m/>
    <m/>
    <m/>
    <n v="1"/>
    <n v="1"/>
    <m/>
    <m/>
    <m/>
    <n v="0"/>
    <m/>
    <n v="0"/>
    <n v="0"/>
    <n v="0"/>
    <n v="0"/>
    <n v="0"/>
    <n v="0"/>
    <n v="0"/>
    <n v="0"/>
    <n v="18"/>
  </r>
  <r>
    <s v="CR0091"/>
    <x v="2"/>
    <x v="4"/>
    <n v="0"/>
    <s v="William Mora"/>
    <n v="20083"/>
    <s v="William Mora"/>
    <m/>
    <x v="1"/>
    <m/>
    <m/>
    <m/>
    <x v="1"/>
    <m/>
    <m/>
    <s v=""/>
    <m/>
    <n v="1000"/>
    <n v="1000"/>
    <s v=""/>
    <m/>
    <n v="0.64"/>
    <n v="640"/>
    <n v="640"/>
    <n v="0.36"/>
    <n v="330"/>
    <m/>
    <m/>
    <n v="330"/>
    <n v="0"/>
    <n v="0"/>
    <n v="0"/>
    <n v="0"/>
    <n v="0"/>
    <n v="0"/>
    <n v="0"/>
    <n v="0"/>
    <n v="0"/>
    <n v="0"/>
    <n v="0"/>
    <s v="P.fortunei"/>
    <m/>
    <n v="0"/>
    <n v="0"/>
    <m/>
    <m/>
    <m/>
    <m/>
    <m/>
    <m/>
    <m/>
    <m/>
    <m/>
    <m/>
    <n v="1"/>
    <m/>
    <m/>
    <m/>
    <m/>
    <n v="0"/>
    <m/>
    <n v="0"/>
    <n v="0"/>
    <n v="0"/>
    <n v="0"/>
    <n v="0"/>
    <n v="0"/>
    <n v="0"/>
    <n v="0"/>
    <n v="18"/>
  </r>
  <r>
    <s v="US0035"/>
    <x v="2"/>
    <x v="4"/>
    <n v="2028"/>
    <s v="Billy Whittaker"/>
    <n v="10030"/>
    <s v="Billy Whittaker and Joyce P Earnest"/>
    <s v="229-243-3487, 229 400 2304"/>
    <x v="2"/>
    <s v="whihm@aol.com"/>
    <s v="7701 Reynolds Landing Rd Donalsonville GA 39845-6928"/>
    <s v="7701 Reynolds Landing Rd Donalsonville GA 39845-6928"/>
    <x v="0"/>
    <s v="30.836336, -84.884128"/>
    <n v="4.2"/>
    <n v="4.1818181818181817"/>
    <m/>
    <n v="460"/>
    <n v="460"/>
    <s v=""/>
    <m/>
    <n v="0.63913043478260867"/>
    <n v="294"/>
    <n v="294"/>
    <n v="0.36"/>
    <n v="165.6"/>
    <m/>
    <m/>
    <n v="165.6"/>
    <n v="0.1521739130434783"/>
    <n v="70.000000000000014"/>
    <n v="0"/>
    <m/>
    <n v="0.1521739130434783"/>
    <n v="0.1521739130434783"/>
    <n v="70.000000000000014"/>
    <n v="44.739130434782616"/>
    <n v="25.200000000000003"/>
    <n v="0"/>
    <n v="25.200000000000003"/>
    <s v="Fortunei"/>
    <s v="11, 12, 14"/>
    <n v="0.80217391304347829"/>
    <n v="369"/>
    <m/>
    <m/>
    <m/>
    <m/>
    <n v="62"/>
    <n v="307"/>
    <m/>
    <m/>
    <m/>
    <m/>
    <n v="1"/>
    <n v="1"/>
    <m/>
    <m/>
    <m/>
    <n v="0"/>
    <m/>
    <n v="0"/>
    <n v="0"/>
    <n v="0"/>
    <n v="0"/>
    <n v="0"/>
    <n v="0"/>
    <n v="13720.000000000004"/>
    <n v="13720.000000000004"/>
    <n v="8.8713652045342532E-3"/>
  </r>
  <r>
    <s v="US0037"/>
    <x v="2"/>
    <x v="4"/>
    <n v="2028"/>
    <s v="Cheryl Meserole"/>
    <n v="10031"/>
    <s v="Cheryl Meserole"/>
    <s v="334-885-6662"/>
    <x v="2"/>
    <s v="cyarbrough@teleclipse.net"/>
    <s v="545 County Road 664 Roanoke AL 36274-5439"/>
    <s v="545 County Road 664 Roanoke AL 36274-5439"/>
    <x v="0"/>
    <s v="33.151431, -85.297489"/>
    <n v="4.0999999999999996"/>
    <n v="5"/>
    <m/>
    <n v="550"/>
    <n v="550"/>
    <s v=""/>
    <m/>
    <n v="0.64"/>
    <n v="352"/>
    <n v="352"/>
    <n v="0.36"/>
    <n v="198"/>
    <m/>
    <m/>
    <n v="198"/>
    <n v="0.98399999999999987"/>
    <n v="541.19999999999993"/>
    <n v="0"/>
    <m/>
    <n v="0.98399999999999987"/>
    <n v="0.98399999999999987"/>
    <n v="541.19999999999993"/>
    <n v="346.36799999999994"/>
    <n v="194.83199999999997"/>
    <n v="0"/>
    <n v="194.83199999999997"/>
    <s v="Fortunei"/>
    <s v="11, 12, 14"/>
    <n v="1.1181818181818182"/>
    <n v="615"/>
    <m/>
    <m/>
    <m/>
    <n v="105"/>
    <n v="200"/>
    <n v="310"/>
    <m/>
    <m/>
    <m/>
    <m/>
    <n v="1"/>
    <n v="1"/>
    <m/>
    <m/>
    <m/>
    <n v="0"/>
    <m/>
    <n v="0"/>
    <n v="0"/>
    <n v="0"/>
    <n v="0"/>
    <n v="0"/>
    <n v="0"/>
    <n v="106075.19999999998"/>
    <n v="106075.19999999998"/>
    <n v="8.8713652045342532E-3"/>
  </r>
  <r>
    <s v="US0038"/>
    <x v="2"/>
    <x v="4"/>
    <n v="2028"/>
    <s v="Dan McClure"/>
    <n v="10032"/>
    <s v="The Langdon Group WW LLC"/>
    <s v="509-520-2957, 509-520-2957"/>
    <x v="2"/>
    <s v="mccluredan4@gmail.com, sarahdale.mcclure@gmail.com, cbmcclure22@gmail.com"/>
    <n v="0"/>
    <s v="2994 Barney Rd, Touchet, WA 99360-9681"/>
    <x v="0"/>
    <s v="46.018121, -118.631065"/>
    <m/>
    <n v="30.90909090909091"/>
    <m/>
    <n v="3400"/>
    <n v="3400"/>
    <s v=""/>
    <m/>
    <n v="0.64"/>
    <n v="2176"/>
    <n v="2176"/>
    <n v="0.36"/>
    <n v="1224"/>
    <m/>
    <m/>
    <n v="1224"/>
    <n v="0.625"/>
    <n v="2125"/>
    <n v="0"/>
    <m/>
    <n v="0.625"/>
    <n v="0.625"/>
    <n v="2125"/>
    <n v="1360"/>
    <n v="765"/>
    <n v="0"/>
    <n v="765"/>
    <s v="Fortunei"/>
    <s v="11, 12, 13, 14, 18, TG Cool"/>
    <n v="1.0505882352941176"/>
    <n v="3572"/>
    <m/>
    <m/>
    <m/>
    <m/>
    <n v="1890"/>
    <n v="532"/>
    <n v="1150"/>
    <m/>
    <m/>
    <m/>
    <n v="1"/>
    <n v="1"/>
    <m/>
    <m/>
    <m/>
    <n v="0"/>
    <m/>
    <n v="0"/>
    <n v="0"/>
    <n v="0"/>
    <n v="0"/>
    <n v="0"/>
    <n v="0"/>
    <n v="416500"/>
    <n v="416500"/>
    <n v="8.8713652045342532E-3"/>
  </r>
  <r>
    <s v="US0039"/>
    <x v="2"/>
    <x v="4"/>
    <n v="2028"/>
    <s v="David Chang"/>
    <n v="10033"/>
    <s v="David Chang"/>
    <s v="769-475-0772"/>
    <x v="2"/>
    <s v="lungs111@yahoo.com, lungs111@gmail.com"/>
    <s v="2561 Legends Row, Mobile, AL, USA 36618-4819"/>
    <s v="4019 Stringfellow Road, Lucedale, MS 39452, USA"/>
    <x v="0"/>
    <s v="31.046150, -88.514616"/>
    <n v="8.5"/>
    <n v="10"/>
    <s v="Y"/>
    <n v="1100"/>
    <n v="1100"/>
    <s v=""/>
    <m/>
    <n v="0.64"/>
    <n v="704"/>
    <n v="704"/>
    <n v="0.36"/>
    <n v="396"/>
    <m/>
    <m/>
    <n v="396"/>
    <n v="0.96193846153846152"/>
    <n v="1058.1323076923077"/>
    <n v="0"/>
    <m/>
    <n v="0.96193846153846152"/>
    <n v="0.96193846153846152"/>
    <n v="1058.1323076923077"/>
    <n v="677.20467692307693"/>
    <n v="380.92763076923075"/>
    <n v="0"/>
    <n v="380.92763076923075"/>
    <s v="Fortunei"/>
    <s v="12, 14"/>
    <n v="0.14545454545454545"/>
    <n v="160"/>
    <m/>
    <m/>
    <m/>
    <m/>
    <m/>
    <n v="110"/>
    <n v="50"/>
    <m/>
    <m/>
    <m/>
    <n v="1"/>
    <n v="1"/>
    <m/>
    <m/>
    <m/>
    <n v="0"/>
    <m/>
    <n v="0"/>
    <n v="0"/>
    <n v="0"/>
    <n v="0"/>
    <n v="0"/>
    <n v="0"/>
    <n v="207393.9323076923"/>
    <n v="207393.9323076923"/>
    <n v="8.8713652045342532E-3"/>
  </r>
  <r>
    <s v="US0041"/>
    <x v="2"/>
    <x v="4"/>
    <n v="2028"/>
    <s v="Derek Bass"/>
    <n v="10035"/>
    <s v="Derek Bass"/>
    <s v="334-657-2856"/>
    <x v="2"/>
    <s v="wdb359@aol.com"/>
    <s v="359 Sunny Lane Loop, Wetumpka, AL, USA 36092"/>
    <s v="359 Sunny Lane Loop, Wetumpka, AL, USA 36092"/>
    <x v="0"/>
    <s v="32.643850, -86.087211"/>
    <n v="11.2"/>
    <n v="10"/>
    <m/>
    <n v="1100"/>
    <n v="1100"/>
    <s v=""/>
    <m/>
    <n v="0.64"/>
    <n v="704"/>
    <n v="704"/>
    <n v="0.36"/>
    <n v="396"/>
    <m/>
    <m/>
    <n v="396"/>
    <n v="0.79071177226813594"/>
    <n v="869.78294949494955"/>
    <n v="0"/>
    <m/>
    <n v="0.79071177226813594"/>
    <n v="0.79071177226813594"/>
    <n v="869.78294949494955"/>
    <n v="556.66108767676769"/>
    <n v="313.1218618181818"/>
    <n v="0"/>
    <n v="313.1218618181818"/>
    <s v="Fortunei"/>
    <s v="11, 12, 14"/>
    <n v="0.48818181818181816"/>
    <n v="537"/>
    <m/>
    <m/>
    <m/>
    <m/>
    <n v="356"/>
    <n v="181"/>
    <m/>
    <m/>
    <m/>
    <m/>
    <n v="1"/>
    <n v="1"/>
    <m/>
    <m/>
    <m/>
    <n v="0"/>
    <m/>
    <n v="0"/>
    <n v="0"/>
    <n v="0"/>
    <n v="0"/>
    <n v="0"/>
    <n v="0"/>
    <n v="170477.45810101012"/>
    <n v="170477.45810101012"/>
    <n v="8.8713652045342532E-3"/>
  </r>
  <r>
    <s v="US0045"/>
    <x v="2"/>
    <x v="4"/>
    <n v="2028"/>
    <s v="Michael Masengil"/>
    <n v="10038"/>
    <s v="Michael Masengil"/>
    <s v="423-453-1271"/>
    <x v="2"/>
    <s v="mlmasengil@gmail.com"/>
    <s v="945 County Road 461,  Englewood TN 37329-5242"/>
    <s v="945 County Road 461,  Englewood TN 37329-5242"/>
    <x v="0"/>
    <s v="35.414436, -84.455699"/>
    <n v="7.7"/>
    <n v="10"/>
    <m/>
    <n v="1100"/>
    <n v="1100"/>
    <s v=""/>
    <m/>
    <n v="0.64"/>
    <n v="704"/>
    <n v="704"/>
    <n v="0.36"/>
    <n v="396"/>
    <m/>
    <m/>
    <n v="396"/>
    <n v="0.84739022435897426"/>
    <n v="932.12924679487173"/>
    <n v="0"/>
    <m/>
    <n v="0.84739022435897426"/>
    <n v="0.84739022435897426"/>
    <n v="932.12924679487173"/>
    <n v="596.56271794871793"/>
    <n v="335.5665288461538"/>
    <n v="0"/>
    <n v="335.5665288461538"/>
    <s v="Fortunei"/>
    <s v="12, 13, 18"/>
    <n v="0.80636363636363639"/>
    <n v="887"/>
    <m/>
    <m/>
    <m/>
    <m/>
    <n v="337"/>
    <n v="550"/>
    <m/>
    <m/>
    <m/>
    <m/>
    <n v="1"/>
    <n v="1"/>
    <m/>
    <m/>
    <m/>
    <n v="0"/>
    <m/>
    <n v="0"/>
    <n v="0"/>
    <n v="0"/>
    <n v="0"/>
    <n v="0"/>
    <n v="0"/>
    <n v="182697.33237179485"/>
    <n v="182697.33237179485"/>
    <n v="8.8713652045342532E-3"/>
  </r>
  <r>
    <s v="US0047"/>
    <x v="2"/>
    <x v="4"/>
    <n v="2028"/>
    <s v="Scott Willis"/>
    <n v="10040"/>
    <s v="Scott Willis"/>
    <s v="205-287-1554"/>
    <x v="2"/>
    <s v="fishdraft@yahoo.com"/>
    <s v="33303 County Rd. 51 Clanton Al 35046"/>
    <s v="455 County Road 537, Verbena, AL 36091, USA"/>
    <x v="0"/>
    <s v="32.718296, -86.462519"/>
    <n v="14.9"/>
    <n v="10"/>
    <s v="Y"/>
    <n v="1100"/>
    <n v="1100"/>
    <s v=""/>
    <m/>
    <n v="0.64"/>
    <n v="704"/>
    <n v="704"/>
    <n v="0.36"/>
    <n v="396"/>
    <m/>
    <m/>
    <n v="396"/>
    <n v="0.97496103896103914"/>
    <n v="1072.457142857143"/>
    <n v="0"/>
    <m/>
    <n v="0.97496103896103914"/>
    <n v="0.97496103896103914"/>
    <n v="1072.457142857143"/>
    <n v="686.37257142857152"/>
    <n v="386.08457142857145"/>
    <n v="0"/>
    <n v="386.08457142857145"/>
    <s v="Fortunei"/>
    <s v="14, 18"/>
    <n v="0.13090909090909092"/>
    <n v="144"/>
    <m/>
    <m/>
    <m/>
    <m/>
    <n v="32"/>
    <n v="112"/>
    <m/>
    <m/>
    <m/>
    <m/>
    <n v="1"/>
    <n v="1"/>
    <m/>
    <m/>
    <m/>
    <n v="0"/>
    <m/>
    <n v="0"/>
    <n v="0"/>
    <n v="0"/>
    <n v="0"/>
    <n v="0"/>
    <n v="0"/>
    <n v="210201.60000000003"/>
    <n v="210201.60000000003"/>
    <n v="8.8713652045342532E-3"/>
  </r>
  <r>
    <s v="US0049"/>
    <x v="2"/>
    <x v="4"/>
    <n v="2028"/>
    <s v="Steven Whittaker"/>
    <n v="10042"/>
    <s v="Steven Whittaker"/>
    <s v="229-254-3319"/>
    <x v="2"/>
    <s v="jarviswhittaker@icloud.com"/>
    <s v="7688 Reynolds Landing Rd, Donalsonville, GA 39845-6925, USA"/>
    <s v="7688 Reynolds Landing Rd, Donalsonville, GA 39845-6925, USA"/>
    <x v="0"/>
    <s v="30.822035, -84.810527"/>
    <n v="11.3"/>
    <n v="8"/>
    <m/>
    <n v="880"/>
    <n v="880"/>
    <s v=""/>
    <m/>
    <n v="0.64"/>
    <n v="563.20000000000005"/>
    <n v="563.20000000000005"/>
    <n v="0.36"/>
    <n v="316.8"/>
    <m/>
    <m/>
    <n v="316.8"/>
    <n v="1"/>
    <n v="880"/>
    <n v="0"/>
    <m/>
    <n v="1"/>
    <n v="1"/>
    <n v="880"/>
    <n v="563.20000000000005"/>
    <n v="316.8"/>
    <n v="0"/>
    <n v="316.8"/>
    <s v="Fortunei"/>
    <s v="12, 14"/>
    <n v="0.36477272727272725"/>
    <n v="321"/>
    <m/>
    <m/>
    <m/>
    <m/>
    <n v="50"/>
    <n v="271"/>
    <m/>
    <m/>
    <m/>
    <m/>
    <n v="1"/>
    <n v="1"/>
    <m/>
    <m/>
    <m/>
    <n v="0"/>
    <m/>
    <n v="0"/>
    <n v="0"/>
    <n v="0"/>
    <n v="0"/>
    <n v="0"/>
    <n v="0"/>
    <n v="172480"/>
    <n v="172480"/>
    <n v="8.8713652045342532E-3"/>
  </r>
  <r>
    <s v="US0051"/>
    <x v="2"/>
    <x v="4"/>
    <n v="2028"/>
    <s v="Wayne Moseley"/>
    <n v="10044"/>
    <s v="Wayne Moseley"/>
    <s v="251-769-2778, 251-246-4346"/>
    <x v="2"/>
    <n v="0"/>
    <s v="2045 Pruitt Rd, Leroy, AL, USA 36548-5010"/>
    <s v="2045 Pruitt Rd, Leroy, AL, USA 36548-5010"/>
    <x v="0"/>
    <s v="31.507085, -88.018129"/>
    <n v="9"/>
    <n v="10"/>
    <m/>
    <n v="1100"/>
    <n v="1100"/>
    <s v=""/>
    <m/>
    <n v="0.64"/>
    <n v="704"/>
    <n v="704"/>
    <n v="0.36"/>
    <n v="396"/>
    <m/>
    <m/>
    <n v="396"/>
    <n v="0.35181818181818175"/>
    <n v="386.99999999999994"/>
    <n v="0"/>
    <m/>
    <n v="0.35181818181818175"/>
    <n v="0.35181818181818175"/>
    <n v="386.99999999999994"/>
    <n v="247.67999999999998"/>
    <n v="139.31999999999996"/>
    <n v="0"/>
    <n v="139.31999999999996"/>
    <s v="Fortunei"/>
    <s v="12, 14"/>
    <n v="0.65454545454545454"/>
    <n v="720"/>
    <m/>
    <m/>
    <m/>
    <m/>
    <n v="400"/>
    <m/>
    <n v="320"/>
    <m/>
    <m/>
    <m/>
    <n v="1"/>
    <n v="1"/>
    <m/>
    <m/>
    <m/>
    <n v="0"/>
    <m/>
    <n v="0"/>
    <n v="0"/>
    <n v="0"/>
    <n v="0"/>
    <n v="0"/>
    <n v="0"/>
    <n v="75851.999999999985"/>
    <n v="75851.999999999985"/>
    <n v="8.8713652045342532E-3"/>
  </r>
  <r>
    <s v="GT0002"/>
    <x v="2"/>
    <x v="4"/>
    <n v="0"/>
    <s v="Christopher Michael Schwart Marklan"/>
    <n v="30002"/>
    <s v="Christopher Michael Schwart Marklan"/>
    <m/>
    <x v="1"/>
    <m/>
    <m/>
    <m/>
    <x v="2"/>
    <m/>
    <m/>
    <s v=""/>
    <m/>
    <n v="1000"/>
    <n v="1000"/>
    <s v=""/>
    <m/>
    <n v="0.64"/>
    <n v="640"/>
    <n v="640"/>
    <n v="0.36"/>
    <n v="330"/>
    <m/>
    <m/>
    <n v="330"/>
    <n v="0"/>
    <n v="0"/>
    <n v="0"/>
    <n v="0"/>
    <n v="0"/>
    <n v="0"/>
    <n v="0"/>
    <n v="0"/>
    <n v="0"/>
    <n v="0"/>
    <n v="0"/>
    <s v="Elongata"/>
    <m/>
    <n v="0"/>
    <n v="0"/>
    <m/>
    <m/>
    <m/>
    <m/>
    <m/>
    <m/>
    <m/>
    <m/>
    <m/>
    <m/>
    <n v="1"/>
    <n v="1"/>
    <m/>
    <m/>
    <m/>
    <n v="0"/>
    <m/>
    <n v="0"/>
    <n v="0"/>
    <n v="0"/>
    <n v="0"/>
    <n v="0"/>
    <n v="0"/>
    <n v="0"/>
    <n v="0"/>
    <n v="18"/>
  </r>
  <r>
    <s v="GT0003"/>
    <x v="2"/>
    <x v="4"/>
    <n v="0"/>
    <s v="Edgar Rodolfo Grisolia"/>
    <n v="30003"/>
    <s v="Edgar Rodolfo Grisolia"/>
    <m/>
    <x v="1"/>
    <m/>
    <m/>
    <m/>
    <x v="2"/>
    <m/>
    <m/>
    <s v=""/>
    <m/>
    <n v="1000"/>
    <n v="1000"/>
    <s v=""/>
    <m/>
    <n v="0.64"/>
    <n v="640"/>
    <n v="640"/>
    <n v="0.36"/>
    <n v="330"/>
    <m/>
    <m/>
    <n v="330"/>
    <n v="0"/>
    <n v="0"/>
    <n v="0"/>
    <n v="0"/>
    <n v="0"/>
    <n v="0"/>
    <n v="0"/>
    <n v="0"/>
    <n v="0"/>
    <n v="0"/>
    <n v="0"/>
    <s v="Elongata"/>
    <m/>
    <n v="0"/>
    <n v="0"/>
    <m/>
    <m/>
    <m/>
    <m/>
    <m/>
    <m/>
    <m/>
    <m/>
    <m/>
    <m/>
    <n v="1"/>
    <n v="1"/>
    <m/>
    <m/>
    <m/>
    <n v="0"/>
    <m/>
    <n v="0"/>
    <n v="0"/>
    <n v="0"/>
    <n v="0"/>
    <n v="0"/>
    <n v="0"/>
    <n v="0"/>
    <n v="0"/>
    <n v="18"/>
  </r>
  <r>
    <s v="GT0004"/>
    <x v="2"/>
    <x v="4"/>
    <n v="0"/>
    <s v="Jorge Guillermo Castillo Mastahinich"/>
    <n v="30004"/>
    <s v="Jorge Guillermo Castillo Mastahinich"/>
    <m/>
    <x v="1"/>
    <m/>
    <m/>
    <m/>
    <x v="2"/>
    <m/>
    <m/>
    <s v=""/>
    <m/>
    <n v="1000"/>
    <n v="1000"/>
    <s v=""/>
    <m/>
    <n v="0.64"/>
    <n v="640"/>
    <n v="640"/>
    <n v="0.36"/>
    <n v="330"/>
    <m/>
    <m/>
    <n v="330"/>
    <n v="0"/>
    <n v="0"/>
    <n v="0"/>
    <n v="0"/>
    <n v="0"/>
    <n v="0"/>
    <n v="0"/>
    <n v="0"/>
    <n v="0"/>
    <n v="0"/>
    <n v="0"/>
    <s v="Elongata"/>
    <m/>
    <n v="0"/>
    <n v="0"/>
    <m/>
    <m/>
    <m/>
    <m/>
    <m/>
    <m/>
    <m/>
    <m/>
    <m/>
    <m/>
    <n v="1"/>
    <n v="1"/>
    <m/>
    <m/>
    <m/>
    <n v="0"/>
    <m/>
    <n v="0"/>
    <n v="0"/>
    <n v="0"/>
    <n v="0"/>
    <n v="0"/>
    <n v="0"/>
    <n v="0"/>
    <n v="0"/>
    <n v="18"/>
  </r>
  <r>
    <s v="GT0008"/>
    <x v="2"/>
    <x v="4"/>
    <n v="0"/>
    <s v="Pablo Antonio Castillo Mastahinich"/>
    <n v="30008"/>
    <s v="Pablo Antonio Castillo Mastahinich"/>
    <m/>
    <x v="1"/>
    <m/>
    <m/>
    <m/>
    <x v="2"/>
    <m/>
    <m/>
    <s v=""/>
    <m/>
    <n v="1000"/>
    <n v="1000"/>
    <s v=""/>
    <m/>
    <n v="0.64"/>
    <n v="640"/>
    <n v="640"/>
    <n v="0.36"/>
    <n v="330"/>
    <m/>
    <m/>
    <n v="330"/>
    <n v="0"/>
    <n v="0"/>
    <n v="0"/>
    <n v="0"/>
    <n v="0"/>
    <n v="0"/>
    <n v="0"/>
    <n v="0"/>
    <n v="0"/>
    <n v="0"/>
    <n v="0"/>
    <s v="Elongata"/>
    <m/>
    <n v="0"/>
    <n v="0"/>
    <m/>
    <m/>
    <m/>
    <m/>
    <m/>
    <m/>
    <m/>
    <m/>
    <m/>
    <m/>
    <n v="1"/>
    <n v="1"/>
    <m/>
    <m/>
    <m/>
    <n v="0"/>
    <m/>
    <n v="0"/>
    <n v="0"/>
    <n v="0"/>
    <n v="0"/>
    <n v="0"/>
    <n v="0"/>
    <n v="0"/>
    <n v="0"/>
    <n v="18"/>
  </r>
  <r>
    <s v="GT0011"/>
    <x v="2"/>
    <x v="4"/>
    <n v="2028"/>
    <s v="Erick Cienfuegos "/>
    <n v="30011"/>
    <s v="Rudy Israel Cienfuegos Cordón"/>
    <s v="+(502) 50010308"/>
    <x v="0"/>
    <s v="rudy-cem@hotmail.com"/>
    <s v="5ª CALLE B 2-01, ZONA 3, COLONIA LOS ANGELES, MUNICIPIO DE CHIQUIMULA, DEPARTAMENTO DE CHIQUIMULA"/>
    <s v="MUNICIPIO DE LA UNIÓN, DEPARTAMENTO DE ZACAPA"/>
    <x v="2"/>
    <s v="14.949444, -89.331667"/>
    <n v="2.2999999999999998"/>
    <s v=""/>
    <m/>
    <n v="1000"/>
    <n v="1000"/>
    <s v=""/>
    <m/>
    <n v="0.64"/>
    <n v="640"/>
    <n v="640"/>
    <n v="0.36"/>
    <n v="330"/>
    <m/>
    <m/>
    <n v="330"/>
    <n v="0.18409090909090908"/>
    <n v="184.09090909090909"/>
    <n v="0"/>
    <m/>
    <n v="0.18409090909090908"/>
    <n v="0.18"/>
    <n v="184.09090909090909"/>
    <n v="117.81818181818183"/>
    <n v="66.272727272727266"/>
    <n v="0"/>
    <n v="66.272727272727266"/>
    <s v="Elongata"/>
    <m/>
    <n v="0"/>
    <n v="0"/>
    <m/>
    <m/>
    <m/>
    <m/>
    <m/>
    <m/>
    <m/>
    <m/>
    <m/>
    <m/>
    <n v="1"/>
    <n v="1"/>
    <m/>
    <m/>
    <m/>
    <n v="0"/>
    <m/>
    <n v="0"/>
    <n v="0"/>
    <n v="0"/>
    <n v="0"/>
    <n v="0"/>
    <n v="0"/>
    <n v="36081.818181818184"/>
    <n v="36081.818181818184"/>
    <n v="8.8713652045342532E-3"/>
  </r>
  <r>
    <s v="MX0001"/>
    <x v="2"/>
    <x v="4"/>
    <n v="0"/>
    <s v="Jose Angel Hurtado Márquez"/>
    <n v="40001"/>
    <s v="Jose Angel Hurtado Márquez"/>
    <m/>
    <x v="1"/>
    <m/>
    <m/>
    <m/>
    <x v="3"/>
    <m/>
    <m/>
    <s v=""/>
    <m/>
    <n v="5000"/>
    <n v="5000"/>
    <s v=""/>
    <m/>
    <n v="0.64"/>
    <n v="3200"/>
    <n v="3200"/>
    <n v="0.36"/>
    <n v="1650"/>
    <m/>
    <m/>
    <n v="1650"/>
    <n v="0"/>
    <n v="0"/>
    <n v="0"/>
    <n v="0"/>
    <n v="0"/>
    <n v="0"/>
    <n v="0"/>
    <n v="0"/>
    <n v="0"/>
    <n v="0"/>
    <n v="0"/>
    <m/>
    <m/>
    <n v="0"/>
    <n v="0"/>
    <m/>
    <m/>
    <m/>
    <m/>
    <m/>
    <m/>
    <m/>
    <m/>
    <m/>
    <m/>
    <n v="1"/>
    <n v="1"/>
    <m/>
    <m/>
    <m/>
    <n v="0"/>
    <m/>
    <n v="0"/>
    <n v="0"/>
    <n v="0"/>
    <n v="0"/>
    <n v="0"/>
    <n v="0"/>
    <n v="0"/>
    <n v="0"/>
    <n v="18"/>
  </r>
  <r>
    <s v="MX0002"/>
    <x v="2"/>
    <x v="4"/>
    <n v="0"/>
    <s v="José Francisco Sánchez Rojas"/>
    <n v="40002"/>
    <s v="José Francisco Sánchez Rojas"/>
    <m/>
    <x v="1"/>
    <m/>
    <m/>
    <m/>
    <x v="3"/>
    <m/>
    <m/>
    <s v=""/>
    <m/>
    <n v="2000"/>
    <n v="2000"/>
    <s v=""/>
    <m/>
    <n v="0.64"/>
    <n v="1280"/>
    <n v="1280"/>
    <n v="0.36"/>
    <n v="660"/>
    <m/>
    <m/>
    <n v="660"/>
    <n v="0"/>
    <n v="0"/>
    <n v="0"/>
    <n v="0"/>
    <n v="0"/>
    <n v="0"/>
    <n v="0"/>
    <n v="0"/>
    <n v="0"/>
    <n v="0"/>
    <n v="0"/>
    <m/>
    <m/>
    <n v="0"/>
    <n v="0"/>
    <m/>
    <m/>
    <m/>
    <m/>
    <m/>
    <m/>
    <m/>
    <m/>
    <m/>
    <m/>
    <n v="1"/>
    <n v="1"/>
    <m/>
    <m/>
    <m/>
    <n v="0"/>
    <m/>
    <n v="0"/>
    <n v="0"/>
    <n v="0"/>
    <n v="0"/>
    <n v="0"/>
    <n v="0"/>
    <n v="0"/>
    <n v="0"/>
    <n v="18"/>
  </r>
  <r>
    <s v="US0033"/>
    <x v="2"/>
    <x v="4"/>
    <n v="0"/>
    <s v="Alfie Kelly"/>
    <n v="10029"/>
    <s v="Alfie Kelly"/>
    <m/>
    <x v="1"/>
    <m/>
    <m/>
    <m/>
    <x v="0"/>
    <m/>
    <m/>
    <s v=""/>
    <m/>
    <n v="4400"/>
    <n v="4400"/>
    <s v=""/>
    <m/>
    <n v="0.64"/>
    <n v="2816"/>
    <n v="2816"/>
    <n v="0.36"/>
    <n v="1452"/>
    <m/>
    <m/>
    <n v="1452"/>
    <n v="0"/>
    <n v="0"/>
    <n v="0"/>
    <n v="0"/>
    <n v="0"/>
    <n v="0"/>
    <n v="0"/>
    <n v="0"/>
    <n v="0"/>
    <n v="0"/>
    <n v="0"/>
    <s v="Fortunei"/>
    <m/>
    <n v="0.5"/>
    <n v="2200"/>
    <m/>
    <m/>
    <m/>
    <m/>
    <m/>
    <n v="2200"/>
    <m/>
    <m/>
    <m/>
    <m/>
    <n v="1"/>
    <m/>
    <m/>
    <m/>
    <m/>
    <n v="0"/>
    <m/>
    <n v="0"/>
    <n v="0"/>
    <n v="0"/>
    <n v="0"/>
    <n v="0"/>
    <n v="0"/>
    <n v="0"/>
    <n v="0"/>
    <n v="18"/>
  </r>
  <r>
    <s v="US0036"/>
    <x v="2"/>
    <x v="4"/>
    <n v="0"/>
    <s v="Billy Whittaker"/>
    <n v="10030"/>
    <s v="Two Rivers Timbers LLC"/>
    <s v="229-243-3487, 229 400 2304"/>
    <x v="1"/>
    <s v="whihm@aol.com"/>
    <s v="7701 Reynolds Landing Rd Donalsonville GA 39845-6928"/>
    <s v="7701 Reynolds Landing Rd Donalsonville GA 39845-6928"/>
    <x v="0"/>
    <m/>
    <m/>
    <s v=""/>
    <m/>
    <n v="1300"/>
    <n v="1300"/>
    <s v=""/>
    <m/>
    <n v="0.64"/>
    <n v="832"/>
    <n v="832"/>
    <n v="0.36"/>
    <n v="429"/>
    <m/>
    <m/>
    <n v="429"/>
    <n v="0"/>
    <n v="0"/>
    <n v="0"/>
    <n v="0"/>
    <n v="0"/>
    <n v="0"/>
    <n v="0"/>
    <n v="0"/>
    <n v="0"/>
    <n v="0"/>
    <n v="0"/>
    <s v="Fortunei"/>
    <s v="11, 12, 14"/>
    <n v="0"/>
    <n v="0"/>
    <m/>
    <m/>
    <m/>
    <m/>
    <m/>
    <m/>
    <m/>
    <m/>
    <m/>
    <m/>
    <n v="1"/>
    <n v="1"/>
    <m/>
    <m/>
    <m/>
    <n v="0"/>
    <m/>
    <n v="0"/>
    <n v="0"/>
    <n v="0"/>
    <n v="0"/>
    <n v="0"/>
    <n v="0"/>
    <n v="0"/>
    <n v="0"/>
    <n v="18"/>
  </r>
  <r>
    <s v="US0044"/>
    <x v="2"/>
    <x v="4"/>
    <n v="0"/>
    <s v="Jimmy Aplin"/>
    <n v="10037"/>
    <s v="Jimmy Aplin"/>
    <m/>
    <x v="1"/>
    <m/>
    <m/>
    <m/>
    <x v="0"/>
    <m/>
    <m/>
    <s v=""/>
    <m/>
    <n v="1100"/>
    <n v="1100"/>
    <s v=""/>
    <m/>
    <n v="0.64"/>
    <n v="704"/>
    <n v="704"/>
    <n v="0.36"/>
    <n v="363"/>
    <m/>
    <m/>
    <n v="363"/>
    <n v="0"/>
    <n v="0"/>
    <n v="0"/>
    <n v="0"/>
    <n v="0"/>
    <n v="0"/>
    <n v="0"/>
    <n v="0"/>
    <n v="0"/>
    <n v="0"/>
    <n v="0"/>
    <s v="Fortunei"/>
    <m/>
    <n v="1"/>
    <n v="1100"/>
    <m/>
    <m/>
    <m/>
    <m/>
    <m/>
    <n v="1100"/>
    <m/>
    <m/>
    <m/>
    <m/>
    <n v="1"/>
    <m/>
    <m/>
    <m/>
    <m/>
    <n v="0"/>
    <m/>
    <n v="0"/>
    <n v="0"/>
    <n v="0"/>
    <n v="0"/>
    <n v="0"/>
    <n v="0"/>
    <n v="0"/>
    <n v="0"/>
    <n v="18"/>
  </r>
  <r>
    <s v="US0046"/>
    <x v="2"/>
    <x v="4"/>
    <n v="0"/>
    <s v="Ricky and Darcy Dollar"/>
    <n v="10039"/>
    <s v="Ricky and/or Darcy Dollar"/>
    <s v="479-216-3092"/>
    <x v="1"/>
    <s v="rickytodddollar@gmail.com, darcydollar@yahoo.com"/>
    <s v="211 Polk Rd 193, Mena, AR 71953-8196, USA"/>
    <s v="211 Polk Rd 193, Mena, AR 71953-8196, USA"/>
    <x v="0"/>
    <s v="34.606751, -94.057801"/>
    <n v="11.3"/>
    <s v=""/>
    <m/>
    <n v="1100"/>
    <n v="1100"/>
    <s v=""/>
    <m/>
    <n v="0.64"/>
    <n v="704"/>
    <n v="704"/>
    <n v="0.36"/>
    <n v="363"/>
    <m/>
    <m/>
    <n v="363"/>
    <n v="0.43659090909090909"/>
    <n v="480.24999989999998"/>
    <n v="0"/>
    <n v="0"/>
    <n v="0"/>
    <n v="0"/>
    <n v="0"/>
    <n v="0"/>
    <n v="0"/>
    <n v="0"/>
    <n v="0"/>
    <s v="Fortunei"/>
    <s v="2, 11, 14"/>
    <n v="1.1127272727272728"/>
    <n v="1224"/>
    <m/>
    <m/>
    <m/>
    <m/>
    <n v="604"/>
    <n v="425"/>
    <n v="195"/>
    <m/>
    <m/>
    <m/>
    <n v="1"/>
    <n v="1"/>
    <m/>
    <m/>
    <m/>
    <n v="0"/>
    <m/>
    <n v="0"/>
    <n v="0"/>
    <n v="0"/>
    <n v="0"/>
    <n v="0"/>
    <n v="0"/>
    <n v="0"/>
    <n v="0"/>
    <n v="18"/>
  </r>
  <r>
    <s v="US0048"/>
    <x v="2"/>
    <x v="4"/>
    <n v="0"/>
    <s v="Shawn Harrison"/>
    <n v="10041"/>
    <s v="Shawn Harrison"/>
    <m/>
    <x v="1"/>
    <m/>
    <m/>
    <m/>
    <x v="0"/>
    <m/>
    <m/>
    <s v=""/>
    <m/>
    <n v="1100"/>
    <n v="1100"/>
    <s v=""/>
    <m/>
    <n v="0.64"/>
    <n v="704"/>
    <n v="704"/>
    <n v="0.36"/>
    <n v="363"/>
    <m/>
    <m/>
    <n v="363"/>
    <n v="0"/>
    <n v="0"/>
    <n v="0"/>
    <n v="0"/>
    <n v="0"/>
    <n v="0"/>
    <n v="0"/>
    <n v="0"/>
    <n v="0"/>
    <n v="0"/>
    <n v="0"/>
    <s v="Fortunei"/>
    <m/>
    <n v="5.8181818181818182E-2"/>
    <n v="64"/>
    <m/>
    <m/>
    <m/>
    <m/>
    <m/>
    <m/>
    <n v="64"/>
    <m/>
    <m/>
    <m/>
    <n v="1"/>
    <m/>
    <m/>
    <m/>
    <m/>
    <n v="0"/>
    <m/>
    <n v="0"/>
    <n v="0"/>
    <n v="0"/>
    <n v="0"/>
    <n v="0"/>
    <n v="0"/>
    <n v="0"/>
    <n v="0"/>
    <n v="18"/>
  </r>
  <r>
    <s v="US0050"/>
    <x v="2"/>
    <x v="4"/>
    <n v="2028"/>
    <s v="Teddy Meeks"/>
    <n v="10043"/>
    <s v="Teddy Meeks"/>
    <s v="770-468-1878"/>
    <x v="0"/>
    <s v="Wilddaisyfarm109@gmail.com"/>
    <s v="1506 GA Highway 109, Molena GA 30258-3234"/>
    <s v="20 Spring Rd, Molena, GA 30258, USA"/>
    <x v="0"/>
    <m/>
    <m/>
    <s v=""/>
    <m/>
    <n v="1100"/>
    <n v="1100"/>
    <s v=""/>
    <m/>
    <n v="0.64"/>
    <n v="704"/>
    <n v="704"/>
    <n v="0.36"/>
    <n v="396"/>
    <m/>
    <m/>
    <n v="396"/>
    <n v="0"/>
    <n v="0"/>
    <n v="0"/>
    <m/>
    <n v="0"/>
    <n v="0"/>
    <n v="0"/>
    <n v="0"/>
    <n v="0"/>
    <n v="0"/>
    <n v="0"/>
    <s v="Fortunei"/>
    <s v="12, 13, 14"/>
    <n v="0.80181818181818176"/>
    <n v="882"/>
    <m/>
    <m/>
    <m/>
    <m/>
    <m/>
    <n v="800"/>
    <n v="82"/>
    <m/>
    <m/>
    <m/>
    <n v="1"/>
    <n v="1"/>
    <m/>
    <m/>
    <m/>
    <n v="0"/>
    <m/>
    <n v="0"/>
    <n v="0"/>
    <n v="0"/>
    <n v="0"/>
    <n v="0"/>
    <n v="0"/>
    <n v="0"/>
    <n v="0"/>
    <n v="8.8713652045342532E-3"/>
  </r>
  <r>
    <s v="GT0005"/>
    <x v="2"/>
    <x v="4"/>
    <n v="0"/>
    <s v="Jose Antonio Mombiela Mastahinich"/>
    <n v="30005"/>
    <s v="Jose Antonio Mombiela Mastahinich"/>
    <m/>
    <x v="1"/>
    <m/>
    <m/>
    <m/>
    <x v="2"/>
    <m/>
    <m/>
    <s v=""/>
    <m/>
    <n v="1056"/>
    <n v="1056"/>
    <s v=""/>
    <m/>
    <n v="0.64015151515151503"/>
    <n v="675.99999999999989"/>
    <n v="675.99999999999989"/>
    <n v="0.35984848484848497"/>
    <n v="348.48"/>
    <m/>
    <m/>
    <n v="348.48"/>
    <n v="0"/>
    <n v="0"/>
    <n v="0"/>
    <n v="0"/>
    <n v="0"/>
    <n v="0"/>
    <n v="0"/>
    <n v="0"/>
    <n v="0"/>
    <n v="0"/>
    <n v="0"/>
    <s v="Elongata"/>
    <m/>
    <n v="0"/>
    <n v="0"/>
    <m/>
    <m/>
    <m/>
    <m/>
    <m/>
    <m/>
    <m/>
    <m/>
    <m/>
    <m/>
    <n v="1"/>
    <n v="1"/>
    <m/>
    <m/>
    <m/>
    <n v="0"/>
    <m/>
    <n v="0"/>
    <n v="0"/>
    <n v="0"/>
    <n v="0"/>
    <n v="0"/>
    <n v="0"/>
    <n v="0"/>
    <n v="0"/>
    <n v="18"/>
  </r>
  <r>
    <s v="GT0010"/>
    <x v="2"/>
    <x v="4"/>
    <n v="0"/>
    <s v="Pedro Maximiliano Mombiela De Leon"/>
    <n v="30010"/>
    <s v="Pedro Maximiliano Mombiela De Leon"/>
    <m/>
    <x v="1"/>
    <m/>
    <m/>
    <m/>
    <x v="2"/>
    <m/>
    <m/>
    <s v=""/>
    <m/>
    <n v="1000"/>
    <n v="0"/>
    <n v="1000"/>
    <m/>
    <n v="1"/>
    <n v="1000"/>
    <m/>
    <m/>
    <m/>
    <m/>
    <m/>
    <n v="0"/>
    <n v="0"/>
    <n v="0"/>
    <n v="0"/>
    <n v="0"/>
    <n v="0"/>
    <n v="0"/>
    <n v="0"/>
    <n v="0"/>
    <n v="0"/>
    <n v="0"/>
    <n v="0"/>
    <s v="Elongata"/>
    <m/>
    <n v="0"/>
    <n v="0"/>
    <m/>
    <m/>
    <m/>
    <m/>
    <m/>
    <m/>
    <m/>
    <m/>
    <m/>
    <m/>
    <n v="0"/>
    <m/>
    <m/>
    <m/>
    <m/>
    <n v="0"/>
    <m/>
    <n v="0"/>
    <n v="0"/>
    <n v="0"/>
    <n v="0"/>
    <n v="0"/>
    <n v="0"/>
    <n v="0"/>
    <n v="0"/>
    <n v="18"/>
  </r>
  <r>
    <s v="MX0018"/>
    <x v="2"/>
    <x v="5"/>
    <n v="2029"/>
    <s v="Omar Ulises Guerrero Aboytes"/>
    <n v="40017"/>
    <s v="Omar Ulises Guerrero Aboytes"/>
    <s v="412-121-3850"/>
    <x v="0"/>
    <s v="u.gro.abts@gmail.com"/>
    <s v="Benito Juarez #23. Comunidad Neutla, Como nfort, Guanajuato, CP 38220, Mexico"/>
    <s v="El Capulin, Neutla, Comonfort, Guanajuato. CP 38220, Mexico"/>
    <x v="3"/>
    <s v="20.715003, -100.847181"/>
    <n v="2"/>
    <s v=""/>
    <m/>
    <n v="1000"/>
    <n v="1000"/>
    <s v=""/>
    <m/>
    <n v="0.64"/>
    <n v="640"/>
    <n v="640"/>
    <n v="0.36"/>
    <n v="330"/>
    <m/>
    <m/>
    <n v="330"/>
    <n v="0.34"/>
    <n v="340"/>
    <n v="0"/>
    <m/>
    <n v="0.34"/>
    <n v="0.34"/>
    <n v="340"/>
    <n v="217.6"/>
    <n v="122.39999999999999"/>
    <n v="0"/>
    <n v="122.39999999999999"/>
    <m/>
    <m/>
    <n v="0"/>
    <n v="0"/>
    <m/>
    <m/>
    <m/>
    <m/>
    <m/>
    <m/>
    <m/>
    <m/>
    <m/>
    <m/>
    <n v="1"/>
    <n v="1"/>
    <m/>
    <m/>
    <m/>
    <n v="0"/>
    <m/>
    <n v="0"/>
    <n v="0"/>
    <n v="0"/>
    <n v="0"/>
    <n v="0"/>
    <n v="0"/>
    <n v="66640"/>
    <n v="66640"/>
    <n v="8.8669950738916262E-3"/>
  </r>
  <r>
    <s v="MX0019"/>
    <x v="2"/>
    <x v="5"/>
    <n v="2029"/>
    <s v="Rogelio Rizo Velázquez"/>
    <n v="40018"/>
    <s v="Rogelio Rizo Velázquez"/>
    <s v="4773863295"/>
    <x v="0"/>
    <s v="carisrs@hotmail.com"/>
    <s v="Fraccionamiento Villas del Vergel, Comunidad de Jesus del Monte, San Francisco del Rincon, Guanajuato 36460, Mexico"/>
    <s v="San Diego N° 115. Col. Puerta San Rafael. Leon. Guanajuato. Mexico"/>
    <x v="3"/>
    <s v="20.926944, -101.754167"/>
    <n v="28.3"/>
    <s v=""/>
    <m/>
    <n v="9200"/>
    <n v="9200"/>
    <s v=""/>
    <m/>
    <n v="0.64"/>
    <n v="5888"/>
    <n v="5888"/>
    <n v="0.36"/>
    <n v="3036"/>
    <m/>
    <m/>
    <n v="3036"/>
    <n v="0.85"/>
    <n v="7820"/>
    <n v="0"/>
    <m/>
    <n v="0.85"/>
    <n v="0.85"/>
    <n v="7820"/>
    <n v="5004.8"/>
    <n v="2815.2"/>
    <n v="0"/>
    <n v="2815.2"/>
    <m/>
    <m/>
    <n v="0.14130434782608695"/>
    <n v="1300"/>
    <m/>
    <m/>
    <m/>
    <m/>
    <n v="1300"/>
    <m/>
    <m/>
    <m/>
    <m/>
    <m/>
    <n v="1"/>
    <n v="1"/>
    <m/>
    <m/>
    <m/>
    <n v="0"/>
    <m/>
    <n v="0"/>
    <n v="0"/>
    <n v="0"/>
    <n v="0"/>
    <n v="0"/>
    <n v="0"/>
    <n v="1532720"/>
    <n v="1532720"/>
    <n v="8.8669950738916262E-3"/>
  </r>
  <r>
    <s v="US0043"/>
    <x v="2"/>
    <x v="4"/>
    <n v="2028"/>
    <s v="Jason Humphries"/>
    <n v="10036"/>
    <s v="Jason Humphries"/>
    <s v="(205) 369-9295, (205) 915-1310"/>
    <x v="2"/>
    <s v="13biscuit@gmail.com, ahumphries0731@gmail.com, 4hplantation@gmail.com"/>
    <s v="1457 Ballantrae Club Dr. Pelham AL 35124-6255"/>
    <s v="897 Berry Road, Valley Grande, AL, USA"/>
    <x v="0"/>
    <s v="32.493119, -87.035615"/>
    <n v="30.9"/>
    <n v="28.818181818181817"/>
    <s v="Y"/>
    <n v="3170"/>
    <n v="3170"/>
    <s v=""/>
    <m/>
    <n v="0.64006309148264984"/>
    <n v="2029"/>
    <n v="2029"/>
    <n v="0.35993690851735016"/>
    <n v="1141.2"/>
    <m/>
    <m/>
    <n v="1141.2"/>
    <n v="0.97915080314732228"/>
    <n v="3103.9080459770116"/>
    <n v="0"/>
    <m/>
    <n v="0.97915080314732228"/>
    <n v="0.97915080314732228"/>
    <n v="3103.9080459770116"/>
    <n v="1986.6969795859168"/>
    <n v="1117.2110663910948"/>
    <n v="0"/>
    <n v="1117.2110663910948"/>
    <s v="Fortunei"/>
    <s v="13"/>
    <n v="7.8864353312302835E-2"/>
    <n v="250"/>
    <m/>
    <m/>
    <m/>
    <m/>
    <m/>
    <n v="250"/>
    <m/>
    <m/>
    <m/>
    <m/>
    <n v="1"/>
    <n v="1"/>
    <m/>
    <m/>
    <m/>
    <n v="0"/>
    <m/>
    <n v="0"/>
    <n v="0"/>
    <n v="0"/>
    <n v="0"/>
    <n v="0"/>
    <n v="0"/>
    <n v="608365.97701149422"/>
    <n v="608365.97701149422"/>
    <n v="8.8713652045342532E-3"/>
  </r>
  <r>
    <s v="MX0004"/>
    <x v="2"/>
    <x v="5"/>
    <n v="0"/>
    <s v="Felipe Ramirez Flores"/>
    <n v="40004"/>
    <s v="Aniceto Ramírez Flores and  Gilberto Hernandez Ayala"/>
    <m/>
    <x v="1"/>
    <m/>
    <m/>
    <m/>
    <x v="3"/>
    <m/>
    <m/>
    <s v=""/>
    <m/>
    <n v="5500"/>
    <n v="5500"/>
    <s v=""/>
    <m/>
    <n v="0.64"/>
    <n v="3520"/>
    <n v="3520"/>
    <n v="0.36"/>
    <n v="1815"/>
    <m/>
    <m/>
    <n v="1815"/>
    <n v="0"/>
    <n v="0"/>
    <n v="0"/>
    <n v="0"/>
    <n v="0"/>
    <n v="0"/>
    <n v="0"/>
    <n v="0"/>
    <n v="0"/>
    <n v="0"/>
    <n v="0"/>
    <m/>
    <m/>
    <n v="0.72727272727272729"/>
    <n v="4000"/>
    <m/>
    <m/>
    <m/>
    <m/>
    <n v="4000"/>
    <m/>
    <m/>
    <m/>
    <m/>
    <m/>
    <n v="1"/>
    <n v="1"/>
    <m/>
    <m/>
    <m/>
    <n v="0"/>
    <m/>
    <n v="0"/>
    <n v="0"/>
    <n v="0"/>
    <n v="0"/>
    <n v="0"/>
    <n v="0"/>
    <n v="0"/>
    <n v="0"/>
    <n v="18"/>
  </r>
  <r>
    <s v="US0040"/>
    <x v="2"/>
    <x v="4"/>
    <n v="2028"/>
    <s v="David Peterson"/>
    <n v="10034"/>
    <s v="David Peterson"/>
    <s v="334-651-3521"/>
    <x v="2"/>
    <s v="davpete82@yahoo.com"/>
    <n v="0"/>
    <s v="1028 Old Georgia Plank Road, Wetumpka, AL 36092-5962, USA"/>
    <x v="0"/>
    <s v="32.570194, -86.139344"/>
    <n v="10.9"/>
    <n v="12"/>
    <s v="Y"/>
    <n v="1320"/>
    <n v="1320"/>
    <s v=""/>
    <m/>
    <n v="0.64015151515151514"/>
    <n v="845"/>
    <n v="845"/>
    <n v="0.35984848484848486"/>
    <n v="475.2"/>
    <m/>
    <m/>
    <n v="475.2"/>
    <n v="0.93502418363529483"/>
    <n v="1234.2319223985892"/>
    <n v="0"/>
    <m/>
    <n v="0.93502418363529483"/>
    <n v="0.93502418363529483"/>
    <n v="1234.2319223985892"/>
    <n v="790.09543517182408"/>
    <n v="444.13648722676504"/>
    <n v="0"/>
    <n v="444.13648722676504"/>
    <s v="Fortunei"/>
    <s v="14"/>
    <n v="0"/>
    <n v="0"/>
    <m/>
    <m/>
    <m/>
    <m/>
    <m/>
    <m/>
    <m/>
    <m/>
    <m/>
    <m/>
    <n v="1"/>
    <n v="1"/>
    <m/>
    <m/>
    <m/>
    <n v="0"/>
    <m/>
    <n v="0"/>
    <n v="0"/>
    <n v="0"/>
    <n v="0"/>
    <n v="0"/>
    <n v="0"/>
    <n v="241909.45679012348"/>
    <n v="241909.45679012348"/>
    <n v="8.8713652045342532E-3"/>
  </r>
  <r>
    <s v="US0042"/>
    <x v="3"/>
    <x v="4"/>
    <n v="2028"/>
    <s v="Grover Plunkett"/>
    <n v="10021"/>
    <s v="Southern Innovative Investments LLC"/>
    <s v="334-462-4962, 334-324-6696, 334-322-7480 (Cody Bell Farm manager"/>
    <x v="2"/>
    <s v="gplunkett@faulkner.edu, rebecca.plunkett2@gmail.com"/>
    <s v="6464 Halcyon Dr  Montgomery  AL  36117-3416"/>
    <s v="5129 New Harmony Rd, Arab, AL 35016, USA"/>
    <x v="0"/>
    <s v="34.241776, -86.527479 (see Land Info file)"/>
    <n v="129.5"/>
    <n v="142"/>
    <m/>
    <n v="15620"/>
    <n v="15620"/>
    <s v=""/>
    <m/>
    <m/>
    <m/>
    <m/>
    <m/>
    <m/>
    <n v="1"/>
    <n v="15620"/>
    <n v="15620"/>
    <n v="0.4152352481607674"/>
    <n v="6485.9745762711864"/>
    <n v="0"/>
    <m/>
    <n v="0.4152352481607674"/>
    <n v="0.4152352481607674"/>
    <n v="6485.9745762711864"/>
    <n v="0"/>
    <n v="0"/>
    <n v="6485.9745762711864"/>
    <n v="6485.9745762711864"/>
    <s v="Fortunei"/>
    <s v="11, 12, 14, 18"/>
    <n v="0"/>
    <n v="0"/>
    <m/>
    <m/>
    <m/>
    <m/>
    <m/>
    <m/>
    <m/>
    <m/>
    <m/>
    <m/>
    <n v="1"/>
    <m/>
    <m/>
    <m/>
    <m/>
    <n v="0"/>
    <m/>
    <n v="0"/>
    <n v="0"/>
    <n v="0"/>
    <n v="0"/>
    <n v="0"/>
    <n v="0"/>
    <n v="1271251.0169491526"/>
    <n v="1271251.0169491526"/>
    <n v="8.8713652045342532E-3"/>
  </r>
  <r>
    <s v="MX0016"/>
    <x v="2"/>
    <x v="5"/>
    <n v="0"/>
    <s v="Miguel Angel Parada Fuentes"/>
    <n v="40015"/>
    <s v="Miguel Angel Parada Fuentes"/>
    <m/>
    <x v="1"/>
    <m/>
    <m/>
    <m/>
    <x v="3"/>
    <m/>
    <m/>
    <s v=""/>
    <m/>
    <n v="2200"/>
    <n v="2200"/>
    <s v=""/>
    <m/>
    <n v="0.64"/>
    <n v="1408"/>
    <n v="1408"/>
    <n v="0.36"/>
    <n v="726"/>
    <m/>
    <m/>
    <n v="726"/>
    <n v="0"/>
    <n v="0"/>
    <n v="0"/>
    <n v="0"/>
    <n v="0"/>
    <n v="0"/>
    <n v="0"/>
    <n v="0"/>
    <n v="0"/>
    <n v="0"/>
    <n v="0"/>
    <m/>
    <m/>
    <n v="0"/>
    <n v="0"/>
    <m/>
    <m/>
    <m/>
    <m/>
    <m/>
    <m/>
    <m/>
    <m/>
    <m/>
    <m/>
    <n v="1"/>
    <n v="1"/>
    <m/>
    <m/>
    <m/>
    <n v="0"/>
    <m/>
    <n v="0"/>
    <n v="0"/>
    <n v="0"/>
    <n v="0"/>
    <n v="0"/>
    <n v="0"/>
    <n v="0"/>
    <n v="0"/>
    <n v="18"/>
  </r>
  <r>
    <s v="CR0036"/>
    <x v="4"/>
    <x v="5"/>
    <n v="2029"/>
    <s v="Alexander Abarca Ortega"/>
    <n v="20032"/>
    <s v="El Edén de los Abarca S.A"/>
    <s v="8694-3131"/>
    <x v="0"/>
    <s v="03abarca@gmail.com, adavidabarca@gmail.com"/>
    <s v="Limón Pocosí Guápiles, de la iglesia católica de Toro Amarillo 200m norte y 75 este"/>
    <s v="DISTRITO 2- BATAN CANTON 5-MATINA DE LA PROVINCIA DE LIMON, Costa Rica,"/>
    <x v="1"/>
    <s v="10.061023, -83.390802"/>
    <m/>
    <s v=""/>
    <m/>
    <n v="5200"/>
    <n v="5200"/>
    <s v=""/>
    <m/>
    <n v="1"/>
    <n v="5200"/>
    <n v="5200"/>
    <m/>
    <m/>
    <m/>
    <m/>
    <n v="0"/>
    <n v="0.82499999999999996"/>
    <n v="4290"/>
    <n v="0"/>
    <m/>
    <n v="0.82499999999999996"/>
    <n v="0.83"/>
    <n v="4290"/>
    <n v="4290"/>
    <n v="0"/>
    <n v="0"/>
    <n v="0"/>
    <s v="P.elongata"/>
    <m/>
    <n v="0"/>
    <n v="0"/>
    <m/>
    <m/>
    <m/>
    <m/>
    <m/>
    <m/>
    <m/>
    <m/>
    <m/>
    <m/>
    <n v="1"/>
    <n v="1"/>
    <m/>
    <m/>
    <m/>
    <n v="0"/>
    <m/>
    <n v="0"/>
    <n v="0"/>
    <n v="0"/>
    <n v="0"/>
    <n v="0"/>
    <n v="0"/>
    <n v="840840"/>
    <n v="840840"/>
    <n v="8.8669950738916262E-3"/>
  </r>
  <r>
    <s v="CR0038"/>
    <x v="4"/>
    <x v="5"/>
    <n v="0"/>
    <s v="Anastacio Castillo"/>
    <n v="20034"/>
    <s v="Anastacio Castillo"/>
    <m/>
    <x v="1"/>
    <m/>
    <m/>
    <m/>
    <x v="1"/>
    <m/>
    <m/>
    <s v=""/>
    <m/>
    <n v="1200"/>
    <n v="1200"/>
    <s v=""/>
    <m/>
    <n v="1"/>
    <n v="1200"/>
    <n v="1200"/>
    <m/>
    <m/>
    <m/>
    <m/>
    <n v="0"/>
    <n v="0"/>
    <n v="0"/>
    <n v="0"/>
    <n v="0"/>
    <n v="0"/>
    <n v="0"/>
    <n v="0"/>
    <n v="0"/>
    <n v="0"/>
    <n v="0"/>
    <n v="0"/>
    <s v="P.elongata"/>
    <m/>
    <n v="0"/>
    <n v="0"/>
    <m/>
    <m/>
    <m/>
    <m/>
    <m/>
    <n v="0"/>
    <m/>
    <m/>
    <m/>
    <m/>
    <n v="1"/>
    <n v="1"/>
    <m/>
    <m/>
    <m/>
    <n v="0"/>
    <m/>
    <n v="0"/>
    <n v="0"/>
    <n v="0"/>
    <n v="0"/>
    <n v="0"/>
    <n v="0"/>
    <n v="0"/>
    <n v="0"/>
    <n v="18"/>
  </r>
  <r>
    <s v="CR0039"/>
    <x v="4"/>
    <x v="5"/>
    <n v="2029"/>
    <s v="Mauricio Alvarado"/>
    <n v="20035"/>
    <s v="Ania Monge Chavarria "/>
    <s v="8449-5753, 506 8443 5753"/>
    <x v="0"/>
    <s v="agus1092@hotmail.com"/>
    <s v="San Ignacio de Acosta 1 km al oeste de la iglesia de Chirraca"/>
    <s v="el distrito 3-Palmichal cantón 12-Acosta de la provincia de San José, Costa Rica"/>
    <x v="1"/>
    <s v="9.814743, -84.175211"/>
    <m/>
    <s v=""/>
    <m/>
    <n v="700"/>
    <n v="700"/>
    <s v=""/>
    <m/>
    <n v="1"/>
    <n v="700"/>
    <n v="700"/>
    <m/>
    <m/>
    <m/>
    <m/>
    <n v="0"/>
    <n v="0.82499999999999996"/>
    <n v="577.5"/>
    <n v="369.6"/>
    <n v="0.52800000000000002"/>
    <n v="0.53"/>
    <n v="0.53"/>
    <n v="371"/>
    <n v="371"/>
    <n v="0"/>
    <n v="0"/>
    <n v="0"/>
    <s v="P.elongata"/>
    <m/>
    <n v="0.14285714285714285"/>
    <n v="100"/>
    <m/>
    <m/>
    <m/>
    <m/>
    <n v="100"/>
    <m/>
    <m/>
    <m/>
    <m/>
    <m/>
    <n v="1"/>
    <n v="1"/>
    <n v="2024"/>
    <n v="9.2899999999999991"/>
    <n v="5.35"/>
    <n v="0.33437499999999998"/>
    <n v="1.35"/>
    <n v="7.5000000000000011E-2"/>
    <n v="2.3481484374999999"/>
    <n v="871.16307031249994"/>
    <n v="2.7"/>
    <n v="0.56509374999999984"/>
    <n v="209.64978124999993"/>
    <n v="72716"/>
    <n v="72506.350218749998"/>
    <n v="2.7749999999999999"/>
  </r>
  <r>
    <s v="CR0041"/>
    <x v="4"/>
    <x v="5"/>
    <n v="0"/>
    <s v="Carlos Peña"/>
    <n v="20037"/>
    <s v="Carlos Peña"/>
    <s v="506-6076-0838"/>
    <x v="1"/>
    <s v="carlosdec@gmail.com"/>
    <s v="Rohrmoser, Pavas, costado norte del Colegio Humbolt, 4ta casa a mano izquierda"/>
    <s v="DISTRITO 3-SAN JUAN CANTON 7-ABANGARES DE LA PROVINCIA DE GUANACASTE, Costa Rica"/>
    <x v="1"/>
    <s v="10.2500530, -84.8776320"/>
    <m/>
    <s v=""/>
    <m/>
    <n v="2000"/>
    <n v="2000"/>
    <s v=""/>
    <m/>
    <n v="1"/>
    <n v="2000"/>
    <n v="2000"/>
    <m/>
    <m/>
    <m/>
    <m/>
    <n v="0"/>
    <n v="0"/>
    <n v="0"/>
    <n v="0"/>
    <n v="0"/>
    <n v="0"/>
    <n v="0"/>
    <n v="0"/>
    <n v="0"/>
    <n v="0"/>
    <n v="0"/>
    <n v="0"/>
    <s v="P.elongata"/>
    <m/>
    <n v="0.4"/>
    <n v="800"/>
    <m/>
    <m/>
    <m/>
    <m/>
    <n v="800"/>
    <m/>
    <m/>
    <m/>
    <m/>
    <m/>
    <n v="1"/>
    <n v="1"/>
    <m/>
    <m/>
    <m/>
    <n v="0"/>
    <m/>
    <n v="0"/>
    <n v="0"/>
    <n v="0"/>
    <n v="0"/>
    <n v="0"/>
    <n v="0"/>
    <n v="0"/>
    <n v="0"/>
    <n v="18"/>
  </r>
  <r>
    <s v="CR0043"/>
    <x v="4"/>
    <x v="5"/>
    <n v="0"/>
    <s v="Diego Gerardo Fernandez Barboza"/>
    <n v="20039"/>
    <s v="Diego Gerardo Fernandez Barboza"/>
    <s v="87512200"/>
    <x v="1"/>
    <s v="diegobarboza2062@gmail.com"/>
    <s v="900 m Norte de la escuela los Ceibos en la unión de Guatuso"/>
    <s v="EL DISTRITO 2-BUENA VISTA CANTON 15-GUATUSO DE LA PROVINCIA DE ALAJUELA, Costa Rica"/>
    <x v="1"/>
    <s v="10.7950000, -084.8700000"/>
    <m/>
    <s v=""/>
    <m/>
    <n v="1200"/>
    <n v="1200"/>
    <s v=""/>
    <m/>
    <n v="1"/>
    <n v="1200"/>
    <n v="1200"/>
    <m/>
    <m/>
    <m/>
    <m/>
    <n v="0"/>
    <n v="0"/>
    <n v="0"/>
    <n v="0"/>
    <n v="0"/>
    <n v="0"/>
    <n v="0"/>
    <n v="0"/>
    <n v="0"/>
    <n v="0"/>
    <n v="0"/>
    <n v="0"/>
    <s v="P.elongata"/>
    <m/>
    <n v="0.22"/>
    <n v="264"/>
    <m/>
    <m/>
    <m/>
    <m/>
    <n v="264"/>
    <m/>
    <m/>
    <m/>
    <m/>
    <m/>
    <n v="1"/>
    <n v="1"/>
    <m/>
    <m/>
    <m/>
    <n v="0"/>
    <m/>
    <n v="0"/>
    <n v="0"/>
    <n v="0"/>
    <n v="0"/>
    <n v="0"/>
    <n v="0"/>
    <n v="0"/>
    <n v="0"/>
    <n v="18"/>
  </r>
  <r>
    <s v="CR0045"/>
    <x v="4"/>
    <x v="5"/>
    <n v="2029"/>
    <s v="Donald Diaz Rojas"/>
    <n v="20041"/>
    <s v="Donald Diaz Rojas"/>
    <s v="8899-9775, 5712-2326."/>
    <x v="0"/>
    <s v="donalddr79@gmail.com"/>
    <s v="150m al sur del colegio técnico, San José de San Pablo, Turrubares."/>
    <s v="DISTRITO 5-CUREÑA CANTON 10-SARAPIQUI DE LA PROVINCIA DE HEREDIA, Costa Rica"/>
    <x v="1"/>
    <s v="10.681722, -84.068329"/>
    <m/>
    <s v=""/>
    <m/>
    <n v="4500"/>
    <n v="4500"/>
    <s v=""/>
    <m/>
    <n v="1"/>
    <n v="4500"/>
    <n v="4500"/>
    <m/>
    <m/>
    <m/>
    <m/>
    <n v="0"/>
    <n v="0.83"/>
    <n v="3735"/>
    <n v="0"/>
    <m/>
    <n v="0.83"/>
    <n v="0.83"/>
    <n v="3735"/>
    <n v="3735"/>
    <n v="0"/>
    <n v="0"/>
    <n v="0"/>
    <s v="P.elongata"/>
    <m/>
    <n v="0.1111111111111111"/>
    <n v="500"/>
    <m/>
    <m/>
    <m/>
    <m/>
    <n v="500"/>
    <m/>
    <m/>
    <m/>
    <m/>
    <m/>
    <n v="1"/>
    <n v="1"/>
    <m/>
    <m/>
    <m/>
    <n v="0"/>
    <m/>
    <n v="0"/>
    <n v="0"/>
    <n v="0"/>
    <n v="0"/>
    <n v="0"/>
    <n v="0"/>
    <n v="732060"/>
    <n v="732060"/>
    <n v="8.8669950738916262E-3"/>
  </r>
  <r>
    <s v="CR0048"/>
    <x v="4"/>
    <x v="5"/>
    <n v="0"/>
    <s v="Marijose Apestegui "/>
    <n v="20044"/>
    <s v="El anillo de doña Emilia S.A"/>
    <s v="6345-6387"/>
    <x v="1"/>
    <s v="marijoseapestegui@gmail.com"/>
    <s v="Palmira, Carrillo, Guanacaste. Del Lagar Dolt Center 500m NO. Entrada de piedra a mano izquierda finca Linares"/>
    <s v="el distrito 2-palmira canton 5-carrillo de la provincia de guanacaste, costa rica"/>
    <x v="1"/>
    <s v="10.5613210, -85.5959160"/>
    <m/>
    <s v=""/>
    <m/>
    <n v="3600"/>
    <n v="3600"/>
    <s v=""/>
    <m/>
    <n v="1"/>
    <n v="3600"/>
    <n v="3600"/>
    <m/>
    <m/>
    <m/>
    <m/>
    <n v="0"/>
    <n v="1"/>
    <n v="3600"/>
    <n v="0"/>
    <n v="0"/>
    <n v="0"/>
    <n v="0"/>
    <n v="0"/>
    <n v="0"/>
    <n v="0"/>
    <n v="0"/>
    <n v="0"/>
    <s v="P.elongata"/>
    <m/>
    <n v="0.2697222222222222"/>
    <n v="971"/>
    <m/>
    <m/>
    <m/>
    <n v="971"/>
    <m/>
    <m/>
    <m/>
    <m/>
    <m/>
    <m/>
    <n v="1"/>
    <n v="1"/>
    <n v="2024"/>
    <n v="0"/>
    <n v="0"/>
    <n v="0"/>
    <n v="0"/>
    <n v="0"/>
    <n v="0"/>
    <n v="0"/>
    <n v="0"/>
    <n v="0"/>
    <n v="0"/>
    <n v="0"/>
    <n v="0"/>
    <n v="-8.8976767177459219E-3"/>
  </r>
  <r>
    <s v="CR0050"/>
    <x v="4"/>
    <x v="5"/>
    <n v="0"/>
    <s v="Ismael Chaves "/>
    <n v="20046"/>
    <s v="Ismael Chaves "/>
    <s v="8394-1098"/>
    <x v="1"/>
    <s v="ismaelchaves59@hotmail.com"/>
    <s v="00m sur y  100m oeste del Scotiabank, Liberia, Guanacaste"/>
    <s v="el distrito 6-dos rios canton 13-upala de la provincia de alajuela, Costa rica"/>
    <x v="1"/>
    <s v="10.94816, -85.378762"/>
    <m/>
    <s v=""/>
    <m/>
    <n v="3440"/>
    <n v="3440"/>
    <s v=""/>
    <m/>
    <n v="1"/>
    <n v="3440"/>
    <n v="3440"/>
    <m/>
    <m/>
    <m/>
    <m/>
    <n v="0"/>
    <n v="0.95"/>
    <n v="3268"/>
    <n v="0"/>
    <n v="0"/>
    <n v="0"/>
    <n v="0"/>
    <n v="0"/>
    <n v="0"/>
    <n v="0"/>
    <n v="0"/>
    <n v="0"/>
    <s v="P.elongata"/>
    <m/>
    <n v="1.1627906976744186E-2"/>
    <n v="40"/>
    <m/>
    <m/>
    <m/>
    <m/>
    <n v="40"/>
    <m/>
    <m/>
    <m/>
    <m/>
    <m/>
    <n v="1"/>
    <n v="1"/>
    <m/>
    <m/>
    <m/>
    <n v="0"/>
    <m/>
    <n v="0"/>
    <n v="0"/>
    <n v="0"/>
    <n v="0"/>
    <n v="0"/>
    <n v="0"/>
    <n v="0"/>
    <n v="0"/>
    <n v="18"/>
  </r>
  <r>
    <s v="CR0054"/>
    <x v="4"/>
    <x v="5"/>
    <n v="0"/>
    <s v="Karlos Bolaños"/>
    <n v="20050"/>
    <s v="Karlos Bolaños"/>
    <m/>
    <x v="1"/>
    <m/>
    <m/>
    <m/>
    <x v="1"/>
    <m/>
    <m/>
    <s v=""/>
    <m/>
    <n v="800"/>
    <n v="800"/>
    <s v=""/>
    <m/>
    <n v="1"/>
    <n v="800"/>
    <n v="800"/>
    <m/>
    <m/>
    <m/>
    <m/>
    <n v="0"/>
    <n v="0"/>
    <n v="0"/>
    <n v="0"/>
    <n v="0"/>
    <n v="0"/>
    <n v="0"/>
    <n v="0"/>
    <n v="0"/>
    <n v="0"/>
    <n v="0"/>
    <n v="0"/>
    <s v="P.elongata"/>
    <m/>
    <n v="0"/>
    <n v="0"/>
    <m/>
    <m/>
    <m/>
    <m/>
    <m/>
    <m/>
    <m/>
    <m/>
    <m/>
    <m/>
    <n v="1"/>
    <n v="1"/>
    <m/>
    <m/>
    <m/>
    <n v="0"/>
    <m/>
    <n v="0"/>
    <n v="0"/>
    <n v="0"/>
    <n v="0"/>
    <n v="0"/>
    <n v="0"/>
    <n v="0"/>
    <n v="0"/>
    <n v="18"/>
  </r>
  <r>
    <s v="CR0055"/>
    <x v="4"/>
    <x v="5"/>
    <n v="2029"/>
    <s v="Laura Blanco"/>
    <n v="20051"/>
    <s v="Laura Blanco"/>
    <s v="8642-5654"/>
    <x v="0"/>
    <s v="laublanco29383@gmail.com"/>
    <s v="Pejibaye, Perez Zeledon"/>
    <s v="el distrito 7-pejibaye canton 19-perez zeledon de la provincia de san jose, costa rica"/>
    <x v="1"/>
    <s v="9.154319, -83.550926"/>
    <m/>
    <s v=""/>
    <m/>
    <n v="1000"/>
    <n v="1000"/>
    <s v=""/>
    <m/>
    <n v="1"/>
    <n v="1000"/>
    <n v="1000"/>
    <m/>
    <m/>
    <m/>
    <m/>
    <n v="0"/>
    <n v="0.82499999999999996"/>
    <n v="825"/>
    <n v="454"/>
    <n v="0.45400000000000001"/>
    <n v="0.45"/>
    <n v="0.45"/>
    <n v="450"/>
    <n v="450"/>
    <n v="0"/>
    <n v="0"/>
    <n v="0"/>
    <s v="P.elongata"/>
    <m/>
    <n v="0"/>
    <n v="0"/>
    <m/>
    <m/>
    <m/>
    <m/>
    <m/>
    <m/>
    <m/>
    <m/>
    <m/>
    <m/>
    <n v="1"/>
    <n v="1"/>
    <n v="2024"/>
    <n v="6.67"/>
    <n v="1.89"/>
    <n v="0.11812499999999999"/>
    <n v="1.28"/>
    <n v="7.1111111111111111E-2"/>
    <n v="0.87393599999999982"/>
    <n v="393.27119999999991"/>
    <n v="2.56"/>
    <n v="0.24494399999999997"/>
    <n v="110.22479999999999"/>
    <n v="88200"/>
    <n v="88089.775200000004"/>
    <n v="2.7866666666666666"/>
  </r>
  <r>
    <s v="CR0056"/>
    <x v="4"/>
    <x v="5"/>
    <n v="2029"/>
    <s v="Luis Alonso Salazar Rodriguez"/>
    <n v="20052"/>
    <s v="LKC Arrendamientos S.A"/>
    <s v="8469-6085"/>
    <x v="0"/>
    <s v="asalazar@salazarabogados.net"/>
    <s v="San José Province, San Pablo, Costa Rica"/>
    <s v="el distrito 3- San Juan de Mata, cantón 16-Turrubares de la provincia de San José, Costa Rica"/>
    <x v="1"/>
    <s v="9.813735,-84.521880"/>
    <m/>
    <s v=""/>
    <m/>
    <n v="4000"/>
    <n v="4000"/>
    <s v=""/>
    <m/>
    <n v="1"/>
    <n v="4000"/>
    <n v="4000"/>
    <m/>
    <m/>
    <m/>
    <m/>
    <n v="0"/>
    <n v="0.82499999999999996"/>
    <n v="3300"/>
    <n v="0"/>
    <m/>
    <n v="0.82499999999999996"/>
    <n v="0.83"/>
    <n v="3300"/>
    <n v="3300"/>
    <n v="0"/>
    <n v="0"/>
    <n v="0"/>
    <s v="P.elongata"/>
    <m/>
    <n v="0.21299999999999999"/>
    <n v="852"/>
    <m/>
    <m/>
    <m/>
    <m/>
    <n v="852"/>
    <m/>
    <m/>
    <m/>
    <m/>
    <m/>
    <n v="1"/>
    <n v="1"/>
    <m/>
    <m/>
    <m/>
    <n v="0"/>
    <m/>
    <n v="0"/>
    <n v="0"/>
    <n v="0"/>
    <n v="0"/>
    <n v="0"/>
    <n v="0"/>
    <n v="646800"/>
    <n v="646800"/>
    <n v="8.8669950738916262E-3"/>
  </r>
  <r>
    <s v="CR0057"/>
    <x v="4"/>
    <x v="5"/>
    <n v="2029"/>
    <s v="Marco Fiorio"/>
    <n v="20053"/>
    <s v="Marco Fiorio"/>
    <s v="8770-9822, (506) 8615-4445"/>
    <x v="0"/>
    <s v="marco.f.fiorio@gmail.com"/>
    <s v="1 Km Oeste de la escuela de Hamacas, Pittier Coto Brus"/>
    <s v="Pittier de Coto Brus, Puntarenas, Costa Rica"/>
    <x v="1"/>
    <s v="8.994306, -82.996704"/>
    <n v="11.82"/>
    <s v=""/>
    <m/>
    <n v="2000"/>
    <n v="2000"/>
    <s v=""/>
    <m/>
    <n v="1"/>
    <n v="2000"/>
    <n v="2000"/>
    <m/>
    <m/>
    <m/>
    <m/>
    <n v="0"/>
    <n v="0.73"/>
    <n v="1460"/>
    <n v="0"/>
    <m/>
    <n v="0.73"/>
    <n v="0.73"/>
    <n v="1460"/>
    <n v="1460"/>
    <n v="0"/>
    <n v="0"/>
    <n v="0"/>
    <s v="P.elongata"/>
    <m/>
    <n v="0.4"/>
    <n v="800"/>
    <m/>
    <m/>
    <m/>
    <m/>
    <n v="800"/>
    <m/>
    <m/>
    <m/>
    <m/>
    <m/>
    <n v="1"/>
    <n v="1"/>
    <m/>
    <m/>
    <m/>
    <n v="0"/>
    <m/>
    <n v="0"/>
    <n v="0"/>
    <n v="0"/>
    <n v="0"/>
    <n v="0"/>
    <n v="0"/>
    <n v="286160"/>
    <n v="286160"/>
    <n v="8.8669950738916262E-3"/>
  </r>
  <r>
    <s v="CR0058"/>
    <x v="4"/>
    <x v="5"/>
    <n v="2029"/>
    <s v="Marco Mora"/>
    <n v="20054"/>
    <s v="Marco Mora"/>
    <s v="8584-2076"/>
    <x v="0"/>
    <s v="info@cgextintores.com"/>
    <s v="Salitral de Santa Ana cincuenta metros oeste de la delegación de Fuerza Pública."/>
    <s v="el distrito segundo Salitral, cantón noveno, Santa Ana de la provincia de San José, Costa Rica"/>
    <x v="1"/>
    <s v="9.9029650, -84.1790050"/>
    <n v="9.43"/>
    <s v=""/>
    <m/>
    <n v="2000"/>
    <n v="2000"/>
    <s v=""/>
    <m/>
    <n v="1"/>
    <n v="2000"/>
    <n v="2000"/>
    <m/>
    <m/>
    <m/>
    <m/>
    <n v="0"/>
    <n v="0.67"/>
    <n v="1340"/>
    <n v="812"/>
    <n v="0.40600000000000003"/>
    <n v="0.41"/>
    <n v="0.41"/>
    <n v="820"/>
    <n v="820"/>
    <n v="0"/>
    <n v="0"/>
    <n v="0"/>
    <s v="P.elongata"/>
    <m/>
    <n v="0.06"/>
    <n v="120"/>
    <m/>
    <m/>
    <m/>
    <m/>
    <n v="120"/>
    <m/>
    <m/>
    <m/>
    <m/>
    <m/>
    <n v="1"/>
    <n v="1"/>
    <n v="2024"/>
    <n v="6.67"/>
    <n v="1.89"/>
    <n v="0.11812499999999999"/>
    <n v="1.28"/>
    <n v="7.1111111111111111E-2"/>
    <n v="0.87393599999999982"/>
    <n v="716.62751999999989"/>
    <n v="2.56"/>
    <n v="0.24494399999999997"/>
    <n v="200.85407999999998"/>
    <n v="160720"/>
    <n v="160519.14592000001"/>
    <n v="2.7866666666666666"/>
  </r>
  <r>
    <s v="CR0064"/>
    <x v="4"/>
    <x v="5"/>
    <n v="2029"/>
    <s v="Marvin Chavarria"/>
    <n v="20059"/>
    <s v="Oswaldo Alvarez"/>
    <s v="(506) 8877-7710, (506) 7075-0880"/>
    <x v="0"/>
    <s v="begocarrental@gmail.com"/>
    <s v="Media Vuelta, 400m Norte de la Iglesia Catolica. Sarapiqui, Heredia"/>
    <s v="el distrito 1-Puerto Viejo, Canton 10-Sarapiqui de la provincia de Heredia, Costa Rica"/>
    <x v="1"/>
    <s v="10.38712, -83.57776"/>
    <m/>
    <s v=""/>
    <m/>
    <n v="1000"/>
    <n v="1000"/>
    <s v=""/>
    <m/>
    <n v="1"/>
    <n v="1000"/>
    <n v="1000"/>
    <m/>
    <m/>
    <m/>
    <m/>
    <n v="0"/>
    <n v="0.625"/>
    <n v="625"/>
    <n v="241"/>
    <n v="0.24099999999999999"/>
    <n v="0.24"/>
    <n v="0.24"/>
    <n v="240"/>
    <n v="240"/>
    <n v="0"/>
    <n v="0"/>
    <n v="0"/>
    <s v="P.elongata"/>
    <m/>
    <n v="0"/>
    <n v="0"/>
    <m/>
    <m/>
    <m/>
    <m/>
    <m/>
    <m/>
    <m/>
    <m/>
    <m/>
    <m/>
    <n v="1"/>
    <n v="1"/>
    <n v="2024"/>
    <n v="4.74"/>
    <n v="2.64"/>
    <n v="0.16500000000000001"/>
    <n v="0.95"/>
    <n v="5.2777777777777778E-2"/>
    <n v="1.5349124999999999"/>
    <n v="368.37899999999996"/>
    <n v="1.9"/>
    <n v="0.72765000000000002"/>
    <n v="174.636"/>
    <n v="47040"/>
    <n v="46865.364000000001"/>
    <n v="2.8416666666666668"/>
  </r>
  <r>
    <s v="CR0067"/>
    <x v="4"/>
    <x v="5"/>
    <n v="2029"/>
    <s v="Victor Sibaja Elizondo"/>
    <n v="20062"/>
    <s v="Victor Sibaja Elizondo"/>
    <s v="8542-3910, 8498-8324"/>
    <x v="0"/>
    <s v="sibajaelizondovictor@gmail.com"/>
    <s v="1 km al este de la escuela de Esquipulas"/>
    <s v="el distrito 11-Cutris Canton 10-San Carlos de la provincia de Alajuela, Costa Rica"/>
    <x v="1"/>
    <s v="10.6152, -84.3317"/>
    <m/>
    <s v=""/>
    <m/>
    <n v="1200"/>
    <n v="1200"/>
    <s v=""/>
    <m/>
    <n v="1"/>
    <n v="1200"/>
    <n v="1200"/>
    <m/>
    <m/>
    <m/>
    <m/>
    <n v="0"/>
    <n v="0.95"/>
    <n v="1140"/>
    <n v="0"/>
    <m/>
    <n v="0.95"/>
    <n v="0.95"/>
    <n v="1140"/>
    <n v="1140"/>
    <n v="0"/>
    <n v="0"/>
    <n v="0"/>
    <s v="P.elongata"/>
    <m/>
    <n v="0"/>
    <n v="0"/>
    <m/>
    <m/>
    <m/>
    <m/>
    <m/>
    <m/>
    <m/>
    <m/>
    <m/>
    <m/>
    <n v="1"/>
    <n v="1"/>
    <m/>
    <m/>
    <m/>
    <n v="0"/>
    <m/>
    <n v="0"/>
    <n v="0"/>
    <n v="0"/>
    <n v="0"/>
    <n v="0"/>
    <n v="0"/>
    <n v="223440"/>
    <n v="223440"/>
    <n v="8.8669950738916262E-3"/>
  </r>
  <r>
    <s v="CR0035"/>
    <x v="4"/>
    <x v="5"/>
    <n v="2029"/>
    <s v="Alex Donato Arguedas Arroyo"/>
    <n v="20031"/>
    <s v="Alex Donato Arguedas Arroyo"/>
    <s v="(506) 8393-8278, (506)-8386-1055"/>
    <x v="2"/>
    <s v="ganaderiada@gmail.com"/>
    <s v="500m Oeste del supermercado La Canastica, La Guácima, Alajuela."/>
    <s v="el distrito 3-Rita cantón 2-Pococi de la provincia de Limón"/>
    <x v="1"/>
    <s v="10.3787110, -83.8081410"/>
    <n v="7.4"/>
    <n v="7.4131503108889909"/>
    <m/>
    <n v="1200"/>
    <n v="1200"/>
    <s v=""/>
    <m/>
    <n v="1"/>
    <n v="1200"/>
    <n v="1200"/>
    <m/>
    <m/>
    <m/>
    <m/>
    <n v="0"/>
    <n v="1"/>
    <n v="1200"/>
    <n v="1068"/>
    <n v="0.89"/>
    <n v="0.89"/>
    <n v="0.89"/>
    <n v="1068"/>
    <n v="1068"/>
    <n v="0"/>
    <n v="0"/>
    <n v="0"/>
    <s v="P.elongata"/>
    <m/>
    <n v="0.16666666666666666"/>
    <n v="200"/>
    <m/>
    <m/>
    <m/>
    <m/>
    <n v="200"/>
    <m/>
    <m/>
    <m/>
    <m/>
    <m/>
    <n v="1"/>
    <n v="1"/>
    <n v="2024"/>
    <n v="21.2"/>
    <n v="12.38"/>
    <n v="0.77375000000000005"/>
    <n v="4.25"/>
    <n v="0.2361111111111111"/>
    <n v="4.8359375000000003E-2"/>
    <n v="51.647812500000001"/>
    <n v="8.5"/>
    <n v="15.668437500000001"/>
    <n v="16733.891250000001"/>
    <n v="209328"/>
    <n v="192594.10875000001"/>
    <n v="2.2916666666666665"/>
  </r>
  <r>
    <s v="CR0037"/>
    <x v="4"/>
    <x v="5"/>
    <n v="2029"/>
    <s v="Ana Wolfe Arce"/>
    <n v="20033"/>
    <s v="Hermanos Wolfe Arce S.A"/>
    <s v="506 84963507, +506 61159707, 84963507"/>
    <x v="2"/>
    <s v="aiwa1069@hotmail.com"/>
    <s v="Limón, Matina, Batan, 28 millas 75m al este de la escuela"/>
    <s v="10.1003100, -83.3830780"/>
    <x v="1"/>
    <s v="10.1003100, -83.3830780"/>
    <m/>
    <n v="24.710501036296634"/>
    <m/>
    <n v="4000"/>
    <n v="4000"/>
    <s v=""/>
    <m/>
    <n v="1"/>
    <n v="4000"/>
    <n v="4000"/>
    <m/>
    <m/>
    <m/>
    <m/>
    <n v="0"/>
    <n v="0.95"/>
    <n v="3800"/>
    <n v="0"/>
    <m/>
    <n v="0.95"/>
    <n v="0.95"/>
    <n v="3800"/>
    <n v="3800"/>
    <n v="0"/>
    <n v="0"/>
    <n v="0"/>
    <s v="P.elongata"/>
    <m/>
    <n v="0.1"/>
    <n v="400"/>
    <m/>
    <m/>
    <m/>
    <m/>
    <m/>
    <n v="400"/>
    <m/>
    <m/>
    <m/>
    <m/>
    <n v="1"/>
    <n v="1"/>
    <m/>
    <m/>
    <m/>
    <n v="0"/>
    <m/>
    <n v="0"/>
    <n v="0"/>
    <n v="0"/>
    <n v="0"/>
    <n v="0"/>
    <n v="0"/>
    <n v="744800"/>
    <n v="744800"/>
    <n v="8.8669950738916262E-3"/>
  </r>
  <r>
    <s v="CR0040"/>
    <x v="4"/>
    <x v="5"/>
    <n v="2029"/>
    <s v="Marco Pacheco"/>
    <n v="20036"/>
    <s v="Aracelly Sanchez Rojas"/>
    <s v="8858-1627, 8503-2348, 2259-6150"/>
    <x v="2"/>
    <s v="Yarima.sandoval@gmail.com"/>
    <s v="San José, Desamparados, Urbanización Monte Claro, casa D5-1"/>
    <s v="9.937280, -84.4446730"/>
    <x v="1"/>
    <s v="9.937280, -84.4446730"/>
    <n v="2.75"/>
    <n v="4.5096664391241363"/>
    <m/>
    <n v="730"/>
    <n v="730"/>
    <s v=""/>
    <m/>
    <n v="1"/>
    <n v="730"/>
    <n v="730"/>
    <m/>
    <m/>
    <m/>
    <m/>
    <n v="0"/>
    <n v="0.95"/>
    <n v="693.5"/>
    <n v="680.36"/>
    <n v="0.93200000000000005"/>
    <n v="0.93"/>
    <n v="0.93"/>
    <n v="678.90000000000009"/>
    <n v="678.90000000000009"/>
    <n v="0"/>
    <n v="0"/>
    <n v="0"/>
    <s v="P.elongata"/>
    <m/>
    <n v="0"/>
    <n v="0"/>
    <m/>
    <m/>
    <m/>
    <m/>
    <m/>
    <m/>
    <m/>
    <m/>
    <m/>
    <m/>
    <n v="1"/>
    <n v="1"/>
    <n v="2024"/>
    <n v="21.05"/>
    <n v="12.67"/>
    <n v="0.791875"/>
    <n v="4.45"/>
    <n v="0.24722222222222223"/>
    <n v="0.16035468750000012"/>
    <n v="108.8647973437501"/>
    <n v="8.9"/>
    <n v="19.012918750000004"/>
    <n v="12907.870539375004"/>
    <n v="133064.40000000002"/>
    <n v="120156.52946062502"/>
    <n v="2.2583333333333333"/>
  </r>
  <r>
    <s v="GT0012"/>
    <x v="4"/>
    <x v="5"/>
    <n v="2029"/>
    <s v="Alvaro Antonio Guzman Rodas"/>
    <n v="30012"/>
    <s v="Alvaro Antonio Guzman Rodas"/>
    <s v="(502) 46849832"/>
    <x v="0"/>
    <s v="alvaroguzmanrodas@gmail.com"/>
    <s v="3ª AVENIDA 8-73, ZONA 1, MUNICIPIO DE ESQUIPULAS, DEPAR-TAMENTO DE CHIQUIMULA"/>
    <s v="CRUZ ALTA, ALDEA CRUZ ALTA, MUNICIPIO DE ESQUIPULAS, DEPARTA-MENTO DE CHIQUIMULA"/>
    <x v="2"/>
    <s v="14.569028, -89.387389"/>
    <n v="17"/>
    <s v=""/>
    <m/>
    <n v="2000"/>
    <n v="2000"/>
    <s v=""/>
    <m/>
    <n v="1"/>
    <n v="2000"/>
    <n v="2000"/>
    <m/>
    <m/>
    <m/>
    <m/>
    <n v="0"/>
    <n v="0.73600680000000007"/>
    <n v="1472.0136000000002"/>
    <n v="0"/>
    <m/>
    <n v="0.73600680000000007"/>
    <n v="0.74"/>
    <n v="1472.0136000000002"/>
    <n v="1472.0136000000002"/>
    <n v="0"/>
    <n v="0"/>
    <n v="0"/>
    <s v="Elongata"/>
    <m/>
    <n v="0.30149999999999999"/>
    <n v="603"/>
    <m/>
    <m/>
    <m/>
    <m/>
    <n v="463"/>
    <n v="140"/>
    <m/>
    <m/>
    <m/>
    <m/>
    <n v="1"/>
    <n v="1"/>
    <m/>
    <m/>
    <m/>
    <n v="0"/>
    <m/>
    <n v="0"/>
    <n v="0"/>
    <n v="0"/>
    <n v="0"/>
    <n v="0"/>
    <n v="0"/>
    <n v="288514.66560000007"/>
    <n v="288514.66560000007"/>
    <n v="8.8669950738916262E-3"/>
  </r>
  <r>
    <s v="GT0013"/>
    <x v="4"/>
    <x v="5"/>
    <n v="0"/>
    <s v="Axel Duarte Duarte"/>
    <n v="30013"/>
    <s v="Axel Gamaliel Duarte Duarte"/>
    <s v="(502) 57827512"/>
    <x v="1"/>
    <s v="darinelld@hotmail.com"/>
    <s v="2ª CALLE C 0-57, ZONA 2, BARRIO DE LA ESPERANZA, MUNICIPIO DE JALAPA, DEPARTAMENTO DE JALAPA, GUATEMALA"/>
    <s v="ALDEA SAN IGNACIO, MUNIPICIO DE JALAPA, DEPARTAMENTO DE JALAPA"/>
    <x v="2"/>
    <s v="14.7226790, -90.0106004"/>
    <n v="17.5"/>
    <s v=""/>
    <m/>
    <n v="2000"/>
    <n v="2000"/>
    <s v=""/>
    <m/>
    <n v="1"/>
    <n v="2000"/>
    <n v="2000"/>
    <m/>
    <m/>
    <m/>
    <m/>
    <n v="0"/>
    <n v="0.54460477499999993"/>
    <n v="1089.2095499999998"/>
    <n v="0"/>
    <n v="0"/>
    <n v="0"/>
    <n v="0"/>
    <n v="0"/>
    <n v="0"/>
    <n v="0"/>
    <n v="0"/>
    <n v="0"/>
    <s v="Elongata"/>
    <m/>
    <n v="5.2499999999999998E-2"/>
    <n v="105"/>
    <m/>
    <m/>
    <m/>
    <m/>
    <m/>
    <n v="105"/>
    <m/>
    <m/>
    <m/>
    <m/>
    <n v="1"/>
    <n v="1"/>
    <m/>
    <m/>
    <m/>
    <n v="0"/>
    <m/>
    <n v="0"/>
    <n v="0"/>
    <n v="0"/>
    <n v="0"/>
    <n v="0"/>
    <n v="0"/>
    <n v="0"/>
    <n v="0"/>
    <n v="18"/>
  </r>
  <r>
    <s v="GT0014"/>
    <x v="4"/>
    <x v="5"/>
    <n v="2029"/>
    <s v="Boris Garza"/>
    <n v="30014"/>
    <s v="Borigar S.A. Carmen Lucía Garza López"/>
    <s v="+502 41231219, (502) 79430065"/>
    <x v="2"/>
    <s v="gerenciadenegocios@gmail.com"/>
    <s v="3ª CALLE 1-85, ZONA 3, MUNICIPIO DE ESQUIPULAS, DEPARTA-MENTO DE CHIQUIMULA"/>
    <s v="Finca La Papayera, aldea Cidabenque, Melchor de Mencos, El Petén"/>
    <x v="2"/>
    <s v="14.5684073, -89.3669417; 17.004972, -89.243806"/>
    <n v="70.3"/>
    <n v="72.727272727272734"/>
    <m/>
    <n v="8000"/>
    <n v="8000"/>
    <s v=""/>
    <m/>
    <n v="1"/>
    <n v="8000"/>
    <n v="8000"/>
    <m/>
    <m/>
    <m/>
    <m/>
    <n v="0"/>
    <n v="0.95"/>
    <n v="7600"/>
    <n v="7416"/>
    <n v="0.92700000000000005"/>
    <n v="0.93"/>
    <n v="0.93"/>
    <n v="7440"/>
    <n v="7440"/>
    <n v="0"/>
    <n v="0"/>
    <n v="0"/>
    <s v="Elongata"/>
    <m/>
    <n v="0.35"/>
    <n v="2800"/>
    <m/>
    <m/>
    <m/>
    <n v="2800"/>
    <m/>
    <m/>
    <m/>
    <m/>
    <m/>
    <m/>
    <n v="1"/>
    <n v="1"/>
    <n v="2024"/>
    <n v="7.03"/>
    <n v="0"/>
    <n v="0"/>
    <n v="1.35"/>
    <n v="7.5000000000000011E-2"/>
    <n v="0"/>
    <n v="0"/>
    <n v="2.7"/>
    <n v="0"/>
    <n v="0"/>
    <n v="1458240"/>
    <n v="1458240"/>
    <n v="2.7749999999999999"/>
  </r>
  <r>
    <s v="GT0015"/>
    <x v="4"/>
    <x v="5"/>
    <n v="0"/>
    <s v="Carlos López"/>
    <n v="30015"/>
    <s v="Carlos Adolfo López Letona"/>
    <s v="(502) 55163538"/>
    <x v="1"/>
    <s v="carloslopezletona@gmail.com"/>
    <s v="Lotificación Guayacán, 7ª calle final, Casa # 2, Coatepeque, Quetzaltenango"/>
    <s v="Municipio de Flores Costa Cuca, departamento Quetzaltenango"/>
    <x v="2"/>
    <s v="14.670583, -91.861889"/>
    <m/>
    <s v=""/>
    <m/>
    <n v="0"/>
    <n v="0"/>
    <s v=""/>
    <m/>
    <n v="1"/>
    <m/>
    <m/>
    <m/>
    <m/>
    <m/>
    <m/>
    <n v="0"/>
    <n v="0"/>
    <n v="0"/>
    <n v="0"/>
    <n v="0"/>
    <n v="0"/>
    <n v="0"/>
    <n v="0"/>
    <n v="0"/>
    <n v="0"/>
    <n v="0"/>
    <n v="0"/>
    <m/>
    <m/>
    <s v=""/>
    <n v="0"/>
    <m/>
    <m/>
    <m/>
    <m/>
    <m/>
    <m/>
    <m/>
    <m/>
    <m/>
    <m/>
    <m/>
    <n v="1"/>
    <m/>
    <m/>
    <m/>
    <n v="0"/>
    <m/>
    <n v="0"/>
    <n v="0"/>
    <n v="0"/>
    <n v="0"/>
    <n v="0"/>
    <n v="0"/>
    <n v="0"/>
    <n v="0"/>
    <n v="18"/>
  </r>
  <r>
    <s v="GT0016"/>
    <x v="4"/>
    <x v="5"/>
    <n v="2029"/>
    <s v="Ricardo Chacón"/>
    <n v="30016"/>
    <s v="Cartago S.A./ Elsa De Chacón "/>
    <s v="(502) 40603843"/>
    <x v="0"/>
    <s v="rchacony@cartagofresh.com"/>
    <s v="FINCA 16095 FOLIO 112 LIBRO 84 DE SANTA ROSA"/>
    <s v="Aldea las violetas, municipio de taxisco, dept de santa rosa, Guatemala"/>
    <x v="2"/>
    <s v="14.075889, -90.571944"/>
    <n v="8.1999999999999993"/>
    <s v=""/>
    <m/>
    <n v="1469"/>
    <n v="1469"/>
    <s v=""/>
    <m/>
    <n v="1"/>
    <n v="1469"/>
    <n v="1469"/>
    <m/>
    <m/>
    <m/>
    <m/>
    <n v="0"/>
    <n v="0.33614608695652171"/>
    <n v="493.79860173913039"/>
    <n v="0"/>
    <m/>
    <n v="0.33614608695652171"/>
    <n v="0.34"/>
    <n v="493.79860173913039"/>
    <n v="493.79860173913039"/>
    <n v="0"/>
    <n v="0"/>
    <n v="0"/>
    <s v="Elongata"/>
    <m/>
    <n v="0.97889720898570454"/>
    <n v="1438"/>
    <m/>
    <m/>
    <m/>
    <m/>
    <n v="1438"/>
    <m/>
    <m/>
    <m/>
    <m/>
    <m/>
    <n v="1"/>
    <n v="1"/>
    <m/>
    <m/>
    <m/>
    <n v="0"/>
    <m/>
    <n v="0"/>
    <n v="0"/>
    <n v="0"/>
    <n v="0"/>
    <n v="0"/>
    <n v="0"/>
    <n v="96784.525940869557"/>
    <n v="96784.525940869557"/>
    <n v="8.8669950738916262E-3"/>
  </r>
  <r>
    <s v="GT0017"/>
    <x v="4"/>
    <x v="5"/>
    <n v="0"/>
    <s v="David Horacio Estrada - Asoverde"/>
    <n v="30017"/>
    <s v="David Horacio Estrada - Asoverde"/>
    <s v="(502) 56940037"/>
    <x v="1"/>
    <s v="estradahoracio@yahoo.es"/>
    <s v="ASOCIACION DE DESARROLLO VERDE DE GUATEMALA - ASOVERDE, CASA NÚMERO 4, COLONIA PRADOS DE CANNAN, MUNICIPIO DE CHIQUIMULA, DEPARTAMENTO DE CHIQUIMULA"/>
    <s v="ALDEA EL DURAZNO, MUNICIPIO DE CHIQUIMULA, DEPARTAMENTO DE CHIQUIMULA"/>
    <x v="2"/>
    <s v="14.8485947, -89.6783307"/>
    <n v="5.6"/>
    <s v=""/>
    <m/>
    <n v="1000"/>
    <n v="1000"/>
    <s v=""/>
    <m/>
    <n v="1"/>
    <n v="1000"/>
    <n v="1000"/>
    <m/>
    <m/>
    <m/>
    <m/>
    <n v="0"/>
    <n v="0.4741032"/>
    <n v="474.10320000000002"/>
    <n v="0"/>
    <n v="0"/>
    <n v="0"/>
    <n v="0"/>
    <n v="0"/>
    <n v="0"/>
    <n v="0"/>
    <n v="0"/>
    <n v="0"/>
    <s v="Elongata"/>
    <m/>
    <n v="0.7"/>
    <n v="700"/>
    <m/>
    <m/>
    <m/>
    <m/>
    <n v="700"/>
    <m/>
    <m/>
    <m/>
    <m/>
    <m/>
    <n v="1"/>
    <n v="1"/>
    <m/>
    <m/>
    <m/>
    <n v="0"/>
    <m/>
    <n v="0"/>
    <n v="0"/>
    <n v="0"/>
    <n v="0"/>
    <n v="0"/>
    <n v="0"/>
    <n v="0"/>
    <n v="0"/>
    <n v="18"/>
  </r>
  <r>
    <s v="CR0042"/>
    <x v="4"/>
    <x v="5"/>
    <n v="2029"/>
    <s v="Didier Alfaro Alvarado"/>
    <n v="20038"/>
    <s v="Didier Jose Alfaro Alvarado"/>
    <s v="506-8521-1397, 506-8551-4454"/>
    <x v="2"/>
    <s v="didier-alfaro@hotmail.es, alexis.aa@gmail.com"/>
    <s v="300m SO del bar la Central en San Juan, Bolivar de Grecia"/>
    <s v="el distrito 13-pocosol Canton 10-San Carlos de la provincia de Alajuela, Costa Rica"/>
    <x v="1"/>
    <s v="10.7701, -84.5141"/>
    <m/>
    <n v="18.409323272040993"/>
    <m/>
    <n v="2980"/>
    <n v="2980"/>
    <s v=""/>
    <m/>
    <n v="1"/>
    <n v="2980"/>
    <n v="2980"/>
    <m/>
    <m/>
    <m/>
    <m/>
    <n v="0"/>
    <n v="1"/>
    <n v="2980"/>
    <n v="2071.1"/>
    <n v="0.69499999999999995"/>
    <n v="0.7"/>
    <n v="0.7"/>
    <n v="2086"/>
    <n v="2086"/>
    <n v="0"/>
    <n v="0"/>
    <n v="0"/>
    <s v="P.elongata"/>
    <m/>
    <n v="0.34563758389261745"/>
    <n v="1030"/>
    <m/>
    <m/>
    <m/>
    <n v="375"/>
    <m/>
    <n v="655"/>
    <m/>
    <m/>
    <m/>
    <m/>
    <n v="1"/>
    <n v="1"/>
    <n v="2024"/>
    <n v="13.92"/>
    <n v="11.31"/>
    <n v="0.70687500000000003"/>
    <n v="2.4300000000000002"/>
    <n v="0.13500000000000001"/>
    <n v="1.7423761874999999"/>
    <n v="3634.5967271249997"/>
    <n v="4.8600000000000003"/>
    <n v="0.52280475000000048"/>
    <n v="1090.570708500001"/>
    <n v="408856"/>
    <n v="407765.42929150001"/>
    <n v="2.5950000000000002"/>
  </r>
  <r>
    <s v="GT0019"/>
    <x v="4"/>
    <x v="5"/>
    <n v="0"/>
    <s v="Hamblin Duarte"/>
    <n v="30019"/>
    <s v="Emilsa Natalia Guzman Leiva"/>
    <m/>
    <x v="1"/>
    <m/>
    <m/>
    <m/>
    <x v="2"/>
    <m/>
    <m/>
    <s v=""/>
    <m/>
    <n v="1000"/>
    <n v="1000"/>
    <s v=""/>
    <m/>
    <n v="1"/>
    <n v="1000"/>
    <n v="1000"/>
    <m/>
    <m/>
    <m/>
    <m/>
    <n v="0"/>
    <n v="0"/>
    <n v="0"/>
    <n v="0"/>
    <n v="0"/>
    <n v="0"/>
    <n v="0"/>
    <n v="0"/>
    <n v="0"/>
    <n v="0"/>
    <n v="0"/>
    <n v="0"/>
    <s v="Elongata"/>
    <m/>
    <n v="0"/>
    <n v="0"/>
    <m/>
    <m/>
    <m/>
    <m/>
    <m/>
    <m/>
    <m/>
    <m/>
    <m/>
    <m/>
    <n v="1"/>
    <n v="1"/>
    <m/>
    <m/>
    <m/>
    <n v="0"/>
    <m/>
    <n v="0"/>
    <n v="0"/>
    <n v="0"/>
    <n v="0"/>
    <n v="0"/>
    <n v="0"/>
    <n v="0"/>
    <n v="0"/>
    <n v="18"/>
  </r>
  <r>
    <s v="GT0020"/>
    <x v="4"/>
    <x v="5"/>
    <n v="0"/>
    <s v="Giovanni Musella"/>
    <n v="30020"/>
    <s v="Giovanni Musella"/>
    <m/>
    <x v="1"/>
    <m/>
    <m/>
    <m/>
    <x v="2"/>
    <m/>
    <m/>
    <s v=""/>
    <m/>
    <n v="1200"/>
    <n v="1200"/>
    <s v=""/>
    <m/>
    <n v="1"/>
    <n v="1200"/>
    <n v="1200"/>
    <m/>
    <m/>
    <m/>
    <m/>
    <n v="0"/>
    <n v="0"/>
    <n v="0"/>
    <n v="0"/>
    <n v="0"/>
    <n v="0"/>
    <n v="0"/>
    <n v="0"/>
    <n v="0"/>
    <n v="0"/>
    <n v="0"/>
    <n v="0"/>
    <s v="Elongata"/>
    <m/>
    <n v="0"/>
    <n v="0"/>
    <m/>
    <m/>
    <m/>
    <m/>
    <m/>
    <m/>
    <m/>
    <m/>
    <m/>
    <m/>
    <n v="1"/>
    <n v="1"/>
    <m/>
    <m/>
    <m/>
    <n v="0"/>
    <m/>
    <n v="0"/>
    <n v="0"/>
    <n v="0"/>
    <n v="0"/>
    <n v="0"/>
    <n v="0"/>
    <n v="0"/>
    <n v="0"/>
    <n v="18"/>
  </r>
  <r>
    <s v="GT0021"/>
    <x v="4"/>
    <x v="5"/>
    <n v="0"/>
    <s v="Jaime Rolando Maximino Perez Hernández"/>
    <n v="30021"/>
    <s v="Jaime Rolando Maximino Perez Hernández"/>
    <s v="(502) 57744044"/>
    <x v="1"/>
    <s v="ca.shell@yahoo.com"/>
    <s v="KM 13 CARRETERA A EL SALVADOR, CONDOMINIO LAS LUCES LIRIOS 8, MUNICIPIO DE SANTA CATARINA PINULA, DEPARTAMENTO DE GUATEMALA"/>
    <s v="LOTE 11 DE SANTO TOMAS DE CASTILLA, MUNICIPIO DE PUERTO BA-RRIOS, DEPARTAMENTO DE IZABAL"/>
    <x v="2"/>
    <s v="15.6174366, -88.550626"/>
    <n v="12"/>
    <s v=""/>
    <m/>
    <n v="2000"/>
    <n v="2000"/>
    <s v=""/>
    <m/>
    <n v="1"/>
    <n v="2000"/>
    <n v="2000"/>
    <m/>
    <m/>
    <m/>
    <m/>
    <n v="0"/>
    <n v="0.57519228"/>
    <n v="1150.38456"/>
    <n v="0"/>
    <n v="0"/>
    <n v="0"/>
    <n v="0"/>
    <n v="0"/>
    <n v="0"/>
    <n v="0"/>
    <n v="0"/>
    <n v="0"/>
    <s v="Elongata"/>
    <m/>
    <n v="0.5"/>
    <n v="1000"/>
    <m/>
    <m/>
    <m/>
    <m/>
    <n v="1000"/>
    <m/>
    <m/>
    <m/>
    <m/>
    <m/>
    <n v="1"/>
    <n v="1"/>
    <m/>
    <m/>
    <m/>
    <n v="0"/>
    <m/>
    <n v="0"/>
    <n v="0"/>
    <n v="0"/>
    <n v="0"/>
    <n v="0"/>
    <n v="0"/>
    <n v="0"/>
    <n v="0"/>
    <n v="18"/>
  </r>
  <r>
    <s v="GT0022"/>
    <x v="4"/>
    <x v="5"/>
    <n v="0"/>
    <s v="Jose Antonio Mombiela Mastahinich"/>
    <n v="30005"/>
    <s v="Jose Antonio Mombiela Mastahinich"/>
    <m/>
    <x v="1"/>
    <m/>
    <m/>
    <m/>
    <x v="2"/>
    <m/>
    <m/>
    <s v=""/>
    <m/>
    <n v="488"/>
    <n v="488"/>
    <s v=""/>
    <m/>
    <n v="1"/>
    <n v="488"/>
    <n v="488"/>
    <m/>
    <m/>
    <m/>
    <m/>
    <n v="0"/>
    <n v="0"/>
    <n v="0"/>
    <n v="0"/>
    <n v="0"/>
    <n v="0"/>
    <n v="0"/>
    <n v="0"/>
    <n v="0"/>
    <n v="0"/>
    <n v="0"/>
    <n v="0"/>
    <s v="Elongata"/>
    <m/>
    <n v="0"/>
    <n v="0"/>
    <m/>
    <m/>
    <m/>
    <m/>
    <m/>
    <m/>
    <m/>
    <m/>
    <m/>
    <m/>
    <n v="1"/>
    <n v="1"/>
    <m/>
    <m/>
    <m/>
    <n v="0"/>
    <m/>
    <n v="0"/>
    <n v="0"/>
    <n v="0"/>
    <n v="0"/>
    <n v="0"/>
    <n v="0"/>
    <n v="0"/>
    <n v="0"/>
    <n v="18"/>
  </r>
  <r>
    <s v="GT0023"/>
    <x v="4"/>
    <x v="5"/>
    <n v="2029"/>
    <s v="José Francisco Castillo Vásquez"/>
    <n v="30022"/>
    <s v="José Francisco Castillo Vásquez"/>
    <s v="(502) 56900614"/>
    <x v="0"/>
    <s v="aecv2003@hotmail.com"/>
    <s v="14 AVENIDA A 0-77, ZONA 1, MUNICIPIO DE QUETZALTENANGO, DEPARTAMENTO DE QUETZALTENANGO"/>
    <s v="FINCA LA SOLA, LAS PASCUAS, MUNICIPIO DE SAN CRISTOBAL CUCHO, DEPARTAMENTO DE SAN MARCOS"/>
    <x v="2"/>
    <s v="14.844633, -91.779992"/>
    <n v="10.7"/>
    <s v=""/>
    <m/>
    <n v="2865"/>
    <n v="2865"/>
    <s v=""/>
    <m/>
    <n v="1"/>
    <n v="2865"/>
    <n v="2865"/>
    <m/>
    <m/>
    <m/>
    <m/>
    <n v="0"/>
    <n v="0.30791167539267017"/>
    <n v="882.16695000000004"/>
    <n v="0"/>
    <m/>
    <n v="0.30791167539267017"/>
    <n v="0.31"/>
    <n v="882.16695000000004"/>
    <n v="882.16695000000004"/>
    <n v="0"/>
    <n v="0"/>
    <n v="0"/>
    <s v="Elongata"/>
    <m/>
    <n v="0.32041884816753929"/>
    <n v="918"/>
    <m/>
    <m/>
    <m/>
    <m/>
    <n v="918"/>
    <m/>
    <m/>
    <m/>
    <m/>
    <m/>
    <n v="1"/>
    <n v="1"/>
    <m/>
    <m/>
    <m/>
    <n v="0"/>
    <m/>
    <n v="0"/>
    <n v="0"/>
    <n v="0"/>
    <n v="0"/>
    <n v="0"/>
    <n v="0"/>
    <n v="172904.72220000002"/>
    <n v="172904.72220000002"/>
    <n v="8.8669950738916262E-3"/>
  </r>
  <r>
    <s v="CR0044"/>
    <x v="4"/>
    <x v="5"/>
    <n v="2029"/>
    <s v="Diogenes Cubero"/>
    <n v="20040"/>
    <s v="Diogenes Cubero"/>
    <s v="8312-1516"/>
    <x v="2"/>
    <s v="dioqbero@gmail.com"/>
    <s v="Pijije de Bagaces, Guanacaste, 800m suroeste de la escuela, casa amarilla, mano izquierda"/>
    <s v="DISTRITO 6-ESQUIPULAS CANTON 7-PALMARES DE LA PROVINCIA DE ALAJUELA, Costa Rica,"/>
    <x v="1"/>
    <s v="10.070442, -84.415962"/>
    <n v="5"/>
    <n v="6.1776252590741585"/>
    <m/>
    <n v="1000"/>
    <n v="1000"/>
    <s v=""/>
    <m/>
    <n v="1"/>
    <n v="1000"/>
    <n v="1000"/>
    <m/>
    <m/>
    <m/>
    <m/>
    <n v="0"/>
    <n v="1"/>
    <n v="1000"/>
    <n v="589"/>
    <n v="0.58899999999999997"/>
    <n v="0.59"/>
    <n v="0.59"/>
    <n v="590"/>
    <n v="590"/>
    <n v="0"/>
    <n v="0"/>
    <n v="0"/>
    <s v="P.elongata"/>
    <m/>
    <n v="0.187"/>
    <n v="187"/>
    <m/>
    <m/>
    <m/>
    <n v="97"/>
    <n v="90"/>
    <m/>
    <m/>
    <m/>
    <m/>
    <m/>
    <n v="1"/>
    <n v="1"/>
    <n v="2024"/>
    <n v="11.96"/>
    <n v="6.95"/>
    <n v="0.43437500000000001"/>
    <n v="2.16"/>
    <n v="0.12000000000000001"/>
    <n v="1.4706199999999998"/>
    <n v="867.66579999999988"/>
    <n v="4.32"/>
    <n v="4.4480000000000082E-2"/>
    <n v="26.243200000000048"/>
    <n v="115640"/>
    <n v="115613.7568"/>
    <n v="2.64"/>
  </r>
  <r>
    <s v="CR0046"/>
    <x v="4"/>
    <x v="5"/>
    <n v="2029"/>
    <s v="Enrique Quiroz"/>
    <n v="20042"/>
    <s v="Elia Araya Guzman"/>
    <s v="83063090 , 7021-3625"/>
    <x v="2"/>
    <s v="eligas8@gmail.com"/>
    <s v="Alajuela, San Carlos, Cuidad Quesada, calle Gamboa, 150m este del taller Chicho."/>
    <s v="EL DISTRITO 3-EL AMPARO CANTON 14-LOS CHILES DE LA PROVINCIA DE ALAJUELA, Costa Rica"/>
    <x v="1"/>
    <s v="10.8096, -84.6369"/>
    <n v="4.58"/>
    <n v="12.355250518148317"/>
    <m/>
    <n v="2000"/>
    <n v="2000"/>
    <s v=""/>
    <m/>
    <n v="1"/>
    <n v="2000"/>
    <n v="2000"/>
    <m/>
    <m/>
    <m/>
    <m/>
    <n v="0"/>
    <n v="0.91"/>
    <n v="1820"/>
    <n v="2000"/>
    <n v="1"/>
    <n v="1"/>
    <n v="1"/>
    <n v="2000"/>
    <n v="2000"/>
    <n v="0"/>
    <n v="0"/>
    <n v="0"/>
    <s v="P.elongata"/>
    <m/>
    <n v="3.5000000000000003E-2"/>
    <n v="70"/>
    <m/>
    <m/>
    <m/>
    <m/>
    <m/>
    <n v="70"/>
    <m/>
    <m/>
    <m/>
    <m/>
    <n v="1"/>
    <n v="1"/>
    <n v="2024"/>
    <n v="21.27"/>
    <n v="17"/>
    <n v="1.0625"/>
    <n v="4.68"/>
    <n v="0.26"/>
    <n v="0.49129999999999957"/>
    <n v="982.59999999999911"/>
    <n v="9.36"/>
    <n v="30.525199999999995"/>
    <n v="61050.399999999987"/>
    <n v="392000"/>
    <n v="330949.60000000003"/>
    <n v="2.2200000000000002"/>
  </r>
  <r>
    <s v="GT0025"/>
    <x v="4"/>
    <x v="5"/>
    <n v="2029"/>
    <s v="Marvin Rodolfo Porras Calderon"/>
    <n v="30024"/>
    <s v="Marvin Rodolfo Porras Calderon"/>
    <s v="(502) 54135219"/>
    <x v="0"/>
    <s v="mayalsmiscelanea@hotmail.com"/>
    <s v="Barrio El Centro zona 1, municipio de San Luis Jilotepeque, departamento de Jalapa"/>
    <s v="Aldea El Zapote, municipio de San Luis, departamento de Petén"/>
    <x v="2"/>
    <s v="16.074253, -89.729667"/>
    <n v="58.2"/>
    <s v=""/>
    <m/>
    <n v="6666"/>
    <n v="6666"/>
    <s v=""/>
    <m/>
    <n v="1"/>
    <n v="6666"/>
    <n v="6666"/>
    <m/>
    <m/>
    <m/>
    <m/>
    <n v="0"/>
    <n v="0.93050765076507658"/>
    <n v="6202.7640000000001"/>
    <n v="0"/>
    <m/>
    <n v="0.93050765076507658"/>
    <n v="0.93"/>
    <n v="6202.7640000000001"/>
    <n v="6202.7640000000001"/>
    <n v="0"/>
    <n v="0"/>
    <n v="0"/>
    <s v="Elongata"/>
    <m/>
    <n v="0.16411641164116411"/>
    <n v="1094"/>
    <m/>
    <m/>
    <m/>
    <m/>
    <n v="1094"/>
    <m/>
    <m/>
    <m/>
    <m/>
    <m/>
    <n v="1"/>
    <n v="1"/>
    <m/>
    <m/>
    <m/>
    <n v="0"/>
    <m/>
    <n v="0"/>
    <n v="0"/>
    <n v="0"/>
    <n v="0"/>
    <n v="0"/>
    <n v="0"/>
    <n v="1215741.7439999999"/>
    <n v="1215741.7439999999"/>
    <n v="8.8669950738916262E-3"/>
  </r>
  <r>
    <s v="GT0026"/>
    <x v="4"/>
    <x v="5"/>
    <n v="0"/>
    <s v="Pablo Castillo (Novio Laura María Morán)"/>
    <n v="30025"/>
    <s v="Olga Victoria Herrera Sanjuan"/>
    <m/>
    <x v="1"/>
    <m/>
    <m/>
    <m/>
    <x v="2"/>
    <m/>
    <m/>
    <s v=""/>
    <m/>
    <n v="990"/>
    <n v="990"/>
    <s v=""/>
    <m/>
    <n v="1"/>
    <n v="990"/>
    <n v="990"/>
    <m/>
    <m/>
    <m/>
    <m/>
    <n v="0"/>
    <n v="0"/>
    <n v="0"/>
    <n v="0"/>
    <n v="0"/>
    <n v="0"/>
    <n v="0"/>
    <n v="0"/>
    <n v="0"/>
    <n v="0"/>
    <n v="0"/>
    <n v="0"/>
    <s v="Elongata"/>
    <m/>
    <n v="0"/>
    <n v="0"/>
    <m/>
    <m/>
    <m/>
    <m/>
    <m/>
    <m/>
    <m/>
    <m/>
    <m/>
    <m/>
    <n v="1"/>
    <n v="1"/>
    <m/>
    <m/>
    <m/>
    <n v="0"/>
    <m/>
    <n v="0"/>
    <n v="0"/>
    <n v="0"/>
    <n v="0"/>
    <n v="0"/>
    <n v="0"/>
    <n v="0"/>
    <n v="0"/>
    <n v="18"/>
  </r>
  <r>
    <s v="GT0027"/>
    <x v="4"/>
    <x v="5"/>
    <n v="2029"/>
    <s v="Richard Steven Callaway Ayau - Eco Energía H20"/>
    <n v="30026"/>
    <s v="Richard Steven Callaway Ayau"/>
    <s v="(502) 52063353"/>
    <x v="0"/>
    <s v="rcallaway@armaviacion.com"/>
    <s v="AVENIDA HINCAPIE, ZONA 13, HANGAR K2, MUNICIPIO DE GUA-TEMALA, DEPARTAMENTO DE GUATEMALA"/>
    <s v="MUNICIPIO DE BARBERENA, DEPARTAMENTO DE SANTA ROSA"/>
    <x v="2"/>
    <s v="14.323333, -90.434028"/>
    <n v="48"/>
    <s v=""/>
    <m/>
    <n v="6788"/>
    <n v="6788"/>
    <s v=""/>
    <m/>
    <n v="1"/>
    <n v="6788"/>
    <n v="6788"/>
    <m/>
    <m/>
    <m/>
    <m/>
    <n v="0"/>
    <n v="0.80951679430000001"/>
    <n v="5494.9999997083996"/>
    <n v="0"/>
    <m/>
    <n v="0.80951679430000001"/>
    <n v="0.81"/>
    <n v="5494.9999997083996"/>
    <n v="0"/>
    <n v="0"/>
    <n v="0"/>
    <n v="0"/>
    <s v="Elongata"/>
    <m/>
    <n v="7.3659398939304654E-3"/>
    <n v="50"/>
    <m/>
    <m/>
    <m/>
    <m/>
    <m/>
    <n v="50"/>
    <m/>
    <m/>
    <m/>
    <m/>
    <n v="1"/>
    <n v="1"/>
    <m/>
    <m/>
    <m/>
    <n v="0"/>
    <m/>
    <n v="0"/>
    <n v="0"/>
    <n v="0"/>
    <n v="0"/>
    <n v="0"/>
    <n v="0"/>
    <n v="1077019.9999428464"/>
    <n v="1077019.9999428464"/>
    <n v="8.8669950738916262E-3"/>
  </r>
  <r>
    <s v="GT0028"/>
    <x v="4"/>
    <x v="5"/>
    <n v="2029"/>
    <s v="Rolando Chinchilla Buezo"/>
    <n v="30027"/>
    <s v="Rolando Chinchilla Buezo"/>
    <s v="(502) 30220730"/>
    <x v="0"/>
    <s v="hamblin.duarte@gmail.com"/>
    <s v="1ª AVENIDA 8-22, ZONA 1, MUNICIPIO DE ESQUIPULAS, DEPAR-TAMENTO DE CHIQUIMULA"/>
    <s v="ALDEA TIMUSHAN, MUNICIPIO DE ESQUIPULAS, DEPARTAMENTO DE CHIQUIMULA"/>
    <x v="2"/>
    <s v="14.7237050, -89.1903883"/>
    <n v="7.1"/>
    <s v=""/>
    <m/>
    <n v="1000"/>
    <n v="1000"/>
    <s v=""/>
    <m/>
    <n v="1"/>
    <n v="1000"/>
    <n v="1000"/>
    <m/>
    <m/>
    <m/>
    <m/>
    <n v="0"/>
    <n v="0.75014183999999995"/>
    <n v="750.14184"/>
    <n v="0"/>
    <m/>
    <n v="0.75014183999999995"/>
    <n v="0.75"/>
    <n v="750.14184"/>
    <n v="0"/>
    <n v="0"/>
    <n v="0"/>
    <n v="0"/>
    <s v="Elongata"/>
    <m/>
    <n v="0.246"/>
    <n v="246"/>
    <m/>
    <m/>
    <m/>
    <m/>
    <n v="211"/>
    <n v="35"/>
    <m/>
    <m/>
    <m/>
    <m/>
    <n v="1"/>
    <n v="1"/>
    <m/>
    <m/>
    <m/>
    <n v="0"/>
    <m/>
    <n v="0"/>
    <n v="0"/>
    <n v="0"/>
    <n v="0"/>
    <n v="0"/>
    <n v="0"/>
    <n v="147027.80064"/>
    <n v="147027.80064"/>
    <n v="8.8669950738916262E-3"/>
  </r>
  <r>
    <s v="CR0047"/>
    <x v="4"/>
    <x v="5"/>
    <n v="2029"/>
    <s v="Francisco Ramirez"/>
    <n v="20043"/>
    <s v="Emidey Ramirez"/>
    <s v="506-8718-4363"/>
    <x v="2"/>
    <s v="fr308099@gmail.com"/>
    <s v="De la escuela Los Ángeles de Colinas de Puntarenas 700m al Sur Oeste"/>
    <s v="El distrito 6- Colinas Cantón 3-Buenos Aires de la provincia de Puntarenas Costa Rica"/>
    <x v="1"/>
    <s v="9.0522990, -83.4801100"/>
    <m/>
    <n v="7.4131503108889909"/>
    <m/>
    <n v="1200"/>
    <n v="1200"/>
    <s v=""/>
    <m/>
    <n v="1"/>
    <n v="1200"/>
    <n v="1200"/>
    <m/>
    <m/>
    <m/>
    <m/>
    <n v="0"/>
    <n v="0.95"/>
    <n v="1140"/>
    <n v="1018.8"/>
    <n v="0.84899999999999998"/>
    <n v="0.85"/>
    <n v="0.84899999999999998"/>
    <n v="1018.8"/>
    <n v="1018.8"/>
    <n v="0"/>
    <n v="0"/>
    <n v="0"/>
    <s v="P.elongata"/>
    <m/>
    <n v="0.13333333333333333"/>
    <n v="160"/>
    <m/>
    <m/>
    <m/>
    <m/>
    <n v="160"/>
    <m/>
    <m/>
    <m/>
    <m/>
    <m/>
    <n v="1"/>
    <n v="1"/>
    <n v="2024"/>
    <n v="16.87"/>
    <n v="8.7899999999999991"/>
    <n v="0.54937499999999995"/>
    <n v="3.99"/>
    <n v="0.22166666666666668"/>
    <n v="5.4937499999997649E-5"/>
    <n v="5.59703249999976E-2"/>
    <n v="7.98"/>
    <n v="8.7023197500000009"/>
    <n v="8865.9233612999997"/>
    <n v="199684.8"/>
    <n v="190818.87663869999"/>
    <n v="2.335"/>
  </r>
  <r>
    <s v="CR0049"/>
    <x v="4"/>
    <x v="5"/>
    <n v="2029"/>
    <s v="Gregorio Corella"/>
    <n v="20045"/>
    <s v="Gregorio Corella"/>
    <s v="8775-4304"/>
    <x v="2"/>
    <s v="corella30g@gmail.com"/>
    <s v="Asentamiento el Paraíso, 300 m Suroeste bazar Sandra"/>
    <s v="EL DISTRITO 14-SARAPIQUI CANTON 1-ALAJUELA DE LA PROVINCIA DE ALAJUELA, Costa Rica"/>
    <x v="1"/>
    <s v="10.4020950, -84.1630570"/>
    <m/>
    <n v="7.4131503108889909"/>
    <m/>
    <n v="1200"/>
    <n v="1200"/>
    <s v=""/>
    <m/>
    <n v="1"/>
    <n v="1200"/>
    <n v="1200"/>
    <m/>
    <m/>
    <m/>
    <m/>
    <n v="0"/>
    <n v="0.95"/>
    <n v="1140"/>
    <n v="806.40000000000009"/>
    <n v="0.67200000000000004"/>
    <n v="0.67"/>
    <n v="0.67200000000000004"/>
    <n v="806.40000000000009"/>
    <n v="806.40000000000009"/>
    <n v="0"/>
    <n v="0"/>
    <n v="0"/>
    <s v="P.elongata"/>
    <m/>
    <n v="0.1125"/>
    <n v="135"/>
    <m/>
    <m/>
    <m/>
    <m/>
    <n v="135"/>
    <m/>
    <m/>
    <m/>
    <m/>
    <m/>
    <n v="1"/>
    <n v="1"/>
    <n v="2024"/>
    <n v="12.55"/>
    <n v="10.41"/>
    <n v="0.65062500000000001"/>
    <n v="2.38"/>
    <n v="0.13222222222222221"/>
    <n v="1.7075002500000003"/>
    <n v="1376.9282016000004"/>
    <n v="4.76"/>
    <n v="0.37580099999999977"/>
    <n v="303.04592639999987"/>
    <n v="158054.40000000002"/>
    <n v="157751.35407360003"/>
    <n v="2.6033333333333335"/>
  </r>
  <r>
    <s v="CR0051"/>
    <x v="4"/>
    <x v="5"/>
    <n v="2029"/>
    <s v="Jeison Espinoza"/>
    <n v="20047"/>
    <s v="Jeison Espinoza"/>
    <s v="6033-5997"/>
    <x v="2"/>
    <s v="Jespinoza@colonos.com"/>
    <s v="750m NO de la iglesia Catolica de Tukankir 1, Guatuso Alajuela"/>
    <s v="el distrito 4-Katira Canton 15-Guatuso de la provincia de Alajuela"/>
    <x v="1"/>
    <s v="10.7634470, -84.8849640"/>
    <m/>
    <n v="8.0309128367964071"/>
    <m/>
    <n v="1300"/>
    <n v="1300"/>
    <s v=""/>
    <m/>
    <n v="1"/>
    <n v="1300"/>
    <n v="1300"/>
    <m/>
    <m/>
    <m/>
    <m/>
    <n v="0"/>
    <n v="0.95"/>
    <n v="1235"/>
    <n v="1235"/>
    <n v="0.95"/>
    <n v="0.95"/>
    <n v="0.95"/>
    <n v="1235"/>
    <n v="1235"/>
    <n v="0"/>
    <n v="0"/>
    <n v="0"/>
    <s v="P.elongata"/>
    <m/>
    <n v="6.1538461538461542E-2"/>
    <n v="80"/>
    <m/>
    <m/>
    <m/>
    <m/>
    <n v="80"/>
    <m/>
    <m/>
    <m/>
    <m/>
    <m/>
    <n v="1"/>
    <n v="1"/>
    <n v="2024"/>
    <n v="18.579999999999998"/>
    <n v="13.87"/>
    <n v="0.86687499999999995"/>
    <n v="4.01"/>
    <n v="0.22277777777777777"/>
    <n v="8.66874999999963E-5"/>
    <n v="0.10705906249999543"/>
    <n v="8.02"/>
    <n v="14.009046749999996"/>
    <n v="17301.172736249995"/>
    <n v="242060"/>
    <n v="224758.82726375002"/>
    <n v="2.3316666666666666"/>
  </r>
  <r>
    <s v="CR0052"/>
    <x v="4"/>
    <x v="5"/>
    <n v="2029"/>
    <s v="Jerry Myers"/>
    <n v="20048"/>
    <s v="Tengo Fuera S.A"/>
    <s v="506 8626 5530, 506-8910-8202, 239-851-2700"/>
    <x v="2"/>
    <s v="amaninchedda96@gmail.com, ily0523@hotmail.com, jerry.myers@gmail.com"/>
    <s v="Barrio Vasquez, San Rafael de Santa Ana. Del Centro de Desarrollo Humano 50m NO. Apartado postal: 75-6150 Santa Ana, San Jose, Costa Rica"/>
    <s v="el distrito 2-Desmonte canton 4-San Mateo de la provincia de Alajuela, Costa Rica"/>
    <x v="1"/>
    <s v="9.948961, -84.476863"/>
    <n v="12.04"/>
    <n v="14.826300621777982"/>
    <m/>
    <n v="2400"/>
    <n v="2400"/>
    <s v=""/>
    <m/>
    <n v="1"/>
    <n v="2400"/>
    <n v="2400"/>
    <m/>
    <m/>
    <m/>
    <m/>
    <n v="0"/>
    <n v="1"/>
    <n v="2400"/>
    <n v="2040"/>
    <n v="0.85"/>
    <n v="0.85"/>
    <n v="0.85"/>
    <n v="2040"/>
    <n v="2040"/>
    <n v="0"/>
    <n v="0"/>
    <n v="0"/>
    <s v="P.elongata"/>
    <m/>
    <n v="0.46666666666666667"/>
    <n v="1120"/>
    <m/>
    <m/>
    <n v="400"/>
    <n v="420"/>
    <n v="300"/>
    <m/>
    <m/>
    <m/>
    <m/>
    <m/>
    <n v="1"/>
    <n v="1"/>
    <n v="2024"/>
    <n v="17.850000000000001"/>
    <n v="11.37"/>
    <n v="0.71062499999999995"/>
    <n v="3.9"/>
    <n v="0.21666666666666667"/>
    <n v="7.1062500000000119E-3"/>
    <n v="14.496750000000024"/>
    <n v="7.8000000000000007"/>
    <n v="10.261425000000003"/>
    <n v="20933.307000000004"/>
    <n v="399840"/>
    <n v="378906.69299999997"/>
    <n v="2.35"/>
  </r>
  <r>
    <s v="CR0053"/>
    <x v="4"/>
    <x v="5"/>
    <n v="2029"/>
    <s v="Jose Eduardo Esquivel "/>
    <n v="20049"/>
    <s v="Jose Eduardo Esquivel "/>
    <s v="8820-9988, 8920-9639"/>
    <x v="2"/>
    <s v="Fernando.esquivel.arce@gmail.com, pardosc123@gmail.com"/>
    <s v="150m noreste del puente la cazuela, San Pablo. Ciudad Quesada."/>
    <s v="Bajo de Chilamate, del rancho Magallanes 800m este, 200m sur y 400m este"/>
    <x v="1"/>
    <s v="10.4592560, -84.0859000"/>
    <m/>
    <n v="6.1776252590741585"/>
    <m/>
    <n v="1000"/>
    <n v="1000"/>
    <s v=""/>
    <m/>
    <n v="1"/>
    <n v="1000"/>
    <n v="1000"/>
    <m/>
    <m/>
    <m/>
    <m/>
    <n v="0"/>
    <n v="1"/>
    <n v="1000"/>
    <n v="953"/>
    <n v="0.95299999999999996"/>
    <n v="0.95"/>
    <n v="0.95299999999999996"/>
    <n v="953"/>
    <n v="953"/>
    <n v="0"/>
    <n v="0"/>
    <n v="0"/>
    <s v="P.elongata"/>
    <m/>
    <n v="0.05"/>
    <n v="50"/>
    <m/>
    <m/>
    <m/>
    <n v="50"/>
    <m/>
    <m/>
    <m/>
    <m/>
    <m/>
    <m/>
    <n v="1"/>
    <n v="1"/>
    <n v="2024"/>
    <n v="23.51"/>
    <n v="18.59"/>
    <n v="1.161875"/>
    <n v="4.4400000000000004"/>
    <n v="0.2466666666666667"/>
    <n v="0.22493900000000042"/>
    <n v="214.36686700000038"/>
    <n v="8.8800000000000008"/>
    <n v="27.669356000000008"/>
    <n v="26368.896268000008"/>
    <n v="186788"/>
    <n v="160419.10373199999"/>
    <n v="2.2599999999999998"/>
  </r>
  <r>
    <s v="CR0059"/>
    <x v="4"/>
    <x v="5"/>
    <n v="2029"/>
    <s v="Marianela Campos"/>
    <n v="20055"/>
    <s v="Marianela Campos Campos"/>
    <s v="506-8580-1567, 506-8525-3436"/>
    <x v="2"/>
    <s v="vane18ka471@gmail.com"/>
    <s v="Upala Centro, 150m Norte del MAG"/>
    <s v="el distrito 2-Cano Negro, canton 14-Los Chiles de la provincia de Alajuela, Costa Rica"/>
    <x v="1"/>
    <s v="10.8637164, -84.8670888"/>
    <n v="11.94"/>
    <n v="12.355250518148317"/>
    <m/>
    <n v="2000"/>
    <n v="2000"/>
    <s v=""/>
    <m/>
    <n v="1"/>
    <n v="2000"/>
    <n v="2000"/>
    <m/>
    <m/>
    <m/>
    <m/>
    <n v="0"/>
    <n v="1"/>
    <n v="2000"/>
    <n v="1236"/>
    <n v="0.61799999999999999"/>
    <n v="0.62"/>
    <n v="0.61799999999999999"/>
    <n v="600"/>
    <n v="600"/>
    <n v="0"/>
    <n v="0"/>
    <n v="0"/>
    <s v="P.elongata"/>
    <m/>
    <n v="0"/>
    <n v="0"/>
    <m/>
    <m/>
    <m/>
    <m/>
    <m/>
    <m/>
    <m/>
    <m/>
    <m/>
    <m/>
    <n v="1"/>
    <n v="1"/>
    <n v="2024"/>
    <n v="12.55"/>
    <n v="9.9499999999999993"/>
    <n v="0.62187499999999996"/>
    <n v="2.3199999999999998"/>
    <n v="0.12888888888888889"/>
    <n v="1.7551800000000002"/>
    <n v="1053.1080000000002"/>
    <n v="4.6399999999999997"/>
    <n v="0.25471999999999972"/>
    <n v="152.83199999999982"/>
    <n v="117600"/>
    <n v="117447.16800000001"/>
    <n v="2.6133333333333333"/>
  </r>
  <r>
    <s v="CR0060"/>
    <x v="4"/>
    <x v="5"/>
    <n v="2029"/>
    <s v="Marleni Oporta Castillo"/>
    <n v="20056"/>
    <s v="Marleni Oporta Castillo"/>
    <s v="8577-7454"/>
    <x v="2"/>
    <s v="sibethlopez2001@gmail.com"/>
    <s v="De la escuela San Luis 600m Norte, parcela 33. San Luis de Dos Rios"/>
    <s v="el distrito 6-dos rios canton 13-upala de la provincia de alajuela, Costa Rica"/>
    <x v="1"/>
    <s v="10.937500, -85.365000"/>
    <m/>
    <n v="12.355250518148317"/>
    <m/>
    <n v="2000"/>
    <n v="2000"/>
    <s v=""/>
    <m/>
    <n v="1"/>
    <n v="2000"/>
    <n v="2000"/>
    <m/>
    <m/>
    <m/>
    <m/>
    <n v="0"/>
    <n v="1"/>
    <n v="2000"/>
    <n v="1562"/>
    <n v="0.78100000000000003"/>
    <n v="0.78"/>
    <n v="0.78100000000000003"/>
    <n v="1562"/>
    <n v="1562"/>
    <n v="0"/>
    <n v="0"/>
    <n v="0"/>
    <s v="P.elongata"/>
    <m/>
    <n v="0.215"/>
    <n v="430"/>
    <m/>
    <m/>
    <m/>
    <n v="430"/>
    <m/>
    <m/>
    <m/>
    <m/>
    <m/>
    <m/>
    <n v="1"/>
    <n v="1"/>
    <n v="2024"/>
    <n v="16.2"/>
    <n v="12.97"/>
    <n v="0.81062500000000004"/>
    <n v="2.2200000000000002"/>
    <n v="0.12333333333333335"/>
    <n v="2.5683842499999994"/>
    <n v="4011.8161984999988"/>
    <n v="4.4400000000000004"/>
    <n v="0.1569370000000003"/>
    <n v="245.13559400000045"/>
    <n v="306152"/>
    <n v="305906.86440600001"/>
    <n v="2.63"/>
  </r>
  <r>
    <s v="CR0061"/>
    <x v="4"/>
    <x v="5"/>
    <n v="2029"/>
    <s v="Mayela Quesada"/>
    <n v="20027"/>
    <s v="Mayela Quesada"/>
    <s v="50683838815, 83838815"/>
    <x v="2"/>
    <s v="mquesada@agricoladelcafetal.com"/>
    <s v="Lourdes de Naranjo, 709, Alajuela Province, Naranjo de Alajuela, Costa Rica"/>
    <s v="10.1525978335, -84.3586197692; 10,1552646 -843609432"/>
    <x v="1"/>
    <s v="10.1525978335, -84.3586197692"/>
    <m/>
    <n v="3.0888126295370792"/>
    <m/>
    <n v="500"/>
    <n v="500"/>
    <s v=""/>
    <m/>
    <n v="1"/>
    <n v="500"/>
    <n v="500"/>
    <m/>
    <m/>
    <m/>
    <m/>
    <n v="0"/>
    <n v="0.6"/>
    <n v="300"/>
    <n v="321.5"/>
    <n v="0.64300000000000002"/>
    <n v="0.64"/>
    <n v="0.64300000000000002"/>
    <n v="321.5"/>
    <n v="321.5"/>
    <n v="0"/>
    <n v="0"/>
    <n v="0"/>
    <s v="P.elongata"/>
    <m/>
    <n v="0.4"/>
    <n v="200"/>
    <m/>
    <m/>
    <m/>
    <m/>
    <n v="200"/>
    <m/>
    <m/>
    <m/>
    <m/>
    <m/>
    <n v="1"/>
    <n v="1"/>
    <n v="2024"/>
    <n v="11.89"/>
    <n v="5.24"/>
    <n v="0.32750000000000001"/>
    <n v="2.66"/>
    <n v="0.14777777777777779"/>
    <n v="0.58805899999999989"/>
    <n v="189.06096849999997"/>
    <n v="5.32"/>
    <n v="0.57063600000000025"/>
    <n v="183.45947400000009"/>
    <n v="63014"/>
    <n v="62830.540525999997"/>
    <n v="2.5566666666666666"/>
  </r>
  <r>
    <s v="CR0062"/>
    <x v="4"/>
    <x v="5"/>
    <n v="2029"/>
    <s v="Mercedes Barboza"/>
    <n v="20057"/>
    <s v="Mercedez Barboza"/>
    <s v="87512200, 8363-3137"/>
    <x v="2"/>
    <s v="diegobarboza2062@gmail.com"/>
    <s v="900m de la escuela los Ceibos, la Unión de Guatuso"/>
    <s v="el distrito 2-Buena Vista, cantón 15-Guatuso de la provincia de Alajuela, Costa Rica"/>
    <x v="1"/>
    <s v="10.7950000, -84.8722222"/>
    <n v="5.7"/>
    <n v="7.4131503108889909"/>
    <m/>
    <n v="1200"/>
    <n v="1200"/>
    <s v=""/>
    <m/>
    <n v="1"/>
    <n v="1200"/>
    <n v="1200"/>
    <m/>
    <m/>
    <m/>
    <m/>
    <n v="0"/>
    <n v="1"/>
    <n v="1200"/>
    <n v="1062"/>
    <n v="0.88500000000000001"/>
    <n v="0.89"/>
    <n v="0.88500000000000001"/>
    <n v="1062"/>
    <n v="1062"/>
    <n v="0"/>
    <n v="0"/>
    <n v="0"/>
    <s v="P.elongata"/>
    <m/>
    <n v="0.19666666666666666"/>
    <n v="236"/>
    <m/>
    <m/>
    <m/>
    <m/>
    <n v="236"/>
    <m/>
    <m/>
    <m/>
    <m/>
    <m/>
    <n v="1"/>
    <n v="1"/>
    <n v="2024"/>
    <n v="17.760000000000002"/>
    <n v="14.64"/>
    <n v="0.91500000000000004"/>
    <n v="4.1100000000000003"/>
    <n v="0.22833333333333336"/>
    <n v="1.1071500000000066E-2"/>
    <n v="11.757933000000071"/>
    <n v="8.2200000000000006"/>
    <n v="16.294686000000006"/>
    <n v="17304.956532000007"/>
    <n v="208152"/>
    <n v="190847.04346799999"/>
    <n v="2.3149999999999999"/>
  </r>
  <r>
    <s v="CR0063"/>
    <x v="4"/>
    <x v="5"/>
    <n v="2029"/>
    <s v="Olger Monge"/>
    <n v="20058"/>
    <s v="Olger Monge"/>
    <s v="7132-5754, 87123143"/>
    <x v="2"/>
    <s v="ser1229@yahoo.es, olgermonge04@gmail.com"/>
    <s v="San José de Acosta Chirraca, contiguo a la terminal de buses Monge, casa color amarilla"/>
    <s v="distrito 3-Palmichal, cantón 12-Acosta de la provincia de San José, Costa Rica"/>
    <x v="1"/>
    <s v="9.822226, -84.173046"/>
    <m/>
    <n v="3.7065751554444955"/>
    <m/>
    <n v="600"/>
    <n v="600"/>
    <s v=""/>
    <m/>
    <n v="1"/>
    <n v="600"/>
    <n v="600"/>
    <m/>
    <m/>
    <m/>
    <m/>
    <n v="0"/>
    <n v="0.95"/>
    <n v="570"/>
    <n v="574.79999999999995"/>
    <n v="0.95799999999999996"/>
    <n v="0.96"/>
    <n v="0.95799999999999996"/>
    <n v="574.79999999999995"/>
    <n v="574.79999999999995"/>
    <n v="0"/>
    <n v="0"/>
    <n v="0"/>
    <s v="P.elongata"/>
    <m/>
    <n v="0.2"/>
    <n v="120"/>
    <m/>
    <m/>
    <m/>
    <m/>
    <n v="120"/>
    <m/>
    <m/>
    <m/>
    <m/>
    <m/>
    <n v="1"/>
    <n v="1"/>
    <n v="2024"/>
    <n v="21.14"/>
    <n v="12.63"/>
    <n v="0.78937500000000005"/>
    <n v="4.9400000000000004"/>
    <n v="0.27444444444444449"/>
    <n v="0.69749175000000063"/>
    <n v="400.91825790000036"/>
    <n v="9.8800000000000008"/>
    <n v="27.29216700000001"/>
    <n v="15687.537591600005"/>
    <n v="112660.79999999999"/>
    <n v="96973.262408399984"/>
    <n v="2.1766666666666663"/>
  </r>
  <r>
    <s v="CR0065"/>
    <x v="4"/>
    <x v="5"/>
    <n v="2029"/>
    <s v="Roy Damian Campos"/>
    <n v="20060"/>
    <s v="Roy Damian Campos"/>
    <s v="89805576"/>
    <x v="2"/>
    <s v="cazuca.czc@gmail.com"/>
    <s v="300 metros oeste de la Gasolinera La Lucha, La Tigra San Carlos"/>
    <s v="EN EL DISTRITO 8-ANGELES CANTON 2-SAN RAMON DE LA PROVINCIA DE ALAJUELA"/>
    <x v="1"/>
    <s v="10.3508, -84.6472"/>
    <n v="8.3450000000000006"/>
    <n v="10.50196294042607"/>
    <m/>
    <n v="1700"/>
    <n v="1700"/>
    <s v=""/>
    <m/>
    <n v="1"/>
    <n v="1700"/>
    <n v="1700"/>
    <m/>
    <m/>
    <m/>
    <m/>
    <n v="0"/>
    <n v="1"/>
    <n v="1700"/>
    <n v="1609.8999999999999"/>
    <n v="0.94699999999999995"/>
    <n v="0.95"/>
    <n v="0.94699999999999995"/>
    <n v="1609.8999999999999"/>
    <n v="1609.8999999999999"/>
    <n v="0"/>
    <n v="0"/>
    <n v="0"/>
    <s v="P.elongata"/>
    <m/>
    <n v="5.8823529411764705E-2"/>
    <n v="100"/>
    <m/>
    <m/>
    <m/>
    <n v="100"/>
    <m/>
    <m/>
    <m/>
    <m/>
    <m/>
    <m/>
    <n v="1"/>
    <n v="1"/>
    <n v="2024"/>
    <n v="22.08"/>
    <n v="15.91"/>
    <n v="0.99437500000000001"/>
    <n v="4.05"/>
    <n v="0.22499999999999998"/>
    <n v="2.4859374999999825E-3"/>
    <n v="4.0021107812499714"/>
    <n v="8.1"/>
    <n v="16.715443749999999"/>
    <n v="26910.192893124997"/>
    <n v="315540.39999999997"/>
    <n v="288630.20710687496"/>
    <n v="2.3249999999999997"/>
  </r>
  <r>
    <s v="CR0066"/>
    <x v="4"/>
    <x v="5"/>
    <n v="2029"/>
    <s v="Victor Godinez"/>
    <n v="20061"/>
    <s v="AGRICOLA BUENA VISTA EL ALTO S.A"/>
    <s v="506 8868-9602, 8868-9602"/>
    <x v="2"/>
    <s v="buenavistaagricola@gmail.com"/>
    <s v="100N de la esucla de San Lorenzo de Tarrazu, San Jose, Costa Rica"/>
    <s v="9.584145, -84.044777"/>
    <x v="1"/>
    <s v="9.584145, -84.044777"/>
    <m/>
    <n v="6.1776252590741585"/>
    <m/>
    <n v="1000"/>
    <n v="1000"/>
    <s v=""/>
    <m/>
    <n v="1"/>
    <n v="1000"/>
    <n v="1000"/>
    <m/>
    <m/>
    <m/>
    <m/>
    <n v="0"/>
    <n v="0.95"/>
    <n v="950"/>
    <n v="827"/>
    <n v="0.82699999999999996"/>
    <n v="0.83"/>
    <n v="0.82699999999999996"/>
    <n v="827"/>
    <n v="827"/>
    <n v="0"/>
    <n v="0"/>
    <n v="0"/>
    <s v="P.elongata"/>
    <m/>
    <n v="0.12"/>
    <n v="120"/>
    <m/>
    <m/>
    <m/>
    <m/>
    <n v="120"/>
    <m/>
    <m/>
    <m/>
    <m/>
    <m/>
    <n v="1"/>
    <n v="1"/>
    <n v="2024"/>
    <n v="17.28"/>
    <n v="12.43"/>
    <n v="0.77687499999999998"/>
    <n v="3.7"/>
    <n v="0.20555555555555557"/>
    <n v="6.9918749999999918E-2"/>
    <n v="57.822806249999935"/>
    <n v="7.4"/>
    <n v="8.9806750000000015"/>
    <n v="7427.0182250000016"/>
    <n v="162092"/>
    <n v="154664.98177499999"/>
    <n v="2.3833333333333333"/>
  </r>
  <r>
    <s v="CR0068"/>
    <x v="4"/>
    <x v="5"/>
    <n v="2029"/>
    <s v="Wilberth Jesus Alfaro"/>
    <n v="20063"/>
    <s v="Wilberth Jesus Alfaro"/>
    <s v="506-8983-8148, 506-8505-5669, 506-8318-5891"/>
    <x v="2"/>
    <s v="eve_728@hotmail.com"/>
    <s v="Diagonal a ferreteria Canlete en Canelete de Upala"/>
    <s v="el distrito 8-Canalete canton 13-Uplala de la provincia de Alajuela, Costa Rica"/>
    <x v="1"/>
    <s v="10.8283, -85.0779"/>
    <n v="12.25"/>
    <n v="12.355250518148317"/>
    <m/>
    <n v="2000"/>
    <n v="2000"/>
    <s v=""/>
    <m/>
    <n v="1"/>
    <n v="2000"/>
    <n v="2000"/>
    <m/>
    <m/>
    <m/>
    <m/>
    <n v="0"/>
    <n v="0.91"/>
    <n v="1820"/>
    <n v="1514"/>
    <n v="0.75700000000000001"/>
    <n v="0.76"/>
    <n v="0.75700000000000001"/>
    <n v="1514"/>
    <n v="1514"/>
    <n v="0"/>
    <n v="0"/>
    <n v="0"/>
    <s v="P.elongata"/>
    <m/>
    <n v="0.02"/>
    <n v="40"/>
    <m/>
    <m/>
    <m/>
    <m/>
    <n v="40"/>
    <m/>
    <m/>
    <m/>
    <m/>
    <m/>
    <n v="1"/>
    <n v="1"/>
    <n v="2024"/>
    <n v="24.04"/>
    <n v="18.63"/>
    <n v="1.1643749999999999"/>
    <n v="4.0199999999999996"/>
    <n v="0.2233333333333333"/>
    <n v="4.6574999999998012E-4"/>
    <n v="0.70514549999996989"/>
    <n v="8.0399999999999991"/>
    <n v="19.004462999999991"/>
    <n v="28772.756981999984"/>
    <n v="296744"/>
    <n v="267971.24301800004"/>
    <n v="2.33"/>
  </r>
  <r>
    <s v="CR0069"/>
    <x v="4"/>
    <x v="5"/>
    <n v="2029"/>
    <s v="Wilman Alvarado"/>
    <n v="20064"/>
    <s v="Wilman Alvarado"/>
    <s v="506-8875-4687"/>
    <x v="2"/>
    <s v="wtecnifrutas@gmail.com"/>
    <s v="Santa Isabel Rio Cuarto de Alajuela"/>
    <s v="10.058027, -84.456474"/>
    <x v="1"/>
    <s v="10.057484, -84.4583290"/>
    <m/>
    <n v="6.1776252590741585"/>
    <m/>
    <n v="1000"/>
    <n v="1000"/>
    <s v=""/>
    <m/>
    <n v="1"/>
    <n v="1000"/>
    <n v="1000"/>
    <m/>
    <m/>
    <m/>
    <m/>
    <n v="0"/>
    <n v="1"/>
    <n v="1000"/>
    <n v="580"/>
    <n v="0.57999999999999996"/>
    <n v="0.57999999999999996"/>
    <n v="0.57999999999999996"/>
    <n v="580"/>
    <n v="580"/>
    <n v="0"/>
    <n v="0"/>
    <n v="0"/>
    <s v="P.elongata"/>
    <m/>
    <n v="0.29199999999999998"/>
    <n v="292"/>
    <m/>
    <m/>
    <m/>
    <n v="230"/>
    <n v="62"/>
    <m/>
    <m/>
    <m/>
    <m/>
    <m/>
    <n v="1"/>
    <n v="1"/>
    <n v="2024"/>
    <n v="10.29"/>
    <n v="5.83"/>
    <n v="0.364375"/>
    <n v="2.14"/>
    <n v="0.11888888888888889"/>
    <n v="1.2605917499999999"/>
    <n v="731.14321499999994"/>
    <n v="4.28"/>
    <n v="2.8567000000000051E-2"/>
    <n v="16.568860000000029"/>
    <n v="113680"/>
    <n v="113663.43114"/>
    <n v="2.6433333333333331"/>
  </r>
  <r>
    <s v="GT0018"/>
    <x v="4"/>
    <x v="5"/>
    <n v="2029"/>
    <s v="Carlos López"/>
    <n v="30018"/>
    <s v="Emilia Beatriz Lopez Letona"/>
    <s v="(502) 54049842"/>
    <x v="2"/>
    <s v="bittylopez@hotmail.com"/>
    <s v="FINCA PANAMÁ, MUNICIPIO DE FLORES COSTA CUCA, DEPARTAMENTO DE QUETZALTENANGO"/>
    <s v="FINCA PANAMÁ, MUNICIPIO DE FLORES COSTA CUCA, DEPARTAMENTO DE QUETZALTENANGO"/>
    <x v="2"/>
    <s v="14.664795, -91.860090"/>
    <n v="22.6"/>
    <n v="24.09090909090909"/>
    <m/>
    <n v="2650"/>
    <n v="2650"/>
    <s v=""/>
    <m/>
    <n v="1"/>
    <n v="2650"/>
    <n v="2650"/>
    <m/>
    <m/>
    <m/>
    <m/>
    <n v="0"/>
    <n v="0.74312650188679252"/>
    <n v="1969.2852300000002"/>
    <n v="2493.6499999999996"/>
    <n v="0.94099999999999995"/>
    <n v="0.94"/>
    <n v="0.94099999999999995"/>
    <n v="2493.6499999999996"/>
    <n v="2493.6499999999996"/>
    <n v="0"/>
    <n v="0"/>
    <n v="0"/>
    <s v="Elongata"/>
    <m/>
    <n v="0.87056603773584906"/>
    <n v="2307"/>
    <m/>
    <m/>
    <n v="1325"/>
    <m/>
    <n v="982"/>
    <m/>
    <m/>
    <m/>
    <m/>
    <m/>
    <n v="1"/>
    <n v="1"/>
    <n v="2024"/>
    <n v="13.13"/>
    <n v="0.17"/>
    <n v="1.0625000000000001E-2"/>
    <n v="1.88"/>
    <n v="0.10444444444444444"/>
    <n v="4.7753000000000011E-2"/>
    <n v="119.07926845000001"/>
    <n v="3.76"/>
    <n v="6.1200000000000111E-4"/>
    <n v="1.5261138000000025"/>
    <n v="488755.39999999991"/>
    <n v="488753.8738861999"/>
    <n v="2.686666666666667"/>
  </r>
  <r>
    <s v="GT0024a"/>
    <x v="4"/>
    <x v="5"/>
    <n v="2029"/>
    <s v="Julio Francisco Morán Pérez"/>
    <n v="30023"/>
    <s v="Julio Francisco Morán Pérez"/>
    <s v="(502) 56972396"/>
    <x v="2"/>
    <s v="julmora213@gmail.com"/>
    <s v="14 A VENIDA LAS AMERICAS 7-62, ZONA 3, EDIFICIO TORRE PRADE­RA XELA, OCTAVO NTVEL, OFTCTNA 812, MUNTCTPTO DE QUETZALTENANGO, DEPARTAMENTO DE QUETZAL TENA NGO"/>
    <s v="FTNCA 4 PTLARES DE LAS PAULOWNTAS, MUNTCTPTO DE EL PALMAR, DEPARTAMENTO DE QUETZALTENANGO"/>
    <x v="2"/>
    <s v="14.696111, -91.608056"/>
    <n v="40.1"/>
    <n v="47.454545454545453"/>
    <m/>
    <n v="5220"/>
    <n v="5220"/>
    <s v=""/>
    <m/>
    <n v="1"/>
    <n v="5220"/>
    <n v="5220"/>
    <m/>
    <m/>
    <m/>
    <m/>
    <n v="0"/>
    <n v="0.82858216683583918"/>
    <n v="4325.1989108830803"/>
    <n v="0"/>
    <m/>
    <n v="0.82858216683583918"/>
    <n v="0.82858216683583918"/>
    <n v="4325.1989108830803"/>
    <n v="4325.1989108830803"/>
    <n v="0"/>
    <n v="0"/>
    <n v="0"/>
    <s v="Elongata"/>
    <m/>
    <n v="0.864176245210728"/>
    <n v="4511"/>
    <m/>
    <m/>
    <m/>
    <m/>
    <n v="4511"/>
    <m/>
    <m/>
    <m/>
    <m/>
    <m/>
    <n v="1"/>
    <n v="1"/>
    <m/>
    <m/>
    <m/>
    <n v="0"/>
    <m/>
    <n v="0"/>
    <n v="0"/>
    <n v="0"/>
    <n v="0"/>
    <n v="0"/>
    <n v="0"/>
    <n v="847738.98653308372"/>
    <n v="847738.98653308372"/>
    <n v="8.8669950738916262E-3"/>
  </r>
  <r>
    <s v="MX0013"/>
    <x v="4"/>
    <x v="5"/>
    <n v="2029"/>
    <s v="Juan Chavez Calderon"/>
    <n v="40012"/>
    <s v="Juan Chavez Calderon"/>
    <s v="352-107-7863"/>
    <x v="2"/>
    <s v="jcagronegocios022@hotmail.com"/>
    <s v="Blvd. Adolfo Lopez Mateos, Centro, La Piedad, Michoacan. CP 59300. Mexico"/>
    <s v="Presa Vieja y el Guamuchil, Taguiscuareo, La Piedad, Michoacan. CP 59300, Mexico"/>
    <x v="3"/>
    <s v="20.253389, -102.084111"/>
    <n v="9.9"/>
    <n v="12.355108275676161"/>
    <m/>
    <n v="2750"/>
    <n v="2750"/>
    <s v=""/>
    <m/>
    <n v="1"/>
    <n v="2750"/>
    <n v="2750"/>
    <m/>
    <m/>
    <m/>
    <m/>
    <n v="0"/>
    <n v="0.66"/>
    <n v="1815"/>
    <n v="0"/>
    <m/>
    <n v="0.66"/>
    <n v="0.66"/>
    <n v="1815"/>
    <n v="1815"/>
    <n v="0"/>
    <n v="0"/>
    <n v="0"/>
    <m/>
    <m/>
    <n v="0"/>
    <n v="0"/>
    <m/>
    <m/>
    <m/>
    <m/>
    <m/>
    <m/>
    <m/>
    <m/>
    <m/>
    <m/>
    <n v="1"/>
    <n v="1"/>
    <m/>
    <m/>
    <m/>
    <n v="0"/>
    <m/>
    <n v="0"/>
    <n v="0"/>
    <n v="0"/>
    <n v="0"/>
    <n v="0"/>
    <n v="0"/>
    <n v="355740"/>
    <n v="355740"/>
    <n v="8.8669950738916262E-3"/>
  </r>
  <r>
    <s v="MX0005"/>
    <x v="4"/>
    <x v="5"/>
    <n v="2029"/>
    <s v="Arturo Arguelles Barradas"/>
    <n v="40005"/>
    <s v="Arturo Arguelles Barradas"/>
    <s v="287.110.7413"/>
    <x v="0"/>
    <s v="aarguelles03b@gmail.com"/>
    <s v="Calle Rio Jaltepec no . 7 4, fraccionamiento Lomas del Rio Medio 3, Zamora, Veracruz. 91809. Mex ico"/>
    <s v="Calle Rio Jaltepec no . 74, fraccionamiento Lomas del R io Med io 3, Zamora, Veracruz. 91809, Mexico"/>
    <x v="3"/>
    <s v="17.523197, -95.390517"/>
    <m/>
    <s v=""/>
    <m/>
    <n v="1100"/>
    <n v="1100"/>
    <s v=""/>
    <m/>
    <n v="1"/>
    <n v="1100"/>
    <n v="1100"/>
    <m/>
    <m/>
    <m/>
    <m/>
    <n v="0"/>
    <n v="0.95"/>
    <n v="1045"/>
    <n v="0"/>
    <m/>
    <n v="0.95"/>
    <n v="0.95"/>
    <n v="1045"/>
    <n v="1045"/>
    <n v="0"/>
    <n v="0"/>
    <n v="0"/>
    <m/>
    <m/>
    <n v="0"/>
    <n v="0"/>
    <m/>
    <m/>
    <m/>
    <m/>
    <m/>
    <m/>
    <m/>
    <m/>
    <m/>
    <m/>
    <n v="1"/>
    <n v="1"/>
    <m/>
    <m/>
    <m/>
    <n v="0"/>
    <m/>
    <n v="0"/>
    <n v="0"/>
    <n v="0"/>
    <n v="0"/>
    <n v="0"/>
    <n v="0"/>
    <n v="204820"/>
    <n v="204820"/>
    <n v="8.8669950738916262E-3"/>
  </r>
  <r>
    <s v="MX0006"/>
    <x v="4"/>
    <x v="5"/>
    <n v="0"/>
    <s v="Cesar Aaron Olquin Jimenez"/>
    <n v="40006"/>
    <s v="Cesar Aaron Olquin Jimenez"/>
    <m/>
    <x v="1"/>
    <m/>
    <m/>
    <m/>
    <x v="3"/>
    <m/>
    <m/>
    <s v=""/>
    <m/>
    <n v="7700"/>
    <n v="7700"/>
    <s v=""/>
    <m/>
    <n v="1"/>
    <n v="7700"/>
    <n v="7700"/>
    <m/>
    <m/>
    <m/>
    <m/>
    <n v="0"/>
    <n v="0"/>
    <n v="0"/>
    <n v="0"/>
    <n v="0"/>
    <n v="0"/>
    <n v="0"/>
    <n v="0"/>
    <n v="0"/>
    <n v="0"/>
    <n v="0"/>
    <n v="0"/>
    <m/>
    <m/>
    <n v="0"/>
    <n v="0"/>
    <m/>
    <m/>
    <m/>
    <m/>
    <m/>
    <m/>
    <m/>
    <m/>
    <m/>
    <m/>
    <n v="1"/>
    <n v="1"/>
    <m/>
    <m/>
    <m/>
    <n v="0"/>
    <m/>
    <n v="0"/>
    <n v="0"/>
    <n v="0"/>
    <n v="0"/>
    <n v="0"/>
    <n v="0"/>
    <n v="0"/>
    <n v="0"/>
    <n v="18"/>
  </r>
  <r>
    <s v="MX0007"/>
    <x v="5"/>
    <x v="5"/>
    <n v="0"/>
    <s v="Cesar Aaron Olquin Jimenez"/>
    <n v="40006"/>
    <s v="Cesar Aaron Olquin Jimenez"/>
    <m/>
    <x v="1"/>
    <m/>
    <m/>
    <m/>
    <x v="3"/>
    <m/>
    <m/>
    <s v=""/>
    <m/>
    <n v="14300"/>
    <n v="14300"/>
    <s v=""/>
    <m/>
    <n v="1"/>
    <n v="14300"/>
    <n v="14300"/>
    <m/>
    <m/>
    <m/>
    <m/>
    <n v="0"/>
    <n v="0"/>
    <n v="0"/>
    <n v="0"/>
    <n v="0"/>
    <n v="0"/>
    <n v="0"/>
    <n v="0"/>
    <n v="0"/>
    <n v="0"/>
    <n v="0"/>
    <n v="0"/>
    <m/>
    <m/>
    <n v="0"/>
    <n v="0"/>
    <m/>
    <m/>
    <m/>
    <m/>
    <m/>
    <m/>
    <m/>
    <m/>
    <m/>
    <m/>
    <n v="1"/>
    <n v="1"/>
    <m/>
    <m/>
    <m/>
    <n v="0"/>
    <m/>
    <n v="0"/>
    <n v="0"/>
    <n v="0"/>
    <n v="0"/>
    <n v="0"/>
    <n v="0"/>
    <n v="0"/>
    <n v="0"/>
    <n v="18"/>
  </r>
  <r>
    <s v="MX0008"/>
    <x v="5"/>
    <x v="5"/>
    <n v="0"/>
    <s v="Heriberto Mendoza Villegas"/>
    <n v="40007"/>
    <s v="Dionicio Mendoza Rinconcillo"/>
    <m/>
    <x v="1"/>
    <m/>
    <m/>
    <m/>
    <x v="3"/>
    <m/>
    <m/>
    <s v=""/>
    <m/>
    <n v="5500"/>
    <n v="5500"/>
    <s v=""/>
    <m/>
    <n v="1"/>
    <n v="5500"/>
    <n v="5500"/>
    <m/>
    <m/>
    <m/>
    <m/>
    <n v="0"/>
    <n v="0"/>
    <n v="0"/>
    <n v="0"/>
    <n v="0"/>
    <n v="0"/>
    <n v="0"/>
    <n v="0"/>
    <n v="0"/>
    <n v="0"/>
    <n v="0"/>
    <n v="0"/>
    <m/>
    <m/>
    <n v="0"/>
    <n v="0"/>
    <m/>
    <m/>
    <m/>
    <m/>
    <m/>
    <m/>
    <m/>
    <m/>
    <m/>
    <m/>
    <n v="1"/>
    <n v="1"/>
    <m/>
    <m/>
    <m/>
    <n v="0"/>
    <m/>
    <n v="0"/>
    <n v="0"/>
    <n v="0"/>
    <n v="0"/>
    <n v="0"/>
    <n v="0"/>
    <n v="0"/>
    <n v="0"/>
    <n v="18"/>
  </r>
  <r>
    <s v="US0052"/>
    <x v="4"/>
    <x v="5"/>
    <n v="2029"/>
    <s v="Andy Youngblood"/>
    <n v="10045"/>
    <s v="Andy Youngblood"/>
    <s v="479-243-5423"/>
    <x v="2"/>
    <s v="info@youngbloodfarm.com"/>
    <s v="173 Polk Rd 252, Grannis, AR, USA 71944"/>
    <s v="173 Polk Rd 252, Grannis, AR 71944, USA"/>
    <x v="0"/>
    <s v="34.2594, -94.2761; 34.3301, -94.3201"/>
    <n v="16"/>
    <n v="10"/>
    <s v="Y"/>
    <n v="1100"/>
    <n v="1100"/>
    <s v=""/>
    <m/>
    <n v="1"/>
    <n v="1100"/>
    <n v="1100"/>
    <m/>
    <m/>
    <m/>
    <m/>
    <n v="0"/>
    <n v="0.82499999999999996"/>
    <n v="907.5"/>
    <n v="0"/>
    <m/>
    <n v="0.82499999999999996"/>
    <n v="0.82499999999999996"/>
    <n v="907.5"/>
    <n v="907.5"/>
    <n v="0"/>
    <n v="0"/>
    <n v="0"/>
    <s v="Fortunei"/>
    <n v="18"/>
    <n v="0.36363636363636365"/>
    <n v="400"/>
    <m/>
    <m/>
    <m/>
    <m/>
    <n v="400"/>
    <m/>
    <m/>
    <m/>
    <m/>
    <m/>
    <n v="1"/>
    <n v="1"/>
    <m/>
    <m/>
    <m/>
    <n v="0"/>
    <m/>
    <n v="0"/>
    <n v="0"/>
    <n v="0"/>
    <n v="0"/>
    <n v="0"/>
    <n v="0"/>
    <n v="177870"/>
    <n v="177870"/>
    <n v="8.8669950738916262E-3"/>
  </r>
  <r>
    <s v="MX0010"/>
    <x v="5"/>
    <x v="5"/>
    <n v="0"/>
    <s v="Víctor Manuel Godínez Martínez"/>
    <n v="40009"/>
    <s v="Jesus Enriquez Magana"/>
    <m/>
    <x v="1"/>
    <m/>
    <m/>
    <m/>
    <x v="3"/>
    <m/>
    <m/>
    <s v=""/>
    <m/>
    <m/>
    <m/>
    <s v=""/>
    <m/>
    <n v="1"/>
    <m/>
    <m/>
    <m/>
    <m/>
    <m/>
    <m/>
    <n v="0"/>
    <n v="0"/>
    <n v="0"/>
    <n v="0"/>
    <n v="0"/>
    <n v="0"/>
    <n v="0"/>
    <n v="0"/>
    <n v="0"/>
    <n v="0"/>
    <n v="0"/>
    <n v="0"/>
    <m/>
    <m/>
    <s v=""/>
    <n v="0"/>
    <m/>
    <m/>
    <m/>
    <m/>
    <m/>
    <m/>
    <m/>
    <m/>
    <m/>
    <m/>
    <m/>
    <m/>
    <m/>
    <m/>
    <m/>
    <n v="0"/>
    <m/>
    <n v="0"/>
    <n v="0"/>
    <n v="0"/>
    <n v="0"/>
    <n v="0"/>
    <n v="0"/>
    <n v="0"/>
    <n v="0"/>
    <n v="18"/>
  </r>
  <r>
    <s v="MX0011"/>
    <x v="4"/>
    <x v="5"/>
    <n v="0"/>
    <s v="Jose Dolores Hugo Torres Hernandez"/>
    <n v="40010"/>
    <s v="Miguel Angel García Torres"/>
    <m/>
    <x v="1"/>
    <m/>
    <m/>
    <m/>
    <x v="3"/>
    <m/>
    <n v="1.4"/>
    <s v=""/>
    <m/>
    <n v="4400"/>
    <n v="4400"/>
    <s v=""/>
    <m/>
    <n v="1"/>
    <n v="4400"/>
    <n v="4400"/>
    <m/>
    <m/>
    <m/>
    <m/>
    <n v="0"/>
    <n v="0"/>
    <n v="0"/>
    <n v="0"/>
    <n v="0"/>
    <n v="0"/>
    <n v="0"/>
    <n v="0"/>
    <n v="0"/>
    <n v="0"/>
    <n v="0"/>
    <n v="0"/>
    <m/>
    <m/>
    <n v="0"/>
    <n v="0"/>
    <m/>
    <m/>
    <m/>
    <m/>
    <m/>
    <m/>
    <m/>
    <m/>
    <m/>
    <m/>
    <n v="1"/>
    <m/>
    <m/>
    <m/>
    <m/>
    <n v="0"/>
    <m/>
    <n v="0"/>
    <n v="0"/>
    <n v="0"/>
    <n v="0"/>
    <n v="0"/>
    <n v="0"/>
    <n v="0"/>
    <n v="0"/>
    <n v="18"/>
  </r>
  <r>
    <s v="MX0012"/>
    <x v="5"/>
    <x v="5"/>
    <n v="2029"/>
    <s v="Juan Carlos Cardoso Vargas"/>
    <n v="40011"/>
    <s v="Juan Carlos Cardoso Vargas"/>
    <s v="429-103-2060"/>
    <x v="0"/>
    <s v="cardosoproduceyagave@gmail.com"/>
    <s v="Vicente Guerrero s/n. Rancho Guadalupe, Huanimaro, Guanajuato CP 36998, Mexico"/>
    <s v="Ojo de Agua, Municipio de Abasolo, Guanajuato 36987, Mexico. La Loma, Municipio de Huanfmaro CP 36998, Mexico"/>
    <x v="3"/>
    <s v="20.389148,-101.579335; 20.3781949,-101.549031"/>
    <n v="52.4"/>
    <s v=""/>
    <m/>
    <n v="12000"/>
    <n v="12000"/>
    <s v=""/>
    <m/>
    <n v="1"/>
    <n v="12000"/>
    <n v="12000"/>
    <m/>
    <m/>
    <m/>
    <m/>
    <n v="0"/>
    <n v="0.34"/>
    <n v="4080"/>
    <n v="0"/>
    <m/>
    <n v="0.34"/>
    <n v="0.34"/>
    <n v="4080.0000000000005"/>
    <n v="4080.0000000000005"/>
    <n v="0"/>
    <n v="0"/>
    <n v="0"/>
    <m/>
    <m/>
    <n v="0.22616666666666665"/>
    <n v="2714"/>
    <m/>
    <m/>
    <m/>
    <m/>
    <n v="2714"/>
    <m/>
    <m/>
    <m/>
    <m/>
    <m/>
    <n v="1"/>
    <n v="1"/>
    <m/>
    <m/>
    <m/>
    <n v="0"/>
    <m/>
    <n v="0"/>
    <n v="0"/>
    <n v="0"/>
    <n v="0"/>
    <n v="0"/>
    <n v="0"/>
    <n v="799680.00000000012"/>
    <n v="799680.00000000012"/>
    <n v="8.8669950738916262E-3"/>
  </r>
  <r>
    <s v="US0054"/>
    <x v="4"/>
    <x v="5"/>
    <n v="2029"/>
    <s v="William Franklin"/>
    <n v="10047"/>
    <s v="William Franklin"/>
    <s v="334-850-6700, 334-320-1545"/>
    <x v="2"/>
    <s v="sherifffranklin@elmoreso.com, luke2a21@gmail.com"/>
    <s v="410 Fortner Rd Wetumpka AL 36092-4229"/>
    <s v="410 Fortner Rd Wetumpka AL 36092-4229"/>
    <x v="0"/>
    <s v="32.627857, -86.179914"/>
    <n v="12.5"/>
    <n v="10"/>
    <s v="Y"/>
    <n v="1100"/>
    <n v="1100"/>
    <s v=""/>
    <m/>
    <n v="1"/>
    <n v="1100"/>
    <n v="1100"/>
    <m/>
    <m/>
    <m/>
    <m/>
    <n v="0"/>
    <n v="1"/>
    <n v="1100"/>
    <n v="0"/>
    <m/>
    <n v="1"/>
    <n v="1"/>
    <n v="1100"/>
    <n v="1100"/>
    <n v="0"/>
    <n v="0"/>
    <n v="0"/>
    <s v="Fortunei"/>
    <n v="18"/>
    <n v="0.68181818181818177"/>
    <n v="750"/>
    <m/>
    <m/>
    <m/>
    <n v="84"/>
    <n v="160"/>
    <n v="506"/>
    <m/>
    <m/>
    <m/>
    <m/>
    <n v="1"/>
    <n v="1"/>
    <m/>
    <m/>
    <m/>
    <n v="0"/>
    <m/>
    <n v="0"/>
    <n v="0"/>
    <n v="0"/>
    <n v="0"/>
    <n v="0"/>
    <n v="0"/>
    <n v="215600"/>
    <n v="215600"/>
    <n v="8.8669950738916262E-3"/>
  </r>
  <r>
    <s v="MX0014"/>
    <x v="4"/>
    <x v="5"/>
    <n v="2029"/>
    <s v="Norma Pérez González"/>
    <n v="40013"/>
    <s v="Juan Luis Villeda Gayosso"/>
    <s v="4493482975"/>
    <x v="0"/>
    <s v="villedajuanluis@gmail.com"/>
    <s v="Salvador Duran Castanedo N° 409, Col. VNSA, Aguascalientes, Aqs. Mexico. CP 20126"/>
    <s v="Sector de producción 2, Ejido el Tule, Asientos, Aguascalientes 20704, México"/>
    <x v="3"/>
    <s v="22.114167, -102.098228"/>
    <n v="14"/>
    <s v=""/>
    <m/>
    <n v="3300"/>
    <n v="3300"/>
    <s v=""/>
    <m/>
    <n v="1"/>
    <n v="3300"/>
    <n v="3300"/>
    <m/>
    <m/>
    <m/>
    <m/>
    <n v="0"/>
    <n v="0.64"/>
    <n v="2112"/>
    <n v="0"/>
    <m/>
    <n v="0.64"/>
    <n v="0.64"/>
    <n v="2112"/>
    <n v="2112"/>
    <n v="0"/>
    <n v="0"/>
    <n v="0"/>
    <m/>
    <m/>
    <n v="0.4"/>
    <n v="1320"/>
    <m/>
    <m/>
    <m/>
    <m/>
    <n v="1320"/>
    <m/>
    <m/>
    <m/>
    <m/>
    <m/>
    <n v="1"/>
    <n v="1"/>
    <m/>
    <m/>
    <m/>
    <n v="0"/>
    <m/>
    <n v="0"/>
    <n v="0"/>
    <n v="0"/>
    <n v="0"/>
    <n v="0"/>
    <n v="0"/>
    <n v="413952"/>
    <n v="413952"/>
    <n v="8.8669950738916262E-3"/>
  </r>
  <r>
    <s v="MX0015"/>
    <x v="5"/>
    <x v="5"/>
    <n v="0"/>
    <s v="Lucila Morales Druallet"/>
    <n v="40014"/>
    <s v="Lucila Morales Druallet"/>
    <m/>
    <x v="1"/>
    <m/>
    <m/>
    <m/>
    <x v="3"/>
    <m/>
    <m/>
    <s v=""/>
    <m/>
    <n v="2750"/>
    <n v="2750"/>
    <s v=""/>
    <m/>
    <n v="1"/>
    <n v="2750"/>
    <n v="2750"/>
    <m/>
    <m/>
    <m/>
    <m/>
    <n v="0"/>
    <n v="0"/>
    <n v="0"/>
    <n v="0"/>
    <n v="0"/>
    <n v="0"/>
    <n v="0"/>
    <n v="0"/>
    <n v="0"/>
    <n v="0"/>
    <n v="0"/>
    <n v="0"/>
    <m/>
    <m/>
    <n v="0"/>
    <n v="0"/>
    <m/>
    <m/>
    <m/>
    <m/>
    <m/>
    <m/>
    <m/>
    <m/>
    <m/>
    <m/>
    <n v="1"/>
    <n v="1"/>
    <m/>
    <m/>
    <m/>
    <n v="0"/>
    <m/>
    <n v="0"/>
    <n v="0"/>
    <n v="0"/>
    <n v="0"/>
    <n v="0"/>
    <n v="0"/>
    <n v="0"/>
    <n v="0"/>
    <n v="18"/>
  </r>
  <r>
    <s v="MX0017"/>
    <x v="5"/>
    <x v="5"/>
    <n v="0"/>
    <s v="Modesto Negrete Almeida"/>
    <n v="40016"/>
    <s v="Modesto Negrete Almeida"/>
    <m/>
    <x v="1"/>
    <m/>
    <m/>
    <m/>
    <x v="3"/>
    <m/>
    <m/>
    <s v=""/>
    <m/>
    <n v="11550"/>
    <n v="11550"/>
    <s v=""/>
    <m/>
    <n v="1"/>
    <n v="11550"/>
    <n v="11550"/>
    <m/>
    <m/>
    <m/>
    <m/>
    <n v="0"/>
    <n v="0"/>
    <n v="0"/>
    <n v="0"/>
    <n v="0"/>
    <n v="0"/>
    <n v="0"/>
    <n v="0"/>
    <n v="0"/>
    <n v="0"/>
    <n v="0"/>
    <n v="0"/>
    <m/>
    <m/>
    <n v="0"/>
    <n v="0"/>
    <m/>
    <m/>
    <m/>
    <m/>
    <m/>
    <m/>
    <m/>
    <m/>
    <m/>
    <m/>
    <n v="1"/>
    <m/>
    <m/>
    <m/>
    <m/>
    <n v="0"/>
    <m/>
    <n v="0"/>
    <n v="0"/>
    <n v="0"/>
    <n v="0"/>
    <n v="0"/>
    <n v="0"/>
    <n v="0"/>
    <n v="0"/>
    <n v="18"/>
  </r>
  <r>
    <s v="MX0020"/>
    <x v="4"/>
    <x v="5"/>
    <n v="0"/>
    <s v="Victor Manuel Godinez Martinez"/>
    <n v="40019"/>
    <s v="Victor Manuel Godinez Martinez"/>
    <m/>
    <x v="1"/>
    <m/>
    <m/>
    <m/>
    <x v="3"/>
    <m/>
    <m/>
    <s v=""/>
    <m/>
    <n v="11000"/>
    <n v="11000"/>
    <s v=""/>
    <m/>
    <n v="1"/>
    <n v="11000"/>
    <n v="11000"/>
    <m/>
    <m/>
    <m/>
    <m/>
    <n v="0"/>
    <n v="0"/>
    <n v="0"/>
    <n v="0"/>
    <n v="0"/>
    <n v="0"/>
    <n v="0"/>
    <n v="0"/>
    <n v="0"/>
    <n v="0"/>
    <n v="0"/>
    <n v="0"/>
    <m/>
    <m/>
    <n v="0"/>
    <n v="0"/>
    <m/>
    <m/>
    <m/>
    <m/>
    <m/>
    <m/>
    <m/>
    <m/>
    <m/>
    <m/>
    <n v="1"/>
    <n v="1"/>
    <m/>
    <m/>
    <m/>
    <n v="0"/>
    <m/>
    <n v="0"/>
    <n v="0"/>
    <n v="0"/>
    <n v="0"/>
    <n v="0"/>
    <n v="0"/>
    <n v="0"/>
    <n v="0"/>
    <n v="18"/>
  </r>
  <r>
    <s v="US0055"/>
    <x v="4"/>
    <x v="5"/>
    <n v="2029"/>
    <s v="Billy Strange"/>
    <n v="10048"/>
    <s v="Billy Strange"/>
    <s v="318-481-1835, 318-481-1833"/>
    <x v="2"/>
    <s v="riza_strange@yahoo.com"/>
    <s v="1142 Good Road, Jonesville, Louisiana 71343"/>
    <s v="1142 Good Road, Jonesville, Louisiana 71343"/>
    <x v="0"/>
    <s v="31.623947, -91.865519"/>
    <n v="5.5"/>
    <n v="4.5454545454545459"/>
    <s v="Y"/>
    <n v="500"/>
    <n v="500"/>
    <s v=""/>
    <m/>
    <n v="1"/>
    <n v="500"/>
    <n v="500"/>
    <m/>
    <m/>
    <m/>
    <m/>
    <n v="0"/>
    <n v="1"/>
    <n v="500"/>
    <n v="0"/>
    <m/>
    <n v="1"/>
    <n v="1"/>
    <n v="500"/>
    <n v="500"/>
    <n v="0"/>
    <n v="0"/>
    <n v="0"/>
    <s v="Fortunei"/>
    <s v="12, 18"/>
    <n v="0.76"/>
    <n v="380"/>
    <m/>
    <m/>
    <m/>
    <n v="252"/>
    <n v="128"/>
    <m/>
    <m/>
    <m/>
    <m/>
    <m/>
    <n v="1"/>
    <n v="1"/>
    <m/>
    <m/>
    <m/>
    <n v="0"/>
    <m/>
    <n v="0"/>
    <n v="0"/>
    <n v="0"/>
    <n v="0"/>
    <n v="0"/>
    <n v="0"/>
    <n v="98000"/>
    <n v="98000"/>
    <n v="8.8669950738916262E-3"/>
  </r>
  <r>
    <s v="US0056"/>
    <x v="2"/>
    <x v="5"/>
    <n v="2029"/>
    <s v="Billy Whittaker"/>
    <n v="10030"/>
    <s v="Billy Whittaker"/>
    <s v="229-243-3487, 229 400 2304"/>
    <x v="2"/>
    <s v="whihm@aol.com"/>
    <s v="7701 Reynolds Landing Rd Donalsonville GA 39845-6928"/>
    <s v="7701 Reynolds Landing Rd Donalsonville GA 39845-6928"/>
    <x v="0"/>
    <s v="30.814991, -84.811270"/>
    <n v="15.5"/>
    <n v="12"/>
    <s v="Y"/>
    <n v="1320"/>
    <n v="1320"/>
    <s v=""/>
    <m/>
    <n v="1"/>
    <n v="1320"/>
    <n v="1320"/>
    <m/>
    <m/>
    <m/>
    <m/>
    <n v="0"/>
    <n v="1"/>
    <n v="1320"/>
    <n v="1268.52"/>
    <n v="0.96099999999999997"/>
    <n v="0.96099999999999997"/>
    <n v="0.96"/>
    <n v="1269"/>
    <n v="1269"/>
    <n v="0"/>
    <n v="0"/>
    <n v="0"/>
    <s v="Fortunei"/>
    <s v="11, 12, 14"/>
    <n v="0.70303030303030301"/>
    <n v="928"/>
    <m/>
    <m/>
    <m/>
    <n v="273"/>
    <n v="655"/>
    <m/>
    <m/>
    <m/>
    <m/>
    <m/>
    <n v="1"/>
    <n v="1"/>
    <n v="2024"/>
    <n v="9.6999999999999993"/>
    <n v="4.2"/>
    <n v="0.26250000000000001"/>
    <n v="1.96"/>
    <n v="0.10888888888888888"/>
    <n v="1.0924199999999999"/>
    <n v="1386.28098"/>
    <n v="3.92"/>
    <n v="1.6800000000000031E-3"/>
    <n v="2.131920000000004"/>
    <n v="248724"/>
    <n v="248721.86807999999"/>
    <n v="2.6733333333333333"/>
  </r>
  <r>
    <s v="US0057"/>
    <x v="4"/>
    <x v="5"/>
    <n v="2029"/>
    <s v="Carl Womack"/>
    <n v="10049"/>
    <s v="Carl Womack"/>
    <s v="334-701-8363"/>
    <x v="2"/>
    <s v="carlwomack1@yahoo.com"/>
    <s v="2536 S County Road 75, Pansey AL 36370-4922"/>
    <s v="2536 S County Road 75, Pansey AL 36370-4922"/>
    <x v="0"/>
    <s v="31.166019, -85.103106"/>
    <n v="14.5"/>
    <n v="15"/>
    <s v="Y"/>
    <n v="1650"/>
    <n v="1650"/>
    <s v=""/>
    <m/>
    <n v="1"/>
    <n v="1650"/>
    <n v="1650"/>
    <m/>
    <m/>
    <m/>
    <m/>
    <n v="0"/>
    <n v="1"/>
    <n v="1650"/>
    <n v="1590.6"/>
    <n v="0.96399999999999997"/>
    <n v="0.96399999999999997"/>
    <n v="0.96"/>
    <n v="1591"/>
    <n v="1591"/>
    <n v="0"/>
    <n v="0"/>
    <n v="0"/>
    <s v="Fortunei"/>
    <s v="12, 13"/>
    <n v="0.7151515151515152"/>
    <n v="1180"/>
    <m/>
    <m/>
    <n v="210"/>
    <n v="83"/>
    <n v="400"/>
    <n v="487"/>
    <m/>
    <m/>
    <m/>
    <m/>
    <n v="1"/>
    <n v="1"/>
    <n v="2024"/>
    <n v="21.65"/>
    <n v="10.32"/>
    <n v="0.64500000000000002"/>
    <n v="5.54"/>
    <n v="0.30777777777777776"/>
    <n v="1.529682"/>
    <n v="2433.7240619999998"/>
    <n v="11.08"/>
    <n v="32.331528000000006"/>
    <n v="51439.461048000012"/>
    <n v="311836"/>
    <n v="260396.53895199997"/>
    <n v="2.0766666666666667"/>
  </r>
  <r>
    <s v="US0058"/>
    <x v="4"/>
    <x v="5"/>
    <n v="2029"/>
    <s v="Chad Payne"/>
    <n v="10050"/>
    <s v="Chadwin Payne"/>
    <s v="706-741-5396"/>
    <x v="2"/>
    <s v="cdpayne1@gmail.com"/>
    <n v="0"/>
    <s v="2467 Boyt Rd Yatesville GA 31097-3911"/>
    <x v="0"/>
    <s v="32.943417, -84.155063"/>
    <n v="7.6"/>
    <n v="10"/>
    <s v="Y"/>
    <n v="1100"/>
    <n v="1100"/>
    <s v=""/>
    <m/>
    <n v="1"/>
    <n v="1100"/>
    <n v="1100"/>
    <m/>
    <m/>
    <m/>
    <m/>
    <n v="0"/>
    <n v="0.98818181818181816"/>
    <n v="1087"/>
    <n v="0"/>
    <m/>
    <n v="0.99299999999999999"/>
    <n v="0.98818181818181816"/>
    <n v="1087"/>
    <n v="1087"/>
    <n v="0"/>
    <n v="0"/>
    <n v="0"/>
    <s v="Fortunei"/>
    <s v="14, 18"/>
    <n v="0.40090909090909088"/>
    <n v="441"/>
    <m/>
    <m/>
    <m/>
    <n v="42"/>
    <n v="249"/>
    <n v="150"/>
    <m/>
    <m/>
    <m/>
    <m/>
    <n v="1"/>
    <n v="1"/>
    <m/>
    <m/>
    <m/>
    <n v="0"/>
    <m/>
    <n v="0"/>
    <n v="0"/>
    <n v="0"/>
    <n v="0"/>
    <n v="0"/>
    <n v="0"/>
    <n v="213052"/>
    <n v="213052"/>
    <n v="8.8669950738916262E-3"/>
  </r>
  <r>
    <s v="US0059"/>
    <x v="4"/>
    <x v="5"/>
    <n v="2029"/>
    <s v="Dale Ratliff"/>
    <n v="10051"/>
    <s v="W.D. Ratliff"/>
    <s v="386-590-1822, 386-590-1821"/>
    <x v="2"/>
    <s v="ratliff4@windstream.net, dratliff50@gmail.com, fallonratliff97@hotmail.com, daleratliff50@gmail.com"/>
    <n v="0"/>
    <s v="15949 68th St, Live Oak, FL 32060, USA"/>
    <x v="0"/>
    <s v="30.328607, -83.079026"/>
    <n v="12.4"/>
    <n v="12.363636363636363"/>
    <s v="Y"/>
    <n v="1360"/>
    <n v="1360"/>
    <s v=""/>
    <m/>
    <n v="1"/>
    <n v="1360"/>
    <n v="1360"/>
    <m/>
    <m/>
    <m/>
    <m/>
    <n v="0"/>
    <n v="1"/>
    <n v="1360"/>
    <n v="1350.48"/>
    <n v="0.99299999999999999"/>
    <n v="0.99"/>
    <n v="0.99"/>
    <n v="1350"/>
    <n v="1350"/>
    <n v="0"/>
    <n v="0"/>
    <n v="0"/>
    <s v="Fortunei"/>
    <s v="13, 14"/>
    <n v="0.3977941176470588"/>
    <n v="541"/>
    <m/>
    <m/>
    <m/>
    <n v="63"/>
    <n v="254"/>
    <n v="224"/>
    <m/>
    <m/>
    <m/>
    <m/>
    <n v="1"/>
    <n v="1"/>
    <n v="2024"/>
    <n v="15.46"/>
    <n v="9.4700000000000006"/>
    <n v="0.59187500000000004"/>
    <n v="3.42"/>
    <n v="0.19"/>
    <n v="0.19910675000000005"/>
    <n v="268.7941125000001"/>
    <n v="6.84"/>
    <n v="4.7738269999999998"/>
    <n v="6444.6664499999997"/>
    <n v="264600"/>
    <n v="258155.33355000001"/>
    <n v="2.4300000000000002"/>
  </r>
  <r>
    <s v="US0061"/>
    <x v="4"/>
    <x v="5"/>
    <n v="2029"/>
    <s v="Darren Beachem"/>
    <n v="10053"/>
    <s v="Darren Beachem"/>
    <s v="334-782-6461"/>
    <x v="2"/>
    <s v="darren.beachem22@gmail.com, darren.beachem@yahoo.com"/>
    <s v="3022 Autumn Wood Dr NW Apt B Huntsville AL 35816-3120"/>
    <s v="22316 US-82 Union Springs, AL 36089-6279"/>
    <x v="0"/>
    <s v="32.144117, -85.580865"/>
    <n v="24"/>
    <n v="20"/>
    <s v="Y"/>
    <n v="2200"/>
    <n v="2200"/>
    <s v=""/>
    <m/>
    <n v="1"/>
    <n v="2200"/>
    <n v="2200"/>
    <m/>
    <m/>
    <m/>
    <m/>
    <n v="0"/>
    <n v="1"/>
    <n v="2200"/>
    <n v="0"/>
    <m/>
    <n v="1"/>
    <n v="1"/>
    <n v="2200"/>
    <n v="2200"/>
    <n v="0"/>
    <n v="0"/>
    <n v="0"/>
    <s v="Fortunei"/>
    <s v="13, 14, 18"/>
    <n v="0.66363636363636369"/>
    <n v="1460"/>
    <m/>
    <m/>
    <m/>
    <n v="399"/>
    <n v="1061"/>
    <m/>
    <m/>
    <m/>
    <m/>
    <m/>
    <n v="1"/>
    <n v="1"/>
    <m/>
    <m/>
    <m/>
    <n v="0"/>
    <m/>
    <n v="0"/>
    <n v="0"/>
    <n v="0"/>
    <n v="0"/>
    <n v="0"/>
    <n v="0"/>
    <n v="431200"/>
    <n v="431200"/>
    <n v="8.8669950738916262E-3"/>
  </r>
  <r>
    <s v="US0062"/>
    <x v="4"/>
    <x v="5"/>
    <n v="2029"/>
    <s v="David Chang"/>
    <n v="10033"/>
    <s v="David Chang"/>
    <s v="769-475-0772"/>
    <x v="2"/>
    <s v="lungs111@yahoo.com, lungs111@gmail.com"/>
    <s v="2561 Legends Row, Mobile, AL, USA 36618-4819"/>
    <s v="4019 Stringfellow Road, Lucedale, MS 39452, USA"/>
    <x v="0"/>
    <s v="31.044872, -88.515002"/>
    <n v="4.5"/>
    <n v="5"/>
    <s v="Y"/>
    <n v="550"/>
    <n v="550"/>
    <s v=""/>
    <m/>
    <n v="1"/>
    <n v="550"/>
    <n v="550"/>
    <m/>
    <m/>
    <m/>
    <m/>
    <n v="0"/>
    <n v="0.82499999999999996"/>
    <n v="453.75"/>
    <n v="488.95"/>
    <n v="0.88900000000000001"/>
    <n v="0.89"/>
    <n v="0.89"/>
    <n v="489"/>
    <n v="489"/>
    <n v="0"/>
    <n v="0"/>
    <n v="0"/>
    <s v="Fortunei"/>
    <s v="12, 14"/>
    <n v="0.23272727272727273"/>
    <n v="128"/>
    <m/>
    <m/>
    <m/>
    <m/>
    <m/>
    <n v="128"/>
    <m/>
    <m/>
    <m/>
    <m/>
    <n v="1"/>
    <n v="1"/>
    <n v="2024"/>
    <n v="17.059999999999999"/>
    <n v="9.3800000000000008"/>
    <n v="0.58625000000000005"/>
    <n v="3.64"/>
    <n v="0.20222222222222222"/>
    <n v="7.5977999999999948E-2"/>
    <n v="37.153241999999977"/>
    <n v="7.28"/>
    <n v="6.3071120000000018"/>
    <n v="3084.1777680000009"/>
    <n v="95844"/>
    <n v="92759.822232000006"/>
    <n v="2.3933333333333331"/>
  </r>
  <r>
    <s v="US0063"/>
    <x v="4"/>
    <x v="5"/>
    <n v="2029"/>
    <s v="Derek Bass"/>
    <n v="10035"/>
    <s v="Derek Bass"/>
    <s v="334-657-2856"/>
    <x v="2"/>
    <s v="wdb359@aol.com"/>
    <s v="359 Sunny Lane Loop, Wetumpka, AL, USA 36092"/>
    <s v="359 Sunny Lane Loop, Wetumpka, AL, USA 36092"/>
    <x v="0"/>
    <s v="32.645386, -86.086846"/>
    <n v="3.75"/>
    <n v="4"/>
    <s v="Y"/>
    <n v="440"/>
    <n v="440"/>
    <s v=""/>
    <m/>
    <n v="1"/>
    <n v="440"/>
    <n v="440"/>
    <m/>
    <m/>
    <m/>
    <m/>
    <n v="0"/>
    <n v="0.76818181818181819"/>
    <n v="338"/>
    <n v="179.95999999999998"/>
    <n v="0.40899999999999997"/>
    <n v="0.41"/>
    <n v="0.41"/>
    <n v="180"/>
    <n v="180"/>
    <n v="0"/>
    <n v="0"/>
    <n v="0"/>
    <s v="Fortunei"/>
    <s v="11, 12, 14"/>
    <n v="0.2"/>
    <n v="88"/>
    <m/>
    <m/>
    <m/>
    <n v="63"/>
    <n v="25"/>
    <m/>
    <m/>
    <m/>
    <m/>
    <m/>
    <n v="1"/>
    <n v="1"/>
    <n v="2024"/>
    <n v="3.66"/>
    <n v="1.1299999999999999"/>
    <n v="7.0624999999999993E-2"/>
    <n v="0.56999999999999995"/>
    <n v="3.1666666666666662E-2"/>
    <n v="0.83089606250000003"/>
    <n v="149.56129125000001"/>
    <n v="1.1399999999999999"/>
    <n v="0.57768425000000012"/>
    <n v="103.98316500000003"/>
    <n v="35280"/>
    <n v="35176.016835000002"/>
    <n v="2.9049999999999998"/>
  </r>
  <r>
    <s v="US0064"/>
    <x v="4"/>
    <x v="5"/>
    <n v="2029"/>
    <s v="Ed Davenport"/>
    <n v="10054"/>
    <s v="Ed Davenport"/>
    <s v="770-712-9831"/>
    <x v="2"/>
    <s v="davenported91@gmail.com, mnmtrailers@gmail.com"/>
    <s v="490 Whites Bottom Rd Pendergrass GA 30567-2816"/>
    <s v="490 Whites Bottom Rd Pendergrass GA 30567-2816"/>
    <x v="0"/>
    <s v="34.147730, -83.731530"/>
    <n v="9.43"/>
    <n v="10"/>
    <s v="Y"/>
    <n v="1100"/>
    <n v="1100"/>
    <s v=""/>
    <m/>
    <n v="1"/>
    <n v="1100"/>
    <n v="1100"/>
    <m/>
    <m/>
    <m/>
    <m/>
    <n v="0"/>
    <n v="1"/>
    <n v="1100"/>
    <n v="0"/>
    <m/>
    <n v="0.61699999999999999"/>
    <n v="1"/>
    <n v="1100"/>
    <n v="1100"/>
    <n v="0"/>
    <n v="0"/>
    <n v="0"/>
    <s v="Fortunei"/>
    <n v="14"/>
    <n v="0.38363636363636361"/>
    <n v="422"/>
    <m/>
    <m/>
    <m/>
    <n v="63"/>
    <n v="138"/>
    <n v="221"/>
    <m/>
    <m/>
    <m/>
    <m/>
    <n v="1"/>
    <n v="1"/>
    <m/>
    <m/>
    <m/>
    <n v="0"/>
    <m/>
    <n v="0"/>
    <n v="0"/>
    <n v="0"/>
    <n v="0"/>
    <n v="0"/>
    <n v="0"/>
    <n v="215600"/>
    <n v="215600"/>
    <n v="8.8669950738916262E-3"/>
  </r>
  <r>
    <s v="US0065"/>
    <x v="4"/>
    <x v="5"/>
    <n v="2029"/>
    <s v="Glenn Sanders"/>
    <n v="10055"/>
    <s v="Glen Sanders"/>
    <s v="706-714-4180"/>
    <x v="2"/>
    <s v="gsand1956@gmail.com"/>
    <s v="184 Bunker Hill Rd Crawford GA 30630-2410"/>
    <s v="3345 Robert Hardeman Rd, Winterville, GA 30683, USA"/>
    <x v="0"/>
    <s v="33.925245, -83.275859"/>
    <n v="11"/>
    <n v="10"/>
    <s v="Y"/>
    <n v="1100"/>
    <n v="1100"/>
    <s v=""/>
    <m/>
    <n v="1"/>
    <n v="1100"/>
    <n v="1100"/>
    <m/>
    <m/>
    <m/>
    <m/>
    <n v="0"/>
    <n v="0.98818181818181816"/>
    <n v="1087"/>
    <n v="1089"/>
    <n v="0.99"/>
    <n v="0.99"/>
    <n v="0.98818181818181816"/>
    <n v="1089"/>
    <n v="1089"/>
    <n v="0"/>
    <n v="0"/>
    <n v="0"/>
    <s v="Fortunei"/>
    <s v="11, 14"/>
    <n v="0.59636363636363632"/>
    <n v="656"/>
    <m/>
    <m/>
    <m/>
    <n v="42"/>
    <n v="364"/>
    <n v="250"/>
    <m/>
    <m/>
    <m/>
    <m/>
    <n v="1"/>
    <n v="1"/>
    <n v="2024"/>
    <n v="22.07"/>
    <n v="10.18"/>
    <n v="0.63624999999999998"/>
    <n v="4.7"/>
    <n v="0.26111111111111113"/>
    <n v="0.31176250000000016"/>
    <n v="339.50936250000018"/>
    <n v="9.4"/>
    <n v="18.553050000000002"/>
    <n v="20204.271450000004"/>
    <n v="213444"/>
    <n v="193239.72855"/>
    <n v="2.2166666666666668"/>
  </r>
  <r>
    <s v="US0067"/>
    <x v="4"/>
    <x v="5"/>
    <n v="2029"/>
    <s v="Guy Goodson"/>
    <n v="10057"/>
    <s v="Guy Goodson"/>
    <s v="334-726-4064"/>
    <x v="2"/>
    <s v="gcgoodson@yahoo.com"/>
    <s v="6810 N County 33 Rd, Columbia AL 36319-4026"/>
    <s v="2148 Hunter Rd, Columbia, AL 36319, USA"/>
    <x v="0"/>
    <s v="31.246499, -85.161864"/>
    <n v="23.2"/>
    <n v="20"/>
    <s v="Y"/>
    <n v="2200"/>
    <n v="2200"/>
    <s v=""/>
    <m/>
    <n v="1"/>
    <n v="2200"/>
    <n v="2200"/>
    <m/>
    <m/>
    <m/>
    <m/>
    <n v="0"/>
    <n v="0.92045454545454541"/>
    <n v="2025"/>
    <n v="1438.8"/>
    <n v="0.65400000000000003"/>
    <n v="0.65"/>
    <n v="0.65"/>
    <n v="1439"/>
    <n v="1439"/>
    <n v="0"/>
    <n v="0"/>
    <n v="0"/>
    <s v="Fortunei"/>
    <s v="2, 12, 18"/>
    <n v="0.55000000000000004"/>
    <n v="1210"/>
    <m/>
    <m/>
    <m/>
    <n v="210"/>
    <n v="800"/>
    <n v="200"/>
    <m/>
    <m/>
    <m/>
    <m/>
    <n v="1"/>
    <n v="1"/>
    <n v="2024"/>
    <n v="10.59"/>
    <n v="3.91"/>
    <n v="0.24437500000000001"/>
    <n v="2.13"/>
    <n v="0.11833333333333333"/>
    <n v="0.85455493750000022"/>
    <n v="1229.7045550625003"/>
    <n v="4.26"/>
    <n v="1.6519749999999972E-2"/>
    <n v="23.771920249999958"/>
    <n v="282044"/>
    <n v="282020.22807975003"/>
    <n v="2.645"/>
  </r>
  <r>
    <s v="US0068"/>
    <x v="4"/>
    <x v="5"/>
    <n v="2029"/>
    <s v="Jeff Barnes"/>
    <n v="10058"/>
    <s v="Richard and Trudie Barnes"/>
    <s v="334-312-5528"/>
    <x v="2"/>
    <s v="jmbarnes65@gmail.com"/>
    <s v="6170 Vine Dr Andalusia AL 36420-6714"/>
    <s v="6170 Vine Dr Andalusia AL 36420-6714"/>
    <x v="0"/>
    <s v="31.080472, -86.570887"/>
    <n v="10.5"/>
    <n v="10"/>
    <s v="Y"/>
    <n v="1100"/>
    <n v="1100"/>
    <s v=""/>
    <m/>
    <n v="1"/>
    <n v="1100"/>
    <n v="1100"/>
    <m/>
    <m/>
    <m/>
    <m/>
    <n v="0"/>
    <n v="0.90227272727272723"/>
    <n v="992.5"/>
    <n v="678.7"/>
    <n v="0.61699999999999999"/>
    <n v="0.62"/>
    <n v="0.62"/>
    <n v="679"/>
    <n v="679"/>
    <n v="0"/>
    <n v="0"/>
    <n v="0"/>
    <s v="Fortunei"/>
    <s v="11, 18"/>
    <n v="0.64909090909090905"/>
    <n v="714"/>
    <m/>
    <m/>
    <m/>
    <n v="85"/>
    <n v="629"/>
    <m/>
    <m/>
    <m/>
    <m/>
    <m/>
    <n v="1"/>
    <n v="1"/>
    <n v="2024"/>
    <n v="6.14"/>
    <n v="3.18"/>
    <n v="0.19875000000000001"/>
    <n v="1.54"/>
    <n v="8.5555555555555551E-2"/>
    <n v="1.2027555000000001"/>
    <n v="816.67098450000003"/>
    <n v="3.08"/>
    <n v="0.16822199999999998"/>
    <n v="114.22273799999999"/>
    <n v="133084"/>
    <n v="132969.77726199999"/>
    <n v="2.7433333333333336"/>
  </r>
  <r>
    <s v="US0069"/>
    <x v="4"/>
    <x v="5"/>
    <n v="2029"/>
    <s v="Jeff George"/>
    <n v="10059"/>
    <s v="Jeff George"/>
    <s v="601-527-1366, 601-743-2647"/>
    <x v="2"/>
    <s v="jeff@tjsubway.net"/>
    <s v="8834 Highway 495 S, De Kalb, MS 39328-7173"/>
    <s v="8834 Highway 495 S, De Kalb, MS 39328-7173"/>
    <x v="0"/>
    <s v="32.675524, -88.847579"/>
    <n v="14"/>
    <n v="10"/>
    <s v="Y"/>
    <n v="1100"/>
    <n v="1100"/>
    <s v=""/>
    <m/>
    <n v="1"/>
    <n v="1100"/>
    <n v="1100"/>
    <m/>
    <m/>
    <m/>
    <m/>
    <n v="0"/>
    <n v="1"/>
    <n v="1100"/>
    <n v="0"/>
    <m/>
    <n v="1"/>
    <n v="1"/>
    <n v="1100"/>
    <n v="1100"/>
    <n v="0"/>
    <n v="0"/>
    <n v="0"/>
    <s v="Fortunei"/>
    <s v="11, 13, 14"/>
    <n v="0.16727272727272727"/>
    <n v="184"/>
    <m/>
    <m/>
    <m/>
    <n v="84"/>
    <m/>
    <n v="100"/>
    <m/>
    <m/>
    <m/>
    <m/>
    <n v="1"/>
    <n v="1"/>
    <m/>
    <m/>
    <m/>
    <n v="0"/>
    <m/>
    <n v="0"/>
    <n v="0"/>
    <n v="0"/>
    <n v="0"/>
    <n v="0"/>
    <n v="0"/>
    <n v="215600"/>
    <n v="215600"/>
    <n v="8.8669950738916262E-3"/>
  </r>
  <r>
    <s v="US0070"/>
    <x v="4"/>
    <x v="5"/>
    <n v="2029"/>
    <s v="Jeff Rice"/>
    <n v="10060"/>
    <s v="Jeffrey Rice"/>
    <s v="334-728-3304"/>
    <x v="2"/>
    <s v="Jetney7@gmail.com"/>
    <s v="376 County Shop Rd Dadeville AL 36853-3706"/>
    <s v="376 County Shop Rd Dadeville AL 36853-3706"/>
    <x v="0"/>
    <s v="31.26, -89.8300000"/>
    <n v="11.2"/>
    <n v="10"/>
    <s v="Y"/>
    <n v="1100"/>
    <n v="1100"/>
    <s v=""/>
    <m/>
    <n v="1"/>
    <n v="1100"/>
    <n v="1100"/>
    <m/>
    <m/>
    <m/>
    <m/>
    <n v="0"/>
    <n v="0.88227272727272732"/>
    <n v="970.5"/>
    <n v="852.5"/>
    <n v="0.77500000000000002"/>
    <n v="0.78100000000000003"/>
    <n v="0.78"/>
    <n v="853"/>
    <n v="853"/>
    <n v="0"/>
    <n v="0"/>
    <n v="0"/>
    <s v="Fortunei"/>
    <s v="2, 12, 14"/>
    <n v="0.22727272727272727"/>
    <n v="250"/>
    <m/>
    <m/>
    <n v="50"/>
    <n v="63"/>
    <m/>
    <n v="137"/>
    <m/>
    <m/>
    <m/>
    <m/>
    <n v="1"/>
    <n v="1"/>
    <n v="2024"/>
    <n v="6.69"/>
    <n v="2.41"/>
    <n v="0.15062500000000001"/>
    <n v="1.28"/>
    <n v="7.1111111111111111E-2"/>
    <n v="1.1143839999999998"/>
    <n v="950.56955199999982"/>
    <n v="2.56"/>
    <n v="0.312336"/>
    <n v="266.42260800000003"/>
    <n v="167188"/>
    <n v="166921.57739200001"/>
    <n v="2.7866666666666666"/>
  </r>
  <r>
    <s v="US0071"/>
    <x v="4"/>
    <x v="5"/>
    <n v="2029"/>
    <s v="Jim West"/>
    <n v="10061"/>
    <s v="Jim West"/>
    <s v="706-200-6522"/>
    <x v="2"/>
    <s v="westjb@hotmail.com"/>
    <s v="2984 Highway 255 South, Sautee Nacoochee, GA 30571, USA"/>
    <s v="2984 Georgia 255, Sautee Nacoochee, GA, USA"/>
    <x v="0"/>
    <s v="34.704052, -83.659809"/>
    <n v="9.9"/>
    <n v="10"/>
    <s v="Y"/>
    <n v="1100"/>
    <n v="1100"/>
    <s v=""/>
    <m/>
    <n v="1"/>
    <n v="1100"/>
    <n v="1100"/>
    <m/>
    <m/>
    <m/>
    <m/>
    <n v="0"/>
    <n v="1"/>
    <n v="1100"/>
    <n v="1100"/>
    <n v="1"/>
    <n v="1"/>
    <n v="1"/>
    <n v="1100"/>
    <n v="1100"/>
    <n v="0"/>
    <n v="0"/>
    <n v="0"/>
    <s v="Fortunei"/>
    <s v="11, 14"/>
    <n v="0.85"/>
    <n v="935"/>
    <m/>
    <m/>
    <m/>
    <n v="55"/>
    <n v="880"/>
    <m/>
    <m/>
    <m/>
    <m/>
    <m/>
    <n v="1"/>
    <n v="1"/>
    <n v="2024"/>
    <n v="9.65"/>
    <n v="1.96"/>
    <n v="0.1225"/>
    <n v="1.95"/>
    <n v="0.10833333333333334"/>
    <n v="0.51480624999999991"/>
    <n v="566.2868749999999"/>
    <n v="3.9000000000000004"/>
    <n v="1.2249999999999913E-3"/>
    <n v="1.3474999999999904"/>
    <n v="215600"/>
    <n v="215598.6525"/>
    <n v="2.6750000000000003"/>
  </r>
  <r>
    <s v="US0073"/>
    <x v="4"/>
    <x v="5"/>
    <n v="2029"/>
    <s v="Joseph Garrett"/>
    <n v="10063"/>
    <s v="Joseph Garrett"/>
    <s v="334-726-5737"/>
    <x v="2"/>
    <s v="trac9to8r@yahoo.com"/>
    <s v="1033 McDaniel Rd, Ashford AL 36312-5627"/>
    <s v="2536 S County Road 75, Pansey AL 36370-4922"/>
    <x v="0"/>
    <s v="31.157525, -85.197849"/>
    <n v="10.6"/>
    <n v="10"/>
    <s v="Y"/>
    <n v="1100"/>
    <n v="1100"/>
    <s v=""/>
    <m/>
    <n v="1"/>
    <n v="1100"/>
    <n v="1100"/>
    <m/>
    <m/>
    <m/>
    <m/>
    <n v="0"/>
    <n v="0.98818181818181816"/>
    <n v="1087"/>
    <n v="1090.0999999999999"/>
    <n v="0.99099999999999999"/>
    <n v="0.99"/>
    <n v="0.98818181818181816"/>
    <n v="1090"/>
    <n v="1090"/>
    <n v="0"/>
    <n v="0"/>
    <n v="0"/>
    <s v="Fortunei"/>
    <s v="11, 13"/>
    <n v="0.45545454545454545"/>
    <n v="501"/>
    <m/>
    <m/>
    <n v="63"/>
    <n v="42"/>
    <n v="46"/>
    <n v="350"/>
    <m/>
    <m/>
    <m/>
    <m/>
    <n v="1"/>
    <n v="1"/>
    <n v="2024"/>
    <n v="32.159999999999997"/>
    <n v="15.49"/>
    <n v="0.96812500000000001"/>
    <n v="7.44"/>
    <n v="0.41333333333333333"/>
    <n v="11.456404000000003"/>
    <n v="12487.480360000003"/>
    <n v="14.879999999999999"/>
    <n v="114.60121599999998"/>
    <n v="124915.32543999997"/>
    <n v="213640"/>
    <n v="88724.674560000029"/>
    <n v="1.7599999999999998"/>
  </r>
  <r>
    <s v="US0074"/>
    <x v="4"/>
    <x v="5"/>
    <n v="2029"/>
    <s v="Josh Allen"/>
    <n v="10064"/>
    <s v="Josh Allen"/>
    <s v="770-826-1573"/>
    <x v="2"/>
    <s v="jlabowhunter@yahoo.com"/>
    <s v="1924 County Road 104 Muscadine AL 36269-3198"/>
    <s v="1924 County Road 104 Muscadine AL 36269-3198"/>
    <x v="0"/>
    <s v="33.685657, -85.343371"/>
    <n v="10.4"/>
    <n v="10"/>
    <s v="Y"/>
    <n v="1100"/>
    <n v="1100"/>
    <s v=""/>
    <m/>
    <n v="1"/>
    <n v="1100"/>
    <n v="1100"/>
    <m/>
    <m/>
    <m/>
    <m/>
    <n v="0"/>
    <n v="0.95"/>
    <n v="1045"/>
    <n v="0"/>
    <m/>
    <n v="0.95"/>
    <n v="0.95"/>
    <n v="1045"/>
    <n v="1045"/>
    <n v="0"/>
    <n v="0"/>
    <n v="0"/>
    <s v="Fortunei"/>
    <s v="11, 12, 14"/>
    <n v="0.95818181818181813"/>
    <n v="1054"/>
    <m/>
    <m/>
    <m/>
    <m/>
    <n v="449"/>
    <n v="605"/>
    <m/>
    <m/>
    <m/>
    <m/>
    <n v="1"/>
    <n v="1"/>
    <m/>
    <m/>
    <m/>
    <n v="0"/>
    <m/>
    <n v="0"/>
    <n v="0"/>
    <n v="0"/>
    <n v="0"/>
    <n v="0"/>
    <n v="0"/>
    <n v="204820"/>
    <n v="204820"/>
    <n v="8.8669950738916262E-3"/>
  </r>
  <r>
    <s v="US0075"/>
    <x v="4"/>
    <x v="5"/>
    <n v="2029"/>
    <s v="Justin Brewer"/>
    <n v="10065"/>
    <s v="Justin Brewer"/>
    <s v="229-947-9400"/>
    <x v="2"/>
    <s v="brewer_justin90@yahoo.com"/>
    <s v="134 Powers Rd, Cordele, Georgia, 31015-7904"/>
    <s v="134 Powers Rd, Cordele, Georgia, 31015-7904"/>
    <x v="0"/>
    <s v="32.019754, -83.626989"/>
    <n v="12"/>
    <n v="9.9090909090909083"/>
    <s v="Y"/>
    <n v="1090"/>
    <n v="1090"/>
    <s v=""/>
    <m/>
    <n v="1"/>
    <n v="1090"/>
    <n v="1090"/>
    <m/>
    <m/>
    <m/>
    <m/>
    <n v="0"/>
    <n v="1"/>
    <n v="1090"/>
    <n v="1043.1299999999999"/>
    <n v="0.95699999999999996"/>
    <n v="0.96"/>
    <n v="0.96"/>
    <n v="1043"/>
    <n v="1043"/>
    <n v="0"/>
    <n v="0"/>
    <n v="0"/>
    <s v="Fortunei"/>
    <s v="12, 18"/>
    <n v="0.42752293577981654"/>
    <n v="466"/>
    <m/>
    <m/>
    <m/>
    <n v="126"/>
    <n v="130"/>
    <n v="210"/>
    <m/>
    <m/>
    <m/>
    <m/>
    <n v="1"/>
    <n v="1"/>
    <n v="2024"/>
    <n v="10.02"/>
    <n v="5.47"/>
    <n v="0.34187499999999998"/>
    <n v="2"/>
    <n v="0.1111111111111111"/>
    <n v="1.3674999999999999"/>
    <n v="1426.3025"/>
    <n v="4"/>
    <n v="0"/>
    <n v="0"/>
    <n v="204428"/>
    <n v="204428"/>
    <n v="2.6666666666666665"/>
  </r>
  <r>
    <s v="US0076"/>
    <x v="4"/>
    <x v="5"/>
    <n v="2029"/>
    <s v="Kim Martens"/>
    <n v="10066"/>
    <s v="Kim Martens"/>
    <s v="608-852-5395, 678-595-0537"/>
    <x v="2"/>
    <s v="kmartens8482@gmail.com, kim.empressenterprise@gmail.com, kim@empressenterprise.net"/>
    <s v="516 County Road 664, Roanoke, AL 36274, USA"/>
    <s v="516 County Road 664, Roanoke, AL 36274, USA"/>
    <x v="0"/>
    <s v="33.148289, -85.301667"/>
    <n v="5.3"/>
    <n v="6.8181818181818183"/>
    <s v="Y"/>
    <n v="750"/>
    <n v="750"/>
    <s v=""/>
    <m/>
    <n v="1"/>
    <n v="750"/>
    <n v="750"/>
    <m/>
    <m/>
    <m/>
    <m/>
    <n v="0"/>
    <n v="0.96499999999999997"/>
    <n v="723.75"/>
    <n v="0"/>
    <m/>
    <n v="0.97"/>
    <n v="0.96499999999999997"/>
    <n v="723.75"/>
    <n v="723.75"/>
    <n v="0"/>
    <n v="0"/>
    <n v="0"/>
    <s v="Fortunei"/>
    <s v="11, 14"/>
    <n v="0.81333333333333335"/>
    <n v="610"/>
    <m/>
    <m/>
    <n v="100"/>
    <n v="105"/>
    <n v="300"/>
    <n v="105"/>
    <m/>
    <m/>
    <m/>
    <m/>
    <n v="1"/>
    <n v="1"/>
    <m/>
    <m/>
    <m/>
    <n v="0"/>
    <m/>
    <n v="0"/>
    <n v="0"/>
    <n v="0"/>
    <n v="0"/>
    <n v="0"/>
    <n v="0"/>
    <n v="141855"/>
    <n v="141855"/>
    <n v="8.8669950738916262E-3"/>
  </r>
  <r>
    <s v="US0077"/>
    <x v="4"/>
    <x v="5"/>
    <n v="2029"/>
    <s v="Mike Porter"/>
    <n v="10067"/>
    <s v="Mike Porter and Teri Galardi"/>
    <s v="702-406-7479"/>
    <x v="2"/>
    <s v="mikeporter64@gmail.com"/>
    <s v="2146 Highway 42 S Flovilla GA 30216-2318"/>
    <s v="2146 Highway 42 S Flovilla GA 30216-2318"/>
    <x v="0"/>
    <s v="33.218413, -83.932813"/>
    <n v="29.5"/>
    <n v="20"/>
    <s v="Y"/>
    <n v="2200"/>
    <n v="2200"/>
    <s v=""/>
    <m/>
    <n v="1"/>
    <n v="2200"/>
    <n v="2200"/>
    <m/>
    <m/>
    <m/>
    <m/>
    <n v="0"/>
    <n v="1"/>
    <n v="2200"/>
    <n v="1718.2"/>
    <n v="0.78100000000000003"/>
    <n v="0.78"/>
    <n v="0.78"/>
    <n v="1718"/>
    <n v="1718"/>
    <n v="0"/>
    <n v="0"/>
    <n v="0"/>
    <s v="Fortunei"/>
    <s v="2, 11, 12"/>
    <n v="0.38681818181818184"/>
    <n v="851"/>
    <m/>
    <m/>
    <m/>
    <n v="600"/>
    <n v="251"/>
    <m/>
    <m/>
    <m/>
    <m/>
    <m/>
    <n v="1"/>
    <n v="1"/>
    <n v="2024"/>
    <n v="4.1900000000000004"/>
    <n v="1.56"/>
    <n v="9.7500000000000003E-2"/>
    <n v="0.51"/>
    <n v="2.8333333333333335E-2"/>
    <n v="1.1875597500000001"/>
    <n v="2040.2276505000002"/>
    <n v="1.02"/>
    <n v="0.86583900000000003"/>
    <n v="1487.5114020000001"/>
    <n v="336728"/>
    <n v="335240.48859800003"/>
    <n v="2.9149999999999996"/>
  </r>
  <r>
    <s v="US0079"/>
    <x v="4"/>
    <x v="5"/>
    <n v="2029"/>
    <s v="Peter Kampmann"/>
    <n v="10069"/>
    <s v="Peter Kampmann"/>
    <s v="530-514-5947, 530-520-0961"/>
    <x v="2"/>
    <s v="heartkamp@gmail.com"/>
    <s v="4955 Wilson Hill Road, Manton, California 96059, USA"/>
    <s v="4955 Wilson Hill Road, Manton, California 96059, USA"/>
    <x v="0"/>
    <s v="40.450869, -121.877380"/>
    <n v="20"/>
    <n v="19.363636363636363"/>
    <s v="Y"/>
    <n v="2130"/>
    <n v="2130"/>
    <s v=""/>
    <m/>
    <n v="1"/>
    <n v="2130"/>
    <n v="2130"/>
    <m/>
    <m/>
    <m/>
    <m/>
    <n v="0"/>
    <n v="1"/>
    <n v="2130"/>
    <n v="0"/>
    <m/>
    <n v="1"/>
    <n v="1"/>
    <n v="2130"/>
    <n v="2130"/>
    <n v="0"/>
    <n v="0"/>
    <n v="0"/>
    <s v="Fortunei"/>
    <s v="2, 11, 12, 13, 14, 20, TG Cool"/>
    <n v="0.77230046948356812"/>
    <n v="1645"/>
    <m/>
    <m/>
    <n v="300"/>
    <n v="70"/>
    <n v="1275"/>
    <m/>
    <m/>
    <m/>
    <m/>
    <m/>
    <n v="1"/>
    <n v="1"/>
    <m/>
    <m/>
    <m/>
    <n v="0"/>
    <m/>
    <n v="0"/>
    <n v="0"/>
    <n v="0"/>
    <n v="0"/>
    <n v="0"/>
    <n v="0"/>
    <n v="417480"/>
    <n v="417480"/>
    <n v="8.8669950738916262E-3"/>
  </r>
  <r>
    <s v="US0080"/>
    <x v="4"/>
    <x v="5"/>
    <n v="2029"/>
    <s v="Randy Grant"/>
    <n v="10070"/>
    <s v="Randy Grant"/>
    <s v="334-504-8494"/>
    <x v="2"/>
    <s v="bigoak2019@gmail.com"/>
    <s v="4264 Morgan Mill Rd Brantley AL 36009-3207"/>
    <s v="4264 Morgan Mill Rd Brantley AL 36009-3207"/>
    <x v="0"/>
    <s v="31.452362, -86.213403"/>
    <n v="54.8"/>
    <n v="48.18181818181818"/>
    <s v="Y"/>
    <n v="5300"/>
    <n v="5300"/>
    <s v=""/>
    <m/>
    <n v="1"/>
    <n v="5300"/>
    <n v="5300"/>
    <m/>
    <m/>
    <m/>
    <m/>
    <n v="0"/>
    <n v="1"/>
    <n v="5300"/>
    <n v="0"/>
    <m/>
    <n v="1"/>
    <n v="1"/>
    <n v="5300"/>
    <n v="5300"/>
    <n v="0"/>
    <n v="0"/>
    <n v="0"/>
    <s v="Fortunei"/>
    <s v="2, 12, 13, 14, 18"/>
    <n v="1.0916981132075472"/>
    <n v="5786"/>
    <m/>
    <m/>
    <m/>
    <n v="1449"/>
    <n v="4337"/>
    <m/>
    <m/>
    <m/>
    <m/>
    <m/>
    <n v="1"/>
    <n v="1"/>
    <m/>
    <m/>
    <m/>
    <n v="0"/>
    <m/>
    <n v="0"/>
    <n v="0"/>
    <n v="0"/>
    <n v="0"/>
    <n v="0"/>
    <n v="0"/>
    <n v="1038800"/>
    <n v="1038800"/>
    <n v="8.8669950738916262E-3"/>
  </r>
  <r>
    <s v="US0081"/>
    <x v="4"/>
    <x v="5"/>
    <n v="2029"/>
    <s v="Ricky Mitchell"/>
    <n v="10071"/>
    <s v="Ricky Mitchell"/>
    <s v="334-654-4553"/>
    <x v="2"/>
    <s v="mitchellricky799@gmail.com, 754mitchell@gmail.com"/>
    <s v="29306 US Highway 331 Opp AL 36467-5640"/>
    <s v="29306 US Highway 331 Opp AL 36467-5640"/>
    <x v="0"/>
    <s v="32.49, -86.5100000"/>
    <n v="10.26"/>
    <n v="10"/>
    <s v="Y"/>
    <n v="1100"/>
    <n v="1100"/>
    <s v=""/>
    <m/>
    <n v="1"/>
    <n v="1100"/>
    <n v="1100"/>
    <m/>
    <m/>
    <m/>
    <m/>
    <n v="0"/>
    <n v="0.97772727272727278"/>
    <n v="1075.5"/>
    <n v="220"/>
    <n v="0.2"/>
    <n v="0.2"/>
    <n v="0.2"/>
    <n v="220"/>
    <n v="220"/>
    <n v="0"/>
    <n v="0"/>
    <n v="0"/>
    <s v="Fortunei"/>
    <s v="13"/>
    <n v="0.82545454545454544"/>
    <n v="908"/>
    <m/>
    <m/>
    <m/>
    <n v="168"/>
    <n v="740"/>
    <m/>
    <m/>
    <m/>
    <m/>
    <m/>
    <n v="1"/>
    <n v="1"/>
    <n v="2024"/>
    <n v="2.14"/>
    <n v="0.56999999999999995"/>
    <n v="3.5624999999999997E-2"/>
    <n v="0.36"/>
    <n v="0.02"/>
    <n v="0.47201700000000002"/>
    <n v="103.84374000000001"/>
    <n v="0.72"/>
    <n v="0.38326800000000005"/>
    <n v="84.318960000000018"/>
    <n v="43120"/>
    <n v="43035.681040000003"/>
    <n v="2.94"/>
  </r>
  <r>
    <s v="US0082"/>
    <x v="4"/>
    <x v="5"/>
    <n v="2029"/>
    <s v="Ronnie and Kent Mathis"/>
    <n v="10072"/>
    <s v="Ronnie Mathis"/>
    <s v="706-499-6493, 706 499 1501"/>
    <x v="2"/>
    <s v="ronmountainearthfarms@gmail.com, kentrm1@yahoo.com"/>
    <s v="PO Box 1592 Cornelia GA 30531-1026"/>
    <s v="260 Hollywood Hwy Clarkesville GA 30523-4731"/>
    <x v="0"/>
    <s v="34.43919 N, 83.23246 W"/>
    <n v="27"/>
    <n v="35"/>
    <s v="Y"/>
    <n v="3850"/>
    <n v="3850"/>
    <s v=""/>
    <m/>
    <n v="1"/>
    <n v="3850"/>
    <n v="3850"/>
    <m/>
    <m/>
    <m/>
    <m/>
    <n v="0"/>
    <n v="1"/>
    <n v="3850"/>
    <n v="3769.15"/>
    <n v="0.97899999999999998"/>
    <n v="0.98"/>
    <n v="0.98"/>
    <n v="3769"/>
    <n v="3769"/>
    <n v="0"/>
    <n v="0"/>
    <n v="0"/>
    <s v="Fortunei"/>
    <s v="2, 14, 18"/>
    <n v="0.2"/>
    <n v="770"/>
    <m/>
    <m/>
    <m/>
    <n v="400"/>
    <n v="370"/>
    <m/>
    <m/>
    <m/>
    <m/>
    <m/>
    <n v="1"/>
    <n v="1"/>
    <n v="2024"/>
    <n v="23"/>
    <n v="9.8000000000000007"/>
    <n v="0.61250000000000004"/>
    <n v="5.19"/>
    <n v="0.28833333333333333"/>
    <n v="0.86736125000000064"/>
    <n v="3269.0845512500023"/>
    <n v="10.38"/>
    <n v="24.931445000000007"/>
    <n v="93966.616205000028"/>
    <n v="738724"/>
    <n v="644757.38379499991"/>
    <n v="2.1349999999999998"/>
  </r>
  <r>
    <s v="US0083"/>
    <x v="4"/>
    <x v="5"/>
    <n v="2029"/>
    <s v="Russell and Sedalia Nelson"/>
    <n v="10073"/>
    <s v="Russell and Sedalia Nelson"/>
    <s v="251-747-0140, 251-269-8749"/>
    <x v="2"/>
    <s v="russell17852@gmail.com"/>
    <s v="1154 Hunter Rd Columbia AL 36319-4018"/>
    <s v="1154 Hunter Rd Columbia AL 36319-4018"/>
    <x v="0"/>
    <s v="31.246976, -85.178192"/>
    <n v="15.3"/>
    <n v="14.718181818181819"/>
    <s v="Y"/>
    <n v="1619"/>
    <n v="1619"/>
    <s v=""/>
    <m/>
    <n v="1"/>
    <n v="1619"/>
    <n v="1619"/>
    <m/>
    <m/>
    <m/>
    <m/>
    <n v="0"/>
    <n v="0.95"/>
    <n v="1538.05"/>
    <n v="1578.5249999999999"/>
    <n v="0.97499999999999998"/>
    <n v="0.98"/>
    <n v="0.98"/>
    <n v="1579"/>
    <n v="1579"/>
    <n v="0"/>
    <n v="0"/>
    <n v="0"/>
    <s v="Fortunei"/>
    <s v="2, 11, 14"/>
    <n v="0.24336009882643608"/>
    <n v="394"/>
    <m/>
    <m/>
    <m/>
    <m/>
    <n v="128"/>
    <n v="266"/>
    <m/>
    <m/>
    <m/>
    <m/>
    <n v="1"/>
    <n v="1"/>
    <n v="2024"/>
    <n v="20.63"/>
    <n v="9.81"/>
    <n v="0.61312500000000003"/>
    <n v="3.88"/>
    <n v="0.21555555555555556"/>
    <n v="8.8290000000000157E-3"/>
    <n v="13.940991000000025"/>
    <n v="7.76"/>
    <n v="8.6681159999999995"/>
    <n v="13686.955163999999"/>
    <n v="309484"/>
    <n v="295797.04483600002"/>
    <n v="2.3533333333333335"/>
  </r>
  <r>
    <s v="US0084"/>
    <x v="4"/>
    <x v="5"/>
    <n v="2029"/>
    <s v="Scott Fenn"/>
    <n v="10074"/>
    <s v="Scott Fenn"/>
    <s v="334 546 8921"/>
    <x v="2"/>
    <s v="scottf@southerngrowers.com, fennjam@hotmail.com"/>
    <s v="Southern Growers, 3601 Wetumpka Highway, Montgomery, AL 36110, USA"/>
    <s v="3601 Wetumpka Highway Montgomery AL 36110"/>
    <x v="0"/>
    <s v="31.9851774, -85.5246404"/>
    <n v="8.23"/>
    <n v="10"/>
    <s v="Y"/>
    <n v="1100"/>
    <n v="1100"/>
    <s v=""/>
    <m/>
    <n v="1"/>
    <n v="1100"/>
    <n v="1100"/>
    <m/>
    <m/>
    <m/>
    <m/>
    <n v="0"/>
    <n v="0.82499999999999996"/>
    <n v="907.5"/>
    <n v="0"/>
    <m/>
    <n v="0.82499999999999996"/>
    <n v="0.82499999999999996"/>
    <n v="907.5"/>
    <n v="907.5"/>
    <n v="0"/>
    <n v="0"/>
    <n v="0"/>
    <s v="Fortunei"/>
    <s v="12, 18"/>
    <n v="0.13181818181818181"/>
    <n v="145"/>
    <m/>
    <m/>
    <m/>
    <m/>
    <n v="145"/>
    <m/>
    <m/>
    <m/>
    <m/>
    <m/>
    <n v="1"/>
    <n v="1"/>
    <m/>
    <m/>
    <m/>
    <n v="0"/>
    <m/>
    <n v="0"/>
    <n v="0"/>
    <n v="0"/>
    <n v="0"/>
    <n v="0"/>
    <n v="0"/>
    <n v="177870"/>
    <n v="177870"/>
    <n v="8.8669950738916262E-3"/>
  </r>
  <r>
    <s v="US0085"/>
    <x v="4"/>
    <x v="5"/>
    <n v="2029"/>
    <s v="Scott Landreau"/>
    <n v="10075"/>
    <s v="Cidney Scott and Stuart Page Landreau"/>
    <s v="334-303-0827"/>
    <x v="2"/>
    <s v="landreauinc@yahoo.com, scott2lallc@yahoo.com, Mklandreau@yahoo.com"/>
    <s v="3063 Little Road, Tallassee, AL 36078-3267"/>
    <s v="494 State Hwy 26, Hatchechubbee, AL, USA"/>
    <x v="0"/>
    <s v="32.278489, -85.247919"/>
    <n v="18.27"/>
    <n v="12"/>
    <s v="Y"/>
    <n v="1320"/>
    <n v="1320"/>
    <s v=""/>
    <m/>
    <n v="1"/>
    <n v="1320"/>
    <n v="1320"/>
    <m/>
    <m/>
    <m/>
    <m/>
    <n v="0"/>
    <n v="0.82499999999999996"/>
    <n v="1089"/>
    <n v="0"/>
    <m/>
    <n v="0.82499999999999996"/>
    <n v="0.82499999999999996"/>
    <n v="1089"/>
    <n v="1089"/>
    <n v="0"/>
    <n v="0"/>
    <n v="0"/>
    <s v="Fortunei"/>
    <s v="2, 11, 14, 18"/>
    <n v="8.0303030303030307E-2"/>
    <n v="106"/>
    <m/>
    <m/>
    <m/>
    <m/>
    <n v="106"/>
    <m/>
    <m/>
    <m/>
    <m/>
    <m/>
    <n v="1"/>
    <n v="1"/>
    <m/>
    <m/>
    <m/>
    <n v="0"/>
    <m/>
    <n v="0"/>
    <n v="0"/>
    <n v="0"/>
    <n v="0"/>
    <n v="0"/>
    <n v="0"/>
    <n v="213444"/>
    <n v="213444"/>
    <n v="8.8669950738916262E-3"/>
  </r>
  <r>
    <s v="US0086"/>
    <x v="4"/>
    <x v="5"/>
    <n v="2029"/>
    <s v="Steven Whittaker"/>
    <n v="10042"/>
    <s v="Janet Whittaker"/>
    <s v="229-254-3319"/>
    <x v="2"/>
    <s v="jarviswhittaker@icloud.com"/>
    <s v="7688 Reynolds Landing Rd, Donalsonville, GA 39845-6925, USA"/>
    <s v="7688 Reynolds Landing Rd, Donalsonville, GA 39845-6925, USA"/>
    <x v="0"/>
    <s v="30.909772, -84.752342"/>
    <n v="3.7"/>
    <n v="3.4545454545454546"/>
    <s v="Y"/>
    <n v="380"/>
    <n v="380"/>
    <s v=""/>
    <m/>
    <n v="1"/>
    <n v="380"/>
    <n v="380"/>
    <m/>
    <m/>
    <m/>
    <m/>
    <n v="0"/>
    <n v="1"/>
    <n v="380"/>
    <n v="354.54"/>
    <n v="0.93300000000000005"/>
    <n v="0.93"/>
    <n v="0.93"/>
    <n v="355"/>
    <n v="355"/>
    <n v="0"/>
    <n v="0"/>
    <n v="0"/>
    <s v="Fortunei"/>
    <s v="12, 14"/>
    <n v="0.27894736842105261"/>
    <n v="106"/>
    <m/>
    <m/>
    <m/>
    <n v="20"/>
    <n v="86"/>
    <m/>
    <m/>
    <m/>
    <m/>
    <m/>
    <n v="1"/>
    <n v="1"/>
    <n v="2024"/>
    <n v="23.68"/>
    <n v="13.62"/>
    <n v="0.85124999999999995"/>
    <n v="5.62"/>
    <n v="0.31222222222222223"/>
    <n v="2.2340205000000002"/>
    <n v="793.07727750000004"/>
    <n v="11.24"/>
    <n v="44.620481999999996"/>
    <n v="15840.271109999998"/>
    <n v="69580"/>
    <n v="53739.728889999999"/>
    <n v="2.063333333333333"/>
  </r>
  <r>
    <s v="US0087"/>
    <x v="4"/>
    <x v="5"/>
    <n v="2029"/>
    <s v="Steven Whittaker"/>
    <n v="10042"/>
    <s v="Steven Whittaker"/>
    <s v="229-254-3319"/>
    <x v="2"/>
    <s v="jarviswhittaker@icloud.com"/>
    <s v="7688 Reynolds Landing Rd, Donalsonville, GA 39845-6925, USA"/>
    <s v="7688 Reynolds Landing Rd, Donalsonville, GA 39845-6925, USA"/>
    <x v="0"/>
    <s v="30.819041, -84.808993"/>
    <n v="10"/>
    <n v="10"/>
    <s v="Y"/>
    <n v="1100"/>
    <n v="1100"/>
    <s v=""/>
    <m/>
    <n v="1"/>
    <n v="1100"/>
    <n v="1100"/>
    <m/>
    <m/>
    <m/>
    <m/>
    <n v="0"/>
    <n v="1"/>
    <n v="1100"/>
    <n v="1004.3000000000001"/>
    <n v="0.91300000000000003"/>
    <n v="0.91"/>
    <n v="0.91"/>
    <n v="1004"/>
    <n v="1004"/>
    <n v="0"/>
    <n v="0"/>
    <n v="0"/>
    <s v="Fortunei"/>
    <s v="12, 14"/>
    <n v="1.1181818181818182"/>
    <n v="1230"/>
    <m/>
    <m/>
    <m/>
    <n v="232"/>
    <n v="500"/>
    <n v="498"/>
    <m/>
    <m/>
    <m/>
    <m/>
    <n v="1"/>
    <n v="1"/>
    <n v="2024"/>
    <n v="16.91"/>
    <n v="8.91"/>
    <n v="0.55687500000000001"/>
    <n v="3.67"/>
    <n v="0.2038888888888889"/>
    <n v="6.0643687500000029E-2"/>
    <n v="60.88626225000003"/>
    <n v="7.34"/>
    <n v="6.2122747499999997"/>
    <n v="6237.1238489999996"/>
    <n v="196784"/>
    <n v="190546.876151"/>
    <n v="2.3883333333333332"/>
  </r>
  <r>
    <s v="US0053"/>
    <x v="4"/>
    <x v="5"/>
    <n v="0"/>
    <s v="Anthony Cowart"/>
    <n v="10046"/>
    <s v="Jimmy A Cowart, Steve Anthony Cowart, and Christy Cowart Murphy"/>
    <s v="912-245-0476"/>
    <x v="1"/>
    <s v="cowartinc1@bellsouth.net, cowartinc2@bellsouth.net"/>
    <s v="816 GA Highway 56 W Lyons GA 30436-5945"/>
    <s v="816 GA Highway 56 W Lyons GA 30436-5945"/>
    <x v="0"/>
    <m/>
    <m/>
    <s v=""/>
    <m/>
    <n v="3300"/>
    <n v="3300"/>
    <s v=""/>
    <m/>
    <n v="1"/>
    <n v="3300"/>
    <n v="3300"/>
    <m/>
    <m/>
    <m/>
    <m/>
    <n v="0"/>
    <n v="0"/>
    <n v="0"/>
    <n v="0"/>
    <n v="0"/>
    <n v="0"/>
    <n v="0"/>
    <n v="0"/>
    <n v="0"/>
    <n v="0"/>
    <n v="0"/>
    <n v="0"/>
    <s v="Fortunei"/>
    <s v="11, 14, 18"/>
    <n v="0.5033333333333333"/>
    <n v="1661"/>
    <m/>
    <m/>
    <m/>
    <m/>
    <n v="1661"/>
    <m/>
    <m/>
    <m/>
    <m/>
    <m/>
    <n v="1"/>
    <n v="1"/>
    <m/>
    <m/>
    <m/>
    <n v="0"/>
    <m/>
    <n v="0"/>
    <n v="0"/>
    <n v="0"/>
    <n v="0"/>
    <n v="0"/>
    <n v="0"/>
    <n v="0"/>
    <n v="0"/>
    <n v="18"/>
  </r>
  <r>
    <s v="US0060"/>
    <x v="4"/>
    <x v="5"/>
    <n v="2029"/>
    <s v="Daniel Perez"/>
    <n v="10052"/>
    <s v="Daniel Perez"/>
    <s v="813-727-1896"/>
    <x v="0"/>
    <s v="dpjr01@gmail.com"/>
    <s v="457 Herndon Rd  Lumpkin GA 31815-4702"/>
    <s v="457 Herndon Rd  Lumpkin GA 31815-4702"/>
    <x v="0"/>
    <s v="31.942337, -84.868611"/>
    <n v="9.5"/>
    <s v=""/>
    <s v="Y"/>
    <n v="1100"/>
    <n v="1100"/>
    <s v=""/>
    <m/>
    <n v="1"/>
    <n v="1100"/>
    <n v="1100"/>
    <m/>
    <m/>
    <m/>
    <m/>
    <n v="0"/>
    <n v="0.625"/>
    <n v="687.5"/>
    <n v="0"/>
    <m/>
    <n v="0.625"/>
    <n v="0"/>
    <n v="687.5"/>
    <n v="687.5"/>
    <n v="0"/>
    <n v="0"/>
    <n v="0"/>
    <s v="Fortunei"/>
    <s v="12"/>
    <n v="0.22727272727272727"/>
    <n v="250"/>
    <m/>
    <m/>
    <m/>
    <m/>
    <n v="250"/>
    <m/>
    <m/>
    <m/>
    <m/>
    <m/>
    <n v="1"/>
    <n v="1"/>
    <m/>
    <m/>
    <m/>
    <n v="0"/>
    <m/>
    <n v="0"/>
    <n v="0"/>
    <n v="0"/>
    <n v="0"/>
    <n v="0"/>
    <n v="0"/>
    <n v="134750"/>
    <n v="134750"/>
    <n v="8.8669950738916262E-3"/>
  </r>
  <r>
    <s v="US0066"/>
    <x v="4"/>
    <x v="5"/>
    <n v="0"/>
    <s v="Glenn Preskitt"/>
    <n v="10056"/>
    <s v="Glenn Preskitt"/>
    <s v="334-652-5278, 334-567-5600"/>
    <x v="1"/>
    <s v="mattpreskitt@gmail.com"/>
    <s v="4536 Grier Rd Wetumpka AL 36092-6104"/>
    <s v="3990 Grier Rd. Wetumpka AL 36092-4214"/>
    <x v="0"/>
    <m/>
    <m/>
    <s v=""/>
    <m/>
    <n v="5500"/>
    <n v="5500"/>
    <s v=""/>
    <m/>
    <n v="1"/>
    <n v="5500"/>
    <n v="5500"/>
    <m/>
    <m/>
    <m/>
    <m/>
    <n v="0"/>
    <n v="0.78"/>
    <n v="4290"/>
    <n v="0"/>
    <n v="0"/>
    <n v="0"/>
    <n v="0"/>
    <n v="0"/>
    <n v="0"/>
    <n v="0"/>
    <n v="0"/>
    <n v="0"/>
    <s v="Fortunei"/>
    <s v="11, 12, 13, 14, 18"/>
    <n v="3.7090909090909091E-2"/>
    <n v="204"/>
    <m/>
    <m/>
    <m/>
    <m/>
    <m/>
    <n v="204"/>
    <m/>
    <m/>
    <m/>
    <m/>
    <n v="1"/>
    <n v="1"/>
    <m/>
    <m/>
    <m/>
    <n v="0"/>
    <m/>
    <n v="0"/>
    <n v="0"/>
    <n v="0"/>
    <n v="0"/>
    <n v="0"/>
    <n v="0"/>
    <n v="0"/>
    <n v="0"/>
    <n v="18"/>
  </r>
  <r>
    <s v="US0072"/>
    <x v="4"/>
    <x v="5"/>
    <n v="0"/>
    <s v="John Hayes"/>
    <n v="10062"/>
    <s v="Hayes Farms LLC"/>
    <s v="334-726-8074"/>
    <x v="1"/>
    <s v="john.hayes09@icloud.com"/>
    <s v="5053 Pansey Rd Pansey AL 36370-4059"/>
    <s v="2536 S County Road 75, Pansey AL 36370-4922"/>
    <x v="0"/>
    <s v="31.157609, -85.167070"/>
    <n v="9.6999999999999993"/>
    <s v=""/>
    <s v="Y"/>
    <n v="1100"/>
    <n v="1100"/>
    <s v=""/>
    <m/>
    <n v="1"/>
    <n v="1100"/>
    <n v="1100"/>
    <m/>
    <m/>
    <m/>
    <m/>
    <n v="0"/>
    <n v="0.82499999999999996"/>
    <n v="907.5"/>
    <n v="0"/>
    <n v="0"/>
    <n v="0"/>
    <n v="0"/>
    <n v="0"/>
    <n v="0"/>
    <n v="0"/>
    <n v="0"/>
    <n v="0"/>
    <s v="Fortunei"/>
    <s v="11, 14"/>
    <n v="0.29090909090909089"/>
    <n v="320"/>
    <m/>
    <m/>
    <m/>
    <m/>
    <n v="320"/>
    <m/>
    <m/>
    <m/>
    <m/>
    <m/>
    <n v="1"/>
    <n v="1"/>
    <m/>
    <m/>
    <m/>
    <n v="0"/>
    <m/>
    <n v="0"/>
    <n v="0"/>
    <n v="0"/>
    <n v="0"/>
    <n v="0"/>
    <n v="0"/>
    <n v="0"/>
    <n v="0"/>
    <n v="18"/>
  </r>
  <r>
    <s v="US0078"/>
    <x v="4"/>
    <x v="5"/>
    <n v="2029"/>
    <s v="Pete Preskitt"/>
    <n v="10068"/>
    <s v="Pete Preskitt"/>
    <s v="334-651-1377"/>
    <x v="0"/>
    <s v="ppreskitt@icloud.com"/>
    <s v="2140 Weoka Rd Wetumpka AL 36092-4520"/>
    <s v="2140 Weoka Rd Wetumpka AL 36092-4520"/>
    <x v="0"/>
    <s v="32.617043, -86.203639"/>
    <n v="11.2"/>
    <s v=""/>
    <s v="Y"/>
    <n v="1100"/>
    <n v="1100"/>
    <s v=""/>
    <m/>
    <n v="1"/>
    <n v="1100"/>
    <n v="1100"/>
    <m/>
    <m/>
    <m/>
    <m/>
    <n v="0"/>
    <n v="0.95"/>
    <n v="1045"/>
    <n v="790.9"/>
    <n v="0.71899999999999997"/>
    <n v="0.72"/>
    <n v="0"/>
    <n v="792"/>
    <n v="792"/>
    <n v="0"/>
    <n v="0"/>
    <n v="0"/>
    <s v="Fortunei"/>
    <n v="12"/>
    <n v="0.5"/>
    <n v="550"/>
    <m/>
    <m/>
    <m/>
    <m/>
    <n v="64"/>
    <n v="486"/>
    <m/>
    <m/>
    <m/>
    <m/>
    <n v="1"/>
    <n v="1"/>
    <n v="2024"/>
    <n v="7.01"/>
    <n v="1.3"/>
    <n v="8.1250000000000003E-2"/>
    <n v="1.06"/>
    <n v="5.8888888888888893E-2"/>
    <n v="0.70229249999999999"/>
    <n v="556.21565999999996"/>
    <n v="2.12"/>
    <n v="0.28716999999999998"/>
    <n v="227.43863999999999"/>
    <n v="155232"/>
    <n v="155004.56135999999"/>
    <n v="2.8233333333333337"/>
  </r>
  <r>
    <s v="US0088"/>
    <x v="4"/>
    <x v="5"/>
    <n v="0"/>
    <s v="Will Allen"/>
    <n v="10076"/>
    <s v="Will Allen"/>
    <s v="256-846-0777"/>
    <x v="1"/>
    <s v="willallen78@gmail.com"/>
    <s v="516 Co Rd 482, Heflin, AL, USA"/>
    <s v="County Road 482, Heflin, AL 36264, USA"/>
    <x v="0"/>
    <s v="33.621869, -85.456980"/>
    <n v="10.15"/>
    <s v=""/>
    <s v="Y"/>
    <n v="1100"/>
    <n v="1100"/>
    <s v=""/>
    <m/>
    <n v="1"/>
    <n v="1100"/>
    <n v="1100"/>
    <m/>
    <m/>
    <m/>
    <m/>
    <n v="0"/>
    <n v="0.95"/>
    <n v="1045"/>
    <n v="0"/>
    <n v="0"/>
    <n v="0"/>
    <n v="0"/>
    <n v="0"/>
    <n v="0"/>
    <n v="0"/>
    <n v="0"/>
    <n v="0"/>
    <s v="Fortunei"/>
    <s v="11, 12"/>
    <n v="0.38818181818181818"/>
    <n v="427"/>
    <m/>
    <m/>
    <m/>
    <m/>
    <n v="427"/>
    <m/>
    <m/>
    <m/>
    <m/>
    <m/>
    <n v="1"/>
    <n v="1"/>
    <m/>
    <m/>
    <m/>
    <n v="0"/>
    <m/>
    <n v="0"/>
    <n v="0"/>
    <n v="0"/>
    <n v="0"/>
    <n v="0"/>
    <n v="0"/>
    <n v="0"/>
    <n v="0"/>
    <n v="18"/>
  </r>
  <r>
    <s v="CR0070"/>
    <x v="6"/>
    <x v="6"/>
    <n v="2030"/>
    <s v="Alfonso Carranza"/>
    <n v="20065"/>
    <s v="Alfonso Carranza"/>
    <s v="60760838, +506-61778830, +506- 84447590"/>
    <x v="0"/>
    <s v="carlosdec@gmail.com"/>
    <s v="Abangares Campo de Oro, 3km al sur de la escuela 50702"/>
    <s v="Abangares Campo de Oro, 3km al sur de la escuela"/>
    <x v="1"/>
    <s v="10.3576690, -84.9288100"/>
    <n v="5.69"/>
    <s v=""/>
    <m/>
    <n v="1000"/>
    <n v="1000"/>
    <s v=""/>
    <m/>
    <n v="1"/>
    <n v="1000"/>
    <n v="1000"/>
    <m/>
    <m/>
    <m/>
    <m/>
    <n v="0"/>
    <n v="1"/>
    <n v="1000"/>
    <n v="0"/>
    <m/>
    <n v="1"/>
    <n v="0"/>
    <n v="1000"/>
    <n v="1000"/>
    <n v="0"/>
    <n v="0"/>
    <n v="0"/>
    <s v="P.elongata"/>
    <m/>
    <n v="0.24"/>
    <n v="240"/>
    <m/>
    <m/>
    <m/>
    <n v="240"/>
    <m/>
    <m/>
    <m/>
    <m/>
    <m/>
    <m/>
    <n v="1"/>
    <n v="1"/>
    <m/>
    <m/>
    <m/>
    <n v="0"/>
    <m/>
    <n v="0"/>
    <n v="0"/>
    <n v="0"/>
    <n v="0"/>
    <n v="0"/>
    <n v="0"/>
    <n v="196000"/>
    <n v="196000"/>
    <n v="8.8626292466765146E-3"/>
  </r>
  <r>
    <s v="CR0071"/>
    <x v="6"/>
    <x v="6"/>
    <n v="0"/>
    <s v="Carlos Peña"/>
    <n v="20037"/>
    <s v="Carlos Peña"/>
    <s v="506-6076-0838"/>
    <x v="1"/>
    <s v="carlosdec@gmail.com"/>
    <s v="Rohrmoser, Pavas, costado norte del Colegio Humbolt, 4ta casa a mano izquierda"/>
    <s v="DISTRITO 3-SAN JUAN CANTON 7-ABANGARES DE LA PROVINCIA DE GUANACASTE, Costa Rica"/>
    <x v="1"/>
    <s v="10.2500530, -84.8776320"/>
    <m/>
    <s v=""/>
    <m/>
    <n v="1800"/>
    <n v="1800"/>
    <s v=""/>
    <m/>
    <n v="1"/>
    <n v="1800"/>
    <n v="1800"/>
    <m/>
    <m/>
    <m/>
    <m/>
    <n v="0"/>
    <n v="0"/>
    <n v="0"/>
    <n v="0"/>
    <n v="0"/>
    <n v="0"/>
    <n v="0"/>
    <n v="0"/>
    <n v="0"/>
    <n v="0"/>
    <n v="0"/>
    <n v="0"/>
    <s v="P.elongata"/>
    <m/>
    <n v="0"/>
    <n v="0"/>
    <m/>
    <m/>
    <m/>
    <m/>
    <m/>
    <m/>
    <m/>
    <m/>
    <m/>
    <m/>
    <n v="1"/>
    <n v="1"/>
    <m/>
    <m/>
    <m/>
    <n v="0"/>
    <m/>
    <n v="0"/>
    <n v="0"/>
    <n v="0"/>
    <n v="0"/>
    <n v="0"/>
    <n v="0"/>
    <n v="0"/>
    <n v="0"/>
    <n v="18"/>
  </r>
  <r>
    <s v="CR0072"/>
    <x v="6"/>
    <x v="6"/>
    <n v="2030"/>
    <s v="Christian Miranda"/>
    <n v="20066"/>
    <s v="Colegio Tecnico Ricardo Beer"/>
    <s v="24277051, 86559870"/>
    <x v="0"/>
    <s v="cristian.miranda.alpizar@mep.go.cr"/>
    <s v="Alajuela Province, Orotina, Costa Rica"/>
    <s v="9.907088488496681, -84.53383254232823"/>
    <x v="1"/>
    <s v="9.907088488496681, -84.53383254232823"/>
    <m/>
    <s v=""/>
    <m/>
    <n v="650"/>
    <n v="650"/>
    <s v=""/>
    <m/>
    <n v="1"/>
    <n v="650"/>
    <n v="650"/>
    <m/>
    <m/>
    <m/>
    <m/>
    <n v="0"/>
    <n v="1"/>
    <n v="650"/>
    <n v="0"/>
    <m/>
    <n v="1"/>
    <n v="0"/>
    <n v="650"/>
    <n v="650"/>
    <n v="0"/>
    <n v="0"/>
    <n v="0"/>
    <s v="P.elongata"/>
    <m/>
    <n v="1"/>
    <n v="650"/>
    <m/>
    <m/>
    <m/>
    <n v="650"/>
    <m/>
    <m/>
    <m/>
    <m/>
    <m/>
    <m/>
    <n v="1"/>
    <n v="1"/>
    <m/>
    <m/>
    <m/>
    <n v="0"/>
    <m/>
    <n v="0"/>
    <n v="0"/>
    <n v="0"/>
    <n v="0"/>
    <n v="0"/>
    <n v="0"/>
    <n v="127400"/>
    <n v="127400"/>
    <n v="8.8626292466765146E-3"/>
  </r>
  <r>
    <s v="GT0032"/>
    <x v="6"/>
    <x v="6"/>
    <n v="2030"/>
    <s v="Boris Garza"/>
    <n v="30014"/>
    <s v="Borigar S.A. Carmen Lucía Garza López"/>
    <s v="+502 41231219, (502) 79430065"/>
    <x v="0"/>
    <s v="gerenciadenegocios@gmail.com"/>
    <s v="3ª CALLE 1-85, ZONA 3, MUNICIPIO DE ESQUIPULAS, DEPARTA-MENTO DE CHIQUIMULA"/>
    <s v="Finca La Papayera, aldea Cidabenque, Melchor de Mencos, El Petén"/>
    <x v="2"/>
    <s v="14.5684073, -89.3669417; 17.004972, -89.243806"/>
    <n v="16.7"/>
    <s v=""/>
    <m/>
    <n v="2000"/>
    <n v="2000"/>
    <s v=""/>
    <m/>
    <n v="1"/>
    <n v="2000"/>
    <n v="2000"/>
    <m/>
    <m/>
    <m/>
    <m/>
    <n v="0"/>
    <n v="0"/>
    <n v="0"/>
    <n v="0"/>
    <m/>
    <n v="0"/>
    <n v="0"/>
    <n v="0"/>
    <n v="0"/>
    <n v="0"/>
    <n v="0"/>
    <n v="0"/>
    <s v="CL502, 18K"/>
    <m/>
    <n v="0.65"/>
    <n v="1300"/>
    <m/>
    <m/>
    <m/>
    <m/>
    <n v="1300"/>
    <m/>
    <m/>
    <m/>
    <m/>
    <m/>
    <n v="1"/>
    <n v="1"/>
    <m/>
    <m/>
    <m/>
    <n v="0"/>
    <m/>
    <n v="0"/>
    <n v="0"/>
    <n v="0"/>
    <n v="0"/>
    <n v="0"/>
    <n v="0"/>
    <n v="0"/>
    <n v="0"/>
    <n v="8.8626292466765146E-3"/>
  </r>
  <r>
    <s v="GT0039"/>
    <x v="4"/>
    <x v="6"/>
    <n v="2030"/>
    <s v="Marvin Rodolfo Porras Calderón"/>
    <n v="30024"/>
    <s v="Marvin Rodolfo Porras Calderón"/>
    <s v="(502) 54135219"/>
    <x v="0"/>
    <s v="mayalsmiscelanea@hotmail.com"/>
    <s v="Barrio El Centro zona 1, municipio de San Luis Jilotepeque, departamento de Jalapa"/>
    <s v="Aldea El Zapote, municipio de San Luis, departamento de Petén"/>
    <x v="2"/>
    <s v="16.074253, -89.729667"/>
    <n v="18.899999999999999"/>
    <s v=""/>
    <m/>
    <n v="2350"/>
    <n v="2350"/>
    <s v=""/>
    <m/>
    <n v="1"/>
    <n v="2350"/>
    <n v="2350"/>
    <m/>
    <m/>
    <m/>
    <m/>
    <n v="0"/>
    <n v="0.569907813742912"/>
    <n v="1339.2833622958433"/>
    <n v="0"/>
    <m/>
    <n v="0.569907813742912"/>
    <n v="0"/>
    <n v="1339.2833622958433"/>
    <n v="1339.2833622958433"/>
    <n v="0"/>
    <n v="0"/>
    <n v="0"/>
    <s v="CL502, 18K"/>
    <m/>
    <n v="0"/>
    <n v="0"/>
    <m/>
    <m/>
    <m/>
    <m/>
    <m/>
    <m/>
    <m/>
    <m/>
    <m/>
    <m/>
    <n v="1"/>
    <n v="1"/>
    <m/>
    <m/>
    <m/>
    <n v="0"/>
    <m/>
    <n v="0"/>
    <n v="0"/>
    <n v="0"/>
    <n v="0"/>
    <n v="0"/>
    <n v="0"/>
    <n v="262499.53900998528"/>
    <n v="262499.53900998528"/>
    <n v="8.8626292466765146E-3"/>
  </r>
  <r>
    <s v="MX0003"/>
    <x v="4"/>
    <x v="6"/>
    <n v="2030"/>
    <s v="Ana Paulina Hurtado Castro"/>
    <n v="40003"/>
    <s v="Ana Paulina Hurtado Castro"/>
    <s v="4777271251"/>
    <x v="0"/>
    <s v="pavizh@gmail.com"/>
    <s v="Calle Novello #107 Fraccionamiento Residencial Piamonte. Co Ionia Llacienda Santa Fe. Leon, Guanajuato. Mexico, 37299"/>
    <s v="El Potrerito, Ca bras de Guadelupe, Municipio de Ocampo, Guanajuato. CP 37640"/>
    <x v="3"/>
    <s v="22.446450, -101.494247"/>
    <n v="2.4"/>
    <s v=""/>
    <m/>
    <n v="1100"/>
    <n v="1100"/>
    <s v=""/>
    <m/>
    <n v="1"/>
    <n v="1100"/>
    <n v="1100"/>
    <m/>
    <m/>
    <m/>
    <m/>
    <n v="0"/>
    <n v="0.99"/>
    <n v="1089"/>
    <n v="0"/>
    <m/>
    <n v="0.99"/>
    <n v="0"/>
    <n v="1089"/>
    <n v="1089"/>
    <n v="0"/>
    <n v="0"/>
    <n v="0"/>
    <m/>
    <m/>
    <n v="0"/>
    <n v="0"/>
    <m/>
    <m/>
    <m/>
    <m/>
    <m/>
    <m/>
    <m/>
    <m/>
    <m/>
    <m/>
    <n v="1"/>
    <n v="1"/>
    <m/>
    <m/>
    <m/>
    <n v="0"/>
    <m/>
    <n v="0"/>
    <n v="0"/>
    <n v="0"/>
    <n v="0"/>
    <n v="0"/>
    <n v="0"/>
    <n v="213444"/>
    <n v="213444"/>
    <n v="8.8626292466765146E-3"/>
  </r>
  <r>
    <s v="MX0021"/>
    <x v="6"/>
    <x v="6"/>
    <n v="2030"/>
    <s v="Alvaro Hernandez Suarez"/>
    <n v="40020"/>
    <s v="Alvaro Hernandez Suarez"/>
    <s v="2831131385"/>
    <x v="0"/>
    <s v="olgalidia_sm@live.com.mx"/>
    <s v="Av. Ferrocarril S/N, Localidad Los Tigres, C.P. 95680, Juan Rodriguez Clara, Veracruz, Mexico"/>
    <s v="Predio rustico &quot;Algodonal y Angostura, Municipio de San Juan Evangelista, Distrito de Acayucan, Veracruz, Mexico"/>
    <x v="3"/>
    <s v="17.817750, -95.269309"/>
    <n v="13.2"/>
    <s v=""/>
    <m/>
    <n v="2750"/>
    <n v="2750"/>
    <s v=""/>
    <m/>
    <n v="1"/>
    <n v="2750"/>
    <n v="2750"/>
    <m/>
    <m/>
    <m/>
    <m/>
    <n v="0"/>
    <n v="0.49865233400236858"/>
    <n v="1371.2939185065136"/>
    <n v="0"/>
    <m/>
    <n v="0.49865233400236858"/>
    <n v="0"/>
    <n v="1371.2939185065136"/>
    <n v="1371.2939185065136"/>
    <n v="0"/>
    <n v="0"/>
    <n v="0"/>
    <m/>
    <m/>
    <n v="0.65527272727272723"/>
    <n v="1802"/>
    <m/>
    <m/>
    <m/>
    <n v="1802"/>
    <m/>
    <m/>
    <m/>
    <m/>
    <m/>
    <m/>
    <n v="1"/>
    <n v="1"/>
    <m/>
    <m/>
    <m/>
    <n v="0"/>
    <m/>
    <n v="0"/>
    <n v="0"/>
    <n v="0"/>
    <n v="0"/>
    <n v="0"/>
    <n v="0"/>
    <n v="268773.60802727664"/>
    <n v="268773.60802727664"/>
    <n v="8.8626292466765146E-3"/>
  </r>
  <r>
    <s v="MX0024"/>
    <x v="6"/>
    <x v="6"/>
    <n v="2030"/>
    <s v="José Baruche Rodríguez Zuñiga"/>
    <n v="40023"/>
    <s v="Mayolo Rodríguez Mendoza"/>
    <s v="+529921073276, 9921310372"/>
    <x v="0"/>
    <s v="jbaruch15@hotmail.com"/>
    <s v="Calle Primera Poniente Sur No. 83, Barrio Ramajal, C.P. 29410, Teopisca, Chiapas, Mexico"/>
    <s v="Barrio Ramjal de la Villa de Teopisca, Municipio, Teopis ca, Chiapas, Mexico"/>
    <x v="3"/>
    <s v="16.534257, -92.474401"/>
    <m/>
    <s v=""/>
    <m/>
    <n v="1100"/>
    <n v="1100"/>
    <s v=""/>
    <m/>
    <n v="1"/>
    <n v="1100"/>
    <n v="1100"/>
    <m/>
    <m/>
    <m/>
    <m/>
    <n v="0"/>
    <n v="0.95"/>
    <n v="1045"/>
    <n v="0"/>
    <m/>
    <n v="0.95"/>
    <n v="0"/>
    <n v="1045"/>
    <n v="1045"/>
    <n v="0"/>
    <n v="0"/>
    <n v="0"/>
    <m/>
    <m/>
    <n v="0"/>
    <n v="0"/>
    <m/>
    <m/>
    <m/>
    <m/>
    <m/>
    <m/>
    <m/>
    <m/>
    <m/>
    <m/>
    <n v="1"/>
    <n v="1"/>
    <m/>
    <m/>
    <m/>
    <n v="0"/>
    <m/>
    <n v="0"/>
    <n v="0"/>
    <n v="0"/>
    <n v="0"/>
    <n v="0"/>
    <n v="0"/>
    <n v="204820"/>
    <n v="204820"/>
    <n v="8.8626292466765146E-3"/>
  </r>
  <r>
    <s v="MX0025"/>
    <x v="6"/>
    <x v="6"/>
    <n v="2030"/>
    <s v="Francisco Crivelli"/>
    <n v="40024"/>
    <s v="Teresa Morales Román"/>
    <s v="2831042417"/>
    <x v="0"/>
    <s v="olgalidia_sm@live.com.mx"/>
    <s v="Calle Pipila S/N, Localidad Los Tigres, C.P. 95680, Juan Rodriguez Clara, Veracruz, Mexico"/>
    <s v="Rancho San Antonio, Municiopio Juan Rodriguez Clara, Veracruz, Mexico"/>
    <x v="3"/>
    <s v="17.933919, -95.322563"/>
    <m/>
    <s v=""/>
    <m/>
    <n v="2750"/>
    <n v="2750"/>
    <s v=""/>
    <m/>
    <n v="1"/>
    <n v="2750"/>
    <n v="2750"/>
    <m/>
    <m/>
    <m/>
    <m/>
    <n v="0"/>
    <n v="0.14065963545930102"/>
    <n v="386.81399751307782"/>
    <n v="0"/>
    <m/>
    <n v="0.14065963545930102"/>
    <n v="0"/>
    <n v="386.81399751307782"/>
    <n v="386.81399751307782"/>
    <n v="0"/>
    <n v="0"/>
    <n v="0"/>
    <m/>
    <m/>
    <n v="0"/>
    <n v="0"/>
    <m/>
    <m/>
    <m/>
    <m/>
    <m/>
    <m/>
    <m/>
    <m/>
    <m/>
    <m/>
    <n v="1"/>
    <n v="1"/>
    <m/>
    <m/>
    <m/>
    <n v="0"/>
    <m/>
    <n v="0"/>
    <n v="0"/>
    <n v="0"/>
    <n v="0"/>
    <n v="0"/>
    <n v="0"/>
    <n v="75815.54351256325"/>
    <n v="75815.54351256325"/>
    <n v="8.8626292466765146E-3"/>
  </r>
  <r>
    <s v="CR0073"/>
    <x v="6"/>
    <x v="6"/>
    <n v="2030"/>
    <s v="Geiner Araya Guzman"/>
    <n v="20067"/>
    <s v="Geiner Araya Guzman"/>
    <s v="50662444795, 506-8694-6846"/>
    <x v="2"/>
    <s v="manfrito8@gmail.com"/>
    <s v="50m este de Polloiandia, El Pavon, Los Chiles Alajuela 21401"/>
    <s v="el distrito 3-El Amparo Canton 14-Los Chiles de la provincia de Alajuela"/>
    <x v="1"/>
    <s v="10.798889, -84.645000"/>
    <n v="8.9"/>
    <n v="6.1776252590741585"/>
    <m/>
    <n v="1000"/>
    <n v="1000"/>
    <s v=""/>
    <m/>
    <n v="1"/>
    <n v="1000"/>
    <n v="1000"/>
    <m/>
    <m/>
    <m/>
    <m/>
    <n v="0"/>
    <n v="1"/>
    <n v="1000"/>
    <n v="978"/>
    <n v="0.97799999999999998"/>
    <n v="0.98"/>
    <n v="0.98"/>
    <n v="978"/>
    <n v="978"/>
    <n v="0"/>
    <n v="0"/>
    <n v="0"/>
    <s v="P.elongata"/>
    <m/>
    <n v="0"/>
    <n v="0"/>
    <m/>
    <m/>
    <m/>
    <m/>
    <m/>
    <m/>
    <m/>
    <m/>
    <m/>
    <m/>
    <n v="1"/>
    <n v="1"/>
    <n v="2024"/>
    <n v="25.42"/>
    <n v="20.84"/>
    <n v="1.3025"/>
    <n v="5.46"/>
    <n v="0.30333333333333334"/>
    <n v="2.7764089999999997"/>
    <n v="2715.3280019999997"/>
    <n v="10.92"/>
    <n v="62.372036000000001"/>
    <n v="60999.851208"/>
    <n v="191688"/>
    <n v="130688.14879199999"/>
    <n v="1.7914285714285714"/>
  </r>
  <r>
    <s v="CR0074"/>
    <x v="6"/>
    <x v="6"/>
    <n v="2030"/>
    <s v="Luis Alonso Garita Hidalgo "/>
    <n v="20068"/>
    <s v="Ubuntu GH  S.A"/>
    <s v="506 60030444, 506 88239449"/>
    <x v="2"/>
    <s v="lagaritah@gmail.com, christian.garita@gmail.com"/>
    <s v="Heredia Central Ulloa condominio Terrafé lote 83"/>
    <s v="4-SAN JORGE CANTON 14-LOS CHILES DE LA PROVINCIA DE ALAJUELA"/>
    <x v="1"/>
    <s v="10.717385, -84.684209"/>
    <n v="15.37"/>
    <n v="10.687291698198294"/>
    <m/>
    <n v="1730"/>
    <n v="1730"/>
    <s v=""/>
    <m/>
    <n v="1"/>
    <n v="1730"/>
    <n v="1730"/>
    <m/>
    <m/>
    <m/>
    <m/>
    <n v="0"/>
    <n v="0.97687861271676302"/>
    <n v="1690"/>
    <n v="1520.67"/>
    <n v="0.879"/>
    <n v="0.88"/>
    <n v="0.88"/>
    <n v="1521"/>
    <n v="1521"/>
    <n v="0"/>
    <n v="0"/>
    <n v="0"/>
    <s v="P.elongata"/>
    <m/>
    <n v="8.6705202312138727E-2"/>
    <n v="150"/>
    <m/>
    <m/>
    <m/>
    <n v="150"/>
    <m/>
    <m/>
    <m/>
    <m/>
    <m/>
    <m/>
    <n v="1"/>
    <n v="1"/>
    <n v="2024"/>
    <n v="20.239999999999998"/>
    <n v="16.809999999999999"/>
    <n v="1.0506249999999999"/>
    <n v="3.6"/>
    <n v="0.2"/>
    <n v="0.16809999999999992"/>
    <n v="255.68009999999987"/>
    <n v="7.2000000000000011"/>
    <n v="10.758400000000007"/>
    <n v="16363.526400000012"/>
    <n v="298116"/>
    <n v="281752.47359999997"/>
    <n v="2.0571428571428574"/>
  </r>
  <r>
    <s v="CR0075"/>
    <x v="6"/>
    <x v="6"/>
    <n v="2030"/>
    <s v="Oldemar Perez"/>
    <n v="20069"/>
    <s v="Oldemar Perez"/>
    <n v="50672971864"/>
    <x v="2"/>
    <s v="kapp241087@gmail.com"/>
    <s v="Aguas Claras, Alajuela Province, Costa Rica"/>
    <s v="10.819479, -85.239038"/>
    <x v="1"/>
    <s v="10.819479, -85.239038"/>
    <m/>
    <n v="6.1776252590741585"/>
    <m/>
    <n v="1000"/>
    <n v="1000"/>
    <s v=""/>
    <m/>
    <n v="1"/>
    <n v="1000"/>
    <n v="1000"/>
    <m/>
    <m/>
    <m/>
    <m/>
    <n v="0"/>
    <n v="0.79738117283950627"/>
    <n v="797.38117283950623"/>
    <n v="0"/>
    <m/>
    <n v="0.79738117283950627"/>
    <n v="0.79738117283950627"/>
    <n v="797.38117283950623"/>
    <n v="797.38117283950623"/>
    <n v="0"/>
    <n v="0"/>
    <n v="0"/>
    <s v="P.elongata"/>
    <m/>
    <n v="0.21199999999999999"/>
    <n v="212"/>
    <m/>
    <m/>
    <m/>
    <n v="212"/>
    <m/>
    <m/>
    <m/>
    <m/>
    <m/>
    <m/>
    <n v="1"/>
    <n v="1"/>
    <m/>
    <m/>
    <m/>
    <n v="0"/>
    <m/>
    <n v="0"/>
    <n v="0"/>
    <n v="0"/>
    <n v="0"/>
    <n v="0"/>
    <n v="0"/>
    <n v="156286.70987654323"/>
    <n v="156286.70987654323"/>
    <n v="8.8626292466765146E-3"/>
  </r>
  <r>
    <s v="CR0076"/>
    <x v="6"/>
    <x v="6"/>
    <n v="2030"/>
    <s v="Olga Chavarria "/>
    <n v="20070"/>
    <s v="Olga Chavarria "/>
    <s v="50687125265, 506-8568-1948"/>
    <x v="2"/>
    <s v="ldiegocastillo@hotmail.com"/>
    <s v="125 metros sur y 50 este del cruce a Las Quebredas, Rincon de Zaragoza, Palmares Alajuela 20702"/>
    <s v="1.5km al norte y 2km al este de la Escuela de Alto Lopez, Barrio San Jose Sur, Atenas, Alajuela"/>
    <x v="1"/>
    <s v="10.025055, -84.395242"/>
    <n v="7.5"/>
    <n v="6.1776252590741585"/>
    <m/>
    <n v="1000"/>
    <n v="1000"/>
    <s v=""/>
    <m/>
    <n v="1"/>
    <n v="1000"/>
    <n v="1000"/>
    <m/>
    <m/>
    <m/>
    <m/>
    <n v="0"/>
    <n v="0.99199999999999999"/>
    <n v="992"/>
    <n v="950"/>
    <n v="0.95"/>
    <n v="0.95"/>
    <n v="0.95"/>
    <n v="950"/>
    <n v="950"/>
    <n v="0"/>
    <n v="0"/>
    <n v="0"/>
    <s v="P.elongata"/>
    <m/>
    <n v="6.2E-2"/>
    <n v="62"/>
    <m/>
    <m/>
    <m/>
    <n v="62"/>
    <m/>
    <m/>
    <m/>
    <m/>
    <m/>
    <m/>
    <n v="1"/>
    <n v="1"/>
    <n v="2024"/>
    <n v="19.47"/>
    <n v="14.1"/>
    <n v="0.88124999999999998"/>
    <n v="4.07"/>
    <n v="0.22611111111111112"/>
    <n v="4.3181250000000346E-3"/>
    <n v="4.1022187500000324"/>
    <n v="8.14"/>
    <n v="15.104272500000004"/>
    <n v="14349.058875000004"/>
    <n v="186200"/>
    <n v="171850.94112499998"/>
    <n v="1.99"/>
  </r>
  <r>
    <s v="CR0077"/>
    <x v="6"/>
    <x v="6"/>
    <n v="2030"/>
    <s v="Rafael Quiroz"/>
    <n v="20071"/>
    <s v="Rafael Quiroz"/>
    <n v="50660822879"/>
    <x v="2"/>
    <s v="fvindas1974@gmail.com"/>
    <s v="Limón Po­cocí La Rita comunidad la Suerte, 70203"/>
    <s v="La suerte de la Rita de Pococi. un kilómetro de la escuela"/>
    <x v="1"/>
    <s v="9.957288, -84.191905"/>
    <n v="23.33"/>
    <n v="17.760672619838207"/>
    <m/>
    <n v="2875"/>
    <n v="2875"/>
    <s v=""/>
    <m/>
    <n v="1"/>
    <n v="2875"/>
    <n v="2875"/>
    <m/>
    <m/>
    <m/>
    <m/>
    <n v="0"/>
    <n v="1"/>
    <n v="2875"/>
    <n v="2481.125"/>
    <n v="0.86299999999999999"/>
    <n v="0.86"/>
    <n v="0.86"/>
    <n v="2481"/>
    <n v="2481"/>
    <n v="0"/>
    <n v="0"/>
    <n v="0"/>
    <s v="P.elongata"/>
    <m/>
    <n v="3.826086956521739E-2"/>
    <n v="110"/>
    <m/>
    <m/>
    <m/>
    <n v="60"/>
    <n v="50"/>
    <m/>
    <m/>
    <m/>
    <m/>
    <m/>
    <n v="1"/>
    <n v="1"/>
    <n v="2024"/>
    <n v="16.29"/>
    <n v="9.35"/>
    <n v="0.58437499999999998"/>
    <n v="4.04"/>
    <n v="0.22444444444444445"/>
    <n v="9.3500000000000169E-4"/>
    <n v="2.3197350000000041"/>
    <n v="8.08"/>
    <n v="9.7277399999999989"/>
    <n v="24134.522939999999"/>
    <n v="486276"/>
    <n v="462141.47706"/>
    <n v="1.9942857142857144"/>
  </r>
  <r>
    <s v="CR0078"/>
    <x v="6"/>
    <x v="6"/>
    <n v="2030"/>
    <s v="Xinia Moya"/>
    <n v="20072"/>
    <s v="Xinia Moya"/>
    <n v="50686608587"/>
    <x v="2"/>
    <s v="gabrielquiros059@gmail.com"/>
    <s v="El Bosque de Guacimo, Limón"/>
    <s v="10.262187, -83.684872"/>
    <x v="1"/>
    <s v="10.262187, -83.684872"/>
    <m/>
    <n v="6.1776252590741585"/>
    <m/>
    <n v="1000"/>
    <n v="1000"/>
    <s v=""/>
    <m/>
    <n v="1"/>
    <n v="1000"/>
    <n v="1000"/>
    <m/>
    <m/>
    <m/>
    <m/>
    <n v="0"/>
    <n v="0.91214444444444442"/>
    <n v="912.14444444444439"/>
    <n v="0"/>
    <m/>
    <n v="0.91214444444444442"/>
    <n v="0.91214444444444442"/>
    <n v="912.14444444444439"/>
    <n v="912.14444444444439"/>
    <n v="0"/>
    <n v="0"/>
    <n v="0"/>
    <s v="P.elongata"/>
    <m/>
    <n v="0.05"/>
    <n v="50"/>
    <m/>
    <m/>
    <m/>
    <n v="50"/>
    <m/>
    <m/>
    <m/>
    <m/>
    <m/>
    <m/>
    <n v="1"/>
    <n v="1"/>
    <m/>
    <m/>
    <m/>
    <n v="0"/>
    <m/>
    <n v="0"/>
    <n v="0"/>
    <n v="0"/>
    <n v="0"/>
    <n v="0"/>
    <n v="0"/>
    <n v="178780.31111111111"/>
    <n v="178780.31111111111"/>
    <n v="8.8626292466765146E-3"/>
  </r>
  <r>
    <s v="CR0092"/>
    <x v="6"/>
    <x v="6"/>
    <n v="2030"/>
    <s v="Christian Araya"/>
    <n v="20084"/>
    <s v="Christian Araya"/>
    <s v="506-8335-4070, 506-7285-3817"/>
    <x v="2"/>
    <s v="miravalles1085@gmail.com"/>
    <s v="350m sur de la iglesia catollca de Guacallto, Canalete de Upala. 21301"/>
    <s v="10.804139,-85.107325"/>
    <x v="1"/>
    <s v="E00378909 N01194901"/>
    <m/>
    <n v="6.1776252590741585"/>
    <m/>
    <n v="1000"/>
    <n v="1000"/>
    <s v=""/>
    <m/>
    <n v="1"/>
    <n v="1000"/>
    <n v="1000"/>
    <m/>
    <m/>
    <m/>
    <m/>
    <n v="0"/>
    <n v="0.89531611111111109"/>
    <n v="895.31611111111113"/>
    <n v="0"/>
    <m/>
    <n v="0.89531611111111109"/>
    <n v="0.89531611111111109"/>
    <n v="895.31611111111113"/>
    <n v="895.31611111111113"/>
    <n v="0"/>
    <n v="0"/>
    <n v="0"/>
    <s v="P.elongata"/>
    <m/>
    <n v="0.1"/>
    <n v="100"/>
    <m/>
    <m/>
    <m/>
    <n v="100"/>
    <m/>
    <m/>
    <m/>
    <m/>
    <m/>
    <m/>
    <n v="1"/>
    <n v="1"/>
    <m/>
    <m/>
    <m/>
    <n v="0"/>
    <m/>
    <n v="0"/>
    <n v="0"/>
    <n v="0"/>
    <n v="0"/>
    <n v="0"/>
    <n v="0"/>
    <n v="175481.95777777777"/>
    <n v="175481.95777777777"/>
    <n v="8.8626292466765146E-3"/>
  </r>
  <r>
    <s v="GT0024b"/>
    <x v="4"/>
    <x v="6"/>
    <n v="2030"/>
    <s v="Julio Francisco Morán Pérez"/>
    <n v="30023"/>
    <s v="Julio Francisco Morán Pérez"/>
    <s v="(502) 56972396"/>
    <x v="2"/>
    <s v="julmora213@gmail.com"/>
    <s v="14 A VENIDA LAS AMERICAS 7-62, ZONA 3, EDIFICIO TORRE PRADE­RA XELA, OCTAVO NTVEL, OFTCTNA 812, MUNTCTPTO DE QUETZALTENANGO, DEPARTAMENTO DE QUETZAL TENA NGO"/>
    <s v="FTNCA 4 PTLARES DE LAS PAULOWNTAS, MUNTCTPTO DE EL PALMAR, DEPARTAMENTO DE QUETZALTENANGO"/>
    <x v="2"/>
    <s v="14.696111, -91.608056"/>
    <n v="40.1"/>
    <n v="13.027272727272727"/>
    <m/>
    <n v="1433"/>
    <n v="1433"/>
    <s v=""/>
    <m/>
    <n v="1"/>
    <n v="1433"/>
    <n v="1433"/>
    <m/>
    <m/>
    <m/>
    <m/>
    <n v="0"/>
    <n v="0.82858216683583918"/>
    <n v="1187.3582450757576"/>
    <n v="0"/>
    <m/>
    <n v="0.82858216683583918"/>
    <n v="0.82858216683583918"/>
    <n v="1187.3582450757576"/>
    <n v="1187.3582450757576"/>
    <n v="0"/>
    <n v="0"/>
    <n v="0"/>
    <m/>
    <m/>
    <n v="0"/>
    <n v="0"/>
    <m/>
    <m/>
    <m/>
    <m/>
    <m/>
    <m/>
    <m/>
    <m/>
    <m/>
    <m/>
    <n v="1"/>
    <n v="1"/>
    <m/>
    <m/>
    <m/>
    <n v="0"/>
    <m/>
    <n v="0"/>
    <n v="0"/>
    <n v="0"/>
    <n v="0"/>
    <n v="0"/>
    <n v="0"/>
    <n v="232722.2160348485"/>
    <n v="232722.2160348485"/>
    <n v="8.8626292466765146E-3"/>
  </r>
  <r>
    <s v="GT0029"/>
    <x v="4"/>
    <x v="6"/>
    <n v="2030"/>
    <s v="Erick Cienfuegos "/>
    <n v="30011"/>
    <s v="Rudy Israel Cienfuegos Cordón"/>
    <s v="+(502) 50010308"/>
    <x v="2"/>
    <s v="rudy-cem@hotmail.com"/>
    <s v="5ª CALLE B 2-01, ZONA 3, COLONIA LOS ANGELES, MUNICIPIO DE CHIQUIMULA, DEPARTAMENTO DE CHIQUIMULA"/>
    <s v="MUNICIPIO DE LA UNIÓN, DEPARTAMENTO DE ZACAPA"/>
    <x v="2"/>
    <s v="14.949444, -89.331667"/>
    <n v="42"/>
    <n v="36.81818181818182"/>
    <m/>
    <n v="4050"/>
    <n v="4050"/>
    <s v=""/>
    <m/>
    <n v="1"/>
    <n v="4050"/>
    <n v="4050"/>
    <m/>
    <m/>
    <m/>
    <m/>
    <n v="0"/>
    <n v="0.63782465185185189"/>
    <n v="2583.18984"/>
    <n v="0"/>
    <m/>
    <n v="0.63782465185185189"/>
    <n v="0.63782465185185189"/>
    <n v="2583.18984"/>
    <n v="2583.18984"/>
    <n v="0"/>
    <n v="0"/>
    <n v="0"/>
    <s v="Elongata"/>
    <m/>
    <n v="1.308641975308642E-2"/>
    <n v="53"/>
    <m/>
    <m/>
    <m/>
    <m/>
    <m/>
    <n v="53"/>
    <m/>
    <m/>
    <m/>
    <m/>
    <n v="1"/>
    <n v="1"/>
    <m/>
    <m/>
    <m/>
    <n v="0"/>
    <m/>
    <n v="0"/>
    <n v="0"/>
    <n v="0"/>
    <n v="0"/>
    <n v="0"/>
    <n v="0"/>
    <n v="506305.20864000003"/>
    <n v="506305.20864000003"/>
    <n v="8.8626292466765146E-3"/>
  </r>
  <r>
    <s v="GT0030"/>
    <x v="6"/>
    <x v="6"/>
    <n v="2030"/>
    <s v="Ada Patricia Scheel Bartlett"/>
    <n v="30001"/>
    <s v="Ada Patricia Scheel Bartlett"/>
    <s v="+502 57031213"/>
    <x v="2"/>
    <s v="s_hpatricia@hotmail.com"/>
    <s v="AVENIDA LAS AMERICAS 7-62, ZONA 3, EDIFICIO TORRE PRADE-RA XELA, OCTAVO NIVEL, OFICINA 801, QUETZALTENANGO, GUATEMALA"/>
    <s v="FINCA SAN JOSÉ, MUNICIPIO DE FLORES COSTA CUCA, DEPARTAMENTO DE QUETZALTENANGO"/>
    <x v="2"/>
    <s v="14.673889, -91.808333; 14.990889, -91.990889"/>
    <n v="8.6999999999999993"/>
    <n v="18.181818181818183"/>
    <m/>
    <n v="2000"/>
    <n v="2000"/>
    <s v=""/>
    <m/>
    <n v="1"/>
    <n v="2000"/>
    <n v="2000"/>
    <m/>
    <m/>
    <m/>
    <m/>
    <n v="0"/>
    <n v="0.47639943192307688"/>
    <n v="952.79886384615372"/>
    <n v="0"/>
    <m/>
    <n v="0.47639943192307688"/>
    <n v="0.47639943192307688"/>
    <n v="952.79886384615372"/>
    <n v="952.79886384615372"/>
    <n v="0"/>
    <n v="0"/>
    <n v="0"/>
    <s v="CL502, 18K"/>
    <m/>
    <n v="0.45"/>
    <n v="900"/>
    <m/>
    <m/>
    <n v="400"/>
    <n v="500"/>
    <m/>
    <m/>
    <m/>
    <m/>
    <m/>
    <m/>
    <n v="1"/>
    <n v="1"/>
    <m/>
    <m/>
    <m/>
    <n v="0"/>
    <m/>
    <n v="0"/>
    <n v="0"/>
    <n v="0"/>
    <n v="0"/>
    <n v="0"/>
    <n v="0"/>
    <n v="186748.57731384612"/>
    <n v="186748.57731384612"/>
    <n v="8.8626292466765146E-3"/>
  </r>
  <r>
    <s v="GT0031a"/>
    <x v="6"/>
    <x v="6"/>
    <n v="2030"/>
    <s v="Derek José Herman Gordillo"/>
    <n v="30028"/>
    <s v="Agroindustrias Nativa S.A./Derek José Herman Gordillo"/>
    <s v="+502 40117762"/>
    <x v="2"/>
    <s v="hermangster@gmail.com, dherman@grupoadh.com"/>
    <s v="Aldea Laguna Bermeja, Granja San Luis, Condominio Laguna del Bosque Casa '1169, zona 7, Santa Cata­rina Pinula, Guatemala"/>
    <s v="Aldea El Parafso, municipio de Sayaxche, Departamento de Peten"/>
    <x v="2"/>
    <s v="16.490000, -90.127200"/>
    <n v="149.69999999999999"/>
    <n v="163.63636363636363"/>
    <m/>
    <n v="18000"/>
    <n v="18000"/>
    <s v=""/>
    <m/>
    <n v="1"/>
    <n v="18000"/>
    <n v="18000"/>
    <m/>
    <m/>
    <m/>
    <m/>
    <n v="0"/>
    <n v="0.42083333333333334"/>
    <n v="7575"/>
    <n v="0"/>
    <m/>
    <n v="0.42083333333333334"/>
    <n v="0.42083333333333334"/>
    <n v="7575"/>
    <n v="7575"/>
    <n v="0"/>
    <n v="0"/>
    <n v="0"/>
    <s v="Elongata, CL502, 18K"/>
    <m/>
    <n v="0.63738888888888889"/>
    <n v="11473"/>
    <m/>
    <m/>
    <m/>
    <n v="11473"/>
    <m/>
    <m/>
    <m/>
    <m/>
    <m/>
    <m/>
    <n v="1"/>
    <n v="1"/>
    <m/>
    <m/>
    <m/>
    <n v="0"/>
    <m/>
    <n v="0"/>
    <n v="0"/>
    <n v="0"/>
    <n v="0"/>
    <n v="0"/>
    <n v="0"/>
    <n v="1484700"/>
    <n v="1484700"/>
    <n v="8.8626292466765146E-3"/>
  </r>
  <r>
    <s v="GT0033"/>
    <x v="4"/>
    <x v="6"/>
    <n v="2030"/>
    <s v="Carlos Adolfo López Letona"/>
    <n v="30015"/>
    <s v="Carlos Adolfo López Letona"/>
    <s v="(502) 55163538"/>
    <x v="2"/>
    <s v="carloslopezletona@gmail.com"/>
    <s v="Lotificación Guayacán, 7ª calle final, Casa # 2, Coatepeque, Quetzaltenango"/>
    <s v="Municipio de Flores Costa Cuca, departamento Quetzaltenango"/>
    <x v="2"/>
    <s v="14.670583, -91.861889"/>
    <n v="20.8"/>
    <n v="24.09090909090909"/>
    <m/>
    <n v="2650"/>
    <n v="2650"/>
    <s v=""/>
    <m/>
    <n v="1"/>
    <n v="2650"/>
    <n v="2650"/>
    <m/>
    <m/>
    <m/>
    <m/>
    <n v="0"/>
    <n v="0.40309903807890224"/>
    <n v="1068.2124509090909"/>
    <n v="0"/>
    <m/>
    <n v="0.40309903807890224"/>
    <n v="0.40309903807890224"/>
    <n v="1068.2124509090909"/>
    <n v="1068.2124509090909"/>
    <n v="0"/>
    <n v="0"/>
    <n v="0"/>
    <s v="CL502, 18K"/>
    <m/>
    <n v="0.26415094339622641"/>
    <n v="700"/>
    <m/>
    <m/>
    <m/>
    <n v="700"/>
    <m/>
    <m/>
    <m/>
    <m/>
    <m/>
    <m/>
    <n v="1"/>
    <n v="1"/>
    <m/>
    <m/>
    <m/>
    <n v="0"/>
    <m/>
    <n v="0"/>
    <n v="0"/>
    <n v="0"/>
    <n v="0"/>
    <n v="0"/>
    <n v="0"/>
    <n v="209369.64037818182"/>
    <n v="209369.64037818182"/>
    <n v="8.8626292466765146E-3"/>
  </r>
  <r>
    <s v="GT0034"/>
    <x v="4"/>
    <x v="6"/>
    <n v="2030"/>
    <s v="Edin Leonel Chávez Rodriguez"/>
    <n v="30029"/>
    <s v="Edin Leonel Chávez Rodriguez"/>
    <s v="+502 58063533"/>
    <x v="2"/>
    <s v="chadievalleverde@yahoo.com"/>
    <s v="Barrio Chidesaaj, municipio de Cobán, departamento de Alta Verapaz"/>
    <s v="Aldea Palestina, municipio Las Cruces, departamento de El Petén"/>
    <x v="2"/>
    <s v="16.739722, -90.462361"/>
    <n v="7.1"/>
    <n v="9.0909090909090917"/>
    <m/>
    <n v="1000"/>
    <n v="1000"/>
    <s v=""/>
    <m/>
    <n v="1"/>
    <n v="1000"/>
    <n v="1000"/>
    <m/>
    <m/>
    <m/>
    <m/>
    <n v="0"/>
    <n v="0.88318954662680671"/>
    <n v="883.18954662680676"/>
    <n v="0"/>
    <m/>
    <n v="0.88318954662680671"/>
    <n v="0.88318954662680671"/>
    <n v="883.18954662680676"/>
    <n v="883.18954662680676"/>
    <n v="0"/>
    <n v="0"/>
    <n v="0"/>
    <s v="Elongata, CL502, 18K"/>
    <m/>
    <n v="1.3560000000000001"/>
    <n v="1356"/>
    <m/>
    <m/>
    <n v="1056"/>
    <n v="300"/>
    <m/>
    <m/>
    <m/>
    <m/>
    <m/>
    <m/>
    <n v="1"/>
    <n v="1"/>
    <m/>
    <m/>
    <m/>
    <n v="0"/>
    <m/>
    <n v="0"/>
    <n v="0"/>
    <n v="0"/>
    <n v="0"/>
    <n v="0"/>
    <n v="0"/>
    <n v="173105.15113885413"/>
    <n v="173105.15113885413"/>
    <n v="8.8626292466765146E-3"/>
  </r>
  <r>
    <s v="GT0035"/>
    <x v="4"/>
    <x v="6"/>
    <n v="2030"/>
    <s v="Sergio Gordillo"/>
    <n v="30030"/>
    <s v="El Paste S.A./Elisa Janeth Salguero Pineda De Gordillo"/>
    <s v="57151628"/>
    <x v="2"/>
    <s v="cheiomilo@gmail.com"/>
    <s v="Finca San diego, La Fragua, Zacapa, Guatamala"/>
    <s v="FINCA DOLORES , MUNICIPIO DE LA UNION, DEPARTAMENTO DE ZACAPA"/>
    <x v="2"/>
    <s v="14.965472, -89.280583"/>
    <n v="8.8000000000000007"/>
    <n v="9.0909090909090917"/>
    <m/>
    <n v="1000"/>
    <n v="1000"/>
    <s v=""/>
    <m/>
    <n v="1"/>
    <n v="1000"/>
    <n v="1000"/>
    <m/>
    <m/>
    <m/>
    <m/>
    <n v="0"/>
    <n v="0.89730003125000013"/>
    <n v="897.30003125000007"/>
    <n v="0"/>
    <m/>
    <n v="0.89730003125000013"/>
    <n v="0.89730003125000013"/>
    <n v="897.30003125000007"/>
    <n v="897.30003125000007"/>
    <n v="0"/>
    <n v="0"/>
    <n v="0"/>
    <s v="CL502, 18K"/>
    <m/>
    <n v="0.25"/>
    <n v="250"/>
    <m/>
    <m/>
    <m/>
    <n v="250"/>
    <m/>
    <m/>
    <m/>
    <m/>
    <m/>
    <m/>
    <n v="1"/>
    <n v="1"/>
    <m/>
    <m/>
    <m/>
    <n v="0"/>
    <m/>
    <n v="0"/>
    <n v="0"/>
    <n v="0"/>
    <n v="0"/>
    <n v="0"/>
    <n v="0"/>
    <n v="175870.806125"/>
    <n v="175870.806125"/>
    <n v="8.8626292466765146E-3"/>
  </r>
  <r>
    <s v="GT0036"/>
    <x v="6"/>
    <x v="6"/>
    <n v="2030"/>
    <s v="Edilsar García"/>
    <n v="30031"/>
    <s v="Eloisa Amparo García Barrios"/>
    <s v="+502 56408432"/>
    <x v="2"/>
    <s v="edilsargarcia78@gmail.com"/>
    <s v="Aldea Sigüila, San Juán Ostuncalco, Quetzaltenango"/>
    <s v="Playa Grande cabecera municipal del Municipio Ixcán, Departamento de El Quiché"/>
    <x v="2"/>
    <s v="16.008611, -90.842000"/>
    <n v="18.899999999999999"/>
    <n v="26.427272727272726"/>
    <m/>
    <n v="2907"/>
    <n v="2907"/>
    <s v=""/>
    <m/>
    <n v="1"/>
    <n v="2907"/>
    <n v="2907"/>
    <m/>
    <m/>
    <m/>
    <m/>
    <n v="0"/>
    <n v="0.99556028895768844"/>
    <n v="2894.0937600000002"/>
    <n v="0"/>
    <m/>
    <n v="0.99556028895768844"/>
    <n v="0.99556028895768844"/>
    <n v="2894.0937600000002"/>
    <n v="2894.0937600000002"/>
    <n v="0"/>
    <n v="0"/>
    <n v="0"/>
    <s v="CL502, 18K"/>
    <m/>
    <n v="4.2999656002751976E-2"/>
    <n v="125"/>
    <m/>
    <m/>
    <n v="100"/>
    <n v="25"/>
    <m/>
    <m/>
    <m/>
    <m/>
    <m/>
    <m/>
    <n v="1"/>
    <n v="1"/>
    <m/>
    <m/>
    <m/>
    <n v="0"/>
    <m/>
    <n v="0"/>
    <n v="0"/>
    <n v="0"/>
    <n v="0"/>
    <n v="0"/>
    <n v="0"/>
    <n v="567242.37696000002"/>
    <n v="567242.37696000002"/>
    <n v="8.8626292466765146E-3"/>
  </r>
  <r>
    <s v="GT0037"/>
    <x v="6"/>
    <x v="6"/>
    <n v="2030"/>
    <s v="Jorge Mario De León Alconero"/>
    <n v="30032"/>
    <s v="Jorge Mario De León Alconero"/>
    <s v="+502 52044476"/>
    <x v="2"/>
    <s v="alconerodeleonjm@gmail.com"/>
    <s v="11 avenida 3-09 zona 9, Barrio Garibaldi, Quetzaltenango"/>
    <s v="Municipio de San José El Rodeo, departamento de San Marcos"/>
    <x v="2"/>
    <s v="14.990889, -91.990889"/>
    <n v="9.4"/>
    <n v="13.636363636363637"/>
    <m/>
    <n v="1500"/>
    <n v="1500"/>
    <s v=""/>
    <m/>
    <n v="1"/>
    <n v="1500"/>
    <n v="1500"/>
    <m/>
    <m/>
    <m/>
    <m/>
    <n v="0"/>
    <n v="0.77819284158241753"/>
    <n v="1167.2892623736263"/>
    <n v="0"/>
    <m/>
    <n v="0.3"/>
    <n v="0.3"/>
    <n v="350.18677871208791"/>
    <n v="350.18677871208791"/>
    <n v="0"/>
    <n v="0"/>
    <n v="0"/>
    <s v="18K, CL502"/>
    <m/>
    <n v="0.45"/>
    <n v="675"/>
    <m/>
    <m/>
    <n v="300"/>
    <n v="375"/>
    <m/>
    <m/>
    <m/>
    <m/>
    <m/>
    <m/>
    <n v="1"/>
    <n v="1"/>
    <m/>
    <m/>
    <m/>
    <n v="0"/>
    <m/>
    <n v="0"/>
    <n v="0"/>
    <n v="0"/>
    <n v="0"/>
    <n v="0"/>
    <n v="0"/>
    <n v="68636.608627569236"/>
    <n v="68636.608627569236"/>
    <n v="8.8626292466765146E-3"/>
  </r>
  <r>
    <s v="GT0038"/>
    <x v="6"/>
    <x v="6"/>
    <n v="2030"/>
    <s v="Luis Fernando Morán Peréz"/>
    <n v="30006"/>
    <s v="Luis Fernando Morán Peréz"/>
    <s v="+50254114650"/>
    <x v="2"/>
    <s v="lmoran@inversionesluys.com"/>
    <s v="A VENIDA LAS AMERICAS 7-62, ZONA 3, EDIFICIO TORRE PRADE­RA XELA, OCTAVO NIVEL, OFICINA 813, MUNICIPIO DE QUETZALTENANGO, DEPARTAMENTO DE  QUETZAL TENANGO"/>
    <s v="FINCA ENTRE RIOS, MUNICIPIO DE EL PALMAR, DEPARTAMENTO DE QUETZALTENANGO"/>
    <x v="2"/>
    <s v="14.680103, -91.609028"/>
    <m/>
    <n v="34.5"/>
    <m/>
    <n v="3795"/>
    <n v="3795"/>
    <s v=""/>
    <m/>
    <n v="1"/>
    <n v="3795"/>
    <n v="3795"/>
    <m/>
    <m/>
    <m/>
    <m/>
    <n v="0"/>
    <n v="0.79658714839778522"/>
    <n v="3023.0482281695949"/>
    <n v="0"/>
    <m/>
    <n v="0.79658714839778522"/>
    <n v="0.79658714839778522"/>
    <n v="3023.0482281695949"/>
    <n v="3023.0482281695949"/>
    <n v="0"/>
    <n v="0"/>
    <n v="0"/>
    <s v="CL502, 18K"/>
    <m/>
    <n v="5.2700922266139656E-2"/>
    <n v="200"/>
    <m/>
    <m/>
    <m/>
    <n v="200"/>
    <m/>
    <m/>
    <m/>
    <m/>
    <m/>
    <m/>
    <n v="1"/>
    <n v="1"/>
    <m/>
    <m/>
    <m/>
    <n v="0"/>
    <m/>
    <n v="0"/>
    <n v="0"/>
    <n v="0"/>
    <n v="0"/>
    <n v="0"/>
    <n v="0"/>
    <n v="592517.45272124058"/>
    <n v="592517.45272124058"/>
    <n v="8.8626292466765146E-3"/>
  </r>
  <r>
    <s v="GT0040"/>
    <x v="4"/>
    <x v="6"/>
    <n v="2030"/>
    <s v="Miguel Roberto Mombiela Bruni"/>
    <n v="30007"/>
    <s v="Miguel Roberto Mombiela Bruni"/>
    <s v="+502 30098257"/>
    <x v="2"/>
    <s v="mrmombiela@gmail.com"/>
    <s v="2ª calle 4A-40 zona 9, La Floresta, Quetzaltenango"/>
    <s v="Municipio de Génova, departamento de Quetzaltenango"/>
    <x v="2"/>
    <s v="14.662500, -91.613889; 14.606417, -91.840889"/>
    <n v="3"/>
    <n v="6.2727272727272725"/>
    <m/>
    <n v="690"/>
    <n v="690"/>
    <s v=""/>
    <m/>
    <n v="1"/>
    <n v="690"/>
    <n v="690"/>
    <m/>
    <m/>
    <m/>
    <m/>
    <n v="0"/>
    <n v="0.9735441137123747"/>
    <n v="671.74543846153858"/>
    <n v="0"/>
    <m/>
    <n v="0.9735441137123747"/>
    <n v="0.9735441137123747"/>
    <n v="671.74543846153858"/>
    <n v="671.74543846153858"/>
    <n v="0"/>
    <n v="0"/>
    <n v="0"/>
    <s v="CL502"/>
    <m/>
    <n v="0"/>
    <n v="0"/>
    <m/>
    <m/>
    <m/>
    <m/>
    <m/>
    <m/>
    <m/>
    <m/>
    <m/>
    <m/>
    <n v="1"/>
    <n v="1"/>
    <m/>
    <m/>
    <m/>
    <n v="0"/>
    <m/>
    <n v="0"/>
    <n v="0"/>
    <n v="0"/>
    <n v="0"/>
    <n v="0"/>
    <n v="0"/>
    <n v="131662.10593846155"/>
    <n v="131662.10593846155"/>
    <n v="8.8626292466765146E-3"/>
  </r>
  <r>
    <s v="MX0009"/>
    <x v="6"/>
    <x v="6"/>
    <n v="2030"/>
    <s v="Dolores Ramirez Rodriguez"/>
    <n v="40008"/>
    <s v="Dolores Ramirez Rodriguez"/>
    <s v="287.110.7413"/>
    <x v="2"/>
    <s v="ramirez032175@hotmail.com"/>
    <s v="C Juan Escutia 42 col Francisco I Madero, Minatitlan, Veracruz 96770, Mexico"/>
    <s v="C Juan Escutia 42 col Francisco I Madero, Minatitlan, Veracruz 96770, Mexico"/>
    <x v="3"/>
    <s v="17.568433, -95.317894"/>
    <m/>
    <n v="12.355108275676161"/>
    <m/>
    <n v="2750"/>
    <n v="2750"/>
    <s v=""/>
    <m/>
    <n v="1"/>
    <n v="2750"/>
    <n v="2750"/>
    <m/>
    <m/>
    <m/>
    <m/>
    <n v="0"/>
    <n v="0.75180051860701436"/>
    <n v="2067.4514261692893"/>
    <n v="0"/>
    <m/>
    <n v="0.75180051860701436"/>
    <n v="0.75180051860701436"/>
    <n v="2067.4514261692893"/>
    <n v="2067.4514261692893"/>
    <n v="0"/>
    <n v="0"/>
    <n v="0"/>
    <m/>
    <m/>
    <n v="0.36363636363636365"/>
    <n v="1000"/>
    <m/>
    <m/>
    <m/>
    <n v="1000"/>
    <m/>
    <m/>
    <m/>
    <m/>
    <m/>
    <m/>
    <n v="1"/>
    <n v="1"/>
    <m/>
    <m/>
    <m/>
    <n v="0"/>
    <m/>
    <n v="0"/>
    <n v="0"/>
    <n v="0"/>
    <n v="0"/>
    <n v="0"/>
    <n v="0"/>
    <n v="405220.47952918068"/>
    <n v="405220.47952918068"/>
    <n v="8.8626292466765146E-3"/>
  </r>
  <r>
    <s v="MX0022"/>
    <x v="6"/>
    <x v="6"/>
    <n v="2030"/>
    <s v="Gregorio Martinez Sebastian"/>
    <n v="40021"/>
    <s v="Gregorio Martinez Sebastian"/>
    <s v="9991054657"/>
    <x v="2"/>
    <s v="martinezsg@hotmail.com"/>
    <s v="Colonia agricola. &quot;General Miguel Aleman&quot;. Municipio de las Choapas. Estado de Veracruz. Mexico"/>
    <s v="Colonia agricola. &quot;General Miguel Aleman&quot;. Municipio de las Choapas. Estado de Veracruz. Mexico"/>
    <x v="3"/>
    <s v="17.773121, -94.070394"/>
    <n v="13.64"/>
    <n v="12.355108275676161"/>
    <m/>
    <n v="2750"/>
    <n v="2750"/>
    <s v=""/>
    <m/>
    <n v="1"/>
    <n v="2750"/>
    <n v="2750"/>
    <m/>
    <m/>
    <m/>
    <m/>
    <n v="0"/>
    <n v="0.98381437317028064"/>
    <n v="2705.4895262182717"/>
    <n v="0"/>
    <m/>
    <n v="0.98381437317028064"/>
    <n v="0.98381437317028064"/>
    <n v="2705.4895262182717"/>
    <n v="2705.4895262182717"/>
    <n v="0"/>
    <n v="0"/>
    <n v="0"/>
    <m/>
    <m/>
    <n v="0.94545454545454544"/>
    <n v="2600"/>
    <m/>
    <m/>
    <n v="300"/>
    <n v="2300"/>
    <m/>
    <m/>
    <m/>
    <m/>
    <m/>
    <m/>
    <n v="1"/>
    <n v="1"/>
    <m/>
    <m/>
    <m/>
    <n v="0"/>
    <m/>
    <n v="0"/>
    <n v="0"/>
    <n v="0"/>
    <n v="0"/>
    <n v="0"/>
    <n v="0"/>
    <n v="530275.94713878131"/>
    <n v="530275.94713878131"/>
    <n v="8.8626292466765146E-3"/>
  </r>
  <r>
    <s v="MX0023"/>
    <x v="6"/>
    <x v="6"/>
    <n v="2030"/>
    <s v="Guadelupe Morales Cordova"/>
    <n v="40022"/>
    <s v="Guadelupe Morales Cordova"/>
    <s v="9241443056"/>
    <x v="2"/>
    <s v="romfrojas2012@gmail.com"/>
    <s v="Calle Miguel Hidalgo S/N, Localidad La Soledad, San Juan Evangelista, Veracruz, Me­xico"/>
    <s v="Parcela 131 Z-1 P-4. Ejido Zapotitancillo de Juarez. Santiago Yaveo. Oaxaca. Mexico"/>
    <x v="3"/>
    <s v="17.613268, -95.2580050"/>
    <m/>
    <n v="9.8840866205409288"/>
    <m/>
    <n v="2200"/>
    <n v="2200"/>
    <s v=""/>
    <m/>
    <n v="1"/>
    <n v="2200"/>
    <n v="2200"/>
    <m/>
    <m/>
    <m/>
    <m/>
    <n v="0"/>
    <n v="0.76766132076147975"/>
    <n v="1688.8549056752554"/>
    <n v="0"/>
    <m/>
    <n v="0.76766132076147975"/>
    <n v="0.76766132076147975"/>
    <n v="1688.8549056752554"/>
    <n v="1688.8549056752554"/>
    <n v="0"/>
    <n v="0"/>
    <n v="0"/>
    <m/>
    <m/>
    <n v="0.79545454545454541"/>
    <n v="1750"/>
    <m/>
    <m/>
    <n v="300"/>
    <n v="1450"/>
    <m/>
    <m/>
    <m/>
    <m/>
    <m/>
    <m/>
    <n v="1"/>
    <n v="1"/>
    <m/>
    <m/>
    <m/>
    <n v="0"/>
    <m/>
    <n v="0"/>
    <n v="0"/>
    <n v="0"/>
    <n v="0"/>
    <n v="0"/>
    <n v="0"/>
    <n v="331015.56151235005"/>
    <n v="331015.56151235005"/>
    <n v="8.8626292466765146E-3"/>
  </r>
  <r>
    <s v="US0090"/>
    <x v="4"/>
    <x v="6"/>
    <n v="2030"/>
    <s v="Beau Dixon"/>
    <n v="10078"/>
    <s v="Don Dixon"/>
    <s v="334-321-1984"/>
    <x v="2"/>
    <s v="beau526@hotmail.com, ddtreefarm6@gmail.com"/>
    <s v="255 Zion Hill Road, Hatchechubbee, AL  36858"/>
    <s v="255 Zion Hill Road, Hatchechubbee, AL  36858"/>
    <x v="0"/>
    <s v="32.268004, -85.276762"/>
    <n v="16.600000000000001"/>
    <n v="16.40909090909091"/>
    <m/>
    <n v="1805"/>
    <n v="1805"/>
    <s v=""/>
    <m/>
    <n v="1"/>
    <n v="1805"/>
    <n v="1805"/>
    <m/>
    <m/>
    <m/>
    <m/>
    <n v="0"/>
    <n v="0.69368546965499878"/>
    <n v="1252.1022727272727"/>
    <n v="0"/>
    <m/>
    <n v="0.69368546965499878"/>
    <n v="1.0999999999999999E-2"/>
    <n v="20"/>
    <n v="20"/>
    <n v="0"/>
    <n v="0"/>
    <n v="0"/>
    <s v="Fortunei"/>
    <s v="11, 13"/>
    <n v="0.47700831024930745"/>
    <n v="861"/>
    <m/>
    <m/>
    <m/>
    <n v="861"/>
    <m/>
    <m/>
    <m/>
    <m/>
    <m/>
    <m/>
    <n v="1"/>
    <n v="1"/>
    <m/>
    <m/>
    <m/>
    <n v="0"/>
    <m/>
    <n v="0"/>
    <n v="0"/>
    <n v="0"/>
    <n v="0"/>
    <n v="0"/>
    <n v="0"/>
    <n v="3920"/>
    <n v="3920"/>
    <n v="8.8626292466765146E-3"/>
  </r>
  <r>
    <s v="US0091"/>
    <x v="4"/>
    <x v="6"/>
    <n v="2030"/>
    <s v="Billy Gordie"/>
    <n v="10079"/>
    <s v="Billy Gordie"/>
    <s v="334-791-5944"/>
    <x v="2"/>
    <s v="billygordie@gmail.com"/>
    <s v="11517 E State Highway 52 Webb AL 36376-6465"/>
    <s v="11517 E State Highway 52 Webb AL 36376-6465"/>
    <x v="0"/>
    <s v="31.264032, -85.211331"/>
    <n v="10.02"/>
    <n v="10"/>
    <m/>
    <n v="1100"/>
    <n v="1100"/>
    <s v=""/>
    <m/>
    <n v="1"/>
    <n v="1100"/>
    <n v="1100"/>
    <m/>
    <m/>
    <m/>
    <m/>
    <n v="0"/>
    <n v="1"/>
    <n v="1100"/>
    <n v="0"/>
    <m/>
    <n v="1"/>
    <n v="1"/>
    <n v="1100"/>
    <n v="1100"/>
    <n v="0"/>
    <n v="0"/>
    <n v="0"/>
    <s v="Fortunei"/>
    <s v="2, 11"/>
    <n v="7.636363636363637E-2"/>
    <n v="84"/>
    <m/>
    <m/>
    <m/>
    <n v="84"/>
    <m/>
    <m/>
    <m/>
    <m/>
    <m/>
    <m/>
    <n v="1"/>
    <n v="1"/>
    <m/>
    <m/>
    <m/>
    <n v="0"/>
    <m/>
    <n v="0"/>
    <n v="0"/>
    <n v="0"/>
    <n v="0"/>
    <n v="0"/>
    <n v="0"/>
    <n v="215600"/>
    <n v="215600"/>
    <n v="8.8626292466765146E-3"/>
  </r>
  <r>
    <s v="US0092"/>
    <x v="4"/>
    <x v="6"/>
    <n v="2030"/>
    <s v="Billy Strange"/>
    <n v="10048"/>
    <s v="Billy Strange"/>
    <s v="318-481-1835, 318-481-1833"/>
    <x v="2"/>
    <s v="riza_strange@yahoo.com"/>
    <s v="1142 Good Road, Jonesville, Louisiana 71343"/>
    <s v="1142 Good Road, Jonesville, Louisiana 71343"/>
    <x v="0"/>
    <s v="31.623947, -91.865519"/>
    <n v="10"/>
    <n v="8.1818181818181817"/>
    <m/>
    <n v="900"/>
    <n v="900"/>
    <s v=""/>
    <m/>
    <n v="1"/>
    <n v="900"/>
    <n v="900"/>
    <m/>
    <m/>
    <m/>
    <m/>
    <n v="0"/>
    <n v="0.59791666666666665"/>
    <n v="538.125"/>
    <n v="0"/>
    <m/>
    <n v="0.59791666666666665"/>
    <n v="0.59791666666666665"/>
    <n v="538.125"/>
    <n v="538.125"/>
    <n v="0"/>
    <n v="0"/>
    <n v="0"/>
    <s v="Fortunei"/>
    <s v="12, 18"/>
    <n v="1.5022222222222221"/>
    <n v="1352"/>
    <m/>
    <m/>
    <n v="500"/>
    <n v="252"/>
    <n v="600"/>
    <m/>
    <m/>
    <m/>
    <m/>
    <m/>
    <n v="1"/>
    <n v="1"/>
    <m/>
    <m/>
    <m/>
    <n v="0"/>
    <m/>
    <n v="0"/>
    <n v="0"/>
    <n v="0"/>
    <n v="0"/>
    <n v="0"/>
    <n v="0"/>
    <n v="105472.5"/>
    <n v="105472.5"/>
    <n v="8.8626292466765146E-3"/>
  </r>
  <r>
    <s v="US0094"/>
    <x v="4"/>
    <x v="6"/>
    <n v="2030"/>
    <s v="Bobby Searcy"/>
    <n v="10080"/>
    <s v="Bobby  Searcy"/>
    <s v="334-405-2409, 334.618.1380"/>
    <x v="2"/>
    <s v="searcyfarmsangus@gmail.com"/>
    <s v="115 Livingston Loop Webb AL 36376-6435"/>
    <s v="115 Livingston Loop Webb AL 36376-6435"/>
    <x v="0"/>
    <s v="31.258754, -85.252275"/>
    <n v="14"/>
    <n v="14"/>
    <s v="Y"/>
    <n v="1540"/>
    <n v="1540"/>
    <s v=""/>
    <m/>
    <n v="1"/>
    <n v="1540"/>
    <n v="1540"/>
    <m/>
    <m/>
    <m/>
    <m/>
    <n v="0"/>
    <n v="0.83598053152784135"/>
    <n v="1287.4100185528757"/>
    <n v="0"/>
    <m/>
    <n v="0.83598053152784135"/>
    <n v="0.83598053152784135"/>
    <n v="1287.4100185528757"/>
    <n v="1287.4100185528757"/>
    <n v="0"/>
    <n v="0"/>
    <n v="0"/>
    <s v="Fortunei"/>
    <s v="11, 13"/>
    <n v="0.12987012987012986"/>
    <n v="200"/>
    <m/>
    <m/>
    <m/>
    <n v="185"/>
    <n v="15"/>
    <m/>
    <m/>
    <m/>
    <m/>
    <m/>
    <n v="1"/>
    <n v="1"/>
    <m/>
    <m/>
    <m/>
    <n v="0"/>
    <m/>
    <n v="0"/>
    <n v="0"/>
    <n v="0"/>
    <n v="0"/>
    <n v="0"/>
    <n v="0"/>
    <n v="252332.36363636365"/>
    <n v="252332.36363636365"/>
    <n v="8.8626292466765146E-3"/>
  </r>
  <r>
    <s v="US0095"/>
    <x v="4"/>
    <x v="6"/>
    <n v="2030"/>
    <s v="Brent Stiehl"/>
    <n v="10081"/>
    <s v="Brent  Stiehl"/>
    <s v="678-378-7574"/>
    <x v="2"/>
    <s v="Drstiehl@stiehldental.com"/>
    <s v="2577 Highway 54 Moreland GA 30259-2808"/>
    <s v="2577 Highway 54 Moreland GA 30259-2808"/>
    <x v="0"/>
    <s v="33.118028, -84.690333"/>
    <n v="10.56"/>
    <n v="10"/>
    <m/>
    <n v="1100"/>
    <n v="1100"/>
    <s v=""/>
    <m/>
    <n v="1"/>
    <n v="1100"/>
    <n v="1100"/>
    <m/>
    <m/>
    <m/>
    <m/>
    <n v="0"/>
    <n v="0.75911976911976908"/>
    <n v="835.03174603174602"/>
    <n v="0"/>
    <m/>
    <n v="0.75911976911976908"/>
    <n v="0.75911976911976908"/>
    <n v="835.03174603174602"/>
    <n v="835.03174603174602"/>
    <n v="0"/>
    <n v="0"/>
    <n v="0"/>
    <s v="Fortunei"/>
    <s v="11, 13"/>
    <n v="0.19090909090909092"/>
    <n v="210"/>
    <m/>
    <m/>
    <m/>
    <n v="210"/>
    <m/>
    <m/>
    <m/>
    <m/>
    <m/>
    <m/>
    <n v="1"/>
    <n v="1"/>
    <m/>
    <m/>
    <m/>
    <n v="0"/>
    <m/>
    <n v="0"/>
    <n v="0"/>
    <n v="0"/>
    <n v="0"/>
    <n v="0"/>
    <n v="0"/>
    <n v="163666.22222222222"/>
    <n v="163666.22222222222"/>
    <n v="8.8626292466765146E-3"/>
  </r>
  <r>
    <s v="US0096"/>
    <x v="4"/>
    <x v="6"/>
    <n v="2030"/>
    <s v="Chris Bolen"/>
    <n v="10082"/>
    <s v="Chris  Bolen"/>
    <s v="678-478-2288"/>
    <x v="2"/>
    <s v="jcbolen73@gmail.com"/>
    <s v="1751 Heidi Trl Buckhead GA 30625-1530"/>
    <s v="Fawn Rd, Jackson, GA, USA"/>
    <x v="0"/>
    <s v="33.220833, -83.948611"/>
    <n v="10.3"/>
    <n v="10"/>
    <s v="Y"/>
    <n v="1100"/>
    <n v="1100"/>
    <s v=""/>
    <m/>
    <n v="1"/>
    <n v="1100"/>
    <n v="1100"/>
    <m/>
    <m/>
    <m/>
    <m/>
    <n v="0"/>
    <n v="0.9412066115702481"/>
    <n v="1035.3272727272729"/>
    <n v="0"/>
    <m/>
    <n v="0.9412066115702481"/>
    <n v="0.9412066115702481"/>
    <n v="1035.3272727272729"/>
    <n v="1035.3272727272729"/>
    <n v="0"/>
    <n v="0"/>
    <n v="0"/>
    <s v="Fortunei"/>
    <s v="2, 11"/>
    <n v="0.37454545454545457"/>
    <n v="412"/>
    <m/>
    <m/>
    <n v="189"/>
    <n v="223"/>
    <m/>
    <m/>
    <m/>
    <m/>
    <m/>
    <m/>
    <n v="1"/>
    <n v="1"/>
    <m/>
    <m/>
    <m/>
    <n v="0"/>
    <m/>
    <n v="0"/>
    <n v="0"/>
    <n v="0"/>
    <n v="0"/>
    <n v="0"/>
    <n v="0"/>
    <n v="202924.14545454548"/>
    <n v="202924.14545454548"/>
    <n v="8.8626292466765146E-3"/>
  </r>
  <r>
    <s v="US0097"/>
    <x v="4"/>
    <x v="6"/>
    <n v="2030"/>
    <s v="Chris Hoehn"/>
    <n v="10083"/>
    <s v="Chris  Hoehn"/>
    <s v="256-366-1612"/>
    <x v="2"/>
    <s v="chris.d.hoehn@gmail.com"/>
    <s v="4923 Jenna Cir SE Owens Cross Roads AL 35763-9165"/>
    <s v="348 Nix Mill Pond Rd Phil Campbell AL 35581-4433"/>
    <x v="0"/>
    <s v="34.355772, -87.809977"/>
    <n v="21.7"/>
    <n v="25.454545454545453"/>
    <m/>
    <n v="2800"/>
    <n v="2800"/>
    <s v=""/>
    <m/>
    <n v="1"/>
    <n v="2800"/>
    <n v="2800"/>
    <m/>
    <m/>
    <m/>
    <m/>
    <n v="0"/>
    <n v="0.62958758503401357"/>
    <n v="1762.8452380952381"/>
    <n v="0"/>
    <m/>
    <n v="0.62958758503401357"/>
    <n v="0.62958758503401357"/>
    <n v="1762.8452380952381"/>
    <n v="1762.8452380952381"/>
    <n v="0"/>
    <n v="0"/>
    <n v="0"/>
    <s v="Fortunei"/>
    <s v="11, 13"/>
    <n v="0.18"/>
    <n v="504"/>
    <m/>
    <m/>
    <n v="504"/>
    <m/>
    <m/>
    <m/>
    <m/>
    <m/>
    <m/>
    <m/>
    <n v="1"/>
    <n v="1"/>
    <m/>
    <m/>
    <m/>
    <n v="0"/>
    <m/>
    <n v="0"/>
    <n v="0"/>
    <n v="0"/>
    <n v="0"/>
    <n v="0"/>
    <n v="0"/>
    <n v="345517.66666666669"/>
    <n v="345517.66666666669"/>
    <n v="8.8626292466765146E-3"/>
  </r>
  <r>
    <s v="US0099"/>
    <x v="6"/>
    <x v="6"/>
    <n v="2030"/>
    <s v="Ivette Alcoba"/>
    <n v="10085"/>
    <s v="Ivette  Alcoba"/>
    <s v="786-877-2208"/>
    <x v="2"/>
    <s v="ivettealcoba1@gmail.com, ialcoba@yahoo.com, ivettealcoba1@gmail.com"/>
    <s v="2451 Brickell Ave Apt 15H Miami FL 33129-2421"/>
    <s v="0 cane Mill Rd LL 305 and 334 14th LD."/>
    <x v="0"/>
    <s v="32.087257, -83.779869"/>
    <n v="10.1"/>
    <n v="11"/>
    <m/>
    <n v="1210"/>
    <n v="1210"/>
    <s v=""/>
    <m/>
    <n v="1"/>
    <n v="1210"/>
    <n v="1210"/>
    <m/>
    <m/>
    <m/>
    <m/>
    <n v="0"/>
    <n v="0.28859595200692123"/>
    <n v="349.20110192837467"/>
    <n v="0"/>
    <m/>
    <n v="0.28859595200692123"/>
    <n v="0.28859595200692123"/>
    <n v="349.20110192837467"/>
    <n v="349.20110192837467"/>
    <n v="0"/>
    <n v="0"/>
    <n v="0"/>
    <s v="Fortunei"/>
    <s v="11, 13"/>
    <n v="1.7289256198347107"/>
    <n v="2092"/>
    <m/>
    <m/>
    <m/>
    <n v="882"/>
    <n v="1210"/>
    <m/>
    <m/>
    <m/>
    <m/>
    <m/>
    <n v="1"/>
    <n v="1"/>
    <m/>
    <m/>
    <m/>
    <n v="0"/>
    <m/>
    <n v="0"/>
    <n v="0"/>
    <n v="0"/>
    <n v="0"/>
    <n v="0"/>
    <n v="0"/>
    <n v="68443.415977961442"/>
    <n v="68443.415977961442"/>
    <n v="8.8626292466765146E-3"/>
  </r>
  <r>
    <s v="US0100"/>
    <x v="6"/>
    <x v="6"/>
    <n v="2030"/>
    <s v="James Cochran"/>
    <n v="10086"/>
    <s v="James  Cochran"/>
    <s v="864-903-1919"/>
    <x v="2"/>
    <s v="jncmd90@gmx.com"/>
    <s v="235 Scenic Heights Rd West Union SC 29696-3134"/>
    <s v="235 Scenic Heights Rd West Union SC 29696-3134"/>
    <x v="0"/>
    <s v="34.771515, -83.016177"/>
    <n v="10.01"/>
    <n v="10"/>
    <m/>
    <n v="1100"/>
    <n v="1100"/>
    <s v=""/>
    <m/>
    <n v="1"/>
    <n v="1100"/>
    <n v="1100"/>
    <m/>
    <m/>
    <m/>
    <m/>
    <n v="0"/>
    <n v="0.98090909090909095"/>
    <n v="1079"/>
    <n v="0"/>
    <m/>
    <n v="0.98090909090909095"/>
    <n v="0.98090909090909095"/>
    <n v="1079"/>
    <n v="1079"/>
    <n v="0"/>
    <n v="0"/>
    <n v="0"/>
    <s v="Fortunei"/>
    <s v="11, 13"/>
    <n v="0.59272727272727277"/>
    <n v="652"/>
    <m/>
    <m/>
    <m/>
    <n v="231"/>
    <n v="421"/>
    <m/>
    <m/>
    <m/>
    <m/>
    <m/>
    <n v="1"/>
    <n v="1"/>
    <m/>
    <m/>
    <m/>
    <n v="0"/>
    <m/>
    <n v="0"/>
    <n v="0"/>
    <n v="0"/>
    <n v="0"/>
    <n v="0"/>
    <n v="0"/>
    <n v="211484"/>
    <n v="211484"/>
    <n v="8.8626292466765146E-3"/>
  </r>
  <r>
    <s v="US0101"/>
    <x v="4"/>
    <x v="6"/>
    <n v="2030"/>
    <s v="Jamie Hayes"/>
    <n v="10087"/>
    <s v="Jamie  Hayes"/>
    <s v="205-229-8176"/>
    <x v="2"/>
    <s v="bayraynay@gmail.com"/>
    <s v="31840 Shoal Water Dr Orange Beach AL 36561-3770"/>
    <s v="4111 County Road 5 Thorsby AL 35171-7051"/>
    <x v="0"/>
    <s v="32.899323, -86.760369"/>
    <n v="9.8699999999999992"/>
    <n v="10"/>
    <m/>
    <n v="1100"/>
    <n v="1100"/>
    <s v=""/>
    <m/>
    <n v="1"/>
    <n v="1100"/>
    <n v="1100"/>
    <m/>
    <m/>
    <m/>
    <m/>
    <n v="0"/>
    <n v="0.80335858585858588"/>
    <n v="883.69444444444446"/>
    <n v="0"/>
    <m/>
    <n v="0.80335858585858588"/>
    <n v="0.80335858585858588"/>
    <n v="883.69444444444446"/>
    <n v="883.69444444444446"/>
    <n v="0"/>
    <n v="0"/>
    <n v="0"/>
    <s v="Fortunei"/>
    <s v="2, 12"/>
    <n v="0.79363636363636358"/>
    <n v="873"/>
    <m/>
    <m/>
    <n v="125"/>
    <n v="588"/>
    <n v="160"/>
    <m/>
    <m/>
    <m/>
    <m/>
    <m/>
    <n v="1"/>
    <n v="1"/>
    <m/>
    <m/>
    <m/>
    <n v="0"/>
    <m/>
    <n v="0"/>
    <n v="0"/>
    <n v="0"/>
    <n v="0"/>
    <n v="0"/>
    <n v="0"/>
    <n v="173204.11111111112"/>
    <n v="173204.11111111112"/>
    <n v="8.8626292466765146E-3"/>
  </r>
  <r>
    <s v="US0102"/>
    <x v="4"/>
    <x v="6"/>
    <n v="2030"/>
    <s v="Jared Lilly"/>
    <n v="10088"/>
    <s v="Jared  Lilly"/>
    <s v="850-643-8515"/>
    <x v="2"/>
    <s v="jjlilly13@gmail.com"/>
    <s v="15779 NW Ashley Shiver Rd Altha FL 32421-4815"/>
    <s v="15779 NW Ashley Shiver Rd Altha FL 32421-4815"/>
    <x v="0"/>
    <s v="30.503376, -85.128196"/>
    <n v="6.6"/>
    <n v="8"/>
    <m/>
    <n v="880"/>
    <n v="880"/>
    <s v=""/>
    <m/>
    <n v="1"/>
    <n v="880"/>
    <n v="880"/>
    <m/>
    <m/>
    <m/>
    <m/>
    <n v="0"/>
    <n v="0.90427328353464731"/>
    <n v="795.76048951048961"/>
    <n v="0"/>
    <m/>
    <n v="0.90427328353464731"/>
    <n v="0.90427328353464731"/>
    <n v="795.76048951048961"/>
    <n v="795.76048951048961"/>
    <n v="0"/>
    <n v="0"/>
    <n v="0"/>
    <s v="Fortunei"/>
    <s v="2, 11"/>
    <n v="0.5011363636363636"/>
    <n v="441"/>
    <m/>
    <m/>
    <n v="210"/>
    <n v="231"/>
    <m/>
    <m/>
    <m/>
    <m/>
    <m/>
    <m/>
    <n v="1"/>
    <n v="1"/>
    <m/>
    <m/>
    <m/>
    <n v="0"/>
    <m/>
    <n v="0"/>
    <n v="0"/>
    <n v="0"/>
    <n v="0"/>
    <n v="0"/>
    <n v="0"/>
    <n v="155969.05594405596"/>
    <n v="155969.05594405596"/>
    <n v="8.8626292466765146E-3"/>
  </r>
  <r>
    <s v="US0103"/>
    <x v="4"/>
    <x v="6"/>
    <n v="2030"/>
    <s v="Anthony Lea"/>
    <n v="10089"/>
    <s v="Anthony Lea"/>
    <m/>
    <x v="2"/>
    <s v="anthonylearph@gmail.com"/>
    <s v="130 Bertel Dr Covington LA 70433-4815"/>
    <s v="130 Bertel Dr Covington LA 70433-4815"/>
    <x v="0"/>
    <s v="30.512148, -90.149143"/>
    <n v="9.5"/>
    <n v="10"/>
    <m/>
    <n v="1100"/>
    <n v="1100"/>
    <s v=""/>
    <m/>
    <n v="1"/>
    <n v="1100"/>
    <n v="1100"/>
    <m/>
    <m/>
    <m/>
    <m/>
    <n v="0"/>
    <n v="1"/>
    <n v="1100"/>
    <n v="0"/>
    <m/>
    <n v="1"/>
    <n v="1"/>
    <n v="1100"/>
    <n v="1100"/>
    <n v="0"/>
    <n v="0"/>
    <n v="0"/>
    <s v="Fortunei"/>
    <s v="11, 13"/>
    <n v="0.45818181818181819"/>
    <n v="504"/>
    <m/>
    <m/>
    <m/>
    <n v="504"/>
    <m/>
    <m/>
    <m/>
    <m/>
    <m/>
    <m/>
    <n v="1"/>
    <n v="1"/>
    <m/>
    <m/>
    <m/>
    <n v="0"/>
    <m/>
    <n v="0"/>
    <n v="0"/>
    <n v="0"/>
    <n v="0"/>
    <n v="0"/>
    <n v="0"/>
    <n v="215600"/>
    <n v="215600"/>
    <n v="8.8626292466765146E-3"/>
  </r>
  <r>
    <s v="US0104"/>
    <x v="6"/>
    <x v="6"/>
    <n v="2030"/>
    <s v="Joe Lilly"/>
    <n v="10090"/>
    <s v="Joe Lilly"/>
    <s v="850-693-3946"/>
    <x v="2"/>
    <s v="joelilly1953@gmail.com"/>
    <s v="7701 SE Marysville School Rd Blountstown FL 32424-5623"/>
    <s v="7701 SE Marysville School Rd Blountstown FL 32424-5623"/>
    <x v="0"/>
    <s v="30.296870,-85.118840"/>
    <n v="9.0299999999999994"/>
    <n v="11"/>
    <m/>
    <n v="1210"/>
    <n v="1210"/>
    <s v=""/>
    <m/>
    <n v="1"/>
    <n v="1210"/>
    <n v="1210"/>
    <m/>
    <m/>
    <m/>
    <m/>
    <n v="0"/>
    <n v="0.98422238918106675"/>
    <n v="1190.9090909090908"/>
    <n v="0"/>
    <m/>
    <n v="0.98422238918106675"/>
    <n v="0.98422238918106675"/>
    <n v="1190.9090909090908"/>
    <n v="1190.9090909090908"/>
    <n v="0"/>
    <n v="0"/>
    <n v="0"/>
    <s v="Fortunei"/>
    <s v="11, 13"/>
    <n v="0.10413223140495868"/>
    <n v="126"/>
    <m/>
    <m/>
    <n v="21"/>
    <n v="105"/>
    <m/>
    <m/>
    <m/>
    <m/>
    <m/>
    <m/>
    <n v="1"/>
    <n v="1"/>
    <m/>
    <m/>
    <m/>
    <n v="0"/>
    <m/>
    <n v="0"/>
    <n v="0"/>
    <n v="0"/>
    <n v="0"/>
    <n v="0"/>
    <n v="0"/>
    <n v="233418.18181818179"/>
    <n v="233418.18181818179"/>
    <n v="8.8626292466765146E-3"/>
  </r>
  <r>
    <s v="US0106"/>
    <x v="6"/>
    <x v="6"/>
    <n v="2030"/>
    <s v="John Wilson"/>
    <n v="10091"/>
    <s v="John Wilson"/>
    <s v="334-324-3475, 334-799-4219"/>
    <x v="2"/>
    <s v="johntammy72289@gmail.com"/>
    <s v="761 Old Farm Rd Deatsville AL 36022-5853"/>
    <s v="761 Old Farm Rd Deatsville AL 36022-5853"/>
    <x v="0"/>
    <s v="32.629858, -86.343719"/>
    <n v="9.85"/>
    <n v="10"/>
    <m/>
    <n v="1100"/>
    <n v="1100"/>
    <s v=""/>
    <m/>
    <n v="1"/>
    <n v="1100"/>
    <n v="1100"/>
    <m/>
    <m/>
    <m/>
    <m/>
    <n v="0"/>
    <n v="0.89767355371900837"/>
    <n v="987.44090909090926"/>
    <n v="0"/>
    <m/>
    <n v="0.89767355371900837"/>
    <n v="0.89767355371900837"/>
    <n v="987.44090909090926"/>
    <n v="987.44090909090926"/>
    <n v="0"/>
    <n v="0"/>
    <n v="0"/>
    <s v="Fortunei"/>
    <n v="2"/>
    <n v="0.37727272727272726"/>
    <n v="415"/>
    <m/>
    <n v="100"/>
    <m/>
    <n v="315"/>
    <m/>
    <m/>
    <m/>
    <m/>
    <m/>
    <m/>
    <n v="1"/>
    <n v="1"/>
    <m/>
    <m/>
    <m/>
    <n v="0"/>
    <m/>
    <n v="0"/>
    <n v="0"/>
    <n v="0"/>
    <n v="0"/>
    <n v="0"/>
    <n v="0"/>
    <n v="193538.41818181821"/>
    <n v="193538.41818181821"/>
    <n v="8.8626292466765146E-3"/>
  </r>
  <r>
    <s v="US0109"/>
    <x v="4"/>
    <x v="6"/>
    <n v="2030"/>
    <s v="Keith Bell"/>
    <n v="10093"/>
    <s v="Keith  Bell"/>
    <s v="334-494-4395"/>
    <x v="2"/>
    <s v="ecurrencykeith@gmail.com, keith.b.bell@centurytel.net"/>
    <s v="1156-1368 Co Rd 224 Elba, AL 36323"/>
    <s v="1156 Co Rd 224 Elba, AL 36323"/>
    <x v="0"/>
    <s v="31.511507, -86.030343"/>
    <n v="10.65"/>
    <n v="10"/>
    <m/>
    <n v="1100"/>
    <n v="1100"/>
    <s v=""/>
    <m/>
    <n v="1"/>
    <n v="1100"/>
    <n v="1100"/>
    <m/>
    <m/>
    <m/>
    <m/>
    <n v="0"/>
    <n v="0.95415977961432497"/>
    <n v="1049.5757575757575"/>
    <n v="0"/>
    <m/>
    <n v="0.95415977961432497"/>
    <n v="0.95415977961432497"/>
    <n v="1049.5757575757575"/>
    <n v="1049.5757575757575"/>
    <n v="0"/>
    <n v="0"/>
    <n v="0"/>
    <s v="Fortunei"/>
    <s v="2, 11"/>
    <n v="0.60818181818181816"/>
    <n v="669"/>
    <m/>
    <m/>
    <m/>
    <n v="189"/>
    <n v="480"/>
    <m/>
    <m/>
    <m/>
    <m/>
    <m/>
    <n v="1"/>
    <n v="1"/>
    <m/>
    <m/>
    <m/>
    <n v="0"/>
    <m/>
    <n v="0"/>
    <n v="0"/>
    <n v="0"/>
    <n v="0"/>
    <n v="0"/>
    <n v="0"/>
    <n v="205716.84848484848"/>
    <n v="205716.84848484848"/>
    <n v="8.8626292466765146E-3"/>
  </r>
  <r>
    <s v="US0112"/>
    <x v="6"/>
    <x v="6"/>
    <n v="2030"/>
    <s v="Lori Fults"/>
    <n v="10096"/>
    <s v="Lori &amp; Don Fults"/>
    <s v="541-660-0190"/>
    <x v="2"/>
    <s v="caprith@live.com"/>
    <s v="91722 Prairie Meadows, Junction City, OR 97448, USA"/>
    <s v="91722 Prairie Rd Junction City OR 97448-9419"/>
    <x v="0"/>
    <s v="44.153595, -123.184589"/>
    <n v="10"/>
    <n v="10"/>
    <s v="Y"/>
    <n v="1100"/>
    <n v="1100"/>
    <s v=""/>
    <m/>
    <n v="1"/>
    <n v="1100"/>
    <n v="1100"/>
    <m/>
    <m/>
    <m/>
    <m/>
    <n v="0"/>
    <n v="1"/>
    <n v="1100"/>
    <n v="0"/>
    <m/>
    <n v="1"/>
    <n v="1"/>
    <n v="1100"/>
    <n v="1100"/>
    <n v="0"/>
    <n v="0"/>
    <n v="0"/>
    <s v="Fortunei"/>
    <s v="11, TG Cool"/>
    <n v="0.24545454545454545"/>
    <n v="270"/>
    <m/>
    <m/>
    <n v="60"/>
    <n v="210"/>
    <m/>
    <m/>
    <m/>
    <m/>
    <m/>
    <m/>
    <n v="1"/>
    <n v="1"/>
    <m/>
    <m/>
    <m/>
    <n v="0"/>
    <m/>
    <n v="0"/>
    <n v="0"/>
    <n v="0"/>
    <n v="0"/>
    <n v="0"/>
    <n v="0"/>
    <n v="215600"/>
    <n v="215600"/>
    <n v="8.8626292466765146E-3"/>
  </r>
  <r>
    <s v="US0113"/>
    <x v="6"/>
    <x v="6"/>
    <n v="2030"/>
    <s v="Mac Alexander"/>
    <n v="10097"/>
    <s v="Mac  Alexander"/>
    <s v="205-999-4665"/>
    <x v="2"/>
    <s v="alexaar3457@gmail.com, macalex79@gmail.com"/>
    <s v="1802 Dudleyville Rd Dadeville AL 36853-3700"/>
    <s v="1802 Dudleyville Rd Dadeville AL 36853-3700"/>
    <x v="0"/>
    <s v="32.847766, -85.747348"/>
    <n v="10.6"/>
    <n v="10"/>
    <m/>
    <n v="1100"/>
    <n v="1100"/>
    <s v=""/>
    <m/>
    <n v="1"/>
    <n v="1100"/>
    <n v="1100"/>
    <m/>
    <m/>
    <m/>
    <m/>
    <n v="0"/>
    <n v="1"/>
    <n v="1100"/>
    <n v="0"/>
    <m/>
    <n v="1"/>
    <n v="1"/>
    <n v="1100"/>
    <n v="1100"/>
    <n v="0"/>
    <n v="0"/>
    <n v="0"/>
    <s v="Fortunei"/>
    <s v="2, 13"/>
    <n v="0.18272727272727274"/>
    <n v="201"/>
    <m/>
    <m/>
    <n v="75"/>
    <n v="126"/>
    <m/>
    <m/>
    <m/>
    <m/>
    <m/>
    <m/>
    <n v="1"/>
    <n v="1"/>
    <m/>
    <m/>
    <m/>
    <n v="0"/>
    <m/>
    <n v="0"/>
    <n v="0"/>
    <n v="0"/>
    <n v="0"/>
    <n v="0"/>
    <n v="0"/>
    <n v="215600"/>
    <n v="215600"/>
    <n v="8.8626292466765146E-3"/>
  </r>
  <r>
    <s v="US0114"/>
    <x v="6"/>
    <x v="6"/>
    <n v="2030"/>
    <s v="Marty Causseaux"/>
    <n v="10098"/>
    <s v="Marty  Causseaux"/>
    <s v="850-251-7047"/>
    <x v="2"/>
    <s v="martyhq02@gmail.com"/>
    <s v="10644 Woodville Hwy Tallahassee FL 32305-1960"/>
    <s v="161 Centerline Rd Crawfordville FL 32327-5408"/>
    <x v="0"/>
    <s v="30.281944, -84.261389"/>
    <n v="10.7"/>
    <n v="10.409090909090908"/>
    <s v="Y"/>
    <n v="1145"/>
    <n v="1145"/>
    <s v=""/>
    <m/>
    <n v="1"/>
    <n v="1145"/>
    <n v="1145"/>
    <m/>
    <m/>
    <m/>
    <m/>
    <n v="0"/>
    <n v="1"/>
    <n v="1145"/>
    <n v="0"/>
    <m/>
    <n v="1"/>
    <n v="1"/>
    <n v="1145"/>
    <n v="1145"/>
    <n v="0"/>
    <n v="0"/>
    <n v="0"/>
    <s v="Fortunei"/>
    <s v="2, 11"/>
    <n v="0.17292576419213973"/>
    <n v="198"/>
    <m/>
    <m/>
    <n v="21"/>
    <m/>
    <n v="177"/>
    <m/>
    <m/>
    <m/>
    <m/>
    <m/>
    <n v="1"/>
    <n v="1"/>
    <m/>
    <m/>
    <m/>
    <n v="0"/>
    <m/>
    <n v="0"/>
    <n v="0"/>
    <n v="0"/>
    <n v="0"/>
    <n v="0"/>
    <n v="0"/>
    <n v="224420"/>
    <n v="224420"/>
    <n v="8.8626292466765146E-3"/>
  </r>
  <r>
    <s v="US0115"/>
    <x v="4"/>
    <x v="6"/>
    <n v="2030"/>
    <s v="Michael Roe"/>
    <n v="10099"/>
    <s v="Michael  Roe"/>
    <s v="504-210-6684"/>
    <x v="2"/>
    <s v="michael@WindmillNurseryLLC.com"/>
    <s v="12398 Highway 25 Franklinton LA 70438-4602"/>
    <s v="12398 Highway 25 Franklinton LA 70438-4602"/>
    <x v="0"/>
    <s v="30.7101463, -90.1702716"/>
    <n v="9.6999999999999993"/>
    <n v="10"/>
    <s v="Y"/>
    <n v="1100"/>
    <n v="1100"/>
    <s v=""/>
    <m/>
    <n v="1"/>
    <n v="1100"/>
    <n v="1100"/>
    <m/>
    <m/>
    <m/>
    <m/>
    <n v="0"/>
    <n v="0.88691470650561566"/>
    <n v="975.60617715617718"/>
    <n v="0"/>
    <m/>
    <n v="0.88691470650561566"/>
    <n v="0.88691470650561566"/>
    <n v="975.60617715617718"/>
    <n v="975.60617715617718"/>
    <n v="0"/>
    <n v="0"/>
    <n v="0"/>
    <s v="Fortunei"/>
    <s v="11, 13"/>
    <n v="0.24818181818181817"/>
    <n v="273"/>
    <m/>
    <m/>
    <m/>
    <n v="273"/>
    <m/>
    <m/>
    <m/>
    <m/>
    <m/>
    <m/>
    <n v="1"/>
    <n v="1"/>
    <m/>
    <m/>
    <m/>
    <n v="0"/>
    <m/>
    <n v="0"/>
    <n v="0"/>
    <n v="0"/>
    <n v="0"/>
    <n v="0"/>
    <n v="0"/>
    <n v="191218.81072261074"/>
    <n v="191218.81072261074"/>
    <n v="8.8626292466765146E-3"/>
  </r>
  <r>
    <s v="US0117"/>
    <x v="6"/>
    <x v="6"/>
    <n v="2030"/>
    <s v="Ronnie and Kent Mathis"/>
    <n v="10072"/>
    <s v="Ronnie and Kent Mathis"/>
    <s v="706-499-6493, 706 499 1501"/>
    <x v="2"/>
    <s v="ronmountainearthfarms@gmail.com, kentrm1@yahoo.com"/>
    <s v="PO Box 1592 Cornelia GA 30531-1026"/>
    <s v="260 Hollywood Hwy Clarkesville GA 30523-4731"/>
    <x v="0"/>
    <s v="34.43919 N, 83.23246 W"/>
    <n v="3.21"/>
    <n v="3"/>
    <m/>
    <n v="330"/>
    <n v="330"/>
    <s v=""/>
    <m/>
    <n v="1"/>
    <n v="330"/>
    <n v="330"/>
    <m/>
    <m/>
    <m/>
    <m/>
    <n v="0"/>
    <n v="0.88636363636363635"/>
    <n v="292.5"/>
    <n v="0"/>
    <m/>
    <n v="0.88636363636363635"/>
    <n v="0.88636363636363635"/>
    <n v="292.5"/>
    <n v="292.5"/>
    <n v="0"/>
    <n v="0"/>
    <n v="0"/>
    <s v="Fortunei"/>
    <s v="2, 14, 18"/>
    <n v="0.88787878787878793"/>
    <n v="293"/>
    <m/>
    <m/>
    <n v="231"/>
    <n v="62"/>
    <m/>
    <m/>
    <m/>
    <m/>
    <m/>
    <m/>
    <n v="1"/>
    <n v="1"/>
    <m/>
    <m/>
    <m/>
    <n v="0"/>
    <m/>
    <n v="0"/>
    <n v="0"/>
    <n v="0"/>
    <n v="0"/>
    <n v="0"/>
    <n v="0"/>
    <n v="57330"/>
    <n v="57330"/>
    <n v="8.8626292466765146E-3"/>
  </r>
  <r>
    <s v="US0118"/>
    <x v="6"/>
    <x v="6"/>
    <n v="2030"/>
    <s v="Roy Price"/>
    <n v="10100"/>
    <s v="Roy  Price"/>
    <s v="334-799-3713"/>
    <x v="2"/>
    <s v="roy@priceceiling.com"/>
    <s v="350 Price Drive, Clanton, AL, 35046"/>
    <s v="350 Price Drive, Clanton, AL, 35046"/>
    <x v="0"/>
    <s v="32.884628, -86.619910"/>
    <n v="19.489999999999998"/>
    <n v="18"/>
    <m/>
    <n v="1980"/>
    <n v="1980"/>
    <s v=""/>
    <m/>
    <n v="1"/>
    <n v="1980"/>
    <n v="1980"/>
    <m/>
    <m/>
    <m/>
    <m/>
    <n v="0"/>
    <n v="1"/>
    <n v="1980"/>
    <n v="0"/>
    <m/>
    <n v="1"/>
    <n v="1"/>
    <n v="1980"/>
    <n v="1980"/>
    <n v="0"/>
    <n v="0"/>
    <n v="0"/>
    <s v="Fortunei"/>
    <s v="2, 11"/>
    <n v="0.28686868686868688"/>
    <n v="568"/>
    <m/>
    <m/>
    <m/>
    <n v="168"/>
    <n v="400"/>
    <m/>
    <m/>
    <m/>
    <m/>
    <m/>
    <n v="1"/>
    <n v="1"/>
    <m/>
    <m/>
    <m/>
    <n v="0"/>
    <m/>
    <n v="0"/>
    <n v="0"/>
    <n v="0"/>
    <n v="0"/>
    <n v="0"/>
    <n v="0"/>
    <n v="388080"/>
    <n v="388080"/>
    <n v="8.8626292466765146E-3"/>
  </r>
  <r>
    <s v="US0120"/>
    <x v="4"/>
    <x v="6"/>
    <n v="2030"/>
    <s v="Scotty Mckenzie"/>
    <n v="10101"/>
    <s v="Scotty  Mckenzie"/>
    <s v="478-960-3760"/>
    <x v="2"/>
    <s v="mac12.5@windstream.net"/>
    <s v="0 Cane Mill Rd, Elko, GA, 31025"/>
    <s v="0 Cane Mill Rd, Elko, GA, 31025"/>
    <x v="0"/>
    <s v="32.294732, -83.771057"/>
    <n v="12.06"/>
    <n v="12"/>
    <m/>
    <n v="1320"/>
    <n v="1320"/>
    <s v=""/>
    <m/>
    <n v="1"/>
    <n v="1320"/>
    <n v="1320"/>
    <m/>
    <m/>
    <m/>
    <m/>
    <n v="0"/>
    <n v="0.4554595429822702"/>
    <n v="601.20659673659668"/>
    <n v="0"/>
    <m/>
    <n v="0.4554595429822702"/>
    <n v="0.4554595429822702"/>
    <n v="601.20659673659668"/>
    <n v="601.20659673659668"/>
    <n v="0"/>
    <n v="0"/>
    <n v="0"/>
    <s v="Fortunei"/>
    <s v="11"/>
    <n v="0.33409090909090911"/>
    <n v="441"/>
    <m/>
    <m/>
    <m/>
    <n v="441"/>
    <m/>
    <m/>
    <m/>
    <m/>
    <m/>
    <m/>
    <n v="1"/>
    <n v="1"/>
    <m/>
    <m/>
    <m/>
    <n v="0"/>
    <m/>
    <n v="0"/>
    <n v="0"/>
    <n v="0"/>
    <n v="0"/>
    <n v="0"/>
    <n v="0"/>
    <n v="117836.49296037295"/>
    <n v="117836.49296037295"/>
    <n v="8.8626292466765146E-3"/>
  </r>
  <r>
    <s v="US0121"/>
    <x v="4"/>
    <x v="6"/>
    <n v="2030"/>
    <s v="Sisay Souphom"/>
    <n v="10102"/>
    <s v="Sisay  Souphom"/>
    <s v="334-220-2957"/>
    <x v="2"/>
    <s v="ssouphom@gmail.com"/>
    <s v="625 Fern Rd Wetumpka AL 36092-7465"/>
    <s v="789 Fern Rd Wetumpka, Al 36092"/>
    <x v="0"/>
    <s v="32.619274, -86.316458"/>
    <n v="10.7"/>
    <n v="10"/>
    <s v="Y"/>
    <n v="1100"/>
    <n v="1100"/>
    <s v=""/>
    <m/>
    <n v="1"/>
    <n v="1100"/>
    <n v="1100"/>
    <m/>
    <m/>
    <m/>
    <m/>
    <n v="0"/>
    <n v="0.99066942148760306"/>
    <n v="1089.7363636363634"/>
    <n v="0"/>
    <m/>
    <n v="0.99066942148760306"/>
    <n v="0.99066942148760306"/>
    <n v="1089.7363636363634"/>
    <n v="1089.7363636363634"/>
    <n v="0"/>
    <n v="0"/>
    <n v="0"/>
    <s v="Fortunei"/>
    <s v="11"/>
    <n v="0.18727272727272729"/>
    <n v="206"/>
    <m/>
    <m/>
    <m/>
    <n v="206"/>
    <m/>
    <m/>
    <m/>
    <m/>
    <m/>
    <m/>
    <n v="1"/>
    <n v="1"/>
    <m/>
    <m/>
    <m/>
    <n v="0"/>
    <m/>
    <n v="0"/>
    <n v="0"/>
    <n v="0"/>
    <n v="0"/>
    <n v="0"/>
    <n v="0"/>
    <n v="213588.32727272724"/>
    <n v="213588.32727272724"/>
    <n v="8.8626292466765146E-3"/>
  </r>
  <r>
    <s v="US0123"/>
    <x v="4"/>
    <x v="6"/>
    <n v="2030"/>
    <s v="Steven Hunter"/>
    <n v="10104"/>
    <s v="Steven and Christy Hunter"/>
    <s v="205-405-0233"/>
    <x v="2"/>
    <s v="stevenhunter@protonmail.com"/>
    <s v="PO Box 395 Maplesville AL 36750-0395"/>
    <s v="2645 State Highway 139, Maplesville, Alabama 36750, USA"/>
    <x v="0"/>
    <s v="32.819540, -86.884327"/>
    <n v="33.700000000000003"/>
    <n v="32.909090909090907"/>
    <s v="Y"/>
    <n v="3620"/>
    <n v="3620"/>
    <s v=""/>
    <m/>
    <n v="1"/>
    <n v="3620"/>
    <n v="3620"/>
    <m/>
    <m/>
    <m/>
    <m/>
    <n v="0"/>
    <n v="0.85214989190487611"/>
    <n v="3084.7826086956516"/>
    <n v="0"/>
    <m/>
    <n v="0.85214989190487611"/>
    <n v="0.85214989190487611"/>
    <n v="3084.7826086956516"/>
    <n v="3084.7826086956516"/>
    <n v="0"/>
    <n v="0"/>
    <n v="0"/>
    <s v="Fortunei"/>
    <s v="2"/>
    <n v="0.21933701657458562"/>
    <n v="794"/>
    <m/>
    <m/>
    <n v="46"/>
    <n v="748"/>
    <m/>
    <m/>
    <m/>
    <m/>
    <m/>
    <m/>
    <n v="1"/>
    <n v="1"/>
    <m/>
    <m/>
    <m/>
    <n v="0"/>
    <m/>
    <n v="0"/>
    <n v="0"/>
    <n v="0"/>
    <n v="0"/>
    <n v="0"/>
    <n v="0"/>
    <n v="604617.39130434766"/>
    <n v="604617.39130434766"/>
    <n v="8.8626292466765146E-3"/>
  </r>
  <r>
    <s v="US0124"/>
    <x v="4"/>
    <x v="6"/>
    <n v="2030"/>
    <s v="Teresa Beam"/>
    <n v="10105"/>
    <s v="Teresa and Josh Beam"/>
    <s v="704-530-8581, 704-530-8587"/>
    <x v="2"/>
    <s v="beamberrypatch@gmail.com"/>
    <s v="963 Sunbeam Dr Lincolnton NC 28092-9749"/>
    <s v="5224 7 Pines Rd, Lawndale, NC 28090, USA"/>
    <x v="0"/>
    <s v="35.469667, -81.623418"/>
    <n v="10.17"/>
    <n v="10"/>
    <m/>
    <n v="1100"/>
    <n v="1100"/>
    <s v=""/>
    <m/>
    <n v="1"/>
    <n v="1100"/>
    <n v="1100"/>
    <m/>
    <m/>
    <m/>
    <m/>
    <n v="0"/>
    <n v="0.5412396694214876"/>
    <n v="595.36363636363637"/>
    <n v="0"/>
    <m/>
    <n v="0.5412396694214876"/>
    <n v="0.5412396694214876"/>
    <n v="595.36363636363637"/>
    <n v="595.36363636363637"/>
    <n v="0"/>
    <n v="0"/>
    <n v="0"/>
    <s v="Fortunei"/>
    <s v="2"/>
    <n v="0.5154545454545455"/>
    <n v="567"/>
    <m/>
    <m/>
    <n v="189"/>
    <n v="378"/>
    <m/>
    <m/>
    <m/>
    <m/>
    <m/>
    <m/>
    <n v="1"/>
    <n v="1"/>
    <m/>
    <m/>
    <m/>
    <n v="0"/>
    <m/>
    <n v="0"/>
    <n v="0"/>
    <n v="0"/>
    <n v="0"/>
    <n v="0"/>
    <n v="0"/>
    <n v="116691.27272727274"/>
    <n v="116691.27272727274"/>
    <n v="8.8626292466765146E-3"/>
  </r>
  <r>
    <s v="US0126"/>
    <x v="4"/>
    <x v="6"/>
    <n v="2030"/>
    <s v="Wendy Muhammad"/>
    <n v="10107"/>
    <s v="Wendy Muhammad"/>
    <s v="678-571-7763, 404.219.8878"/>
    <x v="2"/>
    <s v="farmsforliving@gmail.com"/>
    <s v="177 Porter Rd Fayetteville GA 30215-3053"/>
    <s v="177 Porter Rd Fayetteville GA 30215-3053"/>
    <x v="0"/>
    <s v="33.355810, -84.466823"/>
    <n v="9.9700000000000006"/>
    <n v="10"/>
    <m/>
    <n v="1100"/>
    <n v="1100"/>
    <s v=""/>
    <m/>
    <n v="1"/>
    <n v="1100"/>
    <n v="1100"/>
    <m/>
    <m/>
    <m/>
    <m/>
    <n v="0"/>
    <n v="0.96896969696969704"/>
    <n v="1065.8666666666668"/>
    <n v="0"/>
    <m/>
    <n v="0.96896969696969704"/>
    <n v="0.96896969696969704"/>
    <n v="1065.8666666666668"/>
    <n v="1065.8666666666668"/>
    <n v="0"/>
    <n v="0"/>
    <n v="0"/>
    <s v="Fortunei"/>
    <s v="2, 11"/>
    <n v="5.7272727272727274E-2"/>
    <n v="63"/>
    <m/>
    <m/>
    <m/>
    <n v="63"/>
    <m/>
    <m/>
    <m/>
    <m/>
    <m/>
    <m/>
    <n v="1"/>
    <n v="1"/>
    <m/>
    <m/>
    <m/>
    <n v="0"/>
    <m/>
    <n v="0"/>
    <n v="0"/>
    <n v="0"/>
    <n v="0"/>
    <n v="0"/>
    <n v="0"/>
    <n v="208909.8666666667"/>
    <n v="208909.8666666667"/>
    <n v="8.8626292466765146E-3"/>
  </r>
  <r>
    <s v="US0127"/>
    <x v="6"/>
    <x v="6"/>
    <n v="2030"/>
    <s v="Wesley and Stanley Todd"/>
    <n v="10108"/>
    <s v="Wesley and Stanley Todd"/>
    <s v="256-452-1441"/>
    <x v="2"/>
    <s v="wesleytodd95@gmail.com"/>
    <s v="1658 Dailey St Piedmont AL 36272-7582"/>
    <s v="1658 Dailey St Piedmont AL 36272-7582"/>
    <x v="0"/>
    <s v="33.902222, -85.603611"/>
    <n v="5.21"/>
    <n v="6"/>
    <m/>
    <n v="660"/>
    <n v="660"/>
    <s v=""/>
    <m/>
    <n v="1"/>
    <n v="660"/>
    <n v="660"/>
    <m/>
    <m/>
    <m/>
    <m/>
    <n v="0"/>
    <n v="0.94881118881118898"/>
    <n v="521.84615384615392"/>
    <n v="0"/>
    <m/>
    <n v="0.94881118881118898"/>
    <n v="0.95692307692307599"/>
    <n v="622"/>
    <n v="622"/>
    <n v="0"/>
    <n v="0"/>
    <n v="0"/>
    <s v="Fortunei"/>
    <s v="2"/>
    <n v="8.4848484848484854E-2"/>
    <n v="56"/>
    <m/>
    <m/>
    <m/>
    <n v="16"/>
    <n v="40"/>
    <m/>
    <m/>
    <m/>
    <m/>
    <m/>
    <n v="1"/>
    <n v="1"/>
    <m/>
    <m/>
    <m/>
    <n v="0"/>
    <m/>
    <n v="0"/>
    <n v="0"/>
    <n v="0"/>
    <n v="0"/>
    <n v="0"/>
    <n v="0"/>
    <n v="121912"/>
    <n v="121912"/>
    <n v="8.8626292466765146E-3"/>
  </r>
  <r>
    <s v="US0089"/>
    <x v="6"/>
    <x v="6"/>
    <n v="0"/>
    <s v="Andy Thomas"/>
    <n v="10077"/>
    <s v="Andy  Thomas"/>
    <s v="912-381-3658"/>
    <x v="1"/>
    <s v="athomas31552@gmail.com, athomas@elixirext.com"/>
    <s v="4610 Andrew Tanner Rd Nicholls GA 31554-6371"/>
    <s v="4610 Andrew Tanner Rd Nicholls GA 31554-6371"/>
    <x v="0"/>
    <m/>
    <m/>
    <s v=""/>
    <m/>
    <n v="1100"/>
    <n v="1100"/>
    <s v=""/>
    <m/>
    <n v="1"/>
    <n v="1100"/>
    <n v="1100"/>
    <m/>
    <m/>
    <m/>
    <m/>
    <n v="0"/>
    <n v="0"/>
    <n v="0"/>
    <n v="0"/>
    <n v="0"/>
    <n v="0"/>
    <n v="0"/>
    <n v="0"/>
    <n v="0"/>
    <n v="0"/>
    <n v="0"/>
    <n v="0"/>
    <s v="Fortunei"/>
    <s v="2, 13"/>
    <n v="0.33636363636363636"/>
    <n v="370"/>
    <m/>
    <m/>
    <m/>
    <m/>
    <n v="370"/>
    <m/>
    <m/>
    <m/>
    <m/>
    <m/>
    <n v="1"/>
    <n v="1"/>
    <m/>
    <m/>
    <m/>
    <n v="0"/>
    <m/>
    <n v="0"/>
    <n v="0"/>
    <n v="0"/>
    <n v="0"/>
    <n v="0"/>
    <n v="0"/>
    <n v="0"/>
    <n v="0"/>
    <n v="18"/>
  </r>
  <r>
    <s v="US0093"/>
    <x v="4"/>
    <x v="6"/>
    <n v="0"/>
    <s v="Billy Whittaker"/>
    <n v="10030"/>
    <s v="Billy Whittaker "/>
    <s v="229-243-3487, 229 400 2304"/>
    <x v="1"/>
    <s v="whihm@aol.com"/>
    <s v="7701 Reynolds Landing Rd Donalsonville GA 39845-6928"/>
    <s v="7701 Reynolds Landing Rd Donalsonville GA 39845-6928"/>
    <x v="0"/>
    <m/>
    <m/>
    <s v=""/>
    <m/>
    <n v="280"/>
    <n v="280"/>
    <s v=""/>
    <m/>
    <n v="1"/>
    <n v="280"/>
    <n v="280"/>
    <m/>
    <m/>
    <m/>
    <m/>
    <n v="0"/>
    <n v="0"/>
    <n v="0"/>
    <n v="0"/>
    <n v="0"/>
    <n v="0"/>
    <n v="0"/>
    <n v="0"/>
    <n v="0"/>
    <n v="0"/>
    <n v="0"/>
    <n v="0"/>
    <s v="Fortunei"/>
    <s v="11, 12, 14"/>
    <n v="0"/>
    <n v="0"/>
    <m/>
    <m/>
    <m/>
    <m/>
    <m/>
    <m/>
    <m/>
    <m/>
    <m/>
    <m/>
    <n v="1"/>
    <n v="1"/>
    <m/>
    <m/>
    <m/>
    <n v="0"/>
    <m/>
    <n v="0"/>
    <n v="0"/>
    <n v="0"/>
    <n v="0"/>
    <n v="0"/>
    <n v="0"/>
    <n v="0"/>
    <n v="0"/>
    <n v="18"/>
  </r>
  <r>
    <s v="US0098"/>
    <x v="4"/>
    <x v="6"/>
    <n v="2030"/>
    <s v="David Fordham"/>
    <n v="10084"/>
    <s v="David  Fordham"/>
    <s v="912-685-5887"/>
    <x v="0"/>
    <s v="fordhaminsurance@yahoo.com"/>
    <s v="7357 Harvest Rd Metter GA 30439-8914"/>
    <s v="7357 Harvest Rd Metter GA 30439-8914"/>
    <x v="0"/>
    <s v="32.461693, -82.125609"/>
    <m/>
    <s v=""/>
    <m/>
    <n v="1650"/>
    <n v="1650"/>
    <s v=""/>
    <m/>
    <n v="1"/>
    <n v="1650"/>
    <n v="1650"/>
    <m/>
    <m/>
    <m/>
    <m/>
    <n v="0"/>
    <n v="0.25020633687300353"/>
    <n v="412.84045584045583"/>
    <n v="0"/>
    <m/>
    <n v="0.25020633687300353"/>
    <n v="0"/>
    <n v="412.84045584045583"/>
    <n v="412.84045584045583"/>
    <n v="0"/>
    <n v="0"/>
    <n v="0"/>
    <s v="Fortunei"/>
    <s v="13, 18"/>
    <n v="0.25454545454545452"/>
    <n v="420"/>
    <m/>
    <m/>
    <m/>
    <n v="420"/>
    <m/>
    <m/>
    <m/>
    <m/>
    <m/>
    <m/>
    <n v="1"/>
    <n v="1"/>
    <m/>
    <m/>
    <m/>
    <n v="0"/>
    <m/>
    <n v="0"/>
    <n v="0"/>
    <n v="0"/>
    <n v="0"/>
    <n v="0"/>
    <n v="0"/>
    <n v="80916.729344729349"/>
    <n v="80916.729344729349"/>
    <n v="8.8626292466765146E-3"/>
  </r>
  <r>
    <s v="US0105"/>
    <x v="6"/>
    <x v="6"/>
    <n v="0"/>
    <s v="John Hayes"/>
    <n v="10062"/>
    <s v="Hayes Farms LLC"/>
    <s v="334-726-8074"/>
    <x v="1"/>
    <s v="john.hayes09@icloud.com"/>
    <s v="5053 Pansey Rd Pansey AL 36370-4059"/>
    <s v="2536 S County Road 75, Pansey AL 36370-4922"/>
    <x v="0"/>
    <m/>
    <n v="3"/>
    <s v=""/>
    <m/>
    <n v="330"/>
    <n v="330"/>
    <s v=""/>
    <m/>
    <n v="1"/>
    <n v="330"/>
    <n v="330"/>
    <m/>
    <m/>
    <m/>
    <m/>
    <n v="0"/>
    <n v="0.37906336088154269"/>
    <n v="125.09090909090909"/>
    <n v="0"/>
    <n v="0"/>
    <n v="0"/>
    <n v="0"/>
    <n v="0"/>
    <n v="0"/>
    <n v="0"/>
    <n v="0"/>
    <n v="0"/>
    <s v="Fortunei"/>
    <s v="11, 14"/>
    <n v="1.2636363636363637"/>
    <n v="417"/>
    <m/>
    <m/>
    <m/>
    <n v="126"/>
    <m/>
    <n v="291"/>
    <m/>
    <m/>
    <m/>
    <m/>
    <n v="1"/>
    <n v="1"/>
    <m/>
    <m/>
    <m/>
    <n v="0"/>
    <m/>
    <n v="0"/>
    <n v="0"/>
    <n v="0"/>
    <n v="0"/>
    <n v="0"/>
    <n v="0"/>
    <n v="0"/>
    <n v="0"/>
    <n v="18"/>
  </r>
  <r>
    <s v="US0107"/>
    <x v="4"/>
    <x v="6"/>
    <n v="0"/>
    <s v="Jordy McMahan"/>
    <n v="10092"/>
    <s v="Jordy and Kim P McMahan"/>
    <s v="470-351-8043, 256-201-9099"/>
    <x v="1"/>
    <s v="jordy@barco-us.com, KMcMahan@alfains.com"/>
    <s v="PO Box 113 Heflin AL 36264-0113"/>
    <s v="6568 Highway 78 Heflin AL 36264-2422; 2444 Steadman Rd, Tallapoosa, GA 30176"/>
    <x v="0"/>
    <s v="33.669076, -85.558646"/>
    <n v="5.91"/>
    <s v=""/>
    <m/>
    <n v="550"/>
    <n v="550"/>
    <s v=""/>
    <m/>
    <n v="1"/>
    <n v="550"/>
    <n v="550"/>
    <m/>
    <m/>
    <m/>
    <m/>
    <n v="0"/>
    <n v="0.90649035812672174"/>
    <n v="498.56969696969696"/>
    <n v="0"/>
    <n v="0"/>
    <n v="0"/>
    <n v="0"/>
    <n v="0"/>
    <n v="0"/>
    <n v="0"/>
    <n v="0"/>
    <n v="0"/>
    <s v="Fortunei"/>
    <s v="11, 13"/>
    <n v="0.34545454545454546"/>
    <n v="190"/>
    <m/>
    <m/>
    <m/>
    <n v="190"/>
    <m/>
    <m/>
    <m/>
    <m/>
    <m/>
    <m/>
    <n v="1"/>
    <n v="1"/>
    <m/>
    <m/>
    <m/>
    <n v="0"/>
    <m/>
    <n v="0"/>
    <n v="0"/>
    <n v="0"/>
    <n v="0"/>
    <n v="0"/>
    <n v="0"/>
    <n v="0"/>
    <n v="0"/>
    <n v="18"/>
  </r>
  <r>
    <s v="US0108"/>
    <x v="4"/>
    <x v="6"/>
    <n v="0"/>
    <s v="Jordy McMahan"/>
    <n v="10092"/>
    <s v="Jordy McMahan"/>
    <s v="470-351-8043, 256-201-9099"/>
    <x v="1"/>
    <s v="jordy@barco-us.com, KMcMahan@alfains.com"/>
    <s v="PO Box 113 Heflin AL 36264-0113"/>
    <s v="6568 Highway 78 Heflin AL 36264-2422; 2444 Steadman Rd, Tallapoosa, GA 30176"/>
    <x v="0"/>
    <s v="33.817511, -85.333604"/>
    <n v="10.78"/>
    <s v=""/>
    <m/>
    <n v="1100"/>
    <n v="1100"/>
    <s v=""/>
    <m/>
    <n v="1"/>
    <n v="1100"/>
    <n v="1100"/>
    <m/>
    <m/>
    <m/>
    <m/>
    <n v="0"/>
    <n v="0.89884615384615374"/>
    <n v="988.73076923076917"/>
    <n v="0"/>
    <n v="0"/>
    <n v="0"/>
    <n v="0"/>
    <n v="0"/>
    <n v="0"/>
    <n v="0"/>
    <n v="0"/>
    <n v="0"/>
    <s v="Fortunei"/>
    <s v="11, 13"/>
    <n v="0.11363636363636363"/>
    <n v="125"/>
    <m/>
    <m/>
    <m/>
    <n v="125"/>
    <m/>
    <m/>
    <m/>
    <m/>
    <m/>
    <m/>
    <n v="1"/>
    <n v="1"/>
    <m/>
    <m/>
    <m/>
    <n v="0"/>
    <m/>
    <n v="0"/>
    <n v="0"/>
    <n v="0"/>
    <n v="0"/>
    <n v="0"/>
    <n v="0"/>
    <n v="0"/>
    <n v="0"/>
    <n v="18"/>
  </r>
  <r>
    <s v="US0110"/>
    <x v="6"/>
    <x v="6"/>
    <n v="2030"/>
    <s v="Kyle Flint"/>
    <n v="10094"/>
    <s v="RD Land and Materials LLC"/>
    <s v="405-215-8195"/>
    <x v="0"/>
    <s v="kyle.flint@bhboring.com"/>
    <s v="301 James Dean Dr Norman OK 73072-9793"/>
    <s v="2450 Cox City Rd Rush Springs OK 73082-3122"/>
    <x v="0"/>
    <m/>
    <m/>
    <s v=""/>
    <m/>
    <n v="1100"/>
    <n v="1100"/>
    <s v=""/>
    <m/>
    <n v="1"/>
    <n v="1100"/>
    <n v="1100"/>
    <m/>
    <m/>
    <m/>
    <m/>
    <n v="0"/>
    <n v="0"/>
    <n v="0"/>
    <n v="0"/>
    <m/>
    <n v="0"/>
    <n v="0"/>
    <n v="0"/>
    <n v="0"/>
    <n v="0"/>
    <n v="0"/>
    <n v="0"/>
    <s v="Fortunei"/>
    <s v="2, 11"/>
    <n v="0.35272727272727272"/>
    <n v="388"/>
    <m/>
    <m/>
    <m/>
    <n v="388"/>
    <m/>
    <m/>
    <m/>
    <m/>
    <m/>
    <m/>
    <n v="1"/>
    <n v="1"/>
    <m/>
    <m/>
    <m/>
    <n v="0"/>
    <m/>
    <n v="0"/>
    <n v="0"/>
    <n v="0"/>
    <n v="0"/>
    <n v="0"/>
    <n v="0"/>
    <n v="0"/>
    <n v="0"/>
    <n v="8.8626292466765146E-3"/>
  </r>
  <r>
    <s v="US0111"/>
    <x v="6"/>
    <x v="6"/>
    <n v="2030"/>
    <s v="Loren Raymer"/>
    <n v="10095"/>
    <s v="Loren  Raymer"/>
    <s v="469-404-3681, 214-334-6829"/>
    <x v="0"/>
    <s v="loren.raymer@gmail.com"/>
    <s v="10031 FM Rd, 1390 Scurry TX 75158"/>
    <s v="10031 FM Rd, 1390 Scurry TX 75158"/>
    <x v="0"/>
    <m/>
    <m/>
    <s v=""/>
    <m/>
    <n v="1100"/>
    <n v="1100"/>
    <s v=""/>
    <m/>
    <n v="1"/>
    <n v="1100"/>
    <n v="1100"/>
    <m/>
    <m/>
    <m/>
    <m/>
    <n v="0"/>
    <n v="0"/>
    <n v="0"/>
    <n v="0"/>
    <m/>
    <n v="0"/>
    <n v="0"/>
    <n v="0"/>
    <n v="0"/>
    <n v="0"/>
    <n v="0"/>
    <n v="0"/>
    <s v="Fortunei"/>
    <s v="2, 11"/>
    <n v="0.88272727272727269"/>
    <n v="971"/>
    <m/>
    <m/>
    <m/>
    <n v="609"/>
    <n v="362"/>
    <m/>
    <m/>
    <m/>
    <m/>
    <m/>
    <n v="1"/>
    <n v="1"/>
    <m/>
    <m/>
    <m/>
    <n v="0"/>
    <m/>
    <n v="0"/>
    <n v="0"/>
    <n v="0"/>
    <n v="0"/>
    <n v="0"/>
    <n v="0"/>
    <n v="0"/>
    <n v="0"/>
    <n v="8.8626292466765146E-3"/>
  </r>
  <r>
    <s v="US0116"/>
    <x v="4"/>
    <x v="6"/>
    <n v="2030"/>
    <s v="Mike Porter"/>
    <n v="10067"/>
    <s v="Mike Porter and Teri Galardi"/>
    <s v="702-406-7479"/>
    <x v="2"/>
    <s v="mikeporter64@gmail.com"/>
    <s v="2146 Highway 42 S Flovilla GA 30216-2318"/>
    <s v="2146 Highway 42 S Flovilla GA 30216-2318"/>
    <x v="0"/>
    <s v="33.218413, -83.932813"/>
    <n v="9.5"/>
    <n v="10"/>
    <m/>
    <n v="1100"/>
    <n v="1100"/>
    <s v=""/>
    <m/>
    <n v="1"/>
    <n v="1100"/>
    <n v="1100"/>
    <m/>
    <m/>
    <m/>
    <m/>
    <n v="0"/>
    <n v="0.88247803030303029"/>
    <n v="970.7258333333333"/>
    <n v="0"/>
    <m/>
    <n v="0.88247803030303029"/>
    <n v="0"/>
    <n v="0"/>
    <n v="0"/>
    <n v="0"/>
    <n v="0"/>
    <n v="0"/>
    <s v="Fortunei"/>
    <s v="2, 11, 12"/>
    <n v="0.55181818181818176"/>
    <n v="607"/>
    <m/>
    <m/>
    <m/>
    <n v="387"/>
    <m/>
    <n v="220"/>
    <m/>
    <m/>
    <m/>
    <m/>
    <n v="1"/>
    <n v="1"/>
    <m/>
    <m/>
    <m/>
    <n v="0"/>
    <m/>
    <n v="0"/>
    <n v="0"/>
    <n v="0"/>
    <n v="0"/>
    <n v="0"/>
    <n v="0"/>
    <n v="0"/>
    <n v="0"/>
    <n v="8.8626292466765146E-3"/>
  </r>
  <r>
    <s v="US0119"/>
    <x v="4"/>
    <x v="6"/>
    <n v="2030"/>
    <s v="Scott Landreau"/>
    <n v="10075"/>
    <s v="Cidney Scott and Stuart Page Landreau"/>
    <s v="334-303-0827"/>
    <x v="0"/>
    <s v="landreauinc@yahoo.com, scott2lallc@yahoo.com, Mklandreau@yahoo.com"/>
    <s v="3063 Little Road, Tallassee, AL 36078-3267"/>
    <s v="494 State Hwy 26, Hatchechubbee, AL, USA"/>
    <x v="0"/>
    <s v="32.278489, -85.247919"/>
    <n v="8.4700000000000006"/>
    <s v=""/>
    <m/>
    <n v="880"/>
    <n v="880"/>
    <s v=""/>
    <m/>
    <n v="1"/>
    <n v="880"/>
    <n v="880"/>
    <m/>
    <m/>
    <m/>
    <m/>
    <n v="0"/>
    <n v="0.24936868686868685"/>
    <n v="219.44444444444443"/>
    <n v="0"/>
    <m/>
    <n v="0.24936868686868685"/>
    <n v="0"/>
    <n v="219.44444444444443"/>
    <n v="219.44444444444443"/>
    <n v="0"/>
    <n v="0"/>
    <n v="0"/>
    <s v="Fortunei"/>
    <s v="2, 11, 14, 18"/>
    <n v="0.35227272727272729"/>
    <n v="310"/>
    <m/>
    <m/>
    <m/>
    <m/>
    <m/>
    <n v="310"/>
    <m/>
    <m/>
    <m/>
    <m/>
    <n v="1"/>
    <n v="1"/>
    <m/>
    <m/>
    <m/>
    <n v="0"/>
    <m/>
    <n v="0"/>
    <n v="0"/>
    <n v="0"/>
    <n v="0"/>
    <n v="0"/>
    <n v="0"/>
    <n v="43011.111111111109"/>
    <n v="43011.111111111109"/>
    <n v="8.8626292466765146E-3"/>
  </r>
  <r>
    <s v="US0122"/>
    <x v="4"/>
    <x v="6"/>
    <n v="0"/>
    <s v="Stephen Andrews"/>
    <n v="10103"/>
    <s v="Stephen  Andrews"/>
    <s v="912-658-9372"/>
    <x v="1"/>
    <s v="sda308@aol.com"/>
    <s v="242 Rivercrest Dr, Brooklet, GA, 30415-5691"/>
    <s v="1001 North 2nd Street, Stillmore, GA, USA"/>
    <x v="0"/>
    <m/>
    <m/>
    <s v=""/>
    <m/>
    <n v="1100"/>
    <n v="1100"/>
    <s v=""/>
    <m/>
    <n v="1"/>
    <n v="1100"/>
    <n v="1100"/>
    <m/>
    <m/>
    <m/>
    <m/>
    <n v="0"/>
    <n v="0"/>
    <n v="0"/>
    <n v="0"/>
    <n v="0"/>
    <n v="0"/>
    <n v="0"/>
    <n v="0"/>
    <n v="0"/>
    <n v="0"/>
    <n v="0"/>
    <n v="0"/>
    <s v="Fortunei"/>
    <s v="11, 13"/>
    <n v="0"/>
    <n v="0"/>
    <m/>
    <m/>
    <m/>
    <m/>
    <m/>
    <m/>
    <m/>
    <m/>
    <m/>
    <m/>
    <n v="1"/>
    <n v="1"/>
    <m/>
    <m/>
    <m/>
    <n v="0"/>
    <m/>
    <n v="0"/>
    <n v="0"/>
    <n v="0"/>
    <n v="0"/>
    <n v="0"/>
    <n v="0"/>
    <n v="0"/>
    <n v="0"/>
    <n v="18"/>
  </r>
  <r>
    <s v="US0125"/>
    <x v="4"/>
    <x v="6"/>
    <n v="2030"/>
    <s v="Tim Harper"/>
    <n v="10106"/>
    <s v="Tim  Harper"/>
    <s v="334-726-9624"/>
    <x v="0"/>
    <s v="fld120_1994@yahoo.com"/>
    <s v="4471 E County Road 8 Pansey AL 36370-6043"/>
    <s v="4471 E County Road 8 Pansey AL 36370-6043"/>
    <x v="0"/>
    <m/>
    <m/>
    <s v=""/>
    <m/>
    <n v="1650"/>
    <n v="1650"/>
    <s v=""/>
    <m/>
    <n v="1"/>
    <n v="1650"/>
    <n v="1650"/>
    <m/>
    <m/>
    <m/>
    <m/>
    <n v="0"/>
    <n v="0"/>
    <n v="0"/>
    <n v="0"/>
    <m/>
    <n v="0"/>
    <n v="0"/>
    <n v="0"/>
    <n v="0"/>
    <n v="0"/>
    <n v="0"/>
    <n v="0"/>
    <s v="Fortunei"/>
    <s v="2, 13"/>
    <n v="0"/>
    <n v="0"/>
    <m/>
    <m/>
    <m/>
    <m/>
    <m/>
    <m/>
    <m/>
    <m/>
    <m/>
    <m/>
    <n v="1"/>
    <n v="1"/>
    <m/>
    <m/>
    <m/>
    <n v="0"/>
    <m/>
    <n v="0"/>
    <n v="0"/>
    <n v="0"/>
    <n v="0"/>
    <n v="0"/>
    <n v="0"/>
    <n v="0"/>
    <n v="0"/>
    <n v="8.8626292466765146E-3"/>
  </r>
  <r>
    <s v="CR0097"/>
    <x v="6"/>
    <x v="7"/>
    <n v="2031"/>
    <s v="Alvaro Vargas"/>
    <n v="20089"/>
    <s v="Alvaro Vargas"/>
    <s v="506 87912122"/>
    <x v="0"/>
    <s v="acastromeza943@gmail.com"/>
    <s v="Provincia de Puntarenas, Buenos Aires, Costa Rica"/>
    <m/>
    <x v="1"/>
    <s v="9.1788952,-83.3352067"/>
    <m/>
    <s v=""/>
    <m/>
    <n v="1200"/>
    <n v="1200"/>
    <s v=""/>
    <m/>
    <n v="1"/>
    <n v="1200"/>
    <n v="1200"/>
    <m/>
    <m/>
    <m/>
    <m/>
    <n v="0"/>
    <n v="1"/>
    <n v="1200"/>
    <n v="0"/>
    <m/>
    <n v="0"/>
    <n v="0"/>
    <n v="0"/>
    <n v="0"/>
    <n v="0"/>
    <n v="0"/>
    <n v="0"/>
    <m/>
    <m/>
    <n v="0.16666666666666666"/>
    <n v="200"/>
    <m/>
    <m/>
    <n v="200"/>
    <m/>
    <m/>
    <m/>
    <m/>
    <m/>
    <m/>
    <m/>
    <n v="1"/>
    <n v="1"/>
    <m/>
    <m/>
    <m/>
    <n v="0"/>
    <m/>
    <n v="0"/>
    <n v="0"/>
    <n v="0"/>
    <n v="0"/>
    <n v="0"/>
    <n v="0"/>
    <n v="0"/>
    <n v="0"/>
    <n v="8.8582677165354329E-3"/>
  </r>
  <r>
    <s v="CR0098"/>
    <x v="6"/>
    <x v="7"/>
    <n v="2031"/>
    <s v="Jacobo Pardo Jara"/>
    <n v="20090"/>
    <s v="Grettel Jara Lara"/>
    <s v="506 72048081"/>
    <x v="2"/>
    <s v="jacparja@gmail.com"/>
    <s v="Bijagua"/>
    <m/>
    <x v="1"/>
    <s v="10.737670, -85.045668"/>
    <m/>
    <n v="6.1776252590741585"/>
    <m/>
    <n v="1000"/>
    <n v="1000"/>
    <s v=""/>
    <m/>
    <n v="1"/>
    <n v="1000"/>
    <n v="1000"/>
    <m/>
    <m/>
    <m/>
    <m/>
    <n v="0"/>
    <n v="1"/>
    <n v="1000"/>
    <n v="982"/>
    <n v="0.98199999999999998"/>
    <n v="0.98"/>
    <n v="0.98"/>
    <n v="982"/>
    <n v="982"/>
    <n v="0"/>
    <n v="0"/>
    <n v="0"/>
    <m/>
    <m/>
    <n v="0"/>
    <n v="0"/>
    <m/>
    <m/>
    <m/>
    <m/>
    <m/>
    <m/>
    <m/>
    <m/>
    <m/>
    <m/>
    <n v="1"/>
    <n v="1"/>
    <n v="2024"/>
    <n v="21.27"/>
    <n v="16.559999999999999"/>
    <n v="1.0349999999999999"/>
    <n v="3.83"/>
    <n v="0.21277777777777779"/>
    <n v="2.9911499999999973E-2"/>
    <n v="29.373092999999972"/>
    <n v="7.66"/>
    <n v="13.864446000000001"/>
    <n v="13614.885972"/>
    <n v="192472"/>
    <n v="178857.11402800001"/>
    <n v="1.77125"/>
  </r>
  <r>
    <s v="CR0099"/>
    <x v="6"/>
    <x v="7"/>
    <n v="2031"/>
    <s v="Corporacion Comercial San Miguel del Pacifico S.A"/>
    <n v="20091"/>
    <s v="Jose Francisco Angulo"/>
    <n v="88777278"/>
    <x v="2"/>
    <s v="federnais2000@gmail.com]"/>
    <s v="Pozos de Santa Ana. De la esquina la Chispa 100m N y 75m E"/>
    <m/>
    <x v="1"/>
    <s v="9.708597,-84.486891"/>
    <m/>
    <n v="12.355250518148317"/>
    <m/>
    <n v="2000"/>
    <n v="2000"/>
    <s v=""/>
    <m/>
    <n v="1"/>
    <n v="2000"/>
    <n v="2000"/>
    <m/>
    <m/>
    <m/>
    <m/>
    <n v="0"/>
    <n v="1"/>
    <n v="2000"/>
    <n v="0"/>
    <m/>
    <n v="1"/>
    <n v="1"/>
    <n v="2000"/>
    <n v="2000"/>
    <n v="0"/>
    <n v="0"/>
    <n v="0"/>
    <m/>
    <m/>
    <n v="0"/>
    <n v="0"/>
    <m/>
    <m/>
    <m/>
    <m/>
    <m/>
    <m/>
    <m/>
    <m/>
    <m/>
    <m/>
    <n v="1"/>
    <n v="1"/>
    <m/>
    <m/>
    <m/>
    <n v="0"/>
    <m/>
    <n v="0"/>
    <n v="0"/>
    <n v="0"/>
    <n v="0"/>
    <n v="0"/>
    <n v="0"/>
    <n v="392000"/>
    <n v="392000"/>
    <n v="8.8582677165354329E-3"/>
  </r>
  <r>
    <s v="GT0031b"/>
    <x v="6"/>
    <x v="7"/>
    <n v="2031"/>
    <s v="Derek José Herman Gordillo"/>
    <n v="30028"/>
    <s v="Agroindustrias Nativa S.A./Derek José Herman Gordillo"/>
    <s v="+502 40117762"/>
    <x v="2"/>
    <s v="hermangster@gmail.com, dherman@grupoadh.com"/>
    <s v="Aldea Laguna Bermeja, Granja San Luis, Condominio Laguna del Bosque Casa '1169, zona 7, Santa Cata­rina Pinula, Guatemala"/>
    <s v="Aldea El Parafso, municipio de Sayaxche, Departamento de Peten"/>
    <x v="2"/>
    <s v="16.490000, -90.127200"/>
    <n v="149.69999999999999"/>
    <n v="162.80909090909091"/>
    <m/>
    <n v="20500"/>
    <n v="17909"/>
    <n v="2591"/>
    <m/>
    <n v="1"/>
    <n v="20500"/>
    <n v="17909"/>
    <m/>
    <m/>
    <m/>
    <m/>
    <n v="0"/>
    <n v="1"/>
    <n v="4751"/>
    <n v="16810"/>
    <n v="0.82"/>
    <n v="0.82"/>
    <n v="0.82"/>
    <n v="16810"/>
    <n v="16810"/>
    <n v="0"/>
    <n v="0"/>
    <n v="0"/>
    <s v="CL502, 18K"/>
    <m/>
    <n v="0"/>
    <n v="0"/>
    <m/>
    <m/>
    <m/>
    <m/>
    <m/>
    <m/>
    <m/>
    <m/>
    <m/>
    <m/>
    <n v="1"/>
    <n v="1"/>
    <n v="2024"/>
    <n v="7.98"/>
    <n v="0"/>
    <n v="0"/>
    <n v="1.27"/>
    <n v="7.0555555555555552E-2"/>
    <n v="0"/>
    <n v="0"/>
    <n v="2.54"/>
    <n v="0"/>
    <n v="0"/>
    <n v="3294760"/>
    <n v="3294760"/>
    <n v="2.0912500000000001"/>
  </r>
  <r>
    <s v="GT0041"/>
    <x v="6"/>
    <x v="7"/>
    <n v="2031"/>
    <s v="Trapiche de la Vega S.A. /María Isabel Agüero"/>
    <n v="30033"/>
    <s v="Trapiche de la Vega S.A. /María Isabel Agüero"/>
    <s v="502 59910111"/>
    <x v="2"/>
    <s v="maguero@grupotecun.com"/>
    <s v="23 av enida 6 72, zona 15, Vista Hermosa I"/>
    <m/>
    <x v="2"/>
    <s v="14.355278, -90.460000"/>
    <m/>
    <n v="9.0909090909090917"/>
    <m/>
    <n v="1000"/>
    <n v="1000"/>
    <s v=""/>
    <m/>
    <n v="1"/>
    <n v="1000"/>
    <n v="1000"/>
    <m/>
    <m/>
    <m/>
    <m/>
    <n v="0"/>
    <n v="1"/>
    <n v="1000"/>
    <n v="935"/>
    <n v="0.93500000000000005"/>
    <n v="0.94"/>
    <n v="0.93500000000000005"/>
    <n v="935"/>
    <n v="935"/>
    <n v="0"/>
    <n v="0"/>
    <n v="0"/>
    <s v="18K"/>
    <m/>
    <n v="0.36"/>
    <n v="360"/>
    <m/>
    <m/>
    <n v="360"/>
    <m/>
    <m/>
    <m/>
    <m/>
    <m/>
    <m/>
    <m/>
    <n v="1"/>
    <n v="1"/>
    <n v="2024"/>
    <n v="9.8800000000000008"/>
    <n v="0"/>
    <n v="0"/>
    <n v="1.88"/>
    <n v="0.10444444444444444"/>
    <n v="0"/>
    <n v="0"/>
    <n v="3.76"/>
    <n v="0"/>
    <n v="0"/>
    <n v="183260"/>
    <n v="183260"/>
    <n v="2.0150000000000001"/>
  </r>
  <r>
    <s v="GT0042"/>
    <x v="6"/>
    <x v="7"/>
    <n v="2031"/>
    <s v="Julio Francisco Morán Pérez"/>
    <n v="30023"/>
    <s v="Julio Francisco Morán Pérez"/>
    <s v="(502) 56972396"/>
    <x v="2"/>
    <s v="julmora213@gmail.com"/>
    <s v="14 A VENIDA LAS AMERICAS 7-62, ZONA 3, EDIFICIO TORRE PRADE­RA XELA, OCTAVO NTVEL, OFTCTNA 812, MUNTCTPTO DE QUETZALTENANGO, DEPARTAMENTO DE QUETZAL TENA NGO"/>
    <s v="FTNCA 4 PTLARES DE LAS PAULOWNTAS, MUNTCTPTO DE EL PALMAR, DEPARTAMENTO DE QUETZALTENANGO"/>
    <x v="2"/>
    <s v="14.696111, -91.608056"/>
    <m/>
    <n v="36.363636363636367"/>
    <m/>
    <n v="4000"/>
    <n v="4000"/>
    <s v=""/>
    <m/>
    <n v="1"/>
    <n v="4000"/>
    <n v="4000"/>
    <m/>
    <m/>
    <m/>
    <m/>
    <n v="0"/>
    <n v="1"/>
    <n v="4000"/>
    <n v="3420"/>
    <n v="0.85499999999999998"/>
    <n v="0.86"/>
    <n v="0.85499999999999998"/>
    <n v="3420"/>
    <n v="3420"/>
    <n v="0"/>
    <n v="0"/>
    <n v="0"/>
    <s v="CL502, 18K"/>
    <m/>
    <n v="0"/>
    <n v="0"/>
    <m/>
    <m/>
    <m/>
    <m/>
    <m/>
    <m/>
    <m/>
    <m/>
    <m/>
    <m/>
    <n v="1"/>
    <n v="1"/>
    <n v="2024"/>
    <n v="8.3699999999999992"/>
    <n v="0"/>
    <n v="0"/>
    <n v="1.31"/>
    <n v="7.2777777777777775E-2"/>
    <n v="0"/>
    <n v="0"/>
    <n v="2.62"/>
    <n v="0"/>
    <n v="0"/>
    <n v="670320"/>
    <n v="670320"/>
    <n v="2.0862500000000002"/>
  </r>
  <r>
    <s v="GT0043"/>
    <x v="6"/>
    <x v="7"/>
    <n v="2031"/>
    <s v="Richard Steven Callaway Ayau - Eco Energía H20"/>
    <n v="30026"/>
    <s v="Richard Steven Callaway Ayau"/>
    <s v="(502) 52063353"/>
    <x v="2"/>
    <s v="rcallaway@armaviacion.com"/>
    <s v="AVENIDA HINCAPIE, ZONA 13, HANGAR K2, MUNICIPIO DE GUA-TEMALA, DEPARTAMENTO DE GUATEMALA"/>
    <s v="MUNICIPIO DE BARBERENA, DEPARTAMENTO DE SANTA ROSA"/>
    <x v="2"/>
    <s v="14.323333, -90.434028"/>
    <m/>
    <n v="18.181818181818183"/>
    <m/>
    <n v="2000"/>
    <n v="2000"/>
    <s v=""/>
    <m/>
    <n v="1"/>
    <n v="2000"/>
    <n v="2000"/>
    <m/>
    <m/>
    <m/>
    <m/>
    <n v="0"/>
    <n v="1"/>
    <n v="2000"/>
    <n v="1952"/>
    <n v="0.97599999999999998"/>
    <n v="0.98"/>
    <n v="0.97599999999999998"/>
    <n v="1952"/>
    <n v="1952"/>
    <n v="0"/>
    <n v="0"/>
    <n v="0"/>
    <s v="CL502, 18K"/>
    <m/>
    <n v="0.125"/>
    <n v="250"/>
    <m/>
    <m/>
    <n v="250"/>
    <m/>
    <m/>
    <m/>
    <m/>
    <m/>
    <m/>
    <m/>
    <n v="1"/>
    <n v="1"/>
    <n v="2024"/>
    <n v="10.19"/>
    <n v="0"/>
    <n v="0"/>
    <n v="1.57"/>
    <n v="8.7222222222222229E-2"/>
    <n v="0"/>
    <n v="0"/>
    <n v="3.14"/>
    <n v="0"/>
    <n v="0"/>
    <n v="382592"/>
    <n v="382592"/>
    <n v="2.05375"/>
  </r>
  <r>
    <s v="MX0026"/>
    <x v="6"/>
    <x v="7"/>
    <n v="2031"/>
    <s v="Caralampio Arreola López"/>
    <n v="40025"/>
    <s v="Caralampio Arreola López"/>
    <s v="922 227 2099"/>
    <x v="2"/>
    <s v="hvargasforestal@hotmail.com"/>
    <m/>
    <m/>
    <x v="3"/>
    <s v="17.213206, -94.592429"/>
    <m/>
    <n v="12.355108275676161"/>
    <m/>
    <n v="2750"/>
    <n v="2750"/>
    <s v=""/>
    <m/>
    <n v="1"/>
    <n v="2750"/>
    <n v="2750"/>
    <m/>
    <m/>
    <m/>
    <m/>
    <n v="0"/>
    <n v="1"/>
    <n v="2750"/>
    <n v="2593.25"/>
    <n v="0.94299999999999995"/>
    <n v="0.94"/>
    <n v="0.94299999999999995"/>
    <n v="2593.25"/>
    <n v="2593.25"/>
    <n v="0"/>
    <n v="0"/>
    <n v="0"/>
    <m/>
    <m/>
    <n v="0.54545454545454541"/>
    <n v="1500"/>
    <m/>
    <m/>
    <n v="1500"/>
    <m/>
    <m/>
    <m/>
    <m/>
    <m/>
    <m/>
    <m/>
    <n v="1"/>
    <n v="1"/>
    <n v="2024"/>
    <n v="7.2"/>
    <n v="0.45"/>
    <n v="2.8125000000000001E-2"/>
    <n v="0.12"/>
    <n v="6.6666666666666662E-3"/>
    <n v="0.42340499999999998"/>
    <n v="1097.9950162499999"/>
    <n v="0.24"/>
    <n v="0.39761999999999997"/>
    <n v="1031.1280649999999"/>
    <n v="508277"/>
    <n v="507245.871935"/>
    <n v="2.2349999999999999"/>
  </r>
  <r>
    <s v="MX0027"/>
    <x v="6"/>
    <x v="7"/>
    <n v="2031"/>
    <s v="Carlos Carbajal"/>
    <n v="40026"/>
    <s v="Carlos Carbajal"/>
    <s v="992 186 2852"/>
    <x v="2"/>
    <s v="icarbaial. q@hotmai l.co m"/>
    <m/>
    <m/>
    <x v="3"/>
    <s v="17.502881, -94.437142"/>
    <m/>
    <n v="12.355108275676161"/>
    <m/>
    <n v="2750"/>
    <n v="2750"/>
    <s v=""/>
    <m/>
    <n v="1"/>
    <n v="2750"/>
    <n v="2750"/>
    <m/>
    <m/>
    <m/>
    <m/>
    <n v="0"/>
    <n v="1"/>
    <n v="2750"/>
    <n v="2686.75"/>
    <n v="0.97699999999999998"/>
    <n v="0.98"/>
    <n v="0.97699999999999998"/>
    <n v="2686.75"/>
    <n v="2686.75"/>
    <n v="0"/>
    <n v="0"/>
    <n v="0"/>
    <m/>
    <m/>
    <n v="0.96363636363636362"/>
    <n v="2650"/>
    <m/>
    <m/>
    <n v="2050"/>
    <n v="600"/>
    <m/>
    <m/>
    <m/>
    <m/>
    <m/>
    <m/>
    <n v="1"/>
    <n v="1"/>
    <m/>
    <n v="5.21"/>
    <n v="0"/>
    <n v="0"/>
    <n v="0"/>
    <n v="0"/>
    <n v="0"/>
    <n v="0"/>
    <n v="0"/>
    <n v="0"/>
    <n v="0"/>
    <n v="526603"/>
    <n v="526603"/>
    <n v="8.8582677165354329E-3"/>
  </r>
  <r>
    <s v="MX0028"/>
    <x v="6"/>
    <x v="7"/>
    <n v="2031"/>
    <s v="Cirilo Carbajal Hernandez"/>
    <n v="40027"/>
    <s v="Cirilo Carbajal Hernandez"/>
    <m/>
    <x v="2"/>
    <s v="carvajalcirilo37@gmail.com"/>
    <m/>
    <m/>
    <x v="3"/>
    <s v="17.511583, -94.450417, 17.513567, -94.419008"/>
    <m/>
    <n v="12.355108275676161"/>
    <m/>
    <n v="2750"/>
    <n v="2750"/>
    <s v=""/>
    <m/>
    <n v="1"/>
    <n v="2750"/>
    <n v="2750"/>
    <m/>
    <m/>
    <m/>
    <m/>
    <n v="0"/>
    <n v="1"/>
    <n v="2750"/>
    <n v="2645.5"/>
    <n v="0.96199999999999997"/>
    <n v="0.96"/>
    <n v="0.96199999999999997"/>
    <n v="2645.5"/>
    <n v="2645.5"/>
    <n v="0"/>
    <n v="0"/>
    <n v="0"/>
    <m/>
    <m/>
    <n v="1.0618181818181818"/>
    <n v="2920"/>
    <m/>
    <m/>
    <n v="2600"/>
    <n v="320"/>
    <m/>
    <m/>
    <m/>
    <m/>
    <m/>
    <m/>
    <n v="1"/>
    <n v="1"/>
    <n v="2024"/>
    <n v="4.87"/>
    <n v="0"/>
    <n v="0"/>
    <n v="0"/>
    <n v="0"/>
    <n v="0"/>
    <n v="0"/>
    <n v="0"/>
    <n v="0"/>
    <n v="0"/>
    <n v="518518"/>
    <n v="518518"/>
    <n v="2.25"/>
  </r>
  <r>
    <s v="MX0029"/>
    <x v="6"/>
    <x v="7"/>
    <n v="2031"/>
    <s v="Francisco Contreras"/>
    <n v="40028"/>
    <s v="Francisco Contreras"/>
    <s v="993 117 2791__"/>
    <x v="2"/>
    <s v="proye.spazios@gmail.com"/>
    <m/>
    <m/>
    <x v="3"/>
    <s v="17.547283, -93.072147"/>
    <m/>
    <n v="25.159493215922364"/>
    <m/>
    <n v="5600"/>
    <n v="5600"/>
    <s v=""/>
    <m/>
    <n v="1"/>
    <n v="5600"/>
    <n v="5600"/>
    <m/>
    <m/>
    <m/>
    <m/>
    <n v="0"/>
    <n v="1"/>
    <n v="5600"/>
    <n v="4524.8"/>
    <n v="0.80800000000000005"/>
    <n v="0.81"/>
    <n v="0.80800000000000005"/>
    <n v="4524.8"/>
    <n v="4524.8"/>
    <n v="0"/>
    <n v="0"/>
    <n v="0"/>
    <m/>
    <m/>
    <n v="0"/>
    <n v="0"/>
    <m/>
    <m/>
    <m/>
    <m/>
    <m/>
    <m/>
    <m/>
    <m/>
    <m/>
    <m/>
    <n v="1"/>
    <n v="1"/>
    <n v="2024"/>
    <n v="7.17"/>
    <n v="0.03"/>
    <n v="1.8749999999999999E-3"/>
    <n v="0.01"/>
    <n v="5.5555555555555556E-4"/>
    <n v="2.98501875E-2"/>
    <n v="135.0661284"/>
    <n v="0.02"/>
    <n v="2.9700750000000001E-2"/>
    <n v="134.38995360000001"/>
    <n v="886860.80000000005"/>
    <n v="886726.41004640004"/>
    <n v="2.2487499999999998"/>
  </r>
  <r>
    <s v="MX0030"/>
    <x v="6"/>
    <x v="7"/>
    <n v="2031"/>
    <s v="Heradio Hernandez Jímenez"/>
    <n v="40029"/>
    <s v="Heradio Hernandez Jimenez"/>
    <m/>
    <x v="2"/>
    <s v="heradiohernandes@gmail.com; rubendhj@hotmail.com"/>
    <s v="Av. Francisco I madero N° 39, Col. Centro, Municipio de Ostuacán, Estado de "/>
    <m/>
    <x v="3"/>
    <s v="17.359914, -93.325036"/>
    <m/>
    <n v="9.8840866205409288"/>
    <m/>
    <n v="2200"/>
    <n v="2200"/>
    <s v=""/>
    <m/>
    <n v="1"/>
    <n v="2200"/>
    <n v="2200"/>
    <m/>
    <m/>
    <m/>
    <m/>
    <n v="0"/>
    <n v="1"/>
    <n v="2200"/>
    <n v="541.20000000000005"/>
    <n v="0.246"/>
    <n v="0.25"/>
    <n v="0.246"/>
    <n v="541.20000000000005"/>
    <n v="541.20000000000005"/>
    <n v="0"/>
    <n v="0"/>
    <n v="0"/>
    <m/>
    <m/>
    <n v="0.18181818181818182"/>
    <n v="400"/>
    <m/>
    <m/>
    <n v="400"/>
    <m/>
    <m/>
    <m/>
    <m/>
    <m/>
    <m/>
    <m/>
    <n v="1"/>
    <n v="1"/>
    <n v="2024"/>
    <n v="0.51"/>
    <n v="0"/>
    <n v="0"/>
    <n v="0"/>
    <n v="0"/>
    <n v="0"/>
    <n v="0"/>
    <n v="0"/>
    <n v="0"/>
    <n v="0"/>
    <n v="106075.20000000001"/>
    <n v="106075.20000000001"/>
    <n v="2.25"/>
  </r>
  <r>
    <s v="MX0031"/>
    <x v="6"/>
    <x v="7"/>
    <n v="2031"/>
    <s v="Jesus Rauda Gutierrez"/>
    <n v="40030"/>
    <s v="Jesus Rauda Gutierrez"/>
    <s v="922207 7454"/>
    <x v="2"/>
    <s v="brd1392@outlook.com"/>
    <s v="Chiapas. CP 29550."/>
    <m/>
    <x v="3"/>
    <s v="17.547844, -94.467956"/>
    <m/>
    <n v="12.355108275676161"/>
    <m/>
    <n v="2750"/>
    <n v="2750"/>
    <s v=""/>
    <m/>
    <n v="1"/>
    <n v="2750"/>
    <n v="2750"/>
    <m/>
    <m/>
    <m/>
    <m/>
    <n v="0"/>
    <n v="1"/>
    <n v="2750"/>
    <n v="2673"/>
    <n v="0.97199999999999998"/>
    <n v="0.97"/>
    <n v="0.97199999999999998"/>
    <n v="2673"/>
    <n v="2673"/>
    <n v="0"/>
    <n v="0"/>
    <n v="0"/>
    <m/>
    <m/>
    <n v="0.74545454545454548"/>
    <n v="2050"/>
    <m/>
    <m/>
    <n v="1900"/>
    <n v="150"/>
    <m/>
    <m/>
    <m/>
    <m/>
    <m/>
    <m/>
    <n v="1"/>
    <n v="1"/>
    <n v="2024"/>
    <n v="4.72"/>
    <n v="0"/>
    <n v="0"/>
    <n v="0.04"/>
    <n v="2.2222222222222222E-3"/>
    <n v="0"/>
    <n v="0"/>
    <n v="0.08"/>
    <n v="0"/>
    <n v="0"/>
    <n v="523908"/>
    <n v="523908"/>
    <n v="2.2450000000000001"/>
  </r>
  <r>
    <s v="MX0032"/>
    <x v="6"/>
    <x v="7"/>
    <n v="2031"/>
    <s v="Jose Armando Carbajal Ocampo"/>
    <n v="40031"/>
    <s v="Jose Armando Carbajal Ocampo"/>
    <s v="922 286 5063"/>
    <x v="2"/>
    <s v="iosea rmandoca rvajalocam po@gma i l.com"/>
    <m/>
    <m/>
    <x v="3"/>
    <s v="17.515256, -94.456917"/>
    <m/>
    <n v="12.355108275676161"/>
    <m/>
    <n v="2750"/>
    <n v="2750"/>
    <s v=""/>
    <m/>
    <n v="1"/>
    <n v="2750"/>
    <n v="2750"/>
    <m/>
    <m/>
    <m/>
    <m/>
    <n v="0"/>
    <n v="1"/>
    <n v="2750"/>
    <n v="2425.5"/>
    <n v="0.88200000000000001"/>
    <n v="0.88"/>
    <n v="0.88200000000000001"/>
    <n v="2425.5"/>
    <n v="2425.5"/>
    <n v="0"/>
    <n v="0"/>
    <n v="0"/>
    <m/>
    <m/>
    <n v="1.1090909090909091"/>
    <n v="3050"/>
    <m/>
    <m/>
    <n v="2300"/>
    <n v="750"/>
    <m/>
    <m/>
    <m/>
    <m/>
    <m/>
    <m/>
    <n v="1"/>
    <n v="1"/>
    <n v="2024"/>
    <n v="9.2799999999999994"/>
    <n v="2.33"/>
    <n v="0.145625"/>
    <n v="1.1000000000000001"/>
    <n v="6.1111111111111116E-2"/>
    <n v="1.2247062500000001"/>
    <n v="2970.5250093750001"/>
    <n v="2.2000000000000002"/>
    <n v="0.47182499999999994"/>
    <n v="1144.4115374999999"/>
    <n v="475398"/>
    <n v="474253.58846250002"/>
    <n v="2.1124999999999998"/>
  </r>
  <r>
    <s v="MX0033"/>
    <x v="6"/>
    <x v="7"/>
    <n v="2031"/>
    <s v="Lucas Raudas Guitierrez"/>
    <n v="40032"/>
    <s v="Lucas Raudas Guitierrez"/>
    <m/>
    <x v="2"/>
    <s v="ofeliagamboa12345@gmail.com"/>
    <m/>
    <m/>
    <x v="3"/>
    <s v="17.567000, -94.448319"/>
    <m/>
    <n v="21.187887501123189"/>
    <m/>
    <n v="4716"/>
    <n v="4716"/>
    <s v=""/>
    <m/>
    <n v="1"/>
    <n v="4716"/>
    <n v="4716"/>
    <m/>
    <m/>
    <m/>
    <m/>
    <n v="0"/>
    <n v="1"/>
    <n v="4716"/>
    <n v="4428.3239999999996"/>
    <n v="0.93899999999999995"/>
    <n v="0.94"/>
    <n v="0.93899999999999995"/>
    <n v="4428.3239999999996"/>
    <n v="4428.3239999999996"/>
    <n v="0"/>
    <n v="0"/>
    <n v="0"/>
    <m/>
    <m/>
    <n v="0.79325699745547074"/>
    <n v="3741"/>
    <m/>
    <m/>
    <n v="3600"/>
    <n v="141"/>
    <m/>
    <m/>
    <m/>
    <m/>
    <m/>
    <m/>
    <n v="1"/>
    <n v="1"/>
    <n v="2024"/>
    <n v="9.31"/>
    <n v="0"/>
    <n v="0"/>
    <n v="0"/>
    <n v="0"/>
    <n v="0"/>
    <n v="0"/>
    <n v="0"/>
    <n v="0"/>
    <n v="0"/>
    <n v="867951.50399999996"/>
    <n v="867951.50399999996"/>
    <n v="2.25"/>
  </r>
  <r>
    <s v="MX0034"/>
    <x v="6"/>
    <x v="7"/>
    <n v="2031"/>
    <s v="Pedro Molina Sanchez"/>
    <n v="40033"/>
    <s v="Pedro Molina Sanchez"/>
    <m/>
    <x v="2"/>
    <s v="hvargasforestal@hotmail.com"/>
    <m/>
    <m/>
    <x v="3"/>
    <s v="17.242739, -94.827503"/>
    <m/>
    <n v="19.768173241081858"/>
    <m/>
    <n v="4400"/>
    <n v="4400"/>
    <s v=""/>
    <m/>
    <n v="1"/>
    <n v="4400"/>
    <n v="4400"/>
    <m/>
    <m/>
    <m/>
    <m/>
    <n v="0"/>
    <n v="1"/>
    <n v="4400"/>
    <n v="0"/>
    <n v="0"/>
    <n v="0"/>
    <n v="0"/>
    <n v="0"/>
    <n v="0"/>
    <n v="0"/>
    <n v="0"/>
    <n v="0"/>
    <m/>
    <m/>
    <n v="3.4090909090909088E-2"/>
    <n v="150"/>
    <m/>
    <m/>
    <n v="150"/>
    <m/>
    <m/>
    <m/>
    <m/>
    <m/>
    <m/>
    <m/>
    <n v="1"/>
    <n v="1"/>
    <n v="2024"/>
    <n v="0"/>
    <n v="0"/>
    <n v="0"/>
    <n v="0"/>
    <n v="0"/>
    <n v="0"/>
    <n v="0"/>
    <n v="0"/>
    <n v="0"/>
    <n v="0"/>
    <n v="0"/>
    <n v="0"/>
    <n v="2.25"/>
  </r>
  <r>
    <s v="MX0035"/>
    <x v="6"/>
    <x v="7"/>
    <n v="2031"/>
    <s v="Rafael Hernández Hernández"/>
    <n v="40034"/>
    <s v="Rafael Hernández Hernández"/>
    <s v="556 897 8244"/>
    <x v="2"/>
    <s v="taizonhernandez181@gmail.com"/>
    <m/>
    <m/>
    <x v="3"/>
    <s v="17.5192162, -94.4582382"/>
    <m/>
    <n v="9.8840866205409288"/>
    <m/>
    <n v="2200"/>
    <n v="2200"/>
    <s v=""/>
    <m/>
    <n v="1"/>
    <n v="2200"/>
    <n v="2200"/>
    <m/>
    <m/>
    <m/>
    <m/>
    <n v="0"/>
    <n v="1"/>
    <n v="2200"/>
    <n v="2046"/>
    <n v="0.93"/>
    <n v="0.93"/>
    <n v="0.93"/>
    <n v="2046"/>
    <n v="2046"/>
    <n v="0"/>
    <n v="0"/>
    <n v="0"/>
    <m/>
    <m/>
    <n v="0.99590909090909085"/>
    <n v="2191"/>
    <m/>
    <m/>
    <n v="1500"/>
    <n v="691"/>
    <m/>
    <m/>
    <m/>
    <m/>
    <m/>
    <m/>
    <n v="1"/>
    <n v="1"/>
    <n v="2024"/>
    <n v="6.15"/>
    <n v="0.47"/>
    <n v="2.9374999999999998E-2"/>
    <n v="0.19"/>
    <n v="1.0555555555555556E-2"/>
    <n v="0.42641043749999996"/>
    <n v="872.4357551249999"/>
    <n v="0.38"/>
    <n v="0.38494174999999997"/>
    <n v="787.59082049999995"/>
    <n v="401016"/>
    <n v="400228.40917950001"/>
    <n v="2.2262499999999998"/>
  </r>
  <r>
    <s v="MX0036"/>
    <x v="6"/>
    <x v="7"/>
    <n v="2031"/>
    <s v="Tito Soria"/>
    <n v="40035"/>
    <s v="Tito Soria"/>
    <m/>
    <x v="2"/>
    <s v="‎soriapereztito@gmail.com;facturastitosoria@gmail.com"/>
    <m/>
    <m/>
    <x v="3"/>
    <s v="17.796072, -93.463639"/>
    <m/>
    <n v="12.355108275676161"/>
    <m/>
    <n v="2750"/>
    <n v="2750"/>
    <s v=""/>
    <m/>
    <n v="1"/>
    <n v="2750"/>
    <n v="2750"/>
    <m/>
    <m/>
    <m/>
    <m/>
    <n v="0"/>
    <n v="1"/>
    <n v="2750"/>
    <n v="1815"/>
    <n v="0.66"/>
    <n v="0.66"/>
    <n v="0.66"/>
    <n v="1815"/>
    <n v="1815"/>
    <n v="0"/>
    <n v="0"/>
    <n v="0"/>
    <m/>
    <m/>
    <n v="0.13454545454545455"/>
    <n v="370"/>
    <m/>
    <m/>
    <m/>
    <n v="370"/>
    <m/>
    <m/>
    <m/>
    <m/>
    <m/>
    <m/>
    <n v="1"/>
    <n v="1"/>
    <n v="2024"/>
    <n v="0.9"/>
    <n v="0"/>
    <n v="0"/>
    <n v="0"/>
    <n v="0"/>
    <n v="0"/>
    <n v="0"/>
    <n v="0"/>
    <n v="0"/>
    <n v="0"/>
    <n v="355740"/>
    <n v="355740"/>
    <n v="2.25"/>
  </r>
  <r>
    <s v="MX0037"/>
    <x v="6"/>
    <x v="7"/>
    <n v="2031"/>
    <s v="Ubaldo Guillermo Pérez Cruz"/>
    <n v="40036"/>
    <s v="Ubaldo Guillermo Pérez Cruz"/>
    <s v="932 106 9604"/>
    <x v="2"/>
    <s v="ugperez@hotmail.com;memosum56@outlook.com"/>
    <m/>
    <m/>
    <x v="3"/>
    <s v="17.489817, -92.894725"/>
    <m/>
    <n v="12.355108275676161"/>
    <m/>
    <n v="2750"/>
    <n v="2750"/>
    <s v=""/>
    <m/>
    <n v="1"/>
    <n v="2750"/>
    <n v="2750"/>
    <m/>
    <m/>
    <m/>
    <m/>
    <n v="0"/>
    <n v="1"/>
    <n v="2750"/>
    <n v="330"/>
    <n v="0.12"/>
    <n v="0.12"/>
    <n v="0.12"/>
    <n v="330"/>
    <n v="330"/>
    <n v="0"/>
    <n v="0"/>
    <n v="0"/>
    <m/>
    <m/>
    <n v="0"/>
    <n v="0"/>
    <m/>
    <m/>
    <m/>
    <m/>
    <m/>
    <m/>
    <m/>
    <m/>
    <m/>
    <m/>
    <n v="1"/>
    <n v="1"/>
    <n v="2024"/>
    <n v="0.32"/>
    <n v="0"/>
    <n v="0"/>
    <n v="0"/>
    <n v="0"/>
    <n v="0"/>
    <n v="0"/>
    <n v="0"/>
    <n v="0"/>
    <n v="0"/>
    <n v="64680"/>
    <n v="64680"/>
    <n v="2.25"/>
  </r>
  <r>
    <s v="US0128"/>
    <x v="6"/>
    <x v="7"/>
    <n v="2031"/>
    <s v="Belinda Twohig"/>
    <n v="10109"/>
    <s v="Belinda Twohig"/>
    <s v="865-603-0451"/>
    <x v="2"/>
    <s v="doubletalpacas@gmail.com"/>
    <s v="210 County Road 292 Niota TN 37826-2064"/>
    <s v="210 County Road 292, Niota, TN, USA 37826"/>
    <x v="0"/>
    <s v="35.624443, -84.560837"/>
    <n v="11.3"/>
    <n v="12"/>
    <s v="Y"/>
    <n v="1320"/>
    <n v="1320"/>
    <s v=""/>
    <m/>
    <n v="1"/>
    <n v="1320"/>
    <n v="1320"/>
    <m/>
    <m/>
    <m/>
    <m/>
    <n v="0"/>
    <n v="1"/>
    <n v="1320"/>
    <n v="1244.76"/>
    <n v="0.94299999999999995"/>
    <n v="0.94"/>
    <n v="0.94299999999999995"/>
    <n v="1244.76"/>
    <n v="1244.76"/>
    <n v="0"/>
    <n v="0"/>
    <n v="0"/>
    <s v="Fortunei"/>
    <s v="13, 14, CV"/>
    <n v="0.34621212121212119"/>
    <n v="457"/>
    <m/>
    <n v="100"/>
    <n v="357"/>
    <m/>
    <m/>
    <m/>
    <m/>
    <m/>
    <m/>
    <m/>
    <n v="1"/>
    <n v="1"/>
    <n v="2024"/>
    <n v="7.88"/>
    <n v="0"/>
    <n v="0"/>
    <n v="0.22"/>
    <n v="1.2222222222222223E-2"/>
    <n v="0"/>
    <n v="0"/>
    <n v="0.44"/>
    <n v="0"/>
    <n v="0"/>
    <n v="243972.96"/>
    <n v="243972.96"/>
    <n v="2.2225000000000001"/>
  </r>
  <r>
    <s v="US0129"/>
    <x v="6"/>
    <x v="7"/>
    <n v="2031"/>
    <s v="Bobby Searcy"/>
    <n v="10080"/>
    <s v="Bobby Searcy"/>
    <s v="334-405-2409, 334.618.1380"/>
    <x v="2"/>
    <s v="searcyfarmsangus@gmail.com"/>
    <s v="115 Livingston Loop Webb AL 36376-6435"/>
    <s v="115 Livingston Loop Webb AL 36376-6435"/>
    <x v="0"/>
    <s v="31.258754, -85.252275"/>
    <n v="6.6"/>
    <n v="5"/>
    <s v="Y"/>
    <n v="550"/>
    <n v="550"/>
    <s v=""/>
    <m/>
    <n v="1"/>
    <n v="550"/>
    <n v="550"/>
    <m/>
    <m/>
    <m/>
    <m/>
    <n v="0"/>
    <n v="1"/>
    <n v="550"/>
    <n v="0"/>
    <n v="0"/>
    <n v="0"/>
    <n v="0"/>
    <n v="0"/>
    <n v="0"/>
    <n v="0"/>
    <n v="0"/>
    <n v="0"/>
    <s v="Fortunei"/>
    <s v="11, 13"/>
    <n v="0"/>
    <n v="0"/>
    <m/>
    <m/>
    <m/>
    <m/>
    <m/>
    <m/>
    <m/>
    <m/>
    <m/>
    <m/>
    <n v="1"/>
    <n v="1"/>
    <n v="2024"/>
    <n v="0"/>
    <n v="0"/>
    <n v="0"/>
    <n v="0"/>
    <n v="0"/>
    <n v="0"/>
    <n v="0"/>
    <n v="0"/>
    <n v="0"/>
    <n v="0"/>
    <n v="0"/>
    <n v="0"/>
    <n v="2.25"/>
  </r>
  <r>
    <s v="US0130"/>
    <x v="6"/>
    <x v="7"/>
    <n v="2031"/>
    <s v="Chris Bolen"/>
    <n v="10082"/>
    <s v="Chris Bolen"/>
    <s v="678-478-2288"/>
    <x v="2"/>
    <s v="jcbolen73@gmail.com"/>
    <s v="1751 Heidi Trl Buckhead GA 30625-1530"/>
    <s v="Fawn Rd, Jackson, GA, USA"/>
    <x v="0"/>
    <s v="33.220833, -83.948611"/>
    <n v="9"/>
    <n v="10"/>
    <s v="Y"/>
    <n v="1100"/>
    <n v="1100"/>
    <s v=""/>
    <m/>
    <n v="1"/>
    <n v="1100"/>
    <n v="1100"/>
    <m/>
    <m/>
    <m/>
    <m/>
    <n v="0"/>
    <n v="1"/>
    <n v="1100"/>
    <n v="0"/>
    <m/>
    <n v="1"/>
    <n v="1"/>
    <n v="1100"/>
    <n v="1100"/>
    <n v="0"/>
    <n v="0"/>
    <n v="0"/>
    <s v="Fortunei"/>
    <s v="2, 14,13"/>
    <n v="4.5454545454545456E-2"/>
    <n v="50"/>
    <m/>
    <n v="50"/>
    <m/>
    <m/>
    <m/>
    <m/>
    <m/>
    <m/>
    <m/>
    <m/>
    <n v="1"/>
    <n v="1"/>
    <m/>
    <m/>
    <m/>
    <n v="0"/>
    <m/>
    <n v="0"/>
    <n v="0"/>
    <n v="0"/>
    <n v="0"/>
    <n v="0"/>
    <n v="0"/>
    <n v="215600"/>
    <n v="215600"/>
    <n v="8.8582677165354329E-3"/>
  </r>
  <r>
    <s v="US0131"/>
    <x v="6"/>
    <x v="7"/>
    <n v="2031"/>
    <s v="David Hall"/>
    <n v="10110"/>
    <s v="David Hall"/>
    <s v="229-416-8076"/>
    <x v="2"/>
    <s v="dhall123@netzero.net"/>
    <s v="2975 Herring Buckhole Rd Donalsonville GA 39845-6025"/>
    <s v="2975 Herring Buckhole Rd Donalsonville GA 39845-6025"/>
    <x v="0"/>
    <s v="30.959732, -84.864059"/>
    <n v="34.6"/>
    <n v="34.809090909090912"/>
    <s v="Y"/>
    <n v="3829"/>
    <n v="3829"/>
    <s v=""/>
    <m/>
    <n v="1"/>
    <n v="3829"/>
    <n v="3829"/>
    <m/>
    <m/>
    <m/>
    <m/>
    <n v="0"/>
    <n v="1"/>
    <n v="3829"/>
    <n v="3737.1039999999998"/>
    <n v="0.97599999999999998"/>
    <n v="0.98"/>
    <n v="0.98"/>
    <n v="3737"/>
    <n v="3737"/>
    <n v="0"/>
    <n v="0"/>
    <n v="0"/>
    <s v="Fortunei"/>
    <s v="2, 11"/>
    <n v="0.21937842778793418"/>
    <n v="840"/>
    <m/>
    <m/>
    <n v="840"/>
    <m/>
    <m/>
    <m/>
    <m/>
    <m/>
    <m/>
    <m/>
    <n v="1"/>
    <n v="1"/>
    <n v="2024"/>
    <n v="8.92"/>
    <n v="4.42"/>
    <n v="0.27625"/>
    <n v="0.01"/>
    <n v="5.5555555555555556E-4"/>
    <n v="4.3979276250000003"/>
    <n v="16435.055534625"/>
    <n v="0.02"/>
    <n v="4.3759104999999998"/>
    <n v="16352.777538499999"/>
    <n v="732452"/>
    <n v="716099.22246149997"/>
    <n v="2.2487499999999998"/>
  </r>
  <r>
    <s v="US0132"/>
    <x v="6"/>
    <x v="7"/>
    <n v="2031"/>
    <s v="David Lewis"/>
    <n v="10111"/>
    <s v="David Lewis"/>
    <s v="850-910-0141"/>
    <x v="2"/>
    <s v="dlewis63@att.net"/>
    <s v="6981 Ranchers Cove Trl Milton FL 32570-5597"/>
    <s v="Eagle Drive, Milton, FL, USA gate code 0720#"/>
    <x v="0"/>
    <s v="30.694789, -87.088518"/>
    <n v="9.4"/>
    <n v="10"/>
    <s v="Y"/>
    <n v="1100"/>
    <n v="1100"/>
    <s v=""/>
    <m/>
    <n v="1"/>
    <n v="1100"/>
    <n v="1100"/>
    <m/>
    <m/>
    <m/>
    <m/>
    <n v="0"/>
    <n v="1"/>
    <n v="1100"/>
    <n v="1072.5"/>
    <n v="0.97499999999999998"/>
    <n v="0.98"/>
    <n v="0.98"/>
    <n v="1073"/>
    <n v="1073"/>
    <n v="0"/>
    <n v="0"/>
    <n v="0"/>
    <s v="Fortunei"/>
    <s v="2, 12"/>
    <n v="4.5454545454545456E-2"/>
    <n v="50"/>
    <m/>
    <m/>
    <n v="50"/>
    <m/>
    <m/>
    <m/>
    <m/>
    <m/>
    <m/>
    <m/>
    <n v="1"/>
    <n v="1"/>
    <n v="2024"/>
    <n v="5.75"/>
    <n v="0"/>
    <n v="0"/>
    <n v="0"/>
    <n v="0"/>
    <n v="0"/>
    <n v="0"/>
    <n v="0"/>
    <n v="0"/>
    <n v="0"/>
    <n v="210308"/>
    <n v="210308"/>
    <n v="2.25"/>
  </r>
  <r>
    <s v="US0133"/>
    <x v="6"/>
    <x v="7"/>
    <n v="2031"/>
    <s v="Heather Rule"/>
    <n v="10112"/>
    <s v="Heather Rule"/>
    <s v="303-984-1014, 719-271-4390"/>
    <x v="2"/>
    <s v="calantini@live.com, calantini@aol.com"/>
    <s v="3404 S Pierce St, Lakewood, CO 80227, USA"/>
    <s v="111 Myer Rd Morton WA 98356-9504"/>
    <x v="0"/>
    <s v="46.537576, -122.354751"/>
    <n v="16.5"/>
    <n v="12.481818181818182"/>
    <s v="Y"/>
    <n v="1373"/>
    <n v="1373"/>
    <s v=""/>
    <m/>
    <n v="1"/>
    <n v="1373"/>
    <n v="1373"/>
    <m/>
    <m/>
    <m/>
    <m/>
    <n v="0"/>
    <n v="1"/>
    <n v="1373"/>
    <n v="0"/>
    <m/>
    <n v="0"/>
    <n v="0"/>
    <n v="0"/>
    <n v="0"/>
    <n v="0"/>
    <n v="0"/>
    <n v="0"/>
    <s v="Fortunei"/>
    <s v="2, 11, 12, 13, 14, 18, 20, TG"/>
    <n v="0.29133284777858703"/>
    <n v="400"/>
    <m/>
    <m/>
    <n v="400"/>
    <m/>
    <m/>
    <m/>
    <m/>
    <m/>
    <m/>
    <m/>
    <n v="1"/>
    <n v="1"/>
    <m/>
    <m/>
    <m/>
    <n v="0"/>
    <m/>
    <n v="0"/>
    <n v="0"/>
    <n v="0"/>
    <n v="0"/>
    <n v="0"/>
    <n v="0"/>
    <n v="0"/>
    <n v="0"/>
    <n v="8.8582677165354329E-3"/>
  </r>
  <r>
    <s v="US0134"/>
    <x v="6"/>
    <x v="7"/>
    <n v="2031"/>
    <s v="Kennsel Bennett"/>
    <n v="10113"/>
    <s v="Kennsel Bennett"/>
    <s v="912-387-8919"/>
    <x v="2"/>
    <s v="kennselb@gmail.com"/>
    <s v="2592 Seminole Trail, Waycross, GA 31501, USA"/>
    <s v="1341 Manor Millwood Rd N, Manor, GA 31550, USA"/>
    <x v="0"/>
    <s v="31.220170, -82.632183"/>
    <n v="9.8000000000000007"/>
    <n v="10"/>
    <s v="Y"/>
    <n v="1100"/>
    <n v="1100"/>
    <s v=""/>
    <m/>
    <n v="1"/>
    <n v="1100"/>
    <n v="1100"/>
    <m/>
    <m/>
    <m/>
    <m/>
    <n v="0"/>
    <n v="1"/>
    <n v="1100"/>
    <n v="739.2"/>
    <n v="0.67200000000000004"/>
    <n v="0.67"/>
    <n v="0.67"/>
    <n v="739"/>
    <n v="739"/>
    <n v="0"/>
    <n v="0"/>
    <n v="0"/>
    <s v="Fortunei"/>
    <s v="2, 13"/>
    <n v="0"/>
    <n v="0"/>
    <m/>
    <m/>
    <m/>
    <m/>
    <m/>
    <m/>
    <m/>
    <m/>
    <m/>
    <m/>
    <n v="1"/>
    <n v="1"/>
    <n v="2024"/>
    <n v="0.35"/>
    <n v="0"/>
    <n v="0"/>
    <n v="0"/>
    <n v="0"/>
    <n v="0"/>
    <n v="0"/>
    <n v="0"/>
    <n v="0"/>
    <n v="0"/>
    <n v="144844"/>
    <n v="144844"/>
    <n v="2.25"/>
  </r>
  <r>
    <s v="US0135"/>
    <x v="6"/>
    <x v="7"/>
    <n v="2031"/>
    <s v="Kyle Flint"/>
    <n v="10094"/>
    <s v="Kyle Flint"/>
    <s v="405-215-8195"/>
    <x v="2"/>
    <s v="kyle.flint@bhboring.com"/>
    <s v="301 James Dean Dr Norman OK 73072-9793"/>
    <s v="2450 Cox City Rd Rush Springs OK 73082-3122"/>
    <x v="0"/>
    <s v="34.778478, -97.835937; 34.994595, -97.562043"/>
    <m/>
    <n v="40"/>
    <m/>
    <n v="4400"/>
    <n v="4400"/>
    <s v=""/>
    <m/>
    <n v="1"/>
    <n v="4400"/>
    <n v="4400"/>
    <m/>
    <m/>
    <m/>
    <m/>
    <n v="0"/>
    <n v="1"/>
    <n v="4400"/>
    <n v="0"/>
    <m/>
    <n v="0.5"/>
    <n v="0.5"/>
    <n v="2200"/>
    <n v="2200"/>
    <n v="0"/>
    <n v="0"/>
    <n v="0"/>
    <s v="Fortunei"/>
    <s v="2, 11, 13, 18"/>
    <n v="0.21590909090909091"/>
    <n v="950"/>
    <m/>
    <m/>
    <n v="950"/>
    <m/>
    <m/>
    <m/>
    <m/>
    <m/>
    <m/>
    <m/>
    <n v="1"/>
    <n v="1"/>
    <m/>
    <m/>
    <m/>
    <n v="0"/>
    <m/>
    <n v="0"/>
    <n v="0"/>
    <n v="0"/>
    <n v="0"/>
    <n v="0"/>
    <n v="0"/>
    <n v="431200"/>
    <n v="431200"/>
    <n v="8.8582677165354329E-3"/>
  </r>
  <r>
    <s v="US0139"/>
    <x v="6"/>
    <x v="7"/>
    <n v="2031"/>
    <s v="Rob Cason"/>
    <n v="10116"/>
    <s v="Rob Cason"/>
    <s v="352-494-3072"/>
    <x v="2"/>
    <s v="robc@cheneybrothers.com"/>
    <s v="12060 NE County Road 237 Lake Butler FL 32054-5200"/>
    <s v="12060 NE County Road 237 Lake Butler FL 32054-5200"/>
    <x v="0"/>
    <s v="30.047118, -82.259403"/>
    <n v="22.8"/>
    <n v="20"/>
    <s v="Y"/>
    <n v="2200"/>
    <n v="2200"/>
    <s v=""/>
    <m/>
    <n v="1"/>
    <n v="2200"/>
    <n v="2200"/>
    <m/>
    <m/>
    <m/>
    <m/>
    <n v="0"/>
    <n v="1"/>
    <n v="2200"/>
    <n v="908.59999999999991"/>
    <n v="0.41299999999999998"/>
    <n v="0.41"/>
    <n v="0.41"/>
    <n v="909"/>
    <n v="909"/>
    <n v="0"/>
    <n v="0"/>
    <n v="0"/>
    <s v="Fortunei"/>
    <s v="2, 13"/>
    <n v="0.17181818181818181"/>
    <n v="378"/>
    <m/>
    <m/>
    <n v="252"/>
    <n v="126"/>
    <m/>
    <m/>
    <m/>
    <m/>
    <m/>
    <m/>
    <n v="1"/>
    <n v="1"/>
    <n v="2024"/>
    <n v="0.73"/>
    <n v="0"/>
    <n v="0"/>
    <n v="0.02"/>
    <n v="1.1111111111111111E-3"/>
    <n v="0"/>
    <n v="0"/>
    <n v="0.04"/>
    <n v="0"/>
    <n v="0"/>
    <n v="178164"/>
    <n v="178164"/>
    <n v="2.2475000000000001"/>
  </r>
  <r>
    <s v="US0140"/>
    <x v="6"/>
    <x v="7"/>
    <n v="2031"/>
    <s v="Scott Hamilton"/>
    <n v="10117"/>
    <s v="Scott Hamilton"/>
    <s v="562-857-1953"/>
    <x v="2"/>
    <s v="Scott.hamilton@enpinstitute.com"/>
    <s v="689 High Falls Road, Jackson, GA, USA 30233"/>
    <s v="689 High Falls Road, Jackson, GA, USA"/>
    <x v="0"/>
    <s v="33.191421, -84.068182"/>
    <n v="17.899999999999999"/>
    <n v="18"/>
    <s v="Y"/>
    <n v="1980"/>
    <n v="1980"/>
    <s v=""/>
    <m/>
    <n v="1"/>
    <n v="1980"/>
    <n v="1980"/>
    <m/>
    <m/>
    <m/>
    <m/>
    <n v="0"/>
    <n v="1"/>
    <n v="1980"/>
    <n v="0"/>
    <m/>
    <n v="1"/>
    <n v="1"/>
    <n v="1980"/>
    <n v="1980"/>
    <n v="0"/>
    <n v="0"/>
    <n v="0"/>
    <s v="Fortunei"/>
    <s v="12, 18"/>
    <n v="0.71111111111111114"/>
    <n v="1408"/>
    <m/>
    <n v="625"/>
    <n v="783"/>
    <m/>
    <m/>
    <m/>
    <m/>
    <m/>
    <m/>
    <m/>
    <n v="1"/>
    <n v="1"/>
    <m/>
    <m/>
    <m/>
    <n v="0"/>
    <m/>
    <n v="0"/>
    <n v="0"/>
    <n v="0"/>
    <n v="0"/>
    <n v="0"/>
    <n v="0"/>
    <n v="388080"/>
    <n v="388080"/>
    <n v="8.8582677165354329E-3"/>
  </r>
  <r>
    <s v="US0141"/>
    <x v="6"/>
    <x v="7"/>
    <n v="2031"/>
    <s v="Sisay Souphom"/>
    <n v="10102"/>
    <s v="Sisay Souphom"/>
    <s v="334-220-2957"/>
    <x v="2"/>
    <s v="ssouphom@gmail.com"/>
    <s v="625 Fern Rd Wetumpka AL 36092-7465"/>
    <s v="789 Fern Rd Wetumpka, Al 36092"/>
    <x v="0"/>
    <s v="32.619274,- 86.316458"/>
    <n v="6.7"/>
    <n v="5"/>
    <s v="Y"/>
    <n v="550"/>
    <n v="550"/>
    <s v=""/>
    <m/>
    <n v="1"/>
    <n v="550"/>
    <n v="550"/>
    <m/>
    <m/>
    <m/>
    <m/>
    <n v="0"/>
    <n v="1"/>
    <n v="550"/>
    <n v="399.3"/>
    <n v="0.72599999999999998"/>
    <n v="0.73"/>
    <n v="0.73"/>
    <n v="399"/>
    <n v="399"/>
    <n v="0"/>
    <n v="0"/>
    <n v="0"/>
    <s v="Fortunei"/>
    <n v="2"/>
    <n v="0"/>
    <n v="0"/>
    <m/>
    <m/>
    <m/>
    <m/>
    <m/>
    <m/>
    <m/>
    <m/>
    <m/>
    <m/>
    <n v="1"/>
    <n v="1"/>
    <n v="2024"/>
    <n v="4.93"/>
    <n v="0"/>
    <n v="0"/>
    <n v="0"/>
    <n v="0"/>
    <n v="0"/>
    <n v="0"/>
    <n v="0"/>
    <n v="0"/>
    <n v="0"/>
    <n v="78204"/>
    <n v="78204"/>
    <n v="2.25"/>
  </r>
  <r>
    <s v="US0142"/>
    <x v="6"/>
    <x v="7"/>
    <n v="2031"/>
    <s v="Steven Hunter"/>
    <n v="10104"/>
    <s v="Steven Hunter"/>
    <s v="205-405-0233"/>
    <x v="2"/>
    <s v="stevenhunter@protonmail.com"/>
    <s v="PO Box 395 Maplesville AL 36750-0395"/>
    <s v="2645 State Highway 139, Maplesville, Alabama 36750, USA"/>
    <x v="0"/>
    <s v="32.819540, -86.884327"/>
    <n v="9.3000000000000007"/>
    <n v="10"/>
    <s v="Y"/>
    <n v="1100"/>
    <n v="1100"/>
    <s v=""/>
    <m/>
    <n v="1"/>
    <n v="1100"/>
    <n v="1100"/>
    <m/>
    <m/>
    <m/>
    <m/>
    <n v="0"/>
    <n v="1"/>
    <n v="1100"/>
    <n v="66"/>
    <n v="0.06"/>
    <n v="0.06"/>
    <n v="0.06"/>
    <n v="66"/>
    <n v="66"/>
    <n v="0"/>
    <n v="0"/>
    <n v="0"/>
    <s v="Fortunei"/>
    <s v="13, 18"/>
    <n v="0"/>
    <n v="0"/>
    <m/>
    <m/>
    <m/>
    <m/>
    <m/>
    <m/>
    <m/>
    <m/>
    <m/>
    <m/>
    <n v="1"/>
    <n v="1"/>
    <n v="2024"/>
    <n v="9"/>
    <n v="0"/>
    <n v="0"/>
    <n v="0"/>
    <n v="0"/>
    <n v="0"/>
    <n v="0"/>
    <n v="0"/>
    <n v="0"/>
    <n v="0"/>
    <n v="12936"/>
    <n v="12936"/>
    <n v="2.25"/>
  </r>
  <r>
    <s v="US0143"/>
    <x v="6"/>
    <x v="7"/>
    <n v="2031"/>
    <s v="Todd McCarley"/>
    <n v="10118"/>
    <s v="Todd McCarley"/>
    <s v="334-657-8505"/>
    <x v="2"/>
    <s v="toddm87413@gmail.com"/>
    <s v="818 Foreman Rd Deatsville AL 36022-3546"/>
    <s v="818 Foreman Rd Deatsville AL 36022-3546"/>
    <x v="0"/>
    <s v="32.646970, -86.381339"/>
    <n v="10.199999999999999"/>
    <n v="10"/>
    <s v="Y"/>
    <n v="1100"/>
    <n v="1100"/>
    <s v=""/>
    <m/>
    <n v="1"/>
    <n v="1100"/>
    <n v="1100"/>
    <m/>
    <m/>
    <m/>
    <m/>
    <n v="0"/>
    <n v="1"/>
    <n v="1100"/>
    <n v="726"/>
    <n v="0.66"/>
    <n v="0.66"/>
    <n v="0.66"/>
    <n v="726"/>
    <n v="726"/>
    <n v="0"/>
    <n v="0"/>
    <n v="0"/>
    <s v="Fortunei"/>
    <s v="13, 18"/>
    <n v="5.7272727272727274E-2"/>
    <n v="63"/>
    <m/>
    <m/>
    <m/>
    <n v="63"/>
    <m/>
    <m/>
    <m/>
    <m/>
    <m/>
    <m/>
    <n v="1"/>
    <n v="1"/>
    <n v="2024"/>
    <n v="18.78"/>
    <n v="0"/>
    <n v="0"/>
    <n v="0"/>
    <n v="0"/>
    <n v="0"/>
    <n v="0"/>
    <n v="0"/>
    <n v="0"/>
    <n v="0"/>
    <n v="142296"/>
    <n v="142296"/>
    <n v="2.25"/>
  </r>
  <r>
    <s v="US0144"/>
    <x v="6"/>
    <x v="7"/>
    <n v="2031"/>
    <s v="William (Cliff) Scales"/>
    <n v="10119"/>
    <s v="William (Cliff) Scales"/>
    <s v="478-955-0051"/>
    <x v="2"/>
    <s v="cliff.scales@outlook.com"/>
    <s v="45B Old Milledgeville Rd Hawkinsville GA 31036-6706"/>
    <s v="45B Old Milledgeville Rd Hawkinsville GA 31036-6706"/>
    <x v="0"/>
    <s v="32.329099, -83.418513"/>
    <n v="9.6999999999999993"/>
    <n v="10"/>
    <s v="Y"/>
    <n v="1100"/>
    <n v="1100"/>
    <s v=""/>
    <m/>
    <n v="1"/>
    <n v="1100"/>
    <n v="1100"/>
    <m/>
    <m/>
    <m/>
    <m/>
    <n v="0"/>
    <n v="1"/>
    <n v="1100"/>
    <n v="0"/>
    <m/>
    <n v="1"/>
    <n v="1"/>
    <n v="1100"/>
    <n v="1100"/>
    <n v="0"/>
    <n v="0"/>
    <n v="0"/>
    <s v="Fortunei"/>
    <s v="2, 11"/>
    <n v="0.15636363636363637"/>
    <n v="172"/>
    <m/>
    <n v="25"/>
    <n v="147"/>
    <m/>
    <m/>
    <m/>
    <m/>
    <m/>
    <m/>
    <m/>
    <n v="1"/>
    <n v="1"/>
    <m/>
    <m/>
    <m/>
    <n v="0"/>
    <m/>
    <n v="0"/>
    <n v="0"/>
    <n v="0"/>
    <n v="0"/>
    <n v="0"/>
    <n v="0"/>
    <n v="215600"/>
    <n v="215600"/>
    <n v="8.8582677165354329E-3"/>
  </r>
  <r>
    <s v="US0136"/>
    <x v="6"/>
    <x v="7"/>
    <n v="2031"/>
    <s v="Michele Dominguez"/>
    <n v="10114"/>
    <s v="Michele Dominguez"/>
    <s v="540-905-5647"/>
    <x v="0"/>
    <s v="jacknimbel@aol.com"/>
    <s v="2530 Ayers Rd Moneta VA 24121-3522"/>
    <s v="2530 Ayers Rd Moneta VA 24121-3522"/>
    <x v="0"/>
    <s v="37.159784, -79.564229"/>
    <n v="23"/>
    <s v=""/>
    <s v="Y"/>
    <n v="1112"/>
    <n v="1112"/>
    <s v=""/>
    <m/>
    <n v="1"/>
    <n v="1112"/>
    <n v="1112"/>
    <m/>
    <m/>
    <m/>
    <m/>
    <n v="0"/>
    <n v="1"/>
    <n v="1112"/>
    <n v="0"/>
    <m/>
    <n v="1"/>
    <n v="0"/>
    <n v="1112"/>
    <n v="1112"/>
    <n v="0"/>
    <n v="0"/>
    <n v="0"/>
    <s v="Fortunei"/>
    <s v="2, CV"/>
    <n v="9.4424460431654672E-2"/>
    <n v="105"/>
    <m/>
    <m/>
    <n v="105"/>
    <m/>
    <m/>
    <m/>
    <m/>
    <m/>
    <m/>
    <m/>
    <n v="1"/>
    <n v="1"/>
    <m/>
    <m/>
    <m/>
    <n v="0"/>
    <m/>
    <n v="0"/>
    <n v="0"/>
    <n v="0"/>
    <n v="0"/>
    <n v="0"/>
    <n v="0"/>
    <n v="217952"/>
    <n v="217952"/>
    <n v="8.8582677165354329E-3"/>
  </r>
  <r>
    <s v="US0137"/>
    <x v="6"/>
    <x v="7"/>
    <n v="2031"/>
    <s v="Pete Preskitt"/>
    <n v="10068"/>
    <s v="Pete Preskitt"/>
    <s v="334-651-1377"/>
    <x v="0"/>
    <s v="ppreskitt@icloud.com"/>
    <s v="2140 Weoka Rd Wetumpka AL 36092-4520"/>
    <s v="2140 Weoka Rd Wetumpka AL 36092-4520"/>
    <x v="0"/>
    <s v="32.617043, -86.203639"/>
    <n v="10.5"/>
    <s v=""/>
    <s v="Y"/>
    <n v="1100"/>
    <n v="1100"/>
    <s v=""/>
    <m/>
    <n v="1"/>
    <n v="1100"/>
    <n v="1100"/>
    <m/>
    <m/>
    <m/>
    <m/>
    <n v="0"/>
    <n v="1"/>
    <n v="1100"/>
    <n v="0"/>
    <m/>
    <n v="1"/>
    <n v="0"/>
    <n v="1100"/>
    <n v="1100"/>
    <n v="0"/>
    <n v="0"/>
    <n v="0"/>
    <s v="Fortunei"/>
    <s v="12, 14"/>
    <n v="0"/>
    <n v="0"/>
    <m/>
    <m/>
    <m/>
    <m/>
    <m/>
    <m/>
    <m/>
    <m/>
    <m/>
    <m/>
    <n v="1"/>
    <n v="1"/>
    <m/>
    <m/>
    <m/>
    <n v="0"/>
    <m/>
    <n v="0"/>
    <n v="0"/>
    <n v="0"/>
    <n v="0"/>
    <n v="0"/>
    <n v="0"/>
    <n v="215600"/>
    <n v="215600"/>
    <n v="8.8582677165354329E-3"/>
  </r>
  <r>
    <s v="US0138"/>
    <x v="6"/>
    <x v="7"/>
    <n v="2031"/>
    <s v="Rick Griffis"/>
    <n v="10115"/>
    <s v="Rick Griffis"/>
    <s v="229 834 8941"/>
    <x v="0"/>
    <s v="rickgriffis53@gmail.com, rickgriffis@gmail.com"/>
    <s v="3272 GA Highway 135 N Lake Park GA 31636-6137"/>
    <s v="3272 GA Highway 135 N Lake Park GA 31636-6137"/>
    <x v="0"/>
    <s v="30.824649, -83.054345"/>
    <n v="13"/>
    <s v=""/>
    <s v="Y"/>
    <n v="1100"/>
    <n v="1100"/>
    <s v=""/>
    <m/>
    <n v="1"/>
    <n v="1100"/>
    <n v="1100"/>
    <m/>
    <m/>
    <m/>
    <m/>
    <n v="0"/>
    <n v="1"/>
    <n v="1100"/>
    <n v="0"/>
    <m/>
    <n v="1"/>
    <n v="0"/>
    <n v="1100"/>
    <n v="1100"/>
    <n v="0"/>
    <n v="0"/>
    <n v="0"/>
    <s v="Fortunei"/>
    <s v="2, 11"/>
    <n v="5.7272727272727274E-2"/>
    <n v="63"/>
    <m/>
    <m/>
    <m/>
    <n v="63"/>
    <m/>
    <m/>
    <m/>
    <m/>
    <m/>
    <m/>
    <n v="1"/>
    <n v="1"/>
    <m/>
    <m/>
    <m/>
    <n v="0"/>
    <m/>
    <n v="0"/>
    <n v="0"/>
    <n v="0"/>
    <n v="0"/>
    <n v="0"/>
    <n v="0"/>
    <n v="215600"/>
    <n v="215600"/>
    <n v="8.8582677165354329E-3"/>
  </r>
  <r>
    <s v="MX0041"/>
    <x v="7"/>
    <x v="8"/>
    <n v="0"/>
    <s v="Aquiles Augusto Del Río Radilla"/>
    <n v="40040"/>
    <m/>
    <m/>
    <x v="1"/>
    <m/>
    <m/>
    <m/>
    <x v="3"/>
    <s v="17.680469, -94.024183"/>
    <m/>
    <s v=""/>
    <m/>
    <n v="2750"/>
    <n v="420"/>
    <m/>
    <m/>
    <n v="1"/>
    <n v="2750"/>
    <n v="420"/>
    <m/>
    <m/>
    <m/>
    <m/>
    <n v="0"/>
    <m/>
    <m/>
    <n v="0"/>
    <n v="0"/>
    <n v="0"/>
    <n v="0"/>
    <n v="0"/>
    <n v="0"/>
    <n v="0"/>
    <n v="0"/>
    <n v="0"/>
    <m/>
    <m/>
    <n v="0"/>
    <n v="0"/>
    <m/>
    <m/>
    <m/>
    <m/>
    <m/>
    <m/>
    <m/>
    <m/>
    <m/>
    <m/>
    <m/>
    <n v="1"/>
    <m/>
    <m/>
    <m/>
    <n v="0"/>
    <m/>
    <n v="0"/>
    <n v="0"/>
    <n v="0"/>
    <n v="0"/>
    <n v="0"/>
    <n v="0"/>
    <n v="0"/>
    <n v="0"/>
    <n v="18"/>
  </r>
  <r>
    <s v="MX0045"/>
    <x v="7"/>
    <x v="8"/>
    <n v="0"/>
    <s v="Juan Ramón Aguilar Rodríguez"/>
    <n v="40042"/>
    <m/>
    <m/>
    <x v="1"/>
    <m/>
    <m/>
    <m/>
    <x v="3"/>
    <m/>
    <m/>
    <s v=""/>
    <m/>
    <n v="550"/>
    <n v="200"/>
    <m/>
    <m/>
    <n v="1"/>
    <n v="550"/>
    <n v="200"/>
    <m/>
    <m/>
    <m/>
    <m/>
    <n v="0"/>
    <m/>
    <m/>
    <n v="0"/>
    <n v="0"/>
    <n v="0"/>
    <n v="0"/>
    <n v="0"/>
    <n v="0"/>
    <n v="0"/>
    <n v="0"/>
    <n v="0"/>
    <m/>
    <m/>
    <n v="0"/>
    <n v="0"/>
    <m/>
    <m/>
    <m/>
    <m/>
    <m/>
    <m/>
    <m/>
    <m/>
    <m/>
    <m/>
    <m/>
    <m/>
    <m/>
    <m/>
    <m/>
    <n v="0"/>
    <m/>
    <n v="0"/>
    <n v="0"/>
    <n v="0"/>
    <n v="0"/>
    <n v="0"/>
    <n v="0"/>
    <n v="0"/>
    <n v="0"/>
    <n v="18"/>
  </r>
  <r>
    <m/>
    <x v="8"/>
    <x v="9"/>
    <m/>
    <m/>
    <m/>
    <m/>
    <m/>
    <x v="3"/>
    <m/>
    <m/>
    <m/>
    <x v="4"/>
    <m/>
    <m/>
    <s v=""/>
    <m/>
    <m/>
    <m/>
    <m/>
    <m/>
    <m/>
    <m/>
    <n v="0"/>
    <m/>
    <m/>
    <m/>
    <m/>
    <n v="0"/>
    <m/>
    <m/>
    <m/>
    <m/>
    <m/>
    <m/>
    <m/>
    <m/>
    <n v="0"/>
    <n v="0"/>
    <n v="0"/>
    <m/>
    <m/>
    <m/>
    <m/>
    <m/>
    <m/>
    <m/>
    <m/>
    <m/>
    <m/>
    <m/>
    <m/>
    <m/>
    <m/>
    <m/>
    <m/>
    <m/>
    <m/>
    <m/>
    <n v="0"/>
    <m/>
    <n v="0"/>
    <n v="0"/>
    <n v="0"/>
    <n v="0"/>
    <n v="0"/>
    <n v="0"/>
    <n v="0"/>
    <n v="0"/>
    <n v="18"/>
  </r>
  <r>
    <s v="CR0100"/>
    <x v="6"/>
    <x v="8"/>
    <n v="2032"/>
    <s v="Samuel Wards"/>
    <n v="20092"/>
    <s v="Samule Wards"/>
    <s v="506-6298-7677"/>
    <x v="2"/>
    <s v="ward_samuel@yahoo.com"/>
    <s v="Frente a la Iglesia Metodista de Pacuarito de Siquirres, Limón"/>
    <m/>
    <x v="1"/>
    <s v="10.106916, -83.469906"/>
    <n v="6.1776299999999997"/>
    <n v="6.1776252590741585"/>
    <m/>
    <n v="1000"/>
    <n v="1000"/>
    <s v=""/>
    <m/>
    <n v="1"/>
    <n v="1000"/>
    <n v="1000"/>
    <m/>
    <m/>
    <m/>
    <m/>
    <n v="0"/>
    <n v="1"/>
    <n v="1000"/>
    <n v="0"/>
    <m/>
    <n v="1"/>
    <n v="1"/>
    <n v="1000"/>
    <n v="1000"/>
    <n v="0"/>
    <n v="0"/>
    <n v="0"/>
    <m/>
    <m/>
    <n v="0.312"/>
    <n v="312"/>
    <m/>
    <n v="62"/>
    <n v="250"/>
    <m/>
    <m/>
    <m/>
    <m/>
    <m/>
    <m/>
    <m/>
    <n v="1"/>
    <n v="1"/>
    <m/>
    <m/>
    <m/>
    <n v="0"/>
    <m/>
    <n v="0"/>
    <n v="0"/>
    <n v="0"/>
    <n v="0"/>
    <n v="0"/>
    <n v="0"/>
    <n v="196000"/>
    <n v="196000"/>
    <n v="8.8539104771273979E-3"/>
  </r>
  <r>
    <s v="CR0101"/>
    <x v="6"/>
    <x v="8"/>
    <n v="2032"/>
    <s v="Leonardo Barquero"/>
    <n v="20093"/>
    <s v="Tecamachalco S.A"/>
    <s v="52 55 70698839"/>
    <x v="2"/>
    <s v="barqueroj@gmail.com, ravenard@yahoo.com"/>
    <s v="De la Cruz Roja de Santa Ana, 400m Oeste, 300m Norte y 200 m oeste. Condominio La Hacienda #22"/>
    <m/>
    <x v="1"/>
    <s v="9.9405556, -84.4611111"/>
    <n v="9.8842199999999991"/>
    <n v="10.50196294042607"/>
    <m/>
    <n v="1700"/>
    <n v="1700"/>
    <s v=""/>
    <m/>
    <n v="1"/>
    <n v="1700"/>
    <n v="1700"/>
    <m/>
    <m/>
    <m/>
    <m/>
    <n v="0"/>
    <n v="1"/>
    <n v="1700"/>
    <n v="0"/>
    <m/>
    <n v="1"/>
    <n v="1"/>
    <n v="1700"/>
    <n v="1700"/>
    <n v="0"/>
    <n v="0"/>
    <n v="0"/>
    <m/>
    <m/>
    <n v="0.20882352941176471"/>
    <n v="355"/>
    <m/>
    <n v="355"/>
    <m/>
    <m/>
    <m/>
    <m/>
    <m/>
    <m/>
    <m/>
    <m/>
    <n v="1"/>
    <n v="1"/>
    <m/>
    <m/>
    <m/>
    <n v="0"/>
    <m/>
    <n v="0"/>
    <n v="0"/>
    <n v="0"/>
    <n v="0"/>
    <n v="0"/>
    <n v="0"/>
    <n v="333200"/>
    <n v="333200"/>
    <n v="8.8539104771273979E-3"/>
  </r>
  <r>
    <s v="CR0102"/>
    <x v="7"/>
    <x v="8"/>
    <n v="2032"/>
    <s v="William Romero"/>
    <n v="20094"/>
    <s v="Karen Vargas Fernandez y William Romero Fernandez"/>
    <s v="506 8392-9488, 506 8867-9772"/>
    <x v="2"/>
    <s v="brprecision@hotmail.com"/>
    <s v="Heredia, Ulloa: Calle la Carpintera, de lubricentro Freddy 400mts sur-oeste, tapia color gris a mano izquierda"/>
    <m/>
    <x v="1"/>
    <s v="10.311763, -85.032074"/>
    <n v="7.4131600000000004"/>
    <n v="7.4131503108889909"/>
    <m/>
    <n v="1200"/>
    <n v="1200"/>
    <s v=""/>
    <m/>
    <n v="1"/>
    <n v="1200"/>
    <n v="1200"/>
    <m/>
    <m/>
    <m/>
    <m/>
    <n v="0"/>
    <n v="1"/>
    <n v="1200"/>
    <n v="1143.5999999999999"/>
    <n v="0.95299999999999996"/>
    <n v="0.95"/>
    <n v="0.95"/>
    <n v="1144"/>
    <n v="1144"/>
    <n v="0"/>
    <n v="0"/>
    <n v="0"/>
    <m/>
    <m/>
    <n v="8.3333333333333329E-2"/>
    <n v="100"/>
    <m/>
    <m/>
    <n v="100"/>
    <m/>
    <m/>
    <m/>
    <m/>
    <m/>
    <m/>
    <m/>
    <n v="1"/>
    <n v="1"/>
    <n v="2024"/>
    <n v="11.22"/>
    <n v="8.91"/>
    <n v="0.55687500000000001"/>
    <n v="3.12"/>
    <n v="0.17333333333333334"/>
    <n v="0.43124399999999991"/>
    <n v="493.3431359999999"/>
    <n v="6.24"/>
    <n v="2.7941760000000007"/>
    <n v="3196.5373440000008"/>
    <n v="224224"/>
    <n v="221027.46265599999"/>
    <n v="1.6533333333333333"/>
  </r>
  <r>
    <s v="CR0103"/>
    <x v="7"/>
    <x v="8"/>
    <n v="2032"/>
    <s v="Jorge Alberto Cole"/>
    <n v="20095"/>
    <s v="Himalaya Verde  LTDA"/>
    <s v="506 8599-3617"/>
    <x v="2"/>
    <s v="guanabanasdeosa@gmail.com"/>
    <s v="Puntarenas Province, Ciudad Cortés, Costa Rica"/>
    <m/>
    <x v="1"/>
    <s v="8.948962,-83.454376"/>
    <n v="12.3553"/>
    <n v="12.355250518148317"/>
    <m/>
    <n v="2000"/>
    <n v="2000"/>
    <s v=""/>
    <m/>
    <n v="1"/>
    <n v="2000"/>
    <n v="2000"/>
    <m/>
    <m/>
    <m/>
    <m/>
    <n v="0"/>
    <n v="1"/>
    <n v="2000"/>
    <n v="0"/>
    <m/>
    <n v="1"/>
    <n v="1"/>
    <n v="2000"/>
    <n v="2000"/>
    <n v="0"/>
    <n v="0"/>
    <n v="0"/>
    <m/>
    <m/>
    <n v="0.09"/>
    <n v="180"/>
    <m/>
    <n v="180"/>
    <m/>
    <m/>
    <m/>
    <m/>
    <m/>
    <m/>
    <m/>
    <m/>
    <n v="1"/>
    <n v="1"/>
    <m/>
    <m/>
    <m/>
    <n v="0"/>
    <m/>
    <n v="0"/>
    <n v="0"/>
    <n v="0"/>
    <n v="0"/>
    <n v="0"/>
    <n v="0"/>
    <n v="392000"/>
    <n v="392000"/>
    <n v="8.8539104771273979E-3"/>
  </r>
  <r>
    <s v="CR0104"/>
    <x v="7"/>
    <x v="8"/>
    <n v="2032"/>
    <s v="Emmanuel Manuel Ruiz"/>
    <n v="20096"/>
    <s v="Jose Manuel Ruiz"/>
    <s v="506 8357-0986"/>
    <x v="2"/>
    <s v="emaruiztorres@gmail.com"/>
    <s v="Heredia Province, La Virgen, Costa Rica"/>
    <m/>
    <x v="1"/>
    <s v="10.357575,-84.067108"/>
    <n v="12.3553"/>
    <n v="12.355250518148317"/>
    <m/>
    <n v="2000"/>
    <n v="2000"/>
    <s v=""/>
    <m/>
    <n v="1"/>
    <n v="2000"/>
    <n v="2000"/>
    <m/>
    <m/>
    <m/>
    <m/>
    <n v="0"/>
    <n v="1"/>
    <n v="2000"/>
    <n v="1862"/>
    <n v="0.93100000000000005"/>
    <n v="0.93"/>
    <n v="0.93"/>
    <n v="1862"/>
    <n v="1862"/>
    <n v="0"/>
    <n v="0"/>
    <n v="0"/>
    <m/>
    <m/>
    <n v="7.0000000000000007E-2"/>
    <n v="140"/>
    <m/>
    <n v="140"/>
    <m/>
    <m/>
    <m/>
    <m/>
    <m/>
    <m/>
    <m/>
    <m/>
    <n v="1"/>
    <n v="1"/>
    <n v="2024"/>
    <n v="0"/>
    <n v="0"/>
    <n v="0"/>
    <n v="0"/>
    <n v="0"/>
    <n v="0"/>
    <n v="0"/>
    <n v="0"/>
    <n v="0"/>
    <n v="0"/>
    <n v="364952"/>
    <n v="364952"/>
    <n v="2"/>
  </r>
  <r>
    <s v="CR0105"/>
    <x v="6"/>
    <x v="8"/>
    <n v="2032"/>
    <s v="Johaner Rosales Flores"/>
    <n v="20097"/>
    <s v="Johaner Rosales Flores"/>
    <s v="506 8323-6963"/>
    <x v="2"/>
    <s v="johaner.rf@gmail.com"/>
    <s v="Valle de la estrella"/>
    <m/>
    <x v="1"/>
    <s v="9.681389, -82.927467"/>
    <n v="14.8263"/>
    <n v="14.826300621777982"/>
    <m/>
    <n v="2400"/>
    <n v="2400"/>
    <s v=""/>
    <m/>
    <n v="1"/>
    <n v="2400"/>
    <n v="2400"/>
    <m/>
    <m/>
    <m/>
    <m/>
    <n v="0"/>
    <n v="1"/>
    <n v="2400"/>
    <n v="0"/>
    <m/>
    <n v="1"/>
    <n v="1"/>
    <n v="2400"/>
    <n v="2400"/>
    <n v="0"/>
    <n v="0"/>
    <n v="0"/>
    <m/>
    <m/>
    <n v="0"/>
    <n v="0"/>
    <m/>
    <m/>
    <m/>
    <m/>
    <m/>
    <m/>
    <m/>
    <m/>
    <m/>
    <m/>
    <n v="1"/>
    <n v="1"/>
    <m/>
    <m/>
    <m/>
    <n v="0"/>
    <m/>
    <n v="0"/>
    <n v="0"/>
    <n v="0"/>
    <n v="0"/>
    <n v="0"/>
    <n v="0"/>
    <n v="470400"/>
    <n v="470400"/>
    <n v="8.8539104771273979E-3"/>
  </r>
  <r>
    <s v="GT0031c"/>
    <x v="7"/>
    <x v="8"/>
    <n v="2032"/>
    <s v="Derek José Herman Gordillo"/>
    <n v="30028"/>
    <s v="Agroindustrias Nativa S.A./Derek José Herman Gordillo"/>
    <s v="+502 40117762"/>
    <x v="2"/>
    <s v="hermangster@gmail.com, dherman@grupoadh.com"/>
    <s v="Aldea Laguna Bermeja, Granja San Luis, Condominio Laguna del Bosque Casa '1169, zona 7, Santa Cata­rina Pinula, Guatemala"/>
    <s v="Aldea El Parafso, municipio de Sayaxche, Departamento de Peten"/>
    <x v="2"/>
    <s v="16.490000, -90.127200"/>
    <n v="149.69999999999999"/>
    <n v="0"/>
    <m/>
    <n v="9420"/>
    <n v="0"/>
    <n v="9420"/>
    <m/>
    <n v="1"/>
    <n v="9420"/>
    <n v="0"/>
    <m/>
    <m/>
    <m/>
    <m/>
    <n v="0"/>
    <n v="1"/>
    <n v="0"/>
    <n v="0"/>
    <m/>
    <n v="1"/>
    <n v="1"/>
    <n v="0"/>
    <n v="0"/>
    <n v="0"/>
    <n v="0"/>
    <n v="0"/>
    <m/>
    <m/>
    <n v="0"/>
    <n v="0"/>
    <m/>
    <m/>
    <m/>
    <m/>
    <m/>
    <m/>
    <m/>
    <m/>
    <m/>
    <m/>
    <n v="1"/>
    <n v="1"/>
    <m/>
    <m/>
    <m/>
    <n v="0"/>
    <m/>
    <n v="0"/>
    <n v="0"/>
    <n v="0"/>
    <n v="0"/>
    <n v="0"/>
    <n v="0"/>
    <n v="0"/>
    <n v="0"/>
    <n v="8.8539104771273979E-3"/>
  </r>
  <r>
    <s v="GT0044"/>
    <x v="7"/>
    <x v="8"/>
    <n v="2032"/>
    <s v="David Horacio Estrada Jeréz"/>
    <n v="30017"/>
    <s v="David Horacio Estrada Jeréz"/>
    <s v="(502) 56940037"/>
    <x v="2"/>
    <s v="estradahoracio@yahoo.es"/>
    <s v="ASOCIACION DE DESARROLLO VERDE DE GUATEMALA - ASOVERDE, CASA NÚMERO 4, COLONIA PRADOS DE CANNAN, MUNICIPIO DE CHIQUIMULA, DEPARTAMENTO DE CHIQUIMULA"/>
    <s v="ALDEA EL DURAZNO, MUNICIPIO DE CHIQUIMULA, DEPARTAMENTO DE CHIQUIMULA"/>
    <x v="2"/>
    <s v="14.131222, -90.386278"/>
    <n v="8.8957899999999999"/>
    <n v="9.0909090909090917"/>
    <m/>
    <n v="1000"/>
    <n v="1000"/>
    <s v=""/>
    <m/>
    <n v="1"/>
    <n v="1000"/>
    <n v="1000"/>
    <m/>
    <m/>
    <m/>
    <m/>
    <n v="0"/>
    <n v="1"/>
    <n v="1000"/>
    <n v="855"/>
    <n v="0.85499999999999998"/>
    <n v="0.86"/>
    <n v="0.86"/>
    <n v="855"/>
    <n v="855"/>
    <n v="0"/>
    <n v="0"/>
    <n v="0"/>
    <m/>
    <m/>
    <n v="0"/>
    <n v="0"/>
    <m/>
    <m/>
    <m/>
    <m/>
    <m/>
    <m/>
    <m/>
    <m/>
    <m/>
    <m/>
    <n v="1"/>
    <n v="1"/>
    <n v="2024"/>
    <n v="5.41"/>
    <n v="0"/>
    <n v="0"/>
    <n v="0"/>
    <n v="0"/>
    <n v="0"/>
    <n v="0"/>
    <n v="0"/>
    <n v="0"/>
    <n v="0"/>
    <n v="167580"/>
    <n v="167580"/>
    <n v="2"/>
  </r>
  <r>
    <s v="GT0045"/>
    <x v="7"/>
    <x v="8"/>
    <n v="2032"/>
    <s v="Trapiche de la Vega S.A. /María Isabel Agüero"/>
    <n v="30033"/>
    <s v="Trapiche de la Vega Sociedad Anónima / Walesca María Isabel Agüero Urruela de Maegli"/>
    <s v="502 59910111"/>
    <x v="2"/>
    <s v="maguero@grupotecun.com"/>
    <s v="23 av enida 6 72, zona 15, Vista Hermosa I"/>
    <m/>
    <x v="2"/>
    <s v="14.355278, -90.460000"/>
    <n v="14.5792"/>
    <n v="14.909090909090908"/>
    <m/>
    <n v="1640"/>
    <n v="1640"/>
    <s v=""/>
    <m/>
    <n v="1"/>
    <n v="1640"/>
    <n v="1640"/>
    <m/>
    <m/>
    <m/>
    <m/>
    <n v="0"/>
    <n v="1"/>
    <n v="1640"/>
    <n v="1193.92"/>
    <n v="0.72799999999999998"/>
    <n v="0.73"/>
    <n v="0.73"/>
    <n v="1194"/>
    <n v="1194"/>
    <n v="0"/>
    <n v="0"/>
    <n v="0"/>
    <m/>
    <m/>
    <n v="0"/>
    <n v="0"/>
    <m/>
    <m/>
    <m/>
    <m/>
    <m/>
    <m/>
    <m/>
    <m/>
    <m/>
    <m/>
    <n v="1"/>
    <n v="1"/>
    <n v="2024"/>
    <n v="5.26"/>
    <n v="0"/>
    <n v="0"/>
    <n v="0.66"/>
    <n v="3.6666666666666667E-2"/>
    <n v="0"/>
    <n v="0"/>
    <n v="1.32"/>
    <n v="0"/>
    <n v="0"/>
    <n v="234024"/>
    <n v="234024"/>
    <n v="1.9266666666666667"/>
  </r>
  <r>
    <s v="MX0038"/>
    <x v="6"/>
    <x v="8"/>
    <n v="2032"/>
    <s v="Abraham Arreola Salto"/>
    <n v="40037"/>
    <m/>
    <s v="917 109 7180"/>
    <x v="2"/>
    <s v="banchearreola@hotmail.com"/>
    <m/>
    <m/>
    <x v="3"/>
    <s v="17.6007097, -94.5515989"/>
    <m/>
    <n v="12.355108275676161"/>
    <m/>
    <n v="2750"/>
    <n v="2750"/>
    <s v=""/>
    <m/>
    <n v="1"/>
    <n v="2750"/>
    <n v="2750"/>
    <m/>
    <m/>
    <m/>
    <m/>
    <n v="0"/>
    <n v="1"/>
    <n v="2750"/>
    <n v="0"/>
    <m/>
    <n v="1"/>
    <n v="1"/>
    <n v="2750"/>
    <n v="2750"/>
    <n v="0"/>
    <n v="0"/>
    <n v="0"/>
    <m/>
    <m/>
    <n v="0.29090909090909089"/>
    <n v="800"/>
    <m/>
    <m/>
    <n v="800"/>
    <m/>
    <m/>
    <m/>
    <m/>
    <m/>
    <m/>
    <m/>
    <n v="1"/>
    <n v="1"/>
    <m/>
    <m/>
    <m/>
    <n v="0"/>
    <m/>
    <n v="0"/>
    <n v="0"/>
    <n v="0"/>
    <n v="0"/>
    <n v="0"/>
    <n v="0"/>
    <n v="539000"/>
    <n v="539000"/>
    <n v="8.8539104771273979E-3"/>
  </r>
  <r>
    <s v="MX0039"/>
    <x v="7"/>
    <x v="8"/>
    <n v="2032"/>
    <s v="Agustín Ayala Torres"/>
    <n v="40038"/>
    <m/>
    <m/>
    <x v="2"/>
    <s v="Joseayalavazquez911@gmail.com"/>
    <m/>
    <m/>
    <x v="3"/>
    <s v="17.5162635, -94.4338635"/>
    <m/>
    <n v="12.579746607961182"/>
    <m/>
    <n v="3542"/>
    <n v="2800"/>
    <n v="742"/>
    <m/>
    <n v="1"/>
    <n v="3542"/>
    <n v="2800"/>
    <m/>
    <m/>
    <m/>
    <m/>
    <n v="0"/>
    <n v="1"/>
    <n v="2800"/>
    <n v="0"/>
    <m/>
    <n v="1"/>
    <n v="1"/>
    <n v="2800"/>
    <n v="2800"/>
    <n v="0"/>
    <n v="0"/>
    <n v="0"/>
    <m/>
    <m/>
    <n v="0"/>
    <n v="0"/>
    <m/>
    <m/>
    <m/>
    <m/>
    <m/>
    <m/>
    <m/>
    <m/>
    <m/>
    <m/>
    <n v="1"/>
    <n v="1"/>
    <m/>
    <m/>
    <m/>
    <n v="0"/>
    <m/>
    <n v="0"/>
    <n v="0"/>
    <n v="0"/>
    <n v="0"/>
    <n v="0"/>
    <n v="0"/>
    <n v="548800"/>
    <n v="548800"/>
    <n v="8.8539104771273979E-3"/>
  </r>
  <r>
    <s v="MX0040"/>
    <x v="6"/>
    <x v="8"/>
    <n v="2032"/>
    <s v="Angela López Cruz"/>
    <n v="40039"/>
    <m/>
    <m/>
    <x v="2"/>
    <s v="cruzambrosio370@gmail.com "/>
    <m/>
    <m/>
    <x v="3"/>
    <s v="17.491062, -94.436408"/>
    <m/>
    <n v="12.355108275676161"/>
    <m/>
    <n v="2750"/>
    <n v="2750"/>
    <s v=""/>
    <m/>
    <n v="1"/>
    <n v="2750"/>
    <n v="2750"/>
    <m/>
    <m/>
    <m/>
    <m/>
    <n v="0"/>
    <n v="1"/>
    <n v="2750"/>
    <n v="0"/>
    <m/>
    <n v="1"/>
    <n v="1"/>
    <n v="2750"/>
    <n v="2750"/>
    <n v="0"/>
    <n v="0"/>
    <n v="0"/>
    <m/>
    <m/>
    <n v="0.23636363636363636"/>
    <n v="650"/>
    <m/>
    <m/>
    <n v="650"/>
    <m/>
    <m/>
    <m/>
    <m/>
    <m/>
    <m/>
    <m/>
    <n v="1"/>
    <n v="1"/>
    <m/>
    <m/>
    <m/>
    <n v="0"/>
    <m/>
    <n v="0"/>
    <n v="0"/>
    <n v="0"/>
    <n v="0"/>
    <n v="0"/>
    <n v="0"/>
    <n v="539000"/>
    <n v="539000"/>
    <n v="8.8539104771273979E-3"/>
  </r>
  <r>
    <s v="MX0042"/>
    <x v="7"/>
    <x v="8"/>
    <n v="2032"/>
    <s v="Caralampio Arreola López"/>
    <n v="40025"/>
    <m/>
    <m/>
    <x v="2"/>
    <s v="hvargasforestal@hotmail.com"/>
    <m/>
    <m/>
    <x v="3"/>
    <s v="17.211378, -94.592932"/>
    <m/>
    <n v="4.9420433102704644"/>
    <m/>
    <n v="1100"/>
    <n v="1100"/>
    <s v=""/>
    <m/>
    <n v="1"/>
    <n v="1100"/>
    <n v="1100"/>
    <m/>
    <m/>
    <m/>
    <m/>
    <n v="0"/>
    <n v="1"/>
    <n v="1100"/>
    <n v="0"/>
    <m/>
    <n v="1"/>
    <n v="1"/>
    <n v="1100"/>
    <n v="1100"/>
    <n v="0"/>
    <n v="0"/>
    <n v="0"/>
    <m/>
    <m/>
    <n v="0"/>
    <n v="0"/>
    <m/>
    <m/>
    <m/>
    <m/>
    <m/>
    <m/>
    <m/>
    <m/>
    <m/>
    <m/>
    <n v="1"/>
    <n v="1"/>
    <m/>
    <m/>
    <m/>
    <n v="0"/>
    <m/>
    <n v="0"/>
    <n v="0"/>
    <n v="0"/>
    <n v="0"/>
    <n v="0"/>
    <n v="0"/>
    <n v="215600"/>
    <n v="215600"/>
    <n v="8.8539104771273979E-3"/>
  </r>
  <r>
    <s v="MX0043"/>
    <x v="7"/>
    <x v="8"/>
    <n v="2032"/>
    <s v="Carlos Carbajal Gutiérrez"/>
    <n v="40026"/>
    <m/>
    <m/>
    <x v="2"/>
    <s v="jcarbajal.g@hotmail.com"/>
    <m/>
    <m/>
    <x v="3"/>
    <s v="17.502994, -94.439860"/>
    <m/>
    <n v="4.9420433102704644"/>
    <m/>
    <n v="1100"/>
    <n v="1100"/>
    <s v=""/>
    <m/>
    <n v="1"/>
    <n v="1100"/>
    <n v="1100"/>
    <m/>
    <m/>
    <m/>
    <m/>
    <n v="0"/>
    <n v="1"/>
    <n v="1100"/>
    <n v="0"/>
    <m/>
    <n v="1"/>
    <n v="1"/>
    <n v="1100"/>
    <n v="1100"/>
    <n v="0"/>
    <n v="0"/>
    <n v="0"/>
    <m/>
    <m/>
    <n v="0"/>
    <n v="0"/>
    <m/>
    <m/>
    <m/>
    <m/>
    <m/>
    <m/>
    <m/>
    <m/>
    <m/>
    <m/>
    <n v="1"/>
    <n v="1"/>
    <m/>
    <m/>
    <m/>
    <n v="0"/>
    <m/>
    <n v="0"/>
    <n v="0"/>
    <n v="0"/>
    <n v="0"/>
    <n v="0"/>
    <n v="0"/>
    <n v="215600"/>
    <n v="215600"/>
    <n v="8.8539104771273979E-3"/>
  </r>
  <r>
    <s v="MX0044"/>
    <x v="6"/>
    <x v="8"/>
    <n v="2032"/>
    <s v="Eduardo Romero Aguilar"/>
    <n v="40041"/>
    <m/>
    <m/>
    <x v="2"/>
    <m/>
    <m/>
    <m/>
    <x v="3"/>
    <s v="17.6514457, -93.7004533"/>
    <m/>
    <n v="12.355108275676161"/>
    <m/>
    <n v="2750"/>
    <n v="2750"/>
    <s v=""/>
    <m/>
    <n v="1"/>
    <n v="2750"/>
    <n v="2750"/>
    <m/>
    <m/>
    <m/>
    <m/>
    <n v="0"/>
    <n v="1"/>
    <n v="2750"/>
    <n v="0"/>
    <m/>
    <n v="1"/>
    <n v="1"/>
    <n v="2750"/>
    <n v="2750"/>
    <n v="0"/>
    <n v="0"/>
    <n v="0"/>
    <m/>
    <m/>
    <n v="0.1690909090909091"/>
    <n v="465"/>
    <m/>
    <m/>
    <n v="465"/>
    <m/>
    <m/>
    <m/>
    <m/>
    <m/>
    <m/>
    <m/>
    <n v="1"/>
    <n v="1"/>
    <m/>
    <m/>
    <m/>
    <n v="0"/>
    <m/>
    <n v="0"/>
    <n v="0"/>
    <n v="0"/>
    <n v="0"/>
    <n v="0"/>
    <n v="0"/>
    <n v="539000"/>
    <n v="539000"/>
    <n v="8.8539104771273979E-3"/>
  </r>
  <r>
    <s v="MX0046"/>
    <x v="6"/>
    <x v="8"/>
    <n v="2032"/>
    <s v="Lorenzo Rodríguez Osorio"/>
    <n v="40043"/>
    <m/>
    <m/>
    <x v="2"/>
    <m/>
    <m/>
    <m/>
    <x v="3"/>
    <s v="17.1850153, -94.2047243"/>
    <m/>
    <n v="4.9420433102704644"/>
    <m/>
    <n v="1100"/>
    <n v="1100"/>
    <s v=""/>
    <m/>
    <n v="1"/>
    <n v="1100"/>
    <n v="1100"/>
    <m/>
    <m/>
    <m/>
    <m/>
    <n v="0"/>
    <n v="1"/>
    <n v="1100"/>
    <n v="0"/>
    <m/>
    <n v="1"/>
    <n v="1"/>
    <n v="1100"/>
    <n v="1100"/>
    <n v="0"/>
    <n v="0"/>
    <n v="0"/>
    <m/>
    <m/>
    <n v="0.5"/>
    <n v="550"/>
    <m/>
    <m/>
    <n v="550"/>
    <m/>
    <m/>
    <m/>
    <m/>
    <m/>
    <m/>
    <m/>
    <n v="1"/>
    <n v="1"/>
    <m/>
    <m/>
    <m/>
    <n v="0"/>
    <m/>
    <n v="0"/>
    <n v="0"/>
    <n v="0"/>
    <n v="0"/>
    <n v="0"/>
    <n v="0"/>
    <n v="215600"/>
    <n v="215600"/>
    <n v="8.8539104771273979E-3"/>
  </r>
  <r>
    <s v="MX0047"/>
    <x v="7"/>
    <x v="8"/>
    <n v="2032"/>
    <s v="Moisés Jacinto Felipe"/>
    <n v="40044"/>
    <m/>
    <m/>
    <x v="2"/>
    <s v="jacintofelipemoises16@gmail.com"/>
    <m/>
    <m/>
    <x v="3"/>
    <s v="17.2663584, -94.8070242"/>
    <m/>
    <n v="11.905831611106118"/>
    <m/>
    <n v="4400"/>
    <n v="2650"/>
    <n v="1750"/>
    <m/>
    <n v="1"/>
    <n v="4400"/>
    <n v="2650"/>
    <m/>
    <m/>
    <m/>
    <m/>
    <n v="0"/>
    <n v="1"/>
    <n v="2650"/>
    <n v="0"/>
    <m/>
    <n v="1"/>
    <n v="1"/>
    <n v="2650"/>
    <n v="2650"/>
    <n v="0"/>
    <n v="0"/>
    <n v="0"/>
    <m/>
    <m/>
    <n v="0"/>
    <n v="0"/>
    <m/>
    <m/>
    <m/>
    <m/>
    <m/>
    <m/>
    <m/>
    <m/>
    <m/>
    <m/>
    <n v="1"/>
    <n v="1"/>
    <m/>
    <m/>
    <m/>
    <n v="0"/>
    <m/>
    <n v="0"/>
    <n v="0"/>
    <n v="0"/>
    <n v="0"/>
    <n v="0"/>
    <n v="0"/>
    <n v="519400"/>
    <n v="519400"/>
    <n v="8.8539104771273979E-3"/>
  </r>
  <r>
    <s v="MX0048"/>
    <x v="7"/>
    <x v="8"/>
    <n v="2032"/>
    <s v="Pedro Molina Sánchez"/>
    <n v="40033"/>
    <m/>
    <m/>
    <x v="2"/>
    <s v="molina_2155@hotmail.com"/>
    <m/>
    <m/>
    <x v="3"/>
    <s v="17.242757, -94.827848"/>
    <m/>
    <n v="7.4130649654056961"/>
    <m/>
    <n v="1650"/>
    <n v="1650"/>
    <s v=""/>
    <m/>
    <n v="1"/>
    <n v="1650"/>
    <n v="1650"/>
    <m/>
    <m/>
    <m/>
    <m/>
    <n v="0"/>
    <n v="1"/>
    <n v="1650"/>
    <n v="0"/>
    <m/>
    <n v="1"/>
    <n v="1"/>
    <n v="1650"/>
    <n v="1650"/>
    <n v="0"/>
    <n v="0"/>
    <n v="0"/>
    <m/>
    <m/>
    <n v="0"/>
    <n v="0"/>
    <m/>
    <m/>
    <m/>
    <m/>
    <m/>
    <m/>
    <m/>
    <m/>
    <m/>
    <m/>
    <n v="1"/>
    <n v="1"/>
    <m/>
    <m/>
    <m/>
    <n v="0"/>
    <m/>
    <n v="0"/>
    <n v="0"/>
    <n v="0"/>
    <n v="0"/>
    <n v="0"/>
    <n v="0"/>
    <n v="323400"/>
    <n v="323400"/>
    <n v="8.8539104771273979E-3"/>
  </r>
  <r>
    <s v="MX0049"/>
    <x v="7"/>
    <x v="8"/>
    <n v="2032"/>
    <s v="Roberta Felipe Cruz"/>
    <n v="40045"/>
    <m/>
    <m/>
    <x v="2"/>
    <s v="jacintofelipemoises16@gmail.com"/>
    <m/>
    <m/>
    <x v="3"/>
    <s v="17.2702675, -94.8103548"/>
    <m/>
    <n v="7.4130649654056961"/>
    <m/>
    <n v="2750"/>
    <n v="1650"/>
    <n v="1100"/>
    <m/>
    <n v="1"/>
    <n v="2750"/>
    <n v="1650"/>
    <m/>
    <m/>
    <m/>
    <m/>
    <n v="0"/>
    <n v="1"/>
    <n v="1650"/>
    <n v="0"/>
    <m/>
    <n v="1"/>
    <n v="1"/>
    <n v="1650"/>
    <n v="1650"/>
    <n v="0"/>
    <n v="0"/>
    <n v="0"/>
    <m/>
    <m/>
    <n v="0"/>
    <n v="0"/>
    <m/>
    <m/>
    <m/>
    <m/>
    <m/>
    <m/>
    <m/>
    <m/>
    <m/>
    <m/>
    <n v="1"/>
    <n v="1"/>
    <m/>
    <m/>
    <m/>
    <n v="0"/>
    <m/>
    <n v="0"/>
    <n v="0"/>
    <n v="0"/>
    <n v="0"/>
    <n v="0"/>
    <n v="0"/>
    <n v="323400"/>
    <n v="323400"/>
    <n v="8.8539104771273979E-3"/>
  </r>
  <r>
    <s v="MX0050"/>
    <x v="6"/>
    <x v="8"/>
    <n v="2032"/>
    <s v="Sofía Bautista Bustos"/>
    <n v="40046"/>
    <m/>
    <m/>
    <x v="2"/>
    <s v="dalarconb@hotmail.com"/>
    <m/>
    <m/>
    <x v="3"/>
    <s v="17.581839, -95.235197"/>
    <m/>
    <n v="12.355108275676161"/>
    <m/>
    <n v="2750"/>
    <n v="2750"/>
    <s v=""/>
    <m/>
    <n v="1"/>
    <n v="2750"/>
    <n v="2750"/>
    <m/>
    <m/>
    <m/>
    <m/>
    <n v="0"/>
    <n v="1"/>
    <n v="2750"/>
    <n v="0"/>
    <m/>
    <n v="1"/>
    <n v="1"/>
    <n v="2750"/>
    <n v="2750"/>
    <n v="0"/>
    <n v="0"/>
    <n v="0"/>
    <m/>
    <m/>
    <n v="0"/>
    <n v="0"/>
    <m/>
    <m/>
    <m/>
    <m/>
    <m/>
    <m/>
    <m/>
    <m/>
    <m/>
    <m/>
    <n v="1"/>
    <n v="1"/>
    <m/>
    <m/>
    <m/>
    <n v="0"/>
    <m/>
    <n v="0"/>
    <n v="0"/>
    <n v="0"/>
    <n v="0"/>
    <n v="0"/>
    <n v="0"/>
    <n v="539000"/>
    <n v="539000"/>
    <n v="8.8539104771273979E-3"/>
  </r>
  <r>
    <s v="MX0051"/>
    <x v="7"/>
    <x v="8"/>
    <n v="2032"/>
    <s v="Tito Soria Pérez"/>
    <n v="40035"/>
    <m/>
    <m/>
    <x v="2"/>
    <s v="‎soriapereztito@gmail.com"/>
    <m/>
    <m/>
    <x v="3"/>
    <s v="17.799281, -93.462602"/>
    <m/>
    <n v="49.420433102704642"/>
    <m/>
    <n v="11000"/>
    <n v="11000"/>
    <s v=""/>
    <m/>
    <n v="1"/>
    <n v="11000"/>
    <n v="11000"/>
    <m/>
    <m/>
    <m/>
    <m/>
    <n v="0"/>
    <n v="1"/>
    <n v="11000"/>
    <n v="0"/>
    <m/>
    <n v="1"/>
    <n v="1"/>
    <n v="11000"/>
    <n v="11000"/>
    <n v="0"/>
    <n v="0"/>
    <n v="0"/>
    <m/>
    <m/>
    <n v="0"/>
    <n v="0"/>
    <m/>
    <m/>
    <m/>
    <m/>
    <m/>
    <m/>
    <m/>
    <m/>
    <m/>
    <m/>
    <n v="1"/>
    <n v="1"/>
    <m/>
    <m/>
    <m/>
    <n v="0"/>
    <m/>
    <n v="0"/>
    <n v="0"/>
    <n v="0"/>
    <n v="0"/>
    <n v="0"/>
    <n v="0"/>
    <n v="2156000"/>
    <n v="2156000"/>
    <n v="8.8539104771273979E-3"/>
  </r>
  <r>
    <s v="MX0052"/>
    <x v="6"/>
    <x v="8"/>
    <n v="2032"/>
    <s v="Victorico Ortega Cohetero"/>
    <n v="40047"/>
    <m/>
    <m/>
    <x v="2"/>
    <s v="Victoricoortegacohetero@gmail.com"/>
    <m/>
    <m/>
    <x v="3"/>
    <s v="17.216251, -94.217917"/>
    <m/>
    <n v="12.355108275676161"/>
    <m/>
    <n v="2750"/>
    <n v="2750"/>
    <s v=""/>
    <m/>
    <n v="1"/>
    <n v="2750"/>
    <n v="2750"/>
    <m/>
    <m/>
    <m/>
    <m/>
    <n v="0"/>
    <n v="1"/>
    <n v="2750"/>
    <n v="0"/>
    <m/>
    <n v="1"/>
    <n v="1"/>
    <n v="2750"/>
    <n v="2750"/>
    <n v="0"/>
    <n v="0"/>
    <n v="0"/>
    <m/>
    <m/>
    <n v="3.6363636363636362E-2"/>
    <n v="100"/>
    <m/>
    <m/>
    <n v="100"/>
    <m/>
    <m/>
    <m/>
    <m/>
    <m/>
    <m/>
    <m/>
    <n v="1"/>
    <n v="1"/>
    <m/>
    <m/>
    <m/>
    <n v="0"/>
    <m/>
    <n v="0"/>
    <n v="0"/>
    <n v="0"/>
    <n v="0"/>
    <n v="0"/>
    <n v="0"/>
    <n v="539000"/>
    <n v="539000"/>
    <n v="8.8539104771273979E-3"/>
  </r>
  <r>
    <s v="US0145"/>
    <x v="6"/>
    <x v="8"/>
    <n v="2032"/>
    <s v="Andy McCormick"/>
    <n v="10120"/>
    <s v="Andy McCormick"/>
    <s v="256-201-1839"/>
    <x v="2"/>
    <s v="grandmastersx32x@yahoo.com"/>
    <s v="380 County Road 923 Heflin AL 36264-3658"/>
    <s v="380 County Road 923 Heflin AL 36264-3658"/>
    <x v="0"/>
    <s v="33.544381, -85.638128"/>
    <n v="15"/>
    <n v="15"/>
    <m/>
    <n v="1650"/>
    <n v="1650"/>
    <s v=""/>
    <m/>
    <n v="1"/>
    <n v="1650"/>
    <n v="1650"/>
    <m/>
    <m/>
    <m/>
    <m/>
    <n v="0"/>
    <n v="1"/>
    <n v="1650"/>
    <n v="0"/>
    <m/>
    <n v="1"/>
    <n v="1"/>
    <n v="1650"/>
    <n v="1650"/>
    <n v="0"/>
    <n v="0"/>
    <n v="0"/>
    <s v="Fortunei"/>
    <m/>
    <n v="0.12121212121212122"/>
    <n v="200"/>
    <m/>
    <n v="200"/>
    <m/>
    <m/>
    <m/>
    <m/>
    <m/>
    <m/>
    <m/>
    <m/>
    <n v="1"/>
    <n v="1"/>
    <m/>
    <m/>
    <m/>
    <n v="0"/>
    <m/>
    <n v="0"/>
    <n v="0"/>
    <n v="0"/>
    <n v="0"/>
    <n v="0"/>
    <n v="0"/>
    <n v="323400"/>
    <n v="323400"/>
    <n v="8.8539104771273979E-3"/>
  </r>
  <r>
    <s v="US0146"/>
    <x v="6"/>
    <x v="8"/>
    <n v="2032"/>
    <s v="Clinton Hardie"/>
    <n v="10121"/>
    <s v="Anita J Hardie"/>
    <s v="478-808-1458"/>
    <x v="2"/>
    <s v="awnfarms@hotmail.com"/>
    <s v="177 Hwy 243 Ivey GA. 31031"/>
    <s v="181 GA-243, Ivey, GA 31031, USA"/>
    <x v="0"/>
    <s v="32.9159, -83.2916"/>
    <n v="28"/>
    <n v="25.454545454545453"/>
    <m/>
    <n v="2800"/>
    <n v="2800"/>
    <m/>
    <m/>
    <n v="1"/>
    <n v="2800"/>
    <n v="2800"/>
    <m/>
    <m/>
    <m/>
    <m/>
    <n v="0"/>
    <n v="1"/>
    <n v="2800"/>
    <n v="0"/>
    <m/>
    <n v="1"/>
    <n v="1"/>
    <n v="2800"/>
    <n v="2800"/>
    <n v="0"/>
    <n v="0"/>
    <n v="0"/>
    <s v="Fortunei"/>
    <m/>
    <n v="0.27214285714285713"/>
    <n v="762"/>
    <m/>
    <n v="475"/>
    <n v="287"/>
    <m/>
    <m/>
    <m/>
    <m/>
    <m/>
    <m/>
    <m/>
    <n v="1"/>
    <n v="1"/>
    <m/>
    <m/>
    <m/>
    <n v="0"/>
    <m/>
    <n v="0"/>
    <n v="0"/>
    <n v="0"/>
    <n v="0"/>
    <n v="0"/>
    <n v="0"/>
    <n v="548800"/>
    <n v="548800"/>
    <n v="8.8539104771273979E-3"/>
  </r>
  <r>
    <s v="US0147"/>
    <x v="6"/>
    <x v="8"/>
    <n v="2032"/>
    <s v="Colin McCulley"/>
    <n v="10122"/>
    <s v="Colin McCulley"/>
    <s v="478-457-6214"/>
    <x v="2"/>
    <s v="mcc120797@gmail.com"/>
    <s v="23780 U.S. 441, Milledgeville, GA 31061"/>
    <s v="23780 U.S. 441, Milledgeville, GA 31061"/>
    <x v="0"/>
    <s v="32.950704, -83.201976"/>
    <n v="15"/>
    <n v="12"/>
    <m/>
    <n v="1320"/>
    <n v="1320"/>
    <m/>
    <m/>
    <n v="1"/>
    <n v="1320"/>
    <n v="1320"/>
    <m/>
    <m/>
    <m/>
    <m/>
    <n v="0"/>
    <n v="1"/>
    <n v="1320"/>
    <n v="0"/>
    <m/>
    <n v="1"/>
    <n v="1"/>
    <n v="1320"/>
    <n v="1320"/>
    <n v="0"/>
    <n v="0"/>
    <n v="0"/>
    <s v="Fortunei"/>
    <m/>
    <n v="0.12272727272727273"/>
    <n v="162"/>
    <m/>
    <n v="75"/>
    <n v="87"/>
    <m/>
    <m/>
    <m/>
    <m/>
    <m/>
    <m/>
    <m/>
    <n v="1"/>
    <n v="1"/>
    <m/>
    <m/>
    <m/>
    <n v="0"/>
    <m/>
    <n v="0"/>
    <n v="0"/>
    <n v="0"/>
    <n v="0"/>
    <n v="0"/>
    <n v="0"/>
    <n v="258720"/>
    <n v="258720"/>
    <n v="8.8539104771273979E-3"/>
  </r>
  <r>
    <s v="US0148"/>
    <x v="6"/>
    <x v="8"/>
    <n v="2032"/>
    <s v="David Hall"/>
    <n v="10110"/>
    <s v="David Hall"/>
    <s v="229-416-8076"/>
    <x v="2"/>
    <s v="dhall123@netzero.net"/>
    <s v="2975 Herring Buckhole Rd Donalsonville GA 39845-6025"/>
    <s v="2975 Herring Buckhole Rd Donalsonville GA 39845-6025"/>
    <x v="0"/>
    <s v="30.959732, -84.864059"/>
    <n v="10"/>
    <n v="10"/>
    <m/>
    <n v="1100"/>
    <n v="1100"/>
    <s v=""/>
    <m/>
    <n v="1"/>
    <n v="1100"/>
    <n v="1100"/>
    <m/>
    <m/>
    <m/>
    <m/>
    <n v="0"/>
    <n v="1"/>
    <n v="1100"/>
    <n v="0"/>
    <m/>
    <n v="1"/>
    <n v="1"/>
    <n v="1100"/>
    <n v="1100"/>
    <n v="0"/>
    <n v="0"/>
    <n v="0"/>
    <s v="Fortunei"/>
    <m/>
    <n v="3.090909090909091E-2"/>
    <n v="34"/>
    <m/>
    <m/>
    <n v="34"/>
    <m/>
    <m/>
    <m/>
    <m/>
    <m/>
    <m/>
    <m/>
    <n v="1"/>
    <n v="1"/>
    <m/>
    <m/>
    <m/>
    <n v="0"/>
    <m/>
    <n v="0"/>
    <n v="0"/>
    <n v="0"/>
    <n v="0"/>
    <n v="0"/>
    <n v="0"/>
    <n v="215600"/>
    <n v="215600"/>
    <n v="8.8539104771273979E-3"/>
  </r>
  <r>
    <s v="US0149"/>
    <x v="6"/>
    <x v="8"/>
    <n v="2032"/>
    <s v="Greg Lumpkin"/>
    <n v="10123"/>
    <s v="WT Lumpkin Farms"/>
    <s v="229-317-3926"/>
    <x v="2"/>
    <s v="gregtlumpkin@yahoo.com"/>
    <s v="274 Snapper Rd, Cuthbert GA, 39840"/>
    <s v="274 Snapper Rd, Cuthbert GA, 39840"/>
    <x v="0"/>
    <s v="31.6476889, -84.8328527, 31.6701278, -84.811122"/>
    <n v="16"/>
    <n v="19.054545454545455"/>
    <m/>
    <n v="2096"/>
    <n v="2096"/>
    <s v=""/>
    <m/>
    <n v="1"/>
    <n v="2096"/>
    <n v="2096"/>
    <m/>
    <m/>
    <m/>
    <m/>
    <n v="0"/>
    <n v="1"/>
    <n v="1760"/>
    <n v="0"/>
    <m/>
    <n v="1"/>
    <n v="1"/>
    <n v="1760"/>
    <n v="1760"/>
    <n v="0"/>
    <n v="0"/>
    <n v="0"/>
    <s v="Fortunei"/>
    <m/>
    <n v="0"/>
    <n v="0"/>
    <m/>
    <m/>
    <m/>
    <m/>
    <m/>
    <m/>
    <m/>
    <m/>
    <m/>
    <m/>
    <n v="1"/>
    <n v="1"/>
    <m/>
    <m/>
    <m/>
    <n v="0"/>
    <m/>
    <n v="0"/>
    <n v="0"/>
    <n v="0"/>
    <n v="0"/>
    <n v="0"/>
    <n v="0"/>
    <n v="344960"/>
    <n v="344960"/>
    <n v="8.8539104771273979E-3"/>
  </r>
  <r>
    <s v="US0150"/>
    <x v="6"/>
    <x v="8"/>
    <n v="2032"/>
    <s v="Jim Lamberth"/>
    <n v="10124"/>
    <s v="James Lamberth"/>
    <s v="615-351-6509"/>
    <x v="2"/>
    <s v="jim@sunshinepoolstn.com"/>
    <s v="901 Clearview Rd, COTTONTOWN, TN, 37048"/>
    <s v="901 Clearview Rd, COTTONTOWN, TN, 37048"/>
    <x v="0"/>
    <s v="36.547, -86.5798"/>
    <n v="20"/>
    <n v="20"/>
    <m/>
    <n v="2200"/>
    <n v="2200"/>
    <s v=""/>
    <m/>
    <n v="1"/>
    <n v="2200"/>
    <n v="2200"/>
    <m/>
    <m/>
    <m/>
    <m/>
    <n v="0"/>
    <n v="1"/>
    <n v="2200"/>
    <n v="0"/>
    <m/>
    <n v="1"/>
    <n v="1"/>
    <n v="2200"/>
    <n v="2200"/>
    <n v="0"/>
    <n v="0"/>
    <n v="0"/>
    <s v="Fortunei"/>
    <m/>
    <n v="9.0909090909090912E-2"/>
    <n v="200"/>
    <m/>
    <n v="200"/>
    <m/>
    <m/>
    <m/>
    <m/>
    <m/>
    <m/>
    <m/>
    <m/>
    <n v="1"/>
    <n v="1"/>
    <m/>
    <m/>
    <m/>
    <n v="0"/>
    <m/>
    <n v="0"/>
    <n v="0"/>
    <n v="0"/>
    <n v="0"/>
    <n v="0"/>
    <n v="0"/>
    <n v="431200"/>
    <n v="431200"/>
    <n v="8.8539104771273979E-3"/>
  </r>
  <r>
    <s v="US0151"/>
    <x v="6"/>
    <x v="8"/>
    <n v="2032"/>
    <s v="Jim West"/>
    <n v="10061"/>
    <s v="Jim West"/>
    <s v="706-200-6522"/>
    <x v="2"/>
    <s v="westjb@hotmail.com"/>
    <s v="2984 Georgia 255, Sautee Nacoochee, GA, USA"/>
    <s v="2984 Georgia 255, Sautee Nacoochee, GA, USA"/>
    <x v="0"/>
    <s v="34.7043556, -83.6595083"/>
    <n v="10"/>
    <n v="10"/>
    <m/>
    <n v="1100"/>
    <n v="1100"/>
    <s v=""/>
    <m/>
    <n v="1"/>
    <n v="1100"/>
    <n v="1100"/>
    <m/>
    <m/>
    <m/>
    <m/>
    <n v="0"/>
    <n v="1"/>
    <n v="1100"/>
    <n v="0"/>
    <m/>
    <n v="1"/>
    <n v="1"/>
    <n v="1100"/>
    <n v="1100"/>
    <n v="0"/>
    <n v="0"/>
    <n v="0"/>
    <s v="Fortunei"/>
    <m/>
    <n v="8.1818181818181818E-2"/>
    <n v="90"/>
    <m/>
    <n v="90"/>
    <m/>
    <m/>
    <m/>
    <m/>
    <m/>
    <m/>
    <m/>
    <m/>
    <n v="1"/>
    <n v="1"/>
    <m/>
    <m/>
    <m/>
    <n v="0"/>
    <m/>
    <n v="0"/>
    <n v="0"/>
    <n v="0"/>
    <n v="0"/>
    <n v="0"/>
    <n v="0"/>
    <n v="215600"/>
    <n v="215600"/>
    <n v="8.8539104771273979E-3"/>
  </r>
  <r>
    <s v="US0152"/>
    <x v="6"/>
    <x v="8"/>
    <n v="2032"/>
    <s v="Kyle Flint"/>
    <n v="10094"/>
    <s v="Kyle Flint"/>
    <s v="405-215-8195"/>
    <x v="2"/>
    <s v="kyle.flint@bhboring.com"/>
    <s v="301 James Dean Dr Norman OK 73072-9793"/>
    <s v="2450 Cox City Rd, Rush Springs, OK, USA"/>
    <x v="0"/>
    <s v="35.023722, -97.734500"/>
    <n v="10"/>
    <n v="10"/>
    <m/>
    <n v="1100"/>
    <n v="1100"/>
    <s v=""/>
    <m/>
    <n v="1"/>
    <n v="1100"/>
    <n v="1100"/>
    <m/>
    <m/>
    <m/>
    <m/>
    <n v="0"/>
    <n v="1"/>
    <n v="1100"/>
    <n v="0"/>
    <m/>
    <n v="1"/>
    <n v="0.5"/>
    <n v="550"/>
    <n v="550"/>
    <n v="0"/>
    <n v="0"/>
    <n v="0"/>
    <s v="Fortunei"/>
    <m/>
    <n v="0"/>
    <n v="0"/>
    <m/>
    <m/>
    <m/>
    <m/>
    <m/>
    <m/>
    <m/>
    <m/>
    <m/>
    <m/>
    <n v="1"/>
    <n v="1"/>
    <m/>
    <m/>
    <m/>
    <n v="0"/>
    <m/>
    <n v="0"/>
    <n v="0"/>
    <n v="0"/>
    <n v="0"/>
    <n v="0"/>
    <n v="0"/>
    <n v="107800"/>
    <n v="107800"/>
    <n v="8.8539104771273979E-3"/>
  </r>
  <r>
    <s v="US0153"/>
    <x v="7"/>
    <x v="8"/>
    <n v="2032"/>
    <s v="Rob Cason"/>
    <n v="10116"/>
    <s v="Rob Cason"/>
    <s v="352-494-3072"/>
    <x v="2"/>
    <s v="robc@cheneybrothers.com"/>
    <s v="12060 NE County Road 237 Lake Butler FL 32054-5200"/>
    <s v="12060 NE County Road 237 Lake Butler FL 32054-5200"/>
    <x v="0"/>
    <s v="30.047118, -82.259403"/>
    <n v="13"/>
    <n v="13"/>
    <m/>
    <n v="1430"/>
    <n v="1430"/>
    <s v=""/>
    <m/>
    <n v="1"/>
    <n v="1430"/>
    <n v="1430"/>
    <m/>
    <m/>
    <m/>
    <m/>
    <n v="0"/>
    <n v="1"/>
    <n v="1430"/>
    <n v="0"/>
    <m/>
    <n v="1"/>
    <n v="1"/>
    <n v="1430"/>
    <n v="1430"/>
    <n v="0"/>
    <n v="0"/>
    <n v="0"/>
    <s v="Fortunei"/>
    <m/>
    <n v="1.3286713286713287E-2"/>
    <n v="19"/>
    <m/>
    <m/>
    <n v="19"/>
    <m/>
    <m/>
    <m/>
    <m/>
    <m/>
    <m/>
    <m/>
    <n v="1"/>
    <n v="1"/>
    <m/>
    <m/>
    <m/>
    <n v="0"/>
    <m/>
    <n v="0"/>
    <n v="0"/>
    <n v="0"/>
    <n v="0"/>
    <n v="0"/>
    <n v="0"/>
    <n v="280280"/>
    <n v="280280"/>
    <n v="8.8539104771273979E-3"/>
  </r>
  <r>
    <s v="US0154"/>
    <x v="7"/>
    <x v="8"/>
    <n v="2032"/>
    <s v="Steve Carson"/>
    <n v="10125"/>
    <s v="Steve Carson"/>
    <s v="813-731-1266"/>
    <x v="2"/>
    <s v="makanifl@verizon.net"/>
    <s v="9024 Breland Dr Tampa FL 33626-2974"/>
    <s v="1631 Georgia Highway 253, Donalsonville 39845 USA"/>
    <x v="0"/>
    <s v="31.002013, -84.443413"/>
    <n v="25"/>
    <n v="25"/>
    <m/>
    <n v="2750"/>
    <n v="2750"/>
    <s v=""/>
    <m/>
    <n v="1"/>
    <n v="2750"/>
    <n v="2750"/>
    <m/>
    <m/>
    <m/>
    <m/>
    <n v="0"/>
    <n v="1"/>
    <n v="2750"/>
    <n v="0"/>
    <m/>
    <n v="1"/>
    <n v="1"/>
    <n v="2750"/>
    <n v="2750"/>
    <n v="0"/>
    <n v="0"/>
    <n v="0"/>
    <s v="Fortunei"/>
    <s v="11,12"/>
    <n v="0.2"/>
    <n v="550"/>
    <m/>
    <n v="550"/>
    <m/>
    <m/>
    <m/>
    <m/>
    <m/>
    <m/>
    <m/>
    <m/>
    <n v="1"/>
    <n v="1"/>
    <m/>
    <m/>
    <m/>
    <n v="0"/>
    <m/>
    <n v="0"/>
    <n v="0"/>
    <n v="0"/>
    <n v="0"/>
    <n v="0"/>
    <n v="0"/>
    <n v="539000"/>
    <n v="539000"/>
    <n v="8.8539104771273979E-3"/>
  </r>
  <r>
    <s v="US0155"/>
    <x v="9"/>
    <x v="10"/>
    <n v="2033"/>
    <s v="Anthony Lea"/>
    <n v="10089"/>
    <s v="Jacqueline and Anthony Lea"/>
    <s v="225-939-2710"/>
    <x v="2"/>
    <s v="anthonylearph@gmail.com"/>
    <s v="41190 Cannon Road, Gonzales, LA 70737"/>
    <s v="Gretchen Lane Off, Covington, LA 70435"/>
    <x v="0"/>
    <s v="30.512792, -90.144444"/>
    <m/>
    <n v="12"/>
    <m/>
    <n v="1320"/>
    <n v="1320"/>
    <m/>
    <m/>
    <n v="1"/>
    <n v="1320"/>
    <n v="1320"/>
    <m/>
    <m/>
    <m/>
    <m/>
    <n v="0"/>
    <m/>
    <m/>
    <n v="1320"/>
    <n v="1"/>
    <n v="1"/>
    <n v="1"/>
    <n v="0"/>
    <n v="0"/>
    <n v="0"/>
    <n v="0"/>
    <n v="0"/>
    <s v="Fortunei"/>
    <s v="2,12,13,14,18"/>
    <n v="0"/>
    <n v="0"/>
    <m/>
    <m/>
    <m/>
    <m/>
    <m/>
    <m/>
    <m/>
    <m/>
    <m/>
    <m/>
    <n v="1"/>
    <m/>
    <m/>
    <m/>
    <m/>
    <n v="0"/>
    <m/>
    <n v="0"/>
    <n v="0"/>
    <n v="0"/>
    <n v="0"/>
    <n v="0"/>
    <n v="0"/>
    <n v="0"/>
    <n v="0"/>
    <n v="8.8495575221238937E-3"/>
  </r>
  <r>
    <s v="US0156"/>
    <x v="7"/>
    <x v="10"/>
    <n v="2033"/>
    <s v="Austin Stacy"/>
    <n v="10126"/>
    <s v="S&amp;S Timber Farms, Inc"/>
    <s v="678-943-7687"/>
    <x v="2"/>
    <s v="greggstacy2@aol.com , austinstacy25@gmail.com"/>
    <s v="5334 Birchland Court Buford GA 30518"/>
    <s v="1321 Ga Highway 15 S, Adrian, GA, 31002"/>
    <x v="0"/>
    <s v="32.5623385, -82.6182654"/>
    <m/>
    <n v="40"/>
    <m/>
    <n v="4400"/>
    <n v="4400"/>
    <s v=""/>
    <m/>
    <n v="1"/>
    <n v="4400"/>
    <n v="4400"/>
    <m/>
    <m/>
    <m/>
    <m/>
    <n v="0"/>
    <m/>
    <m/>
    <n v="4400"/>
    <n v="1"/>
    <n v="1"/>
    <n v="1"/>
    <n v="4400"/>
    <n v="4400"/>
    <n v="0"/>
    <n v="0"/>
    <n v="0"/>
    <s v="Fortunei"/>
    <m/>
    <n v="0"/>
    <n v="0"/>
    <m/>
    <m/>
    <m/>
    <m/>
    <m/>
    <m/>
    <m/>
    <m/>
    <m/>
    <m/>
    <n v="1"/>
    <m/>
    <m/>
    <m/>
    <m/>
    <n v="0"/>
    <m/>
    <n v="0"/>
    <n v="0"/>
    <n v="0"/>
    <n v="0"/>
    <n v="0"/>
    <n v="0"/>
    <n v="862400"/>
    <n v="862400"/>
    <n v="8.8495575221238937E-3"/>
  </r>
  <r>
    <s v="US0157"/>
    <x v="7"/>
    <x v="10"/>
    <n v="2033"/>
    <s v="Cortney and Josh Chancey"/>
    <n v="10127"/>
    <s v="Cortney and Josh Chancey"/>
    <s v="334-202-2441"/>
    <x v="2"/>
    <s v="cmp926@gmail.com"/>
    <s v="521 County Road 20 East, Marbury, AL 36051"/>
    <s v="521 County Road 20 E, Marbury, AL 36051"/>
    <x v="0"/>
    <s v="32.706608, -86.430760"/>
    <m/>
    <n v="10"/>
    <m/>
    <n v="1100"/>
    <n v="1100"/>
    <s v=""/>
    <m/>
    <n v="1"/>
    <n v="1100"/>
    <n v="1100"/>
    <m/>
    <m/>
    <m/>
    <m/>
    <n v="0"/>
    <m/>
    <m/>
    <n v="1100"/>
    <n v="1"/>
    <n v="1"/>
    <n v="1"/>
    <n v="1100"/>
    <n v="1100"/>
    <n v="0"/>
    <n v="0"/>
    <n v="0"/>
    <s v="Fortunei"/>
    <s v="18, 13"/>
    <n v="2.2727272727272728E-2"/>
    <n v="25"/>
    <m/>
    <n v="25"/>
    <m/>
    <m/>
    <m/>
    <m/>
    <m/>
    <m/>
    <m/>
    <m/>
    <n v="1"/>
    <m/>
    <m/>
    <m/>
    <m/>
    <n v="0"/>
    <m/>
    <n v="0"/>
    <n v="0"/>
    <n v="0"/>
    <n v="0"/>
    <n v="0"/>
    <n v="0"/>
    <n v="215600"/>
    <n v="215600"/>
    <n v="8.8495575221238937E-3"/>
  </r>
  <r>
    <s v="US0158"/>
    <x v="9"/>
    <x v="10"/>
    <n v="2033"/>
    <s v="Gary Goldsmith"/>
    <n v="10128"/>
    <s v="Gary Goldsmith and_x000a_Chester Dooly"/>
    <s v="850-240-0780, 850-305-3985"/>
    <x v="2"/>
    <s v="gmgoldsmith@hotmail.com, chester.dooly@conlanacres.com"/>
    <s v="211 Avondale Circle, Warner Robins, GA 31088"/>
    <s v="5690 Pine Level Road, Oglethorpe, GA 31068"/>
    <x v="0"/>
    <s v="32.42897, -84.09932"/>
    <m/>
    <n v="10"/>
    <m/>
    <n v="1100"/>
    <n v="1100"/>
    <m/>
    <m/>
    <n v="1"/>
    <n v="1100"/>
    <n v="1100"/>
    <m/>
    <m/>
    <m/>
    <m/>
    <n v="0"/>
    <m/>
    <m/>
    <n v="1100"/>
    <n v="1"/>
    <n v="1"/>
    <n v="1"/>
    <n v="0"/>
    <n v="0"/>
    <n v="0"/>
    <n v="0"/>
    <n v="0"/>
    <s v="Fortunei"/>
    <m/>
    <n v="0"/>
    <n v="0"/>
    <m/>
    <m/>
    <m/>
    <m/>
    <m/>
    <m/>
    <m/>
    <m/>
    <m/>
    <m/>
    <n v="1"/>
    <m/>
    <m/>
    <m/>
    <m/>
    <n v="0"/>
    <m/>
    <n v="0"/>
    <n v="0"/>
    <n v="0"/>
    <n v="0"/>
    <n v="0"/>
    <n v="0"/>
    <n v="0"/>
    <n v="0"/>
    <n v="8.8495575221238937E-3"/>
  </r>
  <r>
    <s v="US0159"/>
    <x v="9"/>
    <x v="10"/>
    <n v="2033"/>
    <s v="Greg Lumpkin"/>
    <n v="10123"/>
    <s v="WT Lumpkin Farms"/>
    <s v="229-317-3926"/>
    <x v="2"/>
    <s v="gregtlumpkin@yahoo.com"/>
    <s v="274 Snapper rd Coleman Ga 39836"/>
    <s v="274 Snapper Rd, Coleman GA, 39840"/>
    <x v="0"/>
    <s v="31.6701278, -84.811122"/>
    <m/>
    <n v="6"/>
    <m/>
    <n v="660"/>
    <n v="660"/>
    <s v=""/>
    <m/>
    <n v="1"/>
    <n v="660"/>
    <n v="660"/>
    <m/>
    <m/>
    <m/>
    <m/>
    <n v="0"/>
    <m/>
    <m/>
    <n v="660"/>
    <n v="1"/>
    <n v="1"/>
    <n v="1"/>
    <n v="660"/>
    <n v="660"/>
    <n v="0"/>
    <n v="0"/>
    <n v="0"/>
    <s v="Fortunei"/>
    <m/>
    <n v="0.30303030303030304"/>
    <n v="200"/>
    <m/>
    <n v="200"/>
    <m/>
    <m/>
    <m/>
    <m/>
    <m/>
    <m/>
    <m/>
    <m/>
    <n v="1"/>
    <m/>
    <m/>
    <m/>
    <m/>
    <n v="0"/>
    <m/>
    <n v="0"/>
    <n v="0"/>
    <n v="0"/>
    <n v="0"/>
    <n v="0"/>
    <n v="0"/>
    <n v="129360"/>
    <n v="129360"/>
    <n v="8.8495575221238937E-3"/>
  </r>
  <r>
    <s v="US0160"/>
    <x v="9"/>
    <x v="10"/>
    <n v="2033"/>
    <s v="Keller Galpin"/>
    <n v="10129"/>
    <s v="Keller Galpin"/>
    <s v="229-220-9169"/>
    <x v="2"/>
    <s v="kwgalpin@gmail.com"/>
    <s v="2113 Blacklake Circle, Bainbridge, Ga 39819"/>
    <s v="Off Sharber Rd, Bainbridge, GA, 39817"/>
    <x v="0"/>
    <s v="30.9439, -84.52606"/>
    <m/>
    <n v="10"/>
    <m/>
    <n v="1100"/>
    <n v="1100"/>
    <s v=""/>
    <m/>
    <n v="1"/>
    <n v="1100"/>
    <n v="1100"/>
    <m/>
    <m/>
    <m/>
    <m/>
    <n v="0"/>
    <m/>
    <m/>
    <n v="1100"/>
    <n v="1"/>
    <n v="1"/>
    <n v="1"/>
    <n v="1100"/>
    <n v="1100"/>
    <n v="0"/>
    <n v="0"/>
    <n v="0"/>
    <s v="Fortunei"/>
    <m/>
    <n v="0"/>
    <n v="0"/>
    <m/>
    <m/>
    <m/>
    <m/>
    <m/>
    <m/>
    <m/>
    <m/>
    <m/>
    <m/>
    <n v="1"/>
    <m/>
    <m/>
    <m/>
    <m/>
    <n v="0"/>
    <m/>
    <n v="0"/>
    <n v="0"/>
    <n v="0"/>
    <n v="0"/>
    <n v="0"/>
    <n v="0"/>
    <n v="215600"/>
    <n v="215600"/>
    <n v="8.8495575221238937E-3"/>
  </r>
  <r>
    <s v="US0161"/>
    <x v="9"/>
    <x v="10"/>
    <n v="2033"/>
    <s v="Ken English"/>
    <n v="10130"/>
    <s v="Ken English"/>
    <s v="334-447-1046"/>
    <x v="2"/>
    <s v="kenenglish27@gmail.com"/>
    <s v="285 County Road 247, Elba, AL, USA"/>
    <s v="285 County Road 247, Elba, AL, USA"/>
    <x v="0"/>
    <s v="31.44218, -85.98702"/>
    <m/>
    <n v="15.454545454545455"/>
    <m/>
    <n v="1700"/>
    <n v="1700"/>
    <s v=""/>
    <m/>
    <n v="1"/>
    <n v="1700"/>
    <n v="1700"/>
    <m/>
    <m/>
    <m/>
    <m/>
    <n v="0"/>
    <m/>
    <m/>
    <n v="1700"/>
    <n v="1"/>
    <n v="1"/>
    <n v="1"/>
    <n v="1700"/>
    <n v="1700"/>
    <n v="0"/>
    <n v="0"/>
    <n v="0"/>
    <s v="Fortunei"/>
    <m/>
    <n v="0"/>
    <n v="0"/>
    <m/>
    <m/>
    <m/>
    <m/>
    <m/>
    <m/>
    <m/>
    <m/>
    <m/>
    <m/>
    <n v="1"/>
    <m/>
    <m/>
    <m/>
    <m/>
    <n v="0"/>
    <m/>
    <n v="0"/>
    <n v="0"/>
    <n v="0"/>
    <n v="0"/>
    <n v="0"/>
    <n v="0"/>
    <n v="333200"/>
    <n v="333200"/>
    <n v="8.8495575221238937E-3"/>
  </r>
  <r>
    <s v="US0162"/>
    <x v="9"/>
    <x v="10"/>
    <n v="2033"/>
    <s v="Manuel Folsom"/>
    <n v="10131"/>
    <s v="Manuel Folsom"/>
    <s v="850-624-2222"/>
    <x v="2"/>
    <s v="manuel.folsom@yahoo.com"/>
    <s v="4213 De Len Drive, Panama City, FL 32404"/>
    <s v="3821 Southwest County Road 534, Mayo, FL, USA"/>
    <x v="0"/>
    <s v="30.08279, -83.29082"/>
    <m/>
    <n v="17"/>
    <m/>
    <n v="1870"/>
    <n v="1870"/>
    <s v=""/>
    <m/>
    <n v="1"/>
    <n v="1870"/>
    <n v="1870"/>
    <m/>
    <m/>
    <m/>
    <m/>
    <n v="0"/>
    <m/>
    <m/>
    <n v="1870"/>
    <n v="1"/>
    <n v="1"/>
    <n v="0.3"/>
    <n v="561"/>
    <n v="561"/>
    <n v="0"/>
    <n v="0"/>
    <n v="0"/>
    <s v="Fortunei"/>
    <m/>
    <n v="0"/>
    <n v="0"/>
    <m/>
    <m/>
    <m/>
    <m/>
    <m/>
    <m/>
    <m/>
    <m/>
    <m/>
    <m/>
    <n v="1"/>
    <m/>
    <m/>
    <m/>
    <m/>
    <n v="0"/>
    <m/>
    <n v="0"/>
    <n v="0"/>
    <n v="0"/>
    <n v="0"/>
    <n v="0"/>
    <n v="0"/>
    <n v="109956"/>
    <n v="109956"/>
    <n v="8.8495575221238937E-3"/>
  </r>
  <r>
    <s v="US0163"/>
    <x v="9"/>
    <x v="10"/>
    <n v="2033"/>
    <s v="Rick Griffis"/>
    <n v="10115"/>
    <s v="Martha and Rick Griffis"/>
    <s v="229-834-8941"/>
    <x v="2"/>
    <s v="rickgriffis53@gmail.com"/>
    <s v="3272 GA Highway 135 N Lake Park GA 31636-6137"/>
    <s v="3272 GA Highway 135 N Lake Park GA 31636-6137"/>
    <x v="0"/>
    <s v="30.824649, -83.054345"/>
    <m/>
    <n v="10"/>
    <m/>
    <n v="1100"/>
    <n v="1100"/>
    <s v=""/>
    <m/>
    <n v="1"/>
    <n v="1100"/>
    <n v="1100"/>
    <m/>
    <m/>
    <m/>
    <m/>
    <n v="0"/>
    <m/>
    <m/>
    <n v="1100"/>
    <n v="1"/>
    <n v="1"/>
    <n v="1"/>
    <n v="1100"/>
    <n v="1100"/>
    <n v="0"/>
    <n v="0"/>
    <n v="0"/>
    <s v="Fortunei"/>
    <m/>
    <n v="0"/>
    <n v="0"/>
    <m/>
    <m/>
    <m/>
    <m/>
    <m/>
    <m/>
    <m/>
    <m/>
    <m/>
    <m/>
    <n v="1"/>
    <m/>
    <m/>
    <m/>
    <m/>
    <n v="0"/>
    <m/>
    <n v="0"/>
    <n v="0"/>
    <n v="0"/>
    <n v="0"/>
    <n v="0"/>
    <n v="0"/>
    <n v="215600"/>
    <n v="215600"/>
    <n v="8.8495575221238937E-3"/>
  </r>
  <r>
    <s v="US0164"/>
    <x v="9"/>
    <x v="10"/>
    <n v="2033"/>
    <s v="Steve Carson"/>
    <n v="10125"/>
    <s v="Steve Carson"/>
    <s v="813-731-1266"/>
    <x v="2"/>
    <s v="makanifl78@yahoo.com"/>
    <s v="9024 Breland Dr Tampa FL 33626-2974"/>
    <m/>
    <x v="0"/>
    <s v="31.00422383,-84.4464961"/>
    <m/>
    <n v="20"/>
    <m/>
    <n v="2310"/>
    <n v="2200"/>
    <n v="110"/>
    <n v="-110"/>
    <n v="1"/>
    <n v="2310"/>
    <n v="2200"/>
    <m/>
    <m/>
    <m/>
    <m/>
    <n v="0"/>
    <m/>
    <m/>
    <n v="2200"/>
    <n v="1"/>
    <n v="1"/>
    <n v="1"/>
    <n v="2200"/>
    <n v="2200"/>
    <n v="0"/>
    <n v="0"/>
    <n v="0"/>
    <s v="Fortunei"/>
    <n v="11"/>
    <n v="0.23809523809523808"/>
    <n v="550"/>
    <m/>
    <n v="550"/>
    <m/>
    <m/>
    <m/>
    <m/>
    <m/>
    <m/>
    <m/>
    <m/>
    <n v="1"/>
    <m/>
    <m/>
    <m/>
    <m/>
    <n v="0"/>
    <m/>
    <n v="0"/>
    <n v="0"/>
    <n v="0"/>
    <n v="0"/>
    <n v="0"/>
    <n v="0"/>
    <n v="431200"/>
    <n v="431200"/>
    <n v="8.8495575221238937E-3"/>
  </r>
  <r>
    <s v="US0165"/>
    <x v="9"/>
    <x v="10"/>
    <n v="2033"/>
    <s v="Steven Hunter"/>
    <n v="10104"/>
    <s v="Steven and_x000a_Christy Hunter"/>
    <s v="205-405-0233"/>
    <x v="2"/>
    <s v="stevenhunter@protonmail.com"/>
    <s v="2645 State Highway 139, Maplesville, Alabama_x000a_36750, USA"/>
    <s v="AL HWY 139, Maplesville, AL"/>
    <x v="0"/>
    <s v="32.8212800, -86.8920200"/>
    <m/>
    <n v="20"/>
    <m/>
    <n v="2200"/>
    <n v="2200"/>
    <s v=""/>
    <m/>
    <n v="1"/>
    <n v="2200"/>
    <n v="2200"/>
    <m/>
    <m/>
    <m/>
    <m/>
    <n v="0"/>
    <m/>
    <m/>
    <n v="2200"/>
    <n v="1"/>
    <n v="1"/>
    <n v="1"/>
    <n v="2200"/>
    <n v="2200"/>
    <n v="0"/>
    <n v="0"/>
    <n v="0"/>
    <s v="Fortunei"/>
    <s v="18, "/>
    <n v="4.5454545454545456E-2"/>
    <n v="100"/>
    <m/>
    <n v="100"/>
    <m/>
    <m/>
    <m/>
    <m/>
    <m/>
    <m/>
    <m/>
    <m/>
    <n v="1"/>
    <m/>
    <m/>
    <m/>
    <m/>
    <n v="0"/>
    <m/>
    <n v="0"/>
    <n v="0"/>
    <n v="0"/>
    <n v="0"/>
    <n v="0"/>
    <n v="0"/>
    <n v="431200"/>
    <n v="431200"/>
    <n v="8.8495575221238937E-3"/>
  </r>
  <r>
    <s v="CR0106"/>
    <x v="7"/>
    <x v="10"/>
    <n v="2033"/>
    <s v="Eduardo Trejos"/>
    <n v="20098"/>
    <s v="Eduardo Trejos"/>
    <m/>
    <x v="2"/>
    <s v="eduardotrejosobando@gmail.com"/>
    <m/>
    <s v="La Rita de Guapiles"/>
    <x v="1"/>
    <s v="10.331239, -83.715675"/>
    <m/>
    <n v="7.4131503108889909"/>
    <m/>
    <n v="1200"/>
    <n v="1200"/>
    <s v=""/>
    <m/>
    <n v="1"/>
    <n v="1200"/>
    <n v="1200"/>
    <m/>
    <m/>
    <m/>
    <m/>
    <n v="0"/>
    <m/>
    <m/>
    <n v="1200"/>
    <n v="1"/>
    <n v="1"/>
    <n v="1"/>
    <n v="1200"/>
    <n v="1200"/>
    <n v="0"/>
    <n v="0"/>
    <n v="0"/>
    <s v="Elongata CR"/>
    <s v="Elongata CR"/>
    <m/>
    <m/>
    <m/>
    <m/>
    <m/>
    <m/>
    <m/>
    <m/>
    <m/>
    <m/>
    <m/>
    <m/>
    <m/>
    <m/>
    <m/>
    <m/>
    <m/>
    <n v="0"/>
    <m/>
    <n v="0"/>
    <n v="0"/>
    <n v="0"/>
    <n v="0"/>
    <n v="0"/>
    <n v="0"/>
    <n v="235200"/>
    <n v="235200"/>
    <n v="8.8495575221238937E-3"/>
  </r>
  <r>
    <s v="CR0107"/>
    <x v="7"/>
    <x v="10"/>
    <n v="2033"/>
    <m/>
    <n v="20099"/>
    <s v="Rodrigo Mora"/>
    <n v="50686947869"/>
    <x v="2"/>
    <s v="roalmoa@gmail.com"/>
    <m/>
    <m/>
    <x v="1"/>
    <m/>
    <m/>
    <n v="7.4131503108889909"/>
    <m/>
    <n v="1200"/>
    <n v="1200"/>
    <s v=""/>
    <m/>
    <n v="1"/>
    <n v="1200"/>
    <n v="1200"/>
    <m/>
    <m/>
    <m/>
    <m/>
    <n v="0"/>
    <m/>
    <m/>
    <n v="1200"/>
    <n v="1"/>
    <n v="1"/>
    <n v="1"/>
    <n v="1200"/>
    <n v="1200"/>
    <n v="0"/>
    <n v="0"/>
    <n v="0"/>
    <m/>
    <s v="Elongata CR"/>
    <m/>
    <m/>
    <m/>
    <m/>
    <m/>
    <m/>
    <m/>
    <m/>
    <m/>
    <m/>
    <m/>
    <m/>
    <m/>
    <m/>
    <m/>
    <m/>
    <m/>
    <n v="0"/>
    <m/>
    <n v="0"/>
    <n v="0"/>
    <n v="0"/>
    <n v="0"/>
    <n v="0"/>
    <n v="0"/>
    <n v="235200"/>
    <n v="235200"/>
    <n v="8.8495575221238937E-3"/>
  </r>
  <r>
    <s v="CR0108"/>
    <x v="9"/>
    <x v="10"/>
    <n v="2033"/>
    <s v="Leidi Villalobos Arius"/>
    <n v="20100"/>
    <s v="Leidy Judith de la Trinidad Villalobos Arias, Carolina Castro"/>
    <s v="83120389 and 84152315"/>
    <x v="2"/>
    <s v="serviciosvillalobos94@gmail,com"/>
    <m/>
    <m/>
    <x v="1"/>
    <s v="10.7182-84.8363"/>
    <m/>
    <n v="7.4131503108889909"/>
    <m/>
    <n v="1200"/>
    <n v="1200"/>
    <s v=""/>
    <m/>
    <n v="1"/>
    <n v="1200"/>
    <n v="1200"/>
    <m/>
    <m/>
    <m/>
    <m/>
    <n v="0"/>
    <m/>
    <m/>
    <n v="1200"/>
    <n v="1"/>
    <n v="1"/>
    <n v="1"/>
    <n v="1200"/>
    <n v="1200"/>
    <n v="0"/>
    <n v="0"/>
    <n v="0"/>
    <m/>
    <s v="Elongata CR"/>
    <m/>
    <m/>
    <m/>
    <m/>
    <m/>
    <m/>
    <m/>
    <m/>
    <m/>
    <m/>
    <m/>
    <m/>
    <m/>
    <m/>
    <m/>
    <m/>
    <m/>
    <n v="0"/>
    <m/>
    <n v="0"/>
    <n v="0"/>
    <n v="0"/>
    <n v="0"/>
    <n v="0"/>
    <n v="0"/>
    <n v="235200"/>
    <n v="235200"/>
    <n v="8.8495575221238937E-3"/>
  </r>
  <r>
    <s v="CR0110"/>
    <x v="9"/>
    <x v="10"/>
    <n v="2033"/>
    <m/>
    <n v="20091"/>
    <s v="Jose Francisco Angulo"/>
    <m/>
    <x v="2"/>
    <s v="eraulangulo@gmail.com;fedemais2000@gmail.com"/>
    <m/>
    <m/>
    <x v="1"/>
    <s v="9.715530-84.493030"/>
    <m/>
    <n v="4.942100207259327"/>
    <m/>
    <n v="800"/>
    <n v="800"/>
    <m/>
    <m/>
    <n v="1"/>
    <n v="800"/>
    <n v="800"/>
    <m/>
    <m/>
    <m/>
    <m/>
    <n v="0"/>
    <m/>
    <m/>
    <n v="800"/>
    <n v="1"/>
    <n v="1"/>
    <n v="1"/>
    <n v="800"/>
    <n v="800"/>
    <n v="0"/>
    <n v="0"/>
    <n v="0"/>
    <m/>
    <m/>
    <m/>
    <m/>
    <m/>
    <m/>
    <m/>
    <m/>
    <m/>
    <m/>
    <m/>
    <m/>
    <m/>
    <m/>
    <m/>
    <m/>
    <m/>
    <m/>
    <m/>
    <n v="0"/>
    <m/>
    <n v="0"/>
    <n v="0"/>
    <n v="0"/>
    <n v="0"/>
    <n v="0"/>
    <n v="0"/>
    <n v="156800"/>
    <n v="156800"/>
    <n v="8.8495575221238937E-3"/>
  </r>
  <r>
    <s v="CR0109"/>
    <x v="9"/>
    <x v="10"/>
    <n v="2033"/>
    <m/>
    <n v="20101"/>
    <s v="Carlos Garcia"/>
    <s v="506-85998467,50663441753"/>
    <x v="2"/>
    <s v="cgarcia.rodriguez.75@gmail.com;marlenyrodcam@gmail.com"/>
    <m/>
    <m/>
    <x v="1"/>
    <s v="10.4297514509-84.4295795273"/>
    <m/>
    <m/>
    <m/>
    <n v="1800"/>
    <n v="1800"/>
    <m/>
    <m/>
    <n v="1"/>
    <n v="1800"/>
    <n v="1800"/>
    <m/>
    <m/>
    <m/>
    <m/>
    <n v="0"/>
    <m/>
    <m/>
    <n v="1800"/>
    <n v="1"/>
    <n v="1"/>
    <n v="1"/>
    <n v="1800"/>
    <n v="1800"/>
    <n v="0"/>
    <n v="0"/>
    <n v="0"/>
    <m/>
    <m/>
    <m/>
    <m/>
    <m/>
    <m/>
    <m/>
    <m/>
    <m/>
    <m/>
    <m/>
    <m/>
    <m/>
    <m/>
    <m/>
    <m/>
    <m/>
    <m/>
    <m/>
    <m/>
    <m/>
    <m/>
    <m/>
    <m/>
    <m/>
    <m/>
    <m/>
    <m/>
    <m/>
    <m/>
  </r>
  <r>
    <s v="CR0111"/>
    <x v="9"/>
    <x v="10"/>
    <n v="2033"/>
    <m/>
    <n v="20102"/>
    <s v="Ricardo Blanco"/>
    <m/>
    <x v="2"/>
    <s v="provial.ro@gmail.com"/>
    <m/>
    <m/>
    <x v="1"/>
    <s v="10.393608-84.433483"/>
    <m/>
    <m/>
    <m/>
    <n v="2400"/>
    <n v="2400"/>
    <m/>
    <m/>
    <n v="1"/>
    <n v="2400"/>
    <n v="2400"/>
    <m/>
    <m/>
    <m/>
    <m/>
    <n v="0"/>
    <m/>
    <m/>
    <n v="2400"/>
    <n v="1"/>
    <n v="1"/>
    <n v="1"/>
    <n v="2400"/>
    <n v="2400"/>
    <n v="0"/>
    <n v="0"/>
    <n v="0"/>
    <m/>
    <m/>
    <m/>
    <m/>
    <m/>
    <m/>
    <m/>
    <m/>
    <m/>
    <m/>
    <m/>
    <m/>
    <m/>
    <m/>
    <m/>
    <m/>
    <m/>
    <m/>
    <m/>
    <m/>
    <m/>
    <m/>
    <m/>
    <m/>
    <m/>
    <m/>
    <m/>
    <m/>
    <m/>
    <m/>
  </r>
  <r>
    <m/>
    <x v="7"/>
    <x v="10"/>
    <n v="2033"/>
    <m/>
    <m/>
    <s v="Roberto Morales Domínguez"/>
    <s v="923 117 6486"/>
    <x v="2"/>
    <m/>
    <m/>
    <s v="Ej. Benito Juárez S/N, Las Choapas, Veracruz."/>
    <x v="3"/>
    <s v="17.3262367,-93.7438911"/>
    <m/>
    <m/>
    <m/>
    <n v="2475"/>
    <n v="1000"/>
    <n v="1475"/>
    <m/>
    <n v="1"/>
    <n v="2475"/>
    <n v="2400"/>
    <m/>
    <m/>
    <m/>
    <m/>
    <m/>
    <m/>
    <m/>
    <m/>
    <m/>
    <m/>
    <m/>
    <m/>
    <m/>
    <m/>
    <m/>
    <m/>
    <m/>
    <m/>
    <m/>
    <m/>
    <m/>
    <m/>
    <m/>
    <m/>
    <m/>
    <m/>
    <m/>
    <m/>
    <m/>
    <m/>
    <m/>
    <m/>
    <m/>
    <m/>
    <m/>
    <m/>
    <m/>
    <m/>
    <m/>
    <m/>
    <m/>
    <m/>
    <m/>
    <m/>
    <m/>
    <m/>
  </r>
  <r>
    <m/>
    <x v="7"/>
    <x v="10"/>
    <n v="2033"/>
    <m/>
    <m/>
    <s v="Samuel Domínguez Gómez"/>
    <m/>
    <x v="2"/>
    <m/>
    <m/>
    <s v="Ej. Benito Juárez S/N, Las Choapas, Veracruz."/>
    <x v="3"/>
    <s v="17.3189185,-93.7432548"/>
    <m/>
    <m/>
    <m/>
    <n v="2200"/>
    <n v="1150"/>
    <n v="1050"/>
    <m/>
    <n v="1"/>
    <n v="2200"/>
    <n v="2400"/>
    <m/>
    <m/>
    <m/>
    <m/>
    <m/>
    <m/>
    <m/>
    <m/>
    <m/>
    <m/>
    <m/>
    <m/>
    <m/>
    <m/>
    <m/>
    <m/>
    <m/>
    <m/>
    <m/>
    <m/>
    <m/>
    <m/>
    <m/>
    <m/>
    <m/>
    <m/>
    <m/>
    <m/>
    <m/>
    <m/>
    <m/>
    <m/>
    <m/>
    <m/>
    <m/>
    <m/>
    <m/>
    <m/>
    <m/>
    <m/>
    <m/>
    <m/>
    <m/>
    <m/>
    <m/>
    <m/>
  </r>
  <r>
    <m/>
    <x v="7"/>
    <x v="10"/>
    <n v="2033"/>
    <m/>
    <m/>
    <s v="Gelix Quirasco Sixteco"/>
    <m/>
    <x v="2"/>
    <m/>
    <m/>
    <s v="Ejido N.C.P.A. Vicente Guerrero. Las Choapas, Veracruz."/>
    <x v="3"/>
    <s v="17.424491, -93.803707"/>
    <m/>
    <m/>
    <m/>
    <n v="550"/>
    <n v="550"/>
    <s v=""/>
    <m/>
    <n v="1"/>
    <n v="550"/>
    <n v="2400"/>
    <m/>
    <m/>
    <m/>
    <m/>
    <m/>
    <m/>
    <m/>
    <m/>
    <m/>
    <m/>
    <m/>
    <m/>
    <m/>
    <m/>
    <m/>
    <m/>
    <m/>
    <m/>
    <m/>
    <m/>
    <m/>
    <n v="550"/>
    <m/>
    <m/>
    <m/>
    <m/>
    <m/>
    <m/>
    <m/>
    <m/>
    <m/>
    <m/>
    <m/>
    <m/>
    <m/>
    <m/>
    <m/>
    <m/>
    <m/>
    <m/>
    <m/>
    <m/>
    <m/>
    <m/>
    <m/>
    <m/>
  </r>
  <r>
    <m/>
    <x v="7"/>
    <x v="10"/>
    <n v="2033"/>
    <m/>
    <m/>
    <s v="Gustavo David Zamora Utrera"/>
    <n v="529231208846"/>
    <x v="2"/>
    <m/>
    <m/>
    <m/>
    <x v="3"/>
    <s v="17.39534167-93.77971765"/>
    <m/>
    <s v=""/>
    <m/>
    <n v="1100"/>
    <n v="550"/>
    <n v="550"/>
    <m/>
    <n v="1"/>
    <n v="1100"/>
    <n v="2400"/>
    <m/>
    <m/>
    <m/>
    <m/>
    <n v="0"/>
    <m/>
    <m/>
    <m/>
    <m/>
    <m/>
    <m/>
    <m/>
    <m/>
    <n v="0"/>
    <n v="0"/>
    <n v="0"/>
    <m/>
    <m/>
    <m/>
    <m/>
    <m/>
    <m/>
    <m/>
    <m/>
    <m/>
    <m/>
    <m/>
    <m/>
    <m/>
    <m/>
    <m/>
    <m/>
    <m/>
    <m/>
    <m/>
    <n v="0"/>
    <m/>
    <n v="0"/>
    <n v="0"/>
    <n v="0"/>
    <n v="0"/>
    <n v="0"/>
    <n v="0"/>
    <n v="0"/>
    <n v="0"/>
    <n v="8.8495575221238937E-3"/>
  </r>
  <r>
    <m/>
    <x v="7"/>
    <x v="10"/>
    <n v="2033"/>
    <m/>
    <m/>
    <s v="Hugo Zamora Viveros"/>
    <m/>
    <x v="2"/>
    <m/>
    <m/>
    <s v="Ejido Río Playas. Las Choapas, Veracruz."/>
    <x v="3"/>
    <s v="17.38856997 -93.77116978"/>
    <m/>
    <m/>
    <m/>
    <n v="1650"/>
    <n v="670"/>
    <n v="980"/>
    <m/>
    <n v="1"/>
    <n v="1650"/>
    <n v="2400"/>
    <m/>
    <m/>
    <m/>
    <m/>
    <m/>
    <m/>
    <m/>
    <m/>
    <m/>
    <m/>
    <m/>
    <m/>
    <m/>
    <m/>
    <m/>
    <m/>
    <m/>
    <m/>
    <m/>
    <m/>
    <m/>
    <m/>
    <m/>
    <m/>
    <m/>
    <m/>
    <m/>
    <m/>
    <m/>
    <m/>
    <m/>
    <m/>
    <m/>
    <m/>
    <m/>
    <m/>
    <m/>
    <m/>
    <m/>
    <m/>
    <m/>
    <m/>
    <m/>
    <m/>
    <m/>
    <m/>
  </r>
  <r>
    <m/>
    <x v="7"/>
    <x v="10"/>
    <n v="2033"/>
    <m/>
    <m/>
    <s v="José Crecencio Zamora Viveros"/>
    <m/>
    <x v="2"/>
    <m/>
    <m/>
    <s v="Ejido Pueblo Viejo. Las Choapas, Veracruz de la Llave. "/>
    <x v="3"/>
    <s v="17.39444359 -93.77239354"/>
    <m/>
    <m/>
    <m/>
    <n v="550"/>
    <n v="1000"/>
    <n v="-450"/>
    <m/>
    <n v="1"/>
    <n v="550"/>
    <n v="2400"/>
    <m/>
    <m/>
    <m/>
    <m/>
    <m/>
    <m/>
    <m/>
    <m/>
    <m/>
    <m/>
    <m/>
    <m/>
    <m/>
    <m/>
    <m/>
    <m/>
    <m/>
    <m/>
    <m/>
    <m/>
    <m/>
    <m/>
    <m/>
    <m/>
    <m/>
    <m/>
    <m/>
    <m/>
    <m/>
    <m/>
    <m/>
    <m/>
    <m/>
    <m/>
    <m/>
    <m/>
    <m/>
    <m/>
    <m/>
    <m/>
    <m/>
    <m/>
    <m/>
    <m/>
    <m/>
    <m/>
  </r>
  <r>
    <m/>
    <x v="7"/>
    <x v="10"/>
    <n v="2033"/>
    <m/>
    <m/>
    <s v="Leopoldo Torales González"/>
    <m/>
    <x v="2"/>
    <m/>
    <m/>
    <s v="Predio Rústico San Juan Camalotal del Municipio de Las Choapas, Veracruz."/>
    <x v="3"/>
    <s v="17.42363581 -93.7994805"/>
    <m/>
    <m/>
    <m/>
    <n v="1100"/>
    <n v="1100"/>
    <s v=""/>
    <m/>
    <n v="1"/>
    <n v="1100"/>
    <n v="2400"/>
    <m/>
    <m/>
    <m/>
    <m/>
    <m/>
    <m/>
    <m/>
    <m/>
    <m/>
    <m/>
    <m/>
    <m/>
    <m/>
    <m/>
    <m/>
    <m/>
    <m/>
    <m/>
    <m/>
    <m/>
    <m/>
    <m/>
    <m/>
    <m/>
    <m/>
    <m/>
    <m/>
    <m/>
    <m/>
    <m/>
    <m/>
    <m/>
    <m/>
    <m/>
    <m/>
    <m/>
    <m/>
    <m/>
    <m/>
    <m/>
    <m/>
    <m/>
    <m/>
    <m/>
    <m/>
    <m/>
  </r>
  <r>
    <m/>
    <x v="7"/>
    <x v="10"/>
    <n v="2033"/>
    <m/>
    <m/>
    <s v="Valente Zamora Utrera"/>
    <m/>
    <x v="2"/>
    <m/>
    <m/>
    <s v="Ejido Pueblo Viejo. Las Choapas, Veracruz de la Llave. "/>
    <x v="3"/>
    <s v="17.38913629 -93.77397504"/>
    <m/>
    <m/>
    <m/>
    <n v="1100"/>
    <n v="1100"/>
    <s v=""/>
    <m/>
    <n v="1"/>
    <n v="1100"/>
    <n v="2400"/>
    <m/>
    <m/>
    <m/>
    <m/>
    <m/>
    <m/>
    <m/>
    <m/>
    <m/>
    <m/>
    <m/>
    <m/>
    <m/>
    <m/>
    <m/>
    <m/>
    <m/>
    <m/>
    <m/>
    <m/>
    <m/>
    <n v="150"/>
    <m/>
    <m/>
    <m/>
    <m/>
    <m/>
    <m/>
    <m/>
    <m/>
    <m/>
    <m/>
    <m/>
    <m/>
    <m/>
    <m/>
    <m/>
    <m/>
    <m/>
    <m/>
    <m/>
    <m/>
    <m/>
    <m/>
    <m/>
    <m/>
  </r>
  <r>
    <m/>
    <x v="7"/>
    <x v="10"/>
    <n v="2033"/>
    <s v="Alberto Amezcua"/>
    <m/>
    <s v="Alberto Amezcua Chávez"/>
    <n v="8162998970"/>
    <x v="2"/>
    <s v="alberto-aac@hotmail.com"/>
    <m/>
    <s v="Colonia Agrícola y Ganadera Coahuila, del municipio de Playa Vicente, Veracruz."/>
    <x v="3"/>
    <s v="17.6995652-95.5325522"/>
    <m/>
    <m/>
    <m/>
    <n v="2750"/>
    <n v="2750"/>
    <s v=""/>
    <m/>
    <n v="1"/>
    <n v="2750"/>
    <n v="2400"/>
    <m/>
    <m/>
    <m/>
    <m/>
    <m/>
    <m/>
    <m/>
    <m/>
    <m/>
    <m/>
    <m/>
    <m/>
    <m/>
    <m/>
    <m/>
    <m/>
    <m/>
    <m/>
    <m/>
    <m/>
    <m/>
    <m/>
    <m/>
    <m/>
    <m/>
    <m/>
    <m/>
    <m/>
    <m/>
    <m/>
    <m/>
    <m/>
    <m/>
    <m/>
    <m/>
    <m/>
    <m/>
    <m/>
    <m/>
    <m/>
    <m/>
    <m/>
    <m/>
    <m/>
    <m/>
    <m/>
  </r>
  <r>
    <m/>
    <x v="7"/>
    <x v="10"/>
    <n v="2033"/>
    <s v="María Álvarez Rivera"/>
    <m/>
    <s v="Leonel Mendoza Moreno"/>
    <n v="524433374096"/>
    <x v="2"/>
    <s v="mariaalvarezrivera321@gmail.com"/>
    <m/>
    <s v="Predio Rústico Santa Sofía, Tuxtepec, Oaxaca."/>
    <x v="3"/>
    <s v="17.8019092-95.8793005"/>
    <m/>
    <m/>
    <m/>
    <n v="2750"/>
    <n v="2750"/>
    <s v=""/>
    <m/>
    <n v="1"/>
    <n v="2750"/>
    <n v="2400"/>
    <m/>
    <m/>
    <m/>
    <m/>
    <m/>
    <m/>
    <m/>
    <m/>
    <m/>
    <m/>
    <m/>
    <m/>
    <m/>
    <m/>
    <m/>
    <m/>
    <m/>
    <m/>
    <m/>
    <m/>
    <m/>
    <m/>
    <m/>
    <m/>
    <m/>
    <m/>
    <m/>
    <m/>
    <m/>
    <m/>
    <m/>
    <m/>
    <m/>
    <m/>
    <m/>
    <m/>
    <m/>
    <m/>
    <m/>
    <m/>
    <m/>
    <m/>
    <m/>
    <m/>
    <m/>
    <m/>
  </r>
  <r>
    <m/>
    <x v="7"/>
    <x v="10"/>
    <n v="2033"/>
    <m/>
    <m/>
    <s v="Ruben Fernández Méndez"/>
    <n v="522831003239"/>
    <x v="2"/>
    <s v="bulbarela12345@gmail.com"/>
    <m/>
    <s v="Localidad La Soledad, Juan Rodríguez Clara, Veracruz, México, C.P. 95676."/>
    <x v="3"/>
    <s v="17.9506003-95.3010965"/>
    <m/>
    <m/>
    <m/>
    <n v="5500"/>
    <n v="1980"/>
    <n v="3520"/>
    <m/>
    <n v="1"/>
    <n v="5500"/>
    <n v="2400"/>
    <m/>
    <m/>
    <m/>
    <m/>
    <m/>
    <m/>
    <m/>
    <m/>
    <m/>
    <m/>
    <m/>
    <m/>
    <m/>
    <m/>
    <m/>
    <m/>
    <m/>
    <m/>
    <m/>
    <m/>
    <m/>
    <m/>
    <m/>
    <m/>
    <m/>
    <m/>
    <m/>
    <m/>
    <m/>
    <m/>
    <m/>
    <m/>
    <m/>
    <m/>
    <m/>
    <m/>
    <m/>
    <m/>
    <m/>
    <m/>
    <m/>
    <m/>
    <m/>
    <m/>
    <m/>
    <m/>
  </r>
  <r>
    <m/>
    <x v="7"/>
    <x v="10"/>
    <n v="2033"/>
    <m/>
    <m/>
    <s v="José Pastor Gutiérrez Rodríguez "/>
    <n v="529231393940"/>
    <x v="2"/>
    <m/>
    <m/>
    <s v="Ejido Los Liberales, Municipio de Uxpanapa, Estado de Veracruz."/>
    <x v="3"/>
    <s v="17.3242687-94.1495566"/>
    <m/>
    <m/>
    <m/>
    <n v="550"/>
    <n v="550"/>
    <s v=""/>
    <m/>
    <n v="1"/>
    <n v="550"/>
    <n v="2400"/>
    <m/>
    <m/>
    <m/>
    <m/>
    <m/>
    <m/>
    <m/>
    <m/>
    <m/>
    <m/>
    <m/>
    <m/>
    <m/>
    <m/>
    <m/>
    <m/>
    <m/>
    <m/>
    <m/>
    <m/>
    <m/>
    <n v="140"/>
    <m/>
    <m/>
    <m/>
    <m/>
    <m/>
    <m/>
    <m/>
    <m/>
    <m/>
    <m/>
    <m/>
    <m/>
    <m/>
    <m/>
    <m/>
    <m/>
    <m/>
    <m/>
    <m/>
    <m/>
    <m/>
    <m/>
    <m/>
    <m/>
  </r>
  <r>
    <m/>
    <x v="7"/>
    <x v="10"/>
    <n v="2033"/>
    <m/>
    <m/>
    <s v="Tomás García Rodríguez"/>
    <n v="529221006546"/>
    <x v="2"/>
    <m/>
    <m/>
    <s v="Ejido Los Liberales, Municipio de Uxpanapa, Estado de Veracruz."/>
    <x v="3"/>
    <s v="17.3168959-94.1362131"/>
    <m/>
    <m/>
    <m/>
    <n v="550"/>
    <n v="550"/>
    <s v=""/>
    <m/>
    <n v="1"/>
    <n v="550"/>
    <n v="2400"/>
    <m/>
    <m/>
    <m/>
    <m/>
    <m/>
    <m/>
    <m/>
    <m/>
    <m/>
    <m/>
    <m/>
    <m/>
    <m/>
    <m/>
    <m/>
    <m/>
    <m/>
    <m/>
    <m/>
    <m/>
    <m/>
    <n v="50"/>
    <m/>
    <m/>
    <m/>
    <m/>
    <m/>
    <m/>
    <m/>
    <m/>
    <m/>
    <m/>
    <m/>
    <m/>
    <m/>
    <m/>
    <m/>
    <m/>
    <m/>
    <m/>
    <m/>
    <m/>
    <m/>
    <m/>
    <m/>
    <m/>
  </r>
  <r>
    <m/>
    <x v="7"/>
    <x v="10"/>
    <n v="2033"/>
    <m/>
    <m/>
    <s v="Reyna Rangel Cruz"/>
    <m/>
    <x v="2"/>
    <m/>
    <m/>
    <s v="Ejido Los Liberales, Municipio de Uxpanapa, Estado de Veracruz."/>
    <x v="3"/>
    <s v="17.3227256-94.1536424"/>
    <m/>
    <m/>
    <m/>
    <n v="550"/>
    <n v="550"/>
    <s v=""/>
    <m/>
    <n v="1"/>
    <n v="550"/>
    <n v="2400"/>
    <m/>
    <m/>
    <m/>
    <m/>
    <m/>
    <m/>
    <m/>
    <m/>
    <m/>
    <m/>
    <m/>
    <m/>
    <m/>
    <m/>
    <m/>
    <m/>
    <m/>
    <m/>
    <m/>
    <m/>
    <m/>
    <n v="140"/>
    <m/>
    <m/>
    <m/>
    <m/>
    <m/>
    <m/>
    <m/>
    <m/>
    <m/>
    <m/>
    <m/>
    <m/>
    <m/>
    <m/>
    <m/>
    <m/>
    <m/>
    <m/>
    <m/>
    <m/>
    <m/>
    <m/>
    <m/>
    <m/>
  </r>
  <r>
    <m/>
    <x v="7"/>
    <x v="10"/>
    <n v="2033"/>
    <m/>
    <m/>
    <s v="Facundo Medina Delgado"/>
    <m/>
    <x v="2"/>
    <m/>
    <m/>
    <s v="Ejido Los Liberales, Municipio de Uxpanapa, Estado de Veracruz."/>
    <x v="3"/>
    <s v="17.3314977-94.1353051"/>
    <m/>
    <m/>
    <m/>
    <n v="550"/>
    <n v="550"/>
    <s v=""/>
    <m/>
    <n v="1"/>
    <n v="550"/>
    <n v="2400"/>
    <m/>
    <m/>
    <m/>
    <m/>
    <m/>
    <m/>
    <m/>
    <m/>
    <m/>
    <m/>
    <m/>
    <m/>
    <m/>
    <m/>
    <m/>
    <m/>
    <m/>
    <m/>
    <m/>
    <m/>
    <m/>
    <m/>
    <m/>
    <m/>
    <m/>
    <m/>
    <m/>
    <m/>
    <m/>
    <m/>
    <m/>
    <m/>
    <m/>
    <m/>
    <m/>
    <m/>
    <m/>
    <m/>
    <m/>
    <m/>
    <m/>
    <m/>
    <m/>
    <m/>
    <m/>
    <m/>
  </r>
  <r>
    <m/>
    <x v="7"/>
    <x v="10"/>
    <n v="2033"/>
    <m/>
    <m/>
    <s v="Benita Rendón Ambrocio"/>
    <m/>
    <x v="2"/>
    <m/>
    <m/>
    <s v="Ejido Los Liberales, Municipio de Uxpanapa, Estado de Veracruz."/>
    <x v="3"/>
    <s v="17.3251813-94.138121"/>
    <m/>
    <m/>
    <m/>
    <n v="550"/>
    <n v="550"/>
    <s v=""/>
    <m/>
    <n v="1"/>
    <n v="550"/>
    <n v="2400"/>
    <m/>
    <m/>
    <m/>
    <m/>
    <m/>
    <m/>
    <m/>
    <m/>
    <m/>
    <m/>
    <m/>
    <m/>
    <m/>
    <m/>
    <m/>
    <m/>
    <m/>
    <m/>
    <m/>
    <m/>
    <m/>
    <n v="150"/>
    <m/>
    <m/>
    <m/>
    <m/>
    <m/>
    <m/>
    <m/>
    <m/>
    <m/>
    <m/>
    <m/>
    <m/>
    <m/>
    <m/>
    <m/>
    <m/>
    <m/>
    <m/>
    <m/>
    <m/>
    <m/>
    <m/>
    <m/>
    <m/>
  </r>
  <r>
    <m/>
    <x v="7"/>
    <x v="10"/>
    <n v="2033"/>
    <m/>
    <m/>
    <s v="Alfonso Juan Durán"/>
    <m/>
    <x v="2"/>
    <m/>
    <m/>
    <s v="Ejido Los Liberales, Municipio de Uxpanapa, Estado de Veracruz."/>
    <x v="3"/>
    <s v="17.3173835-94.126369"/>
    <m/>
    <m/>
    <m/>
    <n v="550"/>
    <n v="550"/>
    <s v=""/>
    <m/>
    <n v="1"/>
    <n v="550"/>
    <n v="2400"/>
    <m/>
    <m/>
    <m/>
    <m/>
    <m/>
    <m/>
    <m/>
    <m/>
    <m/>
    <m/>
    <m/>
    <m/>
    <m/>
    <m/>
    <m/>
    <m/>
    <m/>
    <m/>
    <m/>
    <m/>
    <m/>
    <n v="150"/>
    <m/>
    <m/>
    <m/>
    <m/>
    <m/>
    <m/>
    <m/>
    <m/>
    <m/>
    <m/>
    <m/>
    <m/>
    <m/>
    <m/>
    <m/>
    <m/>
    <m/>
    <m/>
    <m/>
    <m/>
    <m/>
    <m/>
    <m/>
    <m/>
  </r>
  <r>
    <m/>
    <x v="7"/>
    <x v="10"/>
    <n v="2033"/>
    <s v="Delfino Cruz Mil"/>
    <m/>
    <s v="Gonzalo Cruz Jiménez"/>
    <n v="524401684602"/>
    <x v="2"/>
    <s v="trujillojuana798@gmail.com"/>
    <m/>
    <s v="Ejido Candido Aguilar, Municipio de Minatitlan, Veracruz, México, C.P. 96700"/>
    <x v="3"/>
    <s v="17.4902304-94.4526763"/>
    <m/>
    <m/>
    <m/>
    <n v="1100"/>
    <n v="1100"/>
    <s v=""/>
    <m/>
    <n v="1"/>
    <n v="1100"/>
    <n v="2400"/>
    <m/>
    <m/>
    <m/>
    <m/>
    <m/>
    <m/>
    <m/>
    <m/>
    <m/>
    <m/>
    <m/>
    <m/>
    <m/>
    <m/>
    <m/>
    <m/>
    <m/>
    <m/>
    <m/>
    <m/>
    <m/>
    <m/>
    <m/>
    <m/>
    <m/>
    <m/>
    <m/>
    <m/>
    <m/>
    <m/>
    <m/>
    <m/>
    <m/>
    <m/>
    <m/>
    <m/>
    <m/>
    <m/>
    <m/>
    <m/>
    <m/>
    <m/>
    <m/>
    <m/>
    <m/>
    <m/>
  </r>
  <r>
    <m/>
    <x v="7"/>
    <x v="10"/>
    <n v="2033"/>
    <s v="Delfino Cruz Mil"/>
    <m/>
    <s v="Delfino Cruz Mil"/>
    <n v="525608443532"/>
    <x v="2"/>
    <s v="trujillojuana798@gmail.com"/>
    <m/>
    <s v="Ejido Cándido Aguilar, Municipio de Minatitlán, Veracruz, México, C.P. 96926"/>
    <x v="3"/>
    <s v="17.4952513-94.4474044"/>
    <m/>
    <m/>
    <m/>
    <n v="2750"/>
    <n v="2750"/>
    <s v=""/>
    <m/>
    <n v="1"/>
    <n v="2750"/>
    <n v="2400"/>
    <m/>
    <m/>
    <m/>
    <m/>
    <m/>
    <m/>
    <m/>
    <m/>
    <m/>
    <m/>
    <m/>
    <m/>
    <m/>
    <m/>
    <m/>
    <m/>
    <m/>
    <m/>
    <m/>
    <m/>
    <m/>
    <m/>
    <m/>
    <m/>
    <m/>
    <m/>
    <m/>
    <m/>
    <m/>
    <m/>
    <m/>
    <m/>
    <m/>
    <m/>
    <m/>
    <m/>
    <m/>
    <m/>
    <m/>
    <m/>
    <m/>
    <m/>
    <m/>
    <m/>
    <m/>
    <m/>
  </r>
  <r>
    <m/>
    <x v="7"/>
    <x v="10"/>
    <n v="2033"/>
    <s v="Casto De la Cruz Francisco"/>
    <m/>
    <s v="Casto De la Cruz Francisco"/>
    <n v="529241970205"/>
    <x v="2"/>
    <s v="delacruz5castro@gmail.com"/>
    <m/>
    <s v="Ejido Plan de Arroyos, Municipio de Uxpanapa, Estado de Veracruz De La Llave. CP 96997"/>
    <x v="3"/>
    <s v="17.23688551-94.62315052"/>
    <m/>
    <m/>
    <m/>
    <n v="550"/>
    <n v="550"/>
    <s v=""/>
    <m/>
    <n v="1"/>
    <n v="550"/>
    <n v="2400"/>
    <m/>
    <m/>
    <m/>
    <m/>
    <m/>
    <m/>
    <m/>
    <m/>
    <m/>
    <m/>
    <m/>
    <m/>
    <m/>
    <m/>
    <m/>
    <m/>
    <m/>
    <m/>
    <m/>
    <m/>
    <m/>
    <m/>
    <m/>
    <m/>
    <m/>
    <m/>
    <m/>
    <m/>
    <m/>
    <m/>
    <m/>
    <m/>
    <m/>
    <m/>
    <m/>
    <m/>
    <m/>
    <m/>
    <m/>
    <m/>
    <m/>
    <m/>
    <m/>
    <m/>
    <m/>
    <m/>
  </r>
  <r>
    <m/>
    <x v="9"/>
    <x v="10"/>
    <n v="2033"/>
    <m/>
    <m/>
    <s v="Ciro Martínez Gutiérrez"/>
    <m/>
    <x v="2"/>
    <m/>
    <m/>
    <s v="Ejido General Valerio Trujano, Municipio de Uxpanapa, Estado de Veracruz. CP 96998"/>
    <x v="3"/>
    <s v="17.32442-94.1406212;17.3229306-94.1413751"/>
    <m/>
    <m/>
    <m/>
    <n v="1100"/>
    <n v="1100"/>
    <s v=""/>
    <m/>
    <n v="1"/>
    <n v="1100"/>
    <n v="1100"/>
    <m/>
    <m/>
    <m/>
    <m/>
    <m/>
    <m/>
    <m/>
    <m/>
    <m/>
    <m/>
    <m/>
    <m/>
    <m/>
    <m/>
    <m/>
    <m/>
    <m/>
    <m/>
    <m/>
    <m/>
    <m/>
    <m/>
    <m/>
    <m/>
    <m/>
    <m/>
    <m/>
    <m/>
    <m/>
    <m/>
    <m/>
    <m/>
    <m/>
    <m/>
    <m/>
    <m/>
    <m/>
    <m/>
    <m/>
    <m/>
    <m/>
    <m/>
    <m/>
    <m/>
    <m/>
    <m/>
  </r>
  <r>
    <m/>
    <x v="9"/>
    <x v="10"/>
    <n v="2033"/>
    <m/>
    <m/>
    <s v="Mauricio Maya Chávez"/>
    <n v="529231019162"/>
    <x v="2"/>
    <m/>
    <m/>
    <s v="Ejido Los Liberales, Municipio de Uxpanapa, Estado de Veracruz. CP 96998"/>
    <x v="3"/>
    <s v="17.300934-94.173452"/>
    <m/>
    <m/>
    <m/>
    <n v="550"/>
    <n v="550"/>
    <s v=""/>
    <m/>
    <n v="1"/>
    <n v="550"/>
    <n v="550"/>
    <m/>
    <m/>
    <m/>
    <m/>
    <m/>
    <m/>
    <m/>
    <m/>
    <m/>
    <m/>
    <m/>
    <m/>
    <m/>
    <m/>
    <m/>
    <m/>
    <m/>
    <m/>
    <m/>
    <m/>
    <m/>
    <m/>
    <m/>
    <m/>
    <m/>
    <m/>
    <m/>
    <m/>
    <m/>
    <m/>
    <m/>
    <m/>
    <m/>
    <m/>
    <m/>
    <m/>
    <m/>
    <m/>
    <m/>
    <m/>
    <m/>
    <m/>
    <m/>
    <m/>
    <m/>
    <m/>
  </r>
  <r>
    <m/>
    <x v="9"/>
    <x v="10"/>
    <n v="2033"/>
    <m/>
    <m/>
    <s v="Eugenia Vargas Hernández"/>
    <m/>
    <x v="2"/>
    <m/>
    <m/>
    <s v="Ejido Los Liberales, Municipio de Uxpanapa, Estado de Veracruz. CP 96998"/>
    <x v="3"/>
    <s v="17.324828-94.138915"/>
    <m/>
    <m/>
    <m/>
    <n v="1100"/>
    <n v="1100"/>
    <s v=""/>
    <m/>
    <n v="1"/>
    <n v="1100"/>
    <n v="1100"/>
    <m/>
    <m/>
    <m/>
    <m/>
    <m/>
    <m/>
    <m/>
    <m/>
    <m/>
    <m/>
    <m/>
    <m/>
    <m/>
    <m/>
    <m/>
    <m/>
    <m/>
    <m/>
    <m/>
    <m/>
    <m/>
    <m/>
    <m/>
    <m/>
    <m/>
    <m/>
    <m/>
    <m/>
    <m/>
    <m/>
    <m/>
    <m/>
    <m/>
    <m/>
    <m/>
    <m/>
    <m/>
    <m/>
    <m/>
    <m/>
    <m/>
    <m/>
    <m/>
    <m/>
    <m/>
    <m/>
  </r>
  <r>
    <m/>
    <x v="9"/>
    <x v="10"/>
    <n v="2033"/>
    <m/>
    <m/>
    <s v="Félix Álvarez Vázquez"/>
    <m/>
    <x v="2"/>
    <m/>
    <m/>
    <s v="Ejido Plan de Arroyos, Municipio de Uxpanapa, Estado de Veracruz De La Llave. CP 96997"/>
    <x v="3"/>
    <s v="17.2322696-94.6381162"/>
    <m/>
    <m/>
    <m/>
    <n v="1100"/>
    <n v="1100"/>
    <s v=""/>
    <m/>
    <n v="1"/>
    <n v="1100"/>
    <n v="1100"/>
    <m/>
    <m/>
    <m/>
    <m/>
    <m/>
    <m/>
    <m/>
    <m/>
    <m/>
    <m/>
    <m/>
    <m/>
    <m/>
    <m/>
    <m/>
    <m/>
    <m/>
    <m/>
    <m/>
    <m/>
    <m/>
    <m/>
    <m/>
    <m/>
    <m/>
    <m/>
    <m/>
    <m/>
    <m/>
    <m/>
    <m/>
    <m/>
    <m/>
    <m/>
    <m/>
    <m/>
    <m/>
    <m/>
    <m/>
    <m/>
    <m/>
    <m/>
    <m/>
    <m/>
    <m/>
    <m/>
  </r>
  <r>
    <m/>
    <x v="9"/>
    <x v="10"/>
    <n v="2033"/>
    <m/>
    <m/>
    <s v="Carolina García García"/>
    <m/>
    <x v="2"/>
    <m/>
    <m/>
    <s v="Ejido Los Liberales, Municipio de Uxpanapa, Estado de Veracruz. CP 96998"/>
    <x v="3"/>
    <s v="17.3095507-94.1507831"/>
    <m/>
    <m/>
    <m/>
    <n v="1100"/>
    <n v="1100"/>
    <s v=""/>
    <m/>
    <n v="1"/>
    <n v="1100"/>
    <n v="1100"/>
    <m/>
    <m/>
    <m/>
    <m/>
    <m/>
    <m/>
    <m/>
    <m/>
    <m/>
    <m/>
    <m/>
    <m/>
    <m/>
    <m/>
    <m/>
    <m/>
    <m/>
    <m/>
    <m/>
    <m/>
    <m/>
    <m/>
    <m/>
    <m/>
    <m/>
    <m/>
    <m/>
    <m/>
    <m/>
    <m/>
    <m/>
    <m/>
    <m/>
    <m/>
    <m/>
    <m/>
    <m/>
    <m/>
    <m/>
    <m/>
    <m/>
    <m/>
    <m/>
    <m/>
    <m/>
    <m/>
  </r>
  <r>
    <m/>
    <x v="9"/>
    <x v="10"/>
    <n v="2033"/>
    <m/>
    <m/>
    <s v="Virginia Torrecilla Castillo"/>
    <n v="522881358918"/>
    <x v="2"/>
    <m/>
    <m/>
    <s v="Ejido Los Liberales, Municipio de Uxpanapa, Estado de Veracruz. CP 96998"/>
    <x v="3"/>
    <s v="17.309490-94.158382"/>
    <m/>
    <m/>
    <m/>
    <n v="550"/>
    <n v="550"/>
    <s v=""/>
    <m/>
    <n v="1"/>
    <n v="550"/>
    <n v="550"/>
    <m/>
    <m/>
    <m/>
    <m/>
    <m/>
    <m/>
    <m/>
    <m/>
    <m/>
    <m/>
    <m/>
    <m/>
    <m/>
    <m/>
    <m/>
    <m/>
    <m/>
    <m/>
    <m/>
    <m/>
    <m/>
    <m/>
    <m/>
    <m/>
    <m/>
    <m/>
    <m/>
    <m/>
    <m/>
    <m/>
    <m/>
    <m/>
    <m/>
    <m/>
    <m/>
    <m/>
    <m/>
    <m/>
    <m/>
    <m/>
    <m/>
    <m/>
    <m/>
    <m/>
    <m/>
    <m/>
  </r>
  <r>
    <m/>
    <x v="9"/>
    <x v="10"/>
    <n v="2033"/>
    <m/>
    <m/>
    <s v="Lorenzo Rodríguez Osorio"/>
    <n v="529222062079"/>
    <x v="2"/>
    <s v="eddiel279@hotmail.com"/>
    <m/>
    <s v="Ejido N.C.P.E. La Horqueta, Municipio de Uxpanapa, Estado de Veracruz. CP 96998"/>
    <x v="3"/>
    <s v="17.2390516-94.1949683"/>
    <m/>
    <m/>
    <m/>
    <n v="1100"/>
    <n v="1100"/>
    <s v=""/>
    <m/>
    <n v="1"/>
    <n v="1100"/>
    <n v="1100"/>
    <m/>
    <m/>
    <m/>
    <m/>
    <m/>
    <m/>
    <m/>
    <m/>
    <m/>
    <m/>
    <m/>
    <m/>
    <m/>
    <m/>
    <m/>
    <m/>
    <m/>
    <m/>
    <m/>
    <m/>
    <m/>
    <m/>
    <m/>
    <m/>
    <m/>
    <m/>
    <m/>
    <m/>
    <m/>
    <m/>
    <m/>
    <m/>
    <m/>
    <m/>
    <m/>
    <m/>
    <m/>
    <m/>
    <m/>
    <m/>
    <m/>
    <m/>
    <m/>
    <m/>
    <m/>
    <m/>
  </r>
  <r>
    <m/>
    <x v="9"/>
    <x v="10"/>
    <n v="2033"/>
    <m/>
    <m/>
    <s v="Rubén Fernández Méndez"/>
    <n v="522831003239"/>
    <x v="2"/>
    <s v="bulbarela12345@gmail.com"/>
    <m/>
    <s v="Localidad La Soledad, Juan Rodríguez Clara, Veracruz, México. CP 95676."/>
    <x v="3"/>
    <s v="17.9506003-95.3010965"/>
    <m/>
    <m/>
    <m/>
    <n v="5500"/>
    <n v="2220"/>
    <n v="3280"/>
    <m/>
    <n v="1"/>
    <n v="5500"/>
    <n v="2220"/>
    <m/>
    <m/>
    <m/>
    <m/>
    <m/>
    <m/>
    <m/>
    <m/>
    <m/>
    <m/>
    <m/>
    <m/>
    <m/>
    <m/>
    <m/>
    <m/>
    <m/>
    <m/>
    <m/>
    <m/>
    <m/>
    <m/>
    <m/>
    <m/>
    <m/>
    <m/>
    <m/>
    <m/>
    <m/>
    <m/>
    <m/>
    <m/>
    <m/>
    <m/>
    <m/>
    <m/>
    <m/>
    <m/>
    <m/>
    <m/>
    <m/>
    <m/>
    <m/>
    <m/>
    <m/>
    <m/>
  </r>
  <r>
    <m/>
    <x v="9"/>
    <x v="10"/>
    <n v="2033"/>
    <s v="Casto De la Cruz Francisco"/>
    <m/>
    <s v="Marcelino De la Cruz Olarte"/>
    <m/>
    <x v="2"/>
    <s v="delacruz5castro@gmail.com"/>
    <m/>
    <m/>
    <x v="3"/>
    <s v="17.2373253-946166264"/>
    <m/>
    <m/>
    <m/>
    <n v="2475"/>
    <n v="1820"/>
    <n v="655"/>
    <m/>
    <n v="1"/>
    <n v="2475"/>
    <n v="1820"/>
    <m/>
    <m/>
    <m/>
    <m/>
    <m/>
    <m/>
    <m/>
    <m/>
    <m/>
    <m/>
    <m/>
    <m/>
    <m/>
    <m/>
    <m/>
    <m/>
    <m/>
    <m/>
    <m/>
    <m/>
    <m/>
    <m/>
    <m/>
    <m/>
    <m/>
    <m/>
    <m/>
    <m/>
    <m/>
    <m/>
    <m/>
    <m/>
    <m/>
    <m/>
    <m/>
    <m/>
    <m/>
    <m/>
    <m/>
    <m/>
    <m/>
    <m/>
    <m/>
    <m/>
    <m/>
    <m/>
  </r>
  <r>
    <m/>
    <x v="9"/>
    <x v="10"/>
    <n v="2033"/>
    <s v="Casto De la Cruz Francisco"/>
    <m/>
    <s v="Facundo De la Cruz Francisco"/>
    <m/>
    <x v="2"/>
    <s v="delacruz5castro@gmail.com"/>
    <m/>
    <m/>
    <x v="3"/>
    <s v="17.23549747-94.63290514"/>
    <m/>
    <m/>
    <m/>
    <n v="1100"/>
    <n v="1100"/>
    <s v=""/>
    <m/>
    <n v="1"/>
    <n v="1100"/>
    <n v="1100"/>
    <m/>
    <m/>
    <m/>
    <m/>
    <m/>
    <m/>
    <m/>
    <m/>
    <m/>
    <m/>
    <m/>
    <m/>
    <m/>
    <m/>
    <m/>
    <m/>
    <m/>
    <m/>
    <m/>
    <m/>
    <m/>
    <m/>
    <m/>
    <m/>
    <m/>
    <m/>
    <m/>
    <m/>
    <m/>
    <m/>
    <m/>
    <m/>
    <m/>
    <m/>
    <m/>
    <m/>
    <m/>
    <m/>
    <m/>
    <m/>
    <m/>
    <m/>
    <m/>
    <m/>
    <m/>
    <m/>
  </r>
  <r>
    <m/>
    <x v="9"/>
    <x v="10"/>
    <n v="2033"/>
    <s v="Casto De la Cruz Francisco"/>
    <m/>
    <s v="Venustiano Lino Sisto"/>
    <m/>
    <x v="2"/>
    <s v="delacruz5castro@gmail.com"/>
    <m/>
    <m/>
    <x v="3"/>
    <s v="17.217334-94.629938"/>
    <m/>
    <m/>
    <m/>
    <n v="1100"/>
    <n v="1100"/>
    <s v=""/>
    <m/>
    <n v="1"/>
    <n v="1100"/>
    <n v="1100"/>
    <m/>
    <m/>
    <m/>
    <m/>
    <m/>
    <m/>
    <m/>
    <m/>
    <m/>
    <m/>
    <m/>
    <m/>
    <m/>
    <m/>
    <m/>
    <m/>
    <m/>
    <m/>
    <m/>
    <m/>
    <m/>
    <m/>
    <m/>
    <m/>
    <m/>
    <m/>
    <m/>
    <m/>
    <m/>
    <m/>
    <m/>
    <m/>
    <m/>
    <m/>
    <m/>
    <m/>
    <m/>
    <m/>
    <m/>
    <m/>
    <m/>
    <m/>
    <m/>
    <m/>
    <m/>
    <m/>
  </r>
  <r>
    <m/>
    <x v="9"/>
    <x v="10"/>
    <n v="2033"/>
    <s v="Casto De la Cruz Francisco"/>
    <m/>
    <s v="José De la Cruz Olarte"/>
    <m/>
    <x v="2"/>
    <s v="delacruz5castro@gmail.com"/>
    <m/>
    <m/>
    <x v="3"/>
    <s v="17.217873-94.638552"/>
    <m/>
    <m/>
    <m/>
    <n v="2750"/>
    <n v="1100"/>
    <n v="1650"/>
    <m/>
    <n v="1"/>
    <n v="2750"/>
    <n v="1100"/>
    <m/>
    <m/>
    <m/>
    <m/>
    <m/>
    <m/>
    <m/>
    <m/>
    <m/>
    <m/>
    <m/>
    <m/>
    <m/>
    <m/>
    <m/>
    <m/>
    <m/>
    <m/>
    <m/>
    <m/>
    <m/>
    <m/>
    <m/>
    <m/>
    <m/>
    <m/>
    <m/>
    <m/>
    <m/>
    <m/>
    <m/>
    <m/>
    <m/>
    <m/>
    <m/>
    <m/>
    <m/>
    <m/>
    <m/>
    <m/>
    <m/>
    <m/>
    <m/>
    <m/>
    <m/>
    <m/>
  </r>
  <r>
    <m/>
    <x v="9"/>
    <x v="10"/>
    <n v="2033"/>
    <m/>
    <m/>
    <s v="Concepción Rueda Díaz"/>
    <m/>
    <x v="2"/>
    <m/>
    <m/>
    <m/>
    <x v="3"/>
    <s v="17.35488148-93.78831346"/>
    <m/>
    <m/>
    <m/>
    <n v="550"/>
    <n v="550"/>
    <s v=""/>
    <m/>
    <n v="1"/>
    <n v="550"/>
    <n v="550"/>
    <m/>
    <m/>
    <m/>
    <m/>
    <m/>
    <m/>
    <m/>
    <m/>
    <m/>
    <m/>
    <m/>
    <m/>
    <m/>
    <m/>
    <m/>
    <m/>
    <m/>
    <m/>
    <m/>
    <m/>
    <m/>
    <m/>
    <m/>
    <m/>
    <m/>
    <m/>
    <m/>
    <m/>
    <m/>
    <m/>
    <m/>
    <m/>
    <m/>
    <m/>
    <m/>
    <m/>
    <m/>
    <m/>
    <m/>
    <m/>
    <m/>
    <m/>
    <m/>
    <m/>
    <m/>
    <m/>
  </r>
  <r>
    <m/>
    <x v="9"/>
    <x v="10"/>
    <n v="2033"/>
    <m/>
    <m/>
    <s v="José Enrique Lorenzo Solís"/>
    <m/>
    <x v="2"/>
    <m/>
    <m/>
    <m/>
    <x v="3"/>
    <s v="17.34223477-93.7660538"/>
    <m/>
    <m/>
    <m/>
    <n v="1650"/>
    <n v="1660"/>
    <m/>
    <m/>
    <n v="1"/>
    <n v="1650"/>
    <n v="1660"/>
    <m/>
    <m/>
    <m/>
    <m/>
    <m/>
    <m/>
    <m/>
    <m/>
    <m/>
    <m/>
    <m/>
    <m/>
    <m/>
    <m/>
    <m/>
    <m/>
    <m/>
    <m/>
    <m/>
    <m/>
    <m/>
    <m/>
    <m/>
    <m/>
    <m/>
    <m/>
    <m/>
    <m/>
    <m/>
    <m/>
    <m/>
    <m/>
    <m/>
    <m/>
    <m/>
    <m/>
    <m/>
    <m/>
    <m/>
    <m/>
    <m/>
    <m/>
    <m/>
    <m/>
    <m/>
    <m/>
  </r>
  <r>
    <m/>
    <x v="9"/>
    <x v="10"/>
    <n v="2033"/>
    <s v="Casto De la Cruz Francisco"/>
    <m/>
    <s v="Casto De la Cruz Francisco"/>
    <n v="529241970205"/>
    <x v="2"/>
    <s v="delacruz5castro@gmail.com"/>
    <m/>
    <m/>
    <x v="3"/>
    <s v="17.23688551-94.62315052"/>
    <m/>
    <m/>
    <m/>
    <n v="550"/>
    <n v="550"/>
    <m/>
    <m/>
    <n v="1"/>
    <n v="550"/>
    <n v="550"/>
    <m/>
    <m/>
    <m/>
    <m/>
    <m/>
    <m/>
    <m/>
    <m/>
    <m/>
    <m/>
    <m/>
    <m/>
    <m/>
    <m/>
    <m/>
    <m/>
    <m/>
    <m/>
    <m/>
    <m/>
    <m/>
    <m/>
    <m/>
    <m/>
    <m/>
    <m/>
    <m/>
    <m/>
    <m/>
    <m/>
    <m/>
    <m/>
    <m/>
    <m/>
    <m/>
    <m/>
    <m/>
    <m/>
    <m/>
    <m/>
    <m/>
    <m/>
    <m/>
    <m/>
    <m/>
    <m/>
  </r>
  <r>
    <m/>
    <x v="9"/>
    <x v="10"/>
    <n v="2033"/>
    <m/>
    <m/>
    <s v="Milton Domínguez Morales"/>
    <m/>
    <x v="2"/>
    <m/>
    <m/>
    <m/>
    <x v="3"/>
    <s v="17.3617901-93.78557324"/>
    <m/>
    <m/>
    <m/>
    <n v="550"/>
    <n v="400"/>
    <n v="150"/>
    <m/>
    <n v="1"/>
    <n v="550"/>
    <n v="400"/>
    <m/>
    <m/>
    <m/>
    <m/>
    <m/>
    <m/>
    <m/>
    <m/>
    <m/>
    <m/>
    <m/>
    <m/>
    <m/>
    <m/>
    <m/>
    <m/>
    <m/>
    <m/>
    <m/>
    <m/>
    <m/>
    <m/>
    <m/>
    <m/>
    <m/>
    <m/>
    <m/>
    <m/>
    <m/>
    <m/>
    <m/>
    <m/>
    <m/>
    <m/>
    <m/>
    <m/>
    <m/>
    <m/>
    <m/>
    <m/>
    <m/>
    <m/>
    <m/>
    <m/>
    <m/>
    <m/>
  </r>
  <r>
    <m/>
    <x v="9"/>
    <x v="10"/>
    <n v="2033"/>
    <m/>
    <m/>
    <s v="Emma Barrios Goméz"/>
    <n v="529222113224"/>
    <x v="2"/>
    <m/>
    <m/>
    <m/>
    <x v="3"/>
    <s v="17.3628535-94.4446755"/>
    <m/>
    <m/>
    <m/>
    <n v="825"/>
    <n v="550"/>
    <n v="275"/>
    <m/>
    <n v="1"/>
    <n v="825"/>
    <n v="550"/>
    <m/>
    <m/>
    <m/>
    <m/>
    <m/>
    <m/>
    <m/>
    <m/>
    <m/>
    <m/>
    <m/>
    <m/>
    <m/>
    <m/>
    <m/>
    <m/>
    <m/>
    <m/>
    <m/>
    <m/>
    <m/>
    <m/>
    <m/>
    <m/>
    <m/>
    <m/>
    <m/>
    <m/>
    <m/>
    <m/>
    <m/>
    <m/>
    <m/>
    <m/>
    <m/>
    <m/>
    <m/>
    <m/>
    <m/>
    <m/>
    <m/>
    <m/>
    <m/>
    <m/>
    <m/>
    <m/>
  </r>
  <r>
    <m/>
    <x v="9"/>
    <x v="10"/>
    <n v="2033"/>
    <m/>
    <m/>
    <s v="Miguel Felipe Mauro"/>
    <m/>
    <x v="2"/>
    <m/>
    <m/>
    <m/>
    <x v="3"/>
    <s v="17.2219009-94.6369167"/>
    <m/>
    <m/>
    <m/>
    <n v="550"/>
    <n v="550"/>
    <s v=""/>
    <m/>
    <n v="1"/>
    <n v="550"/>
    <n v="550"/>
    <m/>
    <m/>
    <m/>
    <m/>
    <m/>
    <m/>
    <m/>
    <m/>
    <m/>
    <m/>
    <m/>
    <m/>
    <m/>
    <m/>
    <m/>
    <m/>
    <m/>
    <m/>
    <m/>
    <m/>
    <m/>
    <m/>
    <m/>
    <m/>
    <m/>
    <m/>
    <m/>
    <m/>
    <m/>
    <m/>
    <m/>
    <m/>
    <m/>
    <m/>
    <m/>
    <m/>
    <m/>
    <m/>
    <m/>
    <m/>
    <m/>
    <m/>
    <m/>
    <m/>
    <m/>
    <m/>
  </r>
  <r>
    <m/>
    <x v="9"/>
    <x v="10"/>
    <n v="2033"/>
    <m/>
    <m/>
    <s v="Inocente Zamora Utera"/>
    <n v="529231013383"/>
    <x v="2"/>
    <m/>
    <m/>
    <m/>
    <x v="3"/>
    <s v="17.3916399-93.77523065"/>
    <m/>
    <m/>
    <m/>
    <n v="550"/>
    <n v="550"/>
    <s v=""/>
    <m/>
    <n v="1"/>
    <n v="550"/>
    <n v="550"/>
    <m/>
    <m/>
    <m/>
    <m/>
    <m/>
    <m/>
    <m/>
    <m/>
    <m/>
    <m/>
    <m/>
    <m/>
    <m/>
    <m/>
    <m/>
    <m/>
    <m/>
    <m/>
    <m/>
    <m/>
    <m/>
    <m/>
    <m/>
    <m/>
    <m/>
    <m/>
    <m/>
    <m/>
    <m/>
    <m/>
    <m/>
    <m/>
    <m/>
    <m/>
    <m/>
    <m/>
    <m/>
    <m/>
    <m/>
    <m/>
    <m/>
    <m/>
    <m/>
    <m/>
    <m/>
    <m/>
  </r>
  <r>
    <m/>
    <x v="9"/>
    <x v="10"/>
    <n v="2033"/>
    <m/>
    <m/>
    <s v="Noel Zamora Viveros"/>
    <n v="529231013383"/>
    <x v="2"/>
    <m/>
    <m/>
    <m/>
    <x v="3"/>
    <s v="17.38517395-93.77421711"/>
    <m/>
    <m/>
    <m/>
    <n v="550"/>
    <n v="1650"/>
    <n v="-1100"/>
    <m/>
    <n v="1"/>
    <n v="550"/>
    <n v="1650"/>
    <m/>
    <m/>
    <m/>
    <m/>
    <m/>
    <m/>
    <m/>
    <m/>
    <m/>
    <m/>
    <m/>
    <m/>
    <m/>
    <m/>
    <m/>
    <m/>
    <m/>
    <m/>
    <m/>
    <m/>
    <m/>
    <m/>
    <m/>
    <m/>
    <m/>
    <m/>
    <m/>
    <m/>
    <m/>
    <m/>
    <m/>
    <m/>
    <m/>
    <m/>
    <m/>
    <m/>
    <m/>
    <m/>
    <m/>
    <m/>
    <m/>
    <m/>
    <m/>
    <m/>
    <m/>
    <m/>
  </r>
  <r>
    <m/>
    <x v="9"/>
    <x v="10"/>
    <n v="2033"/>
    <s v="Justino Cruz"/>
    <m/>
    <s v="Justino Cruz Mendoza"/>
    <n v="529721214079"/>
    <x v="2"/>
    <s v="greenway.stonemasonry@gmail.com"/>
    <m/>
    <m/>
    <x v="3"/>
    <s v="17.2068758-94.7027043"/>
    <m/>
    <m/>
    <m/>
    <n v="550"/>
    <n v="550"/>
    <s v=""/>
    <m/>
    <n v="1"/>
    <n v="550"/>
    <n v="550"/>
    <m/>
    <m/>
    <m/>
    <m/>
    <m/>
    <m/>
    <m/>
    <m/>
    <m/>
    <m/>
    <m/>
    <m/>
    <m/>
    <m/>
    <m/>
    <m/>
    <m/>
    <m/>
    <m/>
    <m/>
    <m/>
    <m/>
    <m/>
    <m/>
    <m/>
    <m/>
    <m/>
    <m/>
    <m/>
    <m/>
    <m/>
    <m/>
    <m/>
    <m/>
    <m/>
    <m/>
    <m/>
    <m/>
    <m/>
    <m/>
    <m/>
    <m/>
    <m/>
    <m/>
    <m/>
    <m/>
  </r>
  <r>
    <m/>
    <x v="9"/>
    <x v="10"/>
    <n v="2033"/>
    <m/>
    <m/>
    <s v="Calixtro Cruz Silva"/>
    <m/>
    <x v="2"/>
    <m/>
    <m/>
    <m/>
    <x v="3"/>
    <s v="17.3284854-94.1451928"/>
    <m/>
    <m/>
    <m/>
    <n v="550"/>
    <n v="550"/>
    <s v=""/>
    <m/>
    <n v="1"/>
    <n v="550"/>
    <n v="550"/>
    <m/>
    <m/>
    <m/>
    <m/>
    <m/>
    <m/>
    <m/>
    <m/>
    <m/>
    <m/>
    <m/>
    <m/>
    <m/>
    <m/>
    <m/>
    <m/>
    <m/>
    <m/>
    <m/>
    <m/>
    <m/>
    <m/>
    <m/>
    <m/>
    <m/>
    <m/>
    <m/>
    <m/>
    <m/>
    <m/>
    <m/>
    <m/>
    <m/>
    <m/>
    <m/>
    <m/>
    <m/>
    <m/>
    <m/>
    <m/>
    <m/>
    <m/>
    <m/>
    <m/>
    <m/>
    <m/>
  </r>
  <r>
    <m/>
    <x v="9"/>
    <x v="10"/>
    <n v="2033"/>
    <m/>
    <m/>
    <s v="Irma García Camacho"/>
    <m/>
    <x v="2"/>
    <m/>
    <m/>
    <m/>
    <x v="3"/>
    <s v="17.310944-94.149801"/>
    <m/>
    <m/>
    <m/>
    <n v="550"/>
    <n v="550"/>
    <s v=""/>
    <m/>
    <n v="1"/>
    <n v="550"/>
    <n v="550"/>
    <m/>
    <m/>
    <m/>
    <m/>
    <m/>
    <m/>
    <m/>
    <m/>
    <m/>
    <m/>
    <m/>
    <m/>
    <m/>
    <m/>
    <m/>
    <m/>
    <m/>
    <m/>
    <m/>
    <m/>
    <m/>
    <m/>
    <m/>
    <m/>
    <m/>
    <m/>
    <m/>
    <m/>
    <m/>
    <m/>
    <m/>
    <m/>
    <m/>
    <m/>
    <m/>
    <m/>
    <m/>
    <m/>
    <m/>
    <m/>
    <m/>
    <m/>
    <m/>
    <m/>
    <m/>
    <m/>
  </r>
  <r>
    <m/>
    <x v="9"/>
    <x v="10"/>
    <n v="2033"/>
    <m/>
    <m/>
    <s v="José Becerra García"/>
    <m/>
    <x v="2"/>
    <m/>
    <m/>
    <m/>
    <x v="3"/>
    <s v="17.3139202-94.1468291"/>
    <m/>
    <m/>
    <m/>
    <n v="550"/>
    <n v="550"/>
    <s v=""/>
    <m/>
    <n v="1"/>
    <n v="550"/>
    <n v="550"/>
    <m/>
    <m/>
    <m/>
    <m/>
    <m/>
    <m/>
    <m/>
    <m/>
    <m/>
    <m/>
    <m/>
    <m/>
    <m/>
    <m/>
    <m/>
    <m/>
    <m/>
    <m/>
    <m/>
    <m/>
    <m/>
    <m/>
    <m/>
    <m/>
    <m/>
    <m/>
    <m/>
    <m/>
    <m/>
    <m/>
    <m/>
    <m/>
    <m/>
    <m/>
    <m/>
    <m/>
    <m/>
    <m/>
    <m/>
    <m/>
    <m/>
    <m/>
    <m/>
    <m/>
    <m/>
    <m/>
  </r>
  <r>
    <m/>
    <x v="9"/>
    <x v="10"/>
    <n v="2033"/>
    <m/>
    <m/>
    <s v="Marcelo Sánchez Miravete"/>
    <n v="522831245608"/>
    <x v="2"/>
    <s v="30sanchez.12345@gmail.com"/>
    <m/>
    <m/>
    <x v="3"/>
    <s v="17.4764004478068953-95.60631006752998"/>
    <m/>
    <m/>
    <m/>
    <n v="2200"/>
    <n v="1100"/>
    <n v="1100"/>
    <m/>
    <n v="1"/>
    <n v="2200"/>
    <n v="1100"/>
    <m/>
    <m/>
    <m/>
    <m/>
    <m/>
    <m/>
    <m/>
    <m/>
    <m/>
    <m/>
    <m/>
    <m/>
    <m/>
    <m/>
    <m/>
    <m/>
    <m/>
    <m/>
    <m/>
    <m/>
    <m/>
    <m/>
    <m/>
    <m/>
    <m/>
    <m/>
    <m/>
    <m/>
    <m/>
    <m/>
    <m/>
    <m/>
    <m/>
    <m/>
    <m/>
    <m/>
    <m/>
    <m/>
    <m/>
    <m/>
    <m/>
    <m/>
    <m/>
    <m/>
    <m/>
    <m/>
  </r>
  <r>
    <m/>
    <x v="9"/>
    <x v="10"/>
    <n v="2033"/>
    <s v="Rosario Sánchez"/>
    <m/>
    <s v="Rosario Sánchez Miravete"/>
    <n v="522831245608"/>
    <x v="2"/>
    <s v="chayo052574@gmail.com"/>
    <m/>
    <m/>
    <x v="3"/>
    <s v="17.484439223613975-95.5933437605206"/>
    <m/>
    <s v=""/>
    <m/>
    <n v="1650"/>
    <n v="825"/>
    <n v="825"/>
    <m/>
    <n v="1"/>
    <n v="1650"/>
    <n v="825"/>
    <m/>
    <m/>
    <m/>
    <m/>
    <n v="0"/>
    <m/>
    <m/>
    <m/>
    <m/>
    <m/>
    <m/>
    <m/>
    <m/>
    <n v="0"/>
    <n v="0"/>
    <n v="0"/>
    <m/>
    <m/>
    <m/>
    <m/>
    <m/>
    <m/>
    <m/>
    <m/>
    <m/>
    <m/>
    <m/>
    <m/>
    <m/>
    <m/>
    <m/>
    <m/>
    <m/>
    <m/>
    <m/>
    <n v="0"/>
    <m/>
    <n v="0"/>
    <n v="0"/>
    <n v="0"/>
    <n v="0"/>
    <n v="0"/>
    <n v="0"/>
    <n v="0"/>
    <n v="0"/>
    <n v="8.8495575221238937E-3"/>
  </r>
  <r>
    <m/>
    <x v="9"/>
    <x v="10"/>
    <n v="2033"/>
    <m/>
    <m/>
    <s v="Hilario Estrada Rodríguez"/>
    <n v="522831052485"/>
    <x v="2"/>
    <s v="a_estrada31@hotmail.com"/>
    <m/>
    <m/>
    <x v="3"/>
    <s v="17.7307534-95.8595157"/>
    <m/>
    <s v=""/>
    <m/>
    <n v="2750"/>
    <n v="1100"/>
    <n v="1650"/>
    <m/>
    <n v="1"/>
    <n v="2750"/>
    <n v="1100"/>
    <m/>
    <m/>
    <m/>
    <m/>
    <n v="0"/>
    <m/>
    <m/>
    <m/>
    <m/>
    <m/>
    <m/>
    <m/>
    <m/>
    <n v="0"/>
    <n v="0"/>
    <n v="0"/>
    <m/>
    <m/>
    <m/>
    <m/>
    <m/>
    <m/>
    <m/>
    <m/>
    <m/>
    <m/>
    <m/>
    <m/>
    <m/>
    <m/>
    <m/>
    <m/>
    <m/>
    <m/>
    <m/>
    <n v="0"/>
    <m/>
    <n v="0"/>
    <n v="0"/>
    <n v="0"/>
    <n v="0"/>
    <n v="0"/>
    <n v="0"/>
    <n v="0"/>
    <n v="0"/>
    <n v="8.8495575221238937E-3"/>
  </r>
  <r>
    <m/>
    <x v="9"/>
    <x v="10"/>
    <n v="2033"/>
    <m/>
    <m/>
    <s v="Francisco Ramírez Zamorano"/>
    <n v="522881013093"/>
    <x v="2"/>
    <s v="30sanchez.12345@gmail.com"/>
    <m/>
    <m/>
    <x v="3"/>
    <s v="18.00437184494997-95.63166565877397"/>
    <m/>
    <s v=""/>
    <m/>
    <n v="2200"/>
    <n v="850"/>
    <n v="1350"/>
    <m/>
    <n v="1"/>
    <n v="2200"/>
    <n v="850"/>
    <m/>
    <m/>
    <m/>
    <m/>
    <n v="0"/>
    <m/>
    <m/>
    <m/>
    <m/>
    <m/>
    <m/>
    <m/>
    <m/>
    <n v="0"/>
    <n v="0"/>
    <n v="0"/>
    <m/>
    <m/>
    <m/>
    <m/>
    <m/>
    <m/>
    <m/>
    <m/>
    <m/>
    <m/>
    <m/>
    <m/>
    <m/>
    <m/>
    <m/>
    <m/>
    <m/>
    <m/>
    <m/>
    <n v="0"/>
    <m/>
    <n v="0"/>
    <n v="0"/>
    <n v="0"/>
    <n v="0"/>
    <n v="0"/>
    <n v="0"/>
    <n v="0"/>
    <n v="0"/>
    <n v="8.8495575221238937E-3"/>
  </r>
  <r>
    <m/>
    <x v="8"/>
    <x v="9"/>
    <m/>
    <m/>
    <m/>
    <m/>
    <m/>
    <x v="3"/>
    <m/>
    <m/>
    <m/>
    <x v="4"/>
    <m/>
    <m/>
    <s v=""/>
    <m/>
    <m/>
    <m/>
    <m/>
    <m/>
    <m/>
    <m/>
    <m/>
    <m/>
    <m/>
    <m/>
    <m/>
    <n v="0"/>
    <m/>
    <m/>
    <m/>
    <m/>
    <m/>
    <m/>
    <m/>
    <m/>
    <n v="0"/>
    <n v="0"/>
    <n v="0"/>
    <m/>
    <m/>
    <m/>
    <m/>
    <m/>
    <m/>
    <m/>
    <m/>
    <m/>
    <m/>
    <m/>
    <m/>
    <m/>
    <m/>
    <m/>
    <m/>
    <m/>
    <m/>
    <m/>
    <n v="0"/>
    <m/>
    <n v="0"/>
    <n v="0"/>
    <n v="0"/>
    <n v="0"/>
    <n v="0"/>
    <n v="0"/>
    <n v="0"/>
    <n v="0"/>
    <n v="18"/>
  </r>
  <r>
    <m/>
    <x v="8"/>
    <x v="9"/>
    <m/>
    <m/>
    <m/>
    <m/>
    <m/>
    <x v="3"/>
    <m/>
    <m/>
    <m/>
    <x v="4"/>
    <m/>
    <m/>
    <s v=""/>
    <m/>
    <m/>
    <m/>
    <m/>
    <m/>
    <m/>
    <m/>
    <m/>
    <m/>
    <m/>
    <m/>
    <m/>
    <n v="0"/>
    <m/>
    <m/>
    <m/>
    <m/>
    <m/>
    <m/>
    <m/>
    <m/>
    <n v="0"/>
    <n v="0"/>
    <n v="0"/>
    <m/>
    <m/>
    <m/>
    <m/>
    <m/>
    <m/>
    <m/>
    <m/>
    <m/>
    <m/>
    <m/>
    <m/>
    <m/>
    <m/>
    <m/>
    <m/>
    <m/>
    <m/>
    <m/>
    <n v="0"/>
    <m/>
    <n v="0"/>
    <n v="0"/>
    <n v="0"/>
    <n v="0"/>
    <n v="0"/>
    <n v="0"/>
    <n v="0"/>
    <n v="0"/>
    <n v="18"/>
  </r>
  <r>
    <m/>
    <x v="8"/>
    <x v="9"/>
    <m/>
    <m/>
    <m/>
    <m/>
    <m/>
    <x v="3"/>
    <m/>
    <m/>
    <m/>
    <x v="4"/>
    <m/>
    <m/>
    <s v=""/>
    <m/>
    <m/>
    <m/>
    <m/>
    <m/>
    <m/>
    <m/>
    <m/>
    <m/>
    <m/>
    <m/>
    <m/>
    <n v="0"/>
    <m/>
    <m/>
    <m/>
    <m/>
    <m/>
    <m/>
    <m/>
    <m/>
    <n v="0"/>
    <n v="0"/>
    <n v="0"/>
    <m/>
    <m/>
    <m/>
    <m/>
    <m/>
    <m/>
    <m/>
    <m/>
    <m/>
    <m/>
    <m/>
    <m/>
    <m/>
    <m/>
    <m/>
    <m/>
    <m/>
    <m/>
    <m/>
    <n v="0"/>
    <m/>
    <n v="0"/>
    <n v="0"/>
    <n v="0"/>
    <n v="0"/>
    <n v="0"/>
    <n v="0"/>
    <n v="0"/>
    <n v="0"/>
    <n v="18"/>
  </r>
  <r>
    <m/>
    <x v="8"/>
    <x v="9"/>
    <m/>
    <m/>
    <m/>
    <m/>
    <m/>
    <x v="3"/>
    <m/>
    <m/>
    <m/>
    <x v="4"/>
    <m/>
    <m/>
    <s v=""/>
    <m/>
    <m/>
    <m/>
    <m/>
    <m/>
    <m/>
    <m/>
    <m/>
    <m/>
    <m/>
    <m/>
    <m/>
    <n v="0"/>
    <m/>
    <m/>
    <m/>
    <m/>
    <m/>
    <m/>
    <m/>
    <m/>
    <n v="0"/>
    <n v="0"/>
    <n v="0"/>
    <m/>
    <m/>
    <m/>
    <m/>
    <m/>
    <m/>
    <m/>
    <m/>
    <m/>
    <m/>
    <m/>
    <m/>
    <m/>
    <m/>
    <m/>
    <m/>
    <m/>
    <m/>
    <m/>
    <n v="0"/>
    <m/>
    <n v="0"/>
    <n v="0"/>
    <n v="0"/>
    <n v="0"/>
    <n v="0"/>
    <n v="0"/>
    <n v="0"/>
    <n v="0"/>
    <n v="18"/>
  </r>
  <r>
    <m/>
    <x v="8"/>
    <x v="9"/>
    <m/>
    <m/>
    <m/>
    <m/>
    <m/>
    <x v="3"/>
    <m/>
    <m/>
    <m/>
    <x v="4"/>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3">
  <r>
    <s v="US0001"/>
    <x v="0"/>
    <n v="2015"/>
    <n v="2024"/>
    <s v="Bruce Gamble"/>
    <n v="10001"/>
    <s v="Bruce Gamble"/>
    <s v="956-873-2487"/>
    <s v="RFT"/>
    <s v="brucegamblefarms@gmail.com"/>
    <s v="10539 Mile 8 Road, LaFeria, TX, USA, 78559"/>
    <s v="10539 Mile 8 Road, LaFeria, TX, USA, 78559"/>
    <x v="0"/>
    <s v="26.278008, -97.890074"/>
    <m/>
    <s v=""/>
    <m/>
    <n v="2200"/>
    <n v="2200"/>
    <s v=""/>
    <m/>
    <m/>
    <m/>
    <m/>
    <n v="1"/>
    <n v="2200"/>
    <m/>
    <m/>
    <n v="2200"/>
    <n v="0"/>
    <n v="0"/>
    <n v="0"/>
    <m/>
    <n v="0"/>
    <n v="0"/>
    <n v="0"/>
    <n v="0"/>
    <n v="0"/>
    <n v="0"/>
  </r>
  <r>
    <s v="CR0001"/>
    <x v="0"/>
    <n v="2016"/>
    <n v="0"/>
    <s v="Cecilia Sanders"/>
    <n v="20001"/>
    <s v="Cecilia Castillo Umaña"/>
    <m/>
    <s v="Out of Program"/>
    <m/>
    <m/>
    <m/>
    <x v="1"/>
    <m/>
    <m/>
    <s v=""/>
    <m/>
    <n v="1000"/>
    <n v="1000"/>
    <s v=""/>
    <m/>
    <m/>
    <m/>
    <m/>
    <n v="1"/>
    <n v="1000"/>
    <m/>
    <m/>
    <n v="1000"/>
    <n v="0"/>
    <n v="0"/>
    <n v="0"/>
    <n v="0"/>
    <n v="0"/>
    <n v="0"/>
    <n v="0"/>
    <n v="0"/>
    <n v="0"/>
    <n v="0"/>
  </r>
  <r>
    <s v="CR0002"/>
    <x v="0"/>
    <n v="2016"/>
    <n v="0"/>
    <s v="Coopedota"/>
    <n v="20002"/>
    <s v="Coopedota"/>
    <m/>
    <s v="Out of Program"/>
    <m/>
    <m/>
    <m/>
    <x v="1"/>
    <m/>
    <m/>
    <s v=""/>
    <m/>
    <n v="100"/>
    <n v="100"/>
    <s v=""/>
    <m/>
    <m/>
    <m/>
    <m/>
    <n v="1"/>
    <n v="100"/>
    <m/>
    <m/>
    <n v="100"/>
    <n v="0"/>
    <n v="0"/>
    <n v="0"/>
    <n v="0"/>
    <n v="0"/>
    <n v="0"/>
    <n v="0"/>
    <n v="0"/>
    <n v="0"/>
    <n v="0"/>
  </r>
  <r>
    <s v="CR0003"/>
    <x v="0"/>
    <n v="2016"/>
    <m/>
    <s v="Erasmo Aguilera "/>
    <n v="20003"/>
    <s v="Agricola Los Robles de Naranjo S.A"/>
    <m/>
    <s v="Out of Program"/>
    <m/>
    <m/>
    <m/>
    <x v="1"/>
    <m/>
    <m/>
    <s v=""/>
    <m/>
    <n v="1750"/>
    <n v="1750"/>
    <s v=""/>
    <m/>
    <m/>
    <m/>
    <m/>
    <n v="1"/>
    <n v="1750"/>
    <m/>
    <m/>
    <n v="1750"/>
    <n v="0"/>
    <n v="0"/>
    <n v="0"/>
    <n v="0"/>
    <n v="0"/>
    <n v="0"/>
    <n v="0"/>
    <n v="0"/>
    <n v="0"/>
    <n v="0"/>
  </r>
  <r>
    <s v="CR0004"/>
    <x v="0"/>
    <n v="2016"/>
    <n v="0"/>
    <s v="Esteban Chacon "/>
    <n v="20004"/>
    <s v="Fernando Esteban Chacon"/>
    <m/>
    <s v="Out of Program"/>
    <m/>
    <m/>
    <m/>
    <x v="1"/>
    <m/>
    <m/>
    <s v=""/>
    <m/>
    <n v="1000"/>
    <n v="1000"/>
    <s v=""/>
    <m/>
    <m/>
    <m/>
    <m/>
    <n v="1"/>
    <n v="1000"/>
    <m/>
    <m/>
    <n v="1000"/>
    <n v="0"/>
    <n v="0"/>
    <n v="0"/>
    <n v="0"/>
    <n v="0"/>
    <n v="0"/>
    <n v="0"/>
    <n v="0"/>
    <n v="0"/>
    <n v="0"/>
  </r>
  <r>
    <s v="CR0005"/>
    <x v="0"/>
    <n v="2016"/>
    <n v="0"/>
    <s v="Juan Luis Chaves"/>
    <n v="20005"/>
    <s v="ASESORIA DE EMPRESAS TONAL S A, "/>
    <m/>
    <s v="Out of Program"/>
    <m/>
    <m/>
    <m/>
    <x v="1"/>
    <m/>
    <m/>
    <s v=""/>
    <m/>
    <n v="500"/>
    <n v="500"/>
    <s v=""/>
    <m/>
    <m/>
    <m/>
    <m/>
    <n v="1"/>
    <n v="500"/>
    <m/>
    <m/>
    <n v="500"/>
    <n v="0"/>
    <n v="0"/>
    <n v="0"/>
    <n v="0"/>
    <n v="0"/>
    <n v="0"/>
    <n v="0"/>
    <n v="0"/>
    <n v="0"/>
    <n v="0"/>
  </r>
  <r>
    <s v="CR0006"/>
    <x v="0"/>
    <n v="2016"/>
    <n v="0"/>
    <s v="Minor Montero"/>
    <n v="20006"/>
    <s v="Jose Joaquin Montero Calderon"/>
    <m/>
    <s v="Out of Program"/>
    <m/>
    <m/>
    <m/>
    <x v="1"/>
    <m/>
    <m/>
    <s v=""/>
    <m/>
    <n v="500"/>
    <n v="500"/>
    <s v=""/>
    <m/>
    <m/>
    <m/>
    <m/>
    <n v="1"/>
    <n v="500"/>
    <m/>
    <m/>
    <n v="500"/>
    <n v="0"/>
    <n v="0"/>
    <n v="0"/>
    <n v="0"/>
    <n v="0"/>
    <n v="0"/>
    <n v="0"/>
    <n v="0"/>
    <n v="0"/>
    <n v="0"/>
  </r>
  <r>
    <s v="CR0007"/>
    <x v="0"/>
    <n v="2016"/>
    <n v="0"/>
    <s v="William Guiterrez"/>
    <n v="20007"/>
    <s v="Segrufor Segundo Grupo Forestal, S.A"/>
    <m/>
    <s v="Out of Program"/>
    <m/>
    <m/>
    <m/>
    <x v="1"/>
    <m/>
    <m/>
    <s v=""/>
    <m/>
    <n v="400"/>
    <n v="400"/>
    <s v=""/>
    <m/>
    <m/>
    <m/>
    <m/>
    <n v="1"/>
    <n v="400"/>
    <m/>
    <m/>
    <n v="400"/>
    <n v="0"/>
    <n v="0"/>
    <n v="0"/>
    <n v="0"/>
    <n v="0"/>
    <n v="0"/>
    <n v="0"/>
    <n v="0"/>
    <n v="0"/>
    <n v="0"/>
  </r>
  <r>
    <s v="CR0079"/>
    <x v="0"/>
    <n v="2016"/>
    <n v="0"/>
    <s v="Dennis Cordoba"/>
    <n v="20073"/>
    <s v="Dennis Cordoba"/>
    <m/>
    <s v="Out of Program"/>
    <m/>
    <m/>
    <m/>
    <x v="1"/>
    <m/>
    <m/>
    <s v=""/>
    <m/>
    <n v="275"/>
    <n v="275"/>
    <s v=""/>
    <m/>
    <m/>
    <m/>
    <m/>
    <n v="1"/>
    <n v="275"/>
    <m/>
    <m/>
    <n v="275"/>
    <n v="0"/>
    <n v="0"/>
    <n v="0"/>
    <n v="0"/>
    <n v="0"/>
    <n v="0"/>
    <n v="0"/>
    <n v="0"/>
    <n v="0"/>
    <n v="0"/>
  </r>
  <r>
    <s v="CR0093"/>
    <x v="0"/>
    <n v="2016"/>
    <n v="0"/>
    <s v="Roberto Solis"/>
    <n v="20085"/>
    <s v="Orsom Proyect S.A"/>
    <m/>
    <s v="Out of Program"/>
    <m/>
    <m/>
    <m/>
    <x v="1"/>
    <m/>
    <m/>
    <s v=""/>
    <m/>
    <n v="250"/>
    <n v="250"/>
    <s v=""/>
    <m/>
    <m/>
    <m/>
    <m/>
    <n v="1"/>
    <n v="250"/>
    <m/>
    <m/>
    <n v="250"/>
    <n v="0"/>
    <n v="0"/>
    <n v="0"/>
    <n v="0"/>
    <n v="0"/>
    <n v="0"/>
    <n v="0"/>
    <n v="0"/>
    <n v="0"/>
    <n v="0"/>
  </r>
  <r>
    <s v="CR0094"/>
    <x v="0"/>
    <n v="2016"/>
    <n v="0"/>
    <s v="Mauro Solis"/>
    <n v="20086"/>
    <s v="Carlos Roberto Solis"/>
    <m/>
    <s v="Out of Program"/>
    <m/>
    <m/>
    <m/>
    <x v="1"/>
    <m/>
    <m/>
    <s v=""/>
    <m/>
    <n v="900"/>
    <n v="900"/>
    <s v=""/>
    <m/>
    <m/>
    <m/>
    <m/>
    <n v="1"/>
    <n v="900"/>
    <m/>
    <m/>
    <n v="900"/>
    <n v="0"/>
    <n v="0"/>
    <n v="0"/>
    <n v="0"/>
    <n v="0"/>
    <n v="0"/>
    <n v="0"/>
    <n v="0"/>
    <n v="0"/>
    <n v="0"/>
  </r>
  <r>
    <s v="CR0095"/>
    <x v="0"/>
    <n v="2016"/>
    <n v="0"/>
    <s v="Mario Rodriguez"/>
    <n v="20087"/>
    <s v="Coopronaranjo R.L"/>
    <m/>
    <s v="Out of Program"/>
    <m/>
    <m/>
    <m/>
    <x v="1"/>
    <m/>
    <m/>
    <s v=""/>
    <m/>
    <n v="1000"/>
    <n v="1000"/>
    <s v=""/>
    <m/>
    <m/>
    <m/>
    <m/>
    <n v="1"/>
    <n v="1000"/>
    <m/>
    <m/>
    <n v="1000"/>
    <n v="0"/>
    <n v="0"/>
    <n v="0"/>
    <n v="0"/>
    <n v="0"/>
    <n v="0"/>
    <n v="0"/>
    <n v="0"/>
    <n v="0"/>
    <n v="0"/>
  </r>
  <r>
    <s v="CR0096"/>
    <x v="0"/>
    <n v="2016"/>
    <n v="0"/>
    <s v="Daniel Ureña"/>
    <n v="20088"/>
    <s v="Daniel Ureña"/>
    <m/>
    <s v="Out of Program"/>
    <m/>
    <m/>
    <m/>
    <x v="1"/>
    <m/>
    <m/>
    <s v=""/>
    <m/>
    <n v="250"/>
    <n v="250"/>
    <s v=""/>
    <m/>
    <m/>
    <m/>
    <m/>
    <n v="1"/>
    <n v="250"/>
    <m/>
    <m/>
    <n v="250"/>
    <n v="0"/>
    <n v="0"/>
    <n v="0"/>
    <n v="0"/>
    <n v="0"/>
    <n v="0"/>
    <n v="0"/>
    <n v="0"/>
    <n v="0"/>
    <n v="0"/>
  </r>
  <r>
    <s v="US0004"/>
    <x v="0"/>
    <n v="2016"/>
    <n v="2025"/>
    <s v="Bruce Gamble"/>
    <n v="10001"/>
    <s v="Bruce Gamble"/>
    <s v="956-873-2487"/>
    <s v="Active"/>
    <s v="brucegamblefarms@gmail.com"/>
    <s v="10539 Mile 8 Road, LaFeria, TX, USA, 78559"/>
    <s v="10539 Mile 8 Road, LaFeria, TX, USA, 78559"/>
    <x v="0"/>
    <s v="26.275504, -97.890818"/>
    <n v="25.4"/>
    <n v="20"/>
    <m/>
    <n v="2200"/>
    <n v="2200"/>
    <s v=""/>
    <m/>
    <m/>
    <m/>
    <m/>
    <n v="1"/>
    <n v="2200"/>
    <m/>
    <m/>
    <n v="2200"/>
    <n v="0.55583906046107012"/>
    <n v="1222.8459330143542"/>
    <n v="0"/>
    <m/>
    <n v="0.55583906046107012"/>
    <n v="0.55583906046107012"/>
    <n v="1222.8459330143542"/>
    <n v="0"/>
    <n v="1222.8459330143542"/>
    <n v="0"/>
  </r>
  <r>
    <s v="US0006"/>
    <x v="0"/>
    <n v="2016"/>
    <n v="2025"/>
    <s v="David Smith"/>
    <n v="10004"/>
    <s v="David Smith"/>
    <s v="228-861-5711"/>
    <s v="Active"/>
    <s v="davidsmith@coastepa.com"/>
    <s v="42 M K Layne  Poplarville  MS  39470-4337"/>
    <s v="42 M K Layne  Poplarville  MS  39470-4337"/>
    <x v="0"/>
    <s v="30.770056, -89.532565"/>
    <n v="18"/>
    <n v="20"/>
    <s v="Y"/>
    <n v="2200"/>
    <n v="2200"/>
    <s v=""/>
    <m/>
    <m/>
    <m/>
    <m/>
    <n v="1"/>
    <n v="2200"/>
    <m/>
    <m/>
    <n v="2200"/>
    <n v="0.91650284090909095"/>
    <n v="2016.3062500000001"/>
    <n v="0"/>
    <m/>
    <n v="0.91650284090909095"/>
    <n v="0.91650284090909095"/>
    <n v="2016.3062500000001"/>
    <n v="0"/>
    <n v="2016.3062500000001"/>
    <n v="0"/>
  </r>
  <r>
    <s v="US0008"/>
    <x v="0"/>
    <n v="2016"/>
    <n v="2025"/>
    <s v="Eugene Martens"/>
    <n v="10006"/>
    <s v="Eugene Martens"/>
    <s v="334-646-0227, 334-885-6998"/>
    <s v="Active"/>
    <s v="emartens@teleclipse.net"/>
    <s v="516 County Road 664, Roanoke, AL. 36274-5431"/>
    <s v="516 County Road 664, Roanoke, AL. 36274-5431"/>
    <x v="0"/>
    <s v="33.146328, -85.297633"/>
    <n v="6.6"/>
    <n v="7.2727272727272725"/>
    <s v="Y"/>
    <n v="800"/>
    <n v="800"/>
    <s v=""/>
    <m/>
    <m/>
    <m/>
    <m/>
    <n v="1"/>
    <n v="800"/>
    <m/>
    <m/>
    <n v="800"/>
    <n v="0.86235416666666664"/>
    <n v="689.88333333333333"/>
    <n v="0"/>
    <m/>
    <n v="0.86235416666666664"/>
    <n v="0.86235416666666664"/>
    <n v="689.88333333333333"/>
    <n v="0"/>
    <n v="689.88333333333333"/>
    <n v="0"/>
  </r>
  <r>
    <s v="US0011"/>
    <x v="0"/>
    <n v="2016"/>
    <n v="2025"/>
    <s v="Joseph Hostetler"/>
    <n v="10009"/>
    <s v="Joseph Hostetler"/>
    <s v="724-946-2819 - message only, 234-567-1751"/>
    <s v="Active"/>
    <n v="0"/>
    <s v="47 B&amp;H Lane, New Wilmington PA 16142"/>
    <s v="8080 Branch Rd SE Scio OH 43988-9552"/>
    <x v="0"/>
    <s v="40.450392, -81.009647"/>
    <n v="14.2"/>
    <n v="11.772727272727273"/>
    <m/>
    <n v="1295"/>
    <n v="1295"/>
    <s v=""/>
    <m/>
    <m/>
    <m/>
    <m/>
    <n v="1"/>
    <n v="1295"/>
    <m/>
    <m/>
    <n v="1295"/>
    <n v="0.12183612183612186"/>
    <n v="458.18181818181807"/>
    <n v="0"/>
    <m/>
    <n v="0.12183612183612186"/>
    <n v="0.12183612183612186"/>
    <n v="157.7777777777778"/>
    <n v="0"/>
    <n v="157.7777777777778"/>
    <n v="0"/>
  </r>
  <r>
    <s v="US0014"/>
    <x v="0"/>
    <n v="2016"/>
    <n v="2025"/>
    <s v="Wayne Owen"/>
    <n v="10012"/>
    <s v="Todd H Owen"/>
    <s v="901-356-4125"/>
    <s v="Active"/>
    <n v="0"/>
    <s v="292 Ralph Rd  Covington  TN  38019-4916"/>
    <s v="292 Ralph Rd  Covington  TN  38019-4916"/>
    <x v="0"/>
    <s v="35.551192, -89.559985"/>
    <n v="6"/>
    <n v="6"/>
    <s v="Y"/>
    <n v="660"/>
    <n v="660"/>
    <s v=""/>
    <m/>
    <m/>
    <m/>
    <m/>
    <n v="1"/>
    <n v="660"/>
    <m/>
    <m/>
    <n v="660"/>
    <n v="1"/>
    <n v="660"/>
    <n v="0"/>
    <m/>
    <n v="1"/>
    <n v="1"/>
    <n v="660"/>
    <n v="0"/>
    <n v="660"/>
    <n v="0"/>
  </r>
  <r>
    <s v="US0002"/>
    <x v="0"/>
    <n v="2016"/>
    <n v="0"/>
    <s v="Bob Miller"/>
    <n v="10002"/>
    <s v="Bob Miller"/>
    <m/>
    <s v="Out of Program"/>
    <m/>
    <m/>
    <m/>
    <x v="0"/>
    <s v="27.478449, -81.296945"/>
    <m/>
    <s v=""/>
    <m/>
    <n v="1200"/>
    <n v="1200"/>
    <s v=""/>
    <m/>
    <m/>
    <m/>
    <m/>
    <n v="1"/>
    <n v="1200"/>
    <m/>
    <m/>
    <n v="1200"/>
    <n v="0"/>
    <n v="0"/>
    <n v="0"/>
    <n v="0"/>
    <n v="0"/>
    <n v="0"/>
    <n v="0"/>
    <n v="0"/>
    <n v="0"/>
    <n v="0"/>
  </r>
  <r>
    <s v="US0003"/>
    <x v="0"/>
    <n v="2016"/>
    <n v="0"/>
    <s v="Brian Lusnia"/>
    <n v="10003"/>
    <s v="Brian Lusnia"/>
    <m/>
    <s v="Out of Program"/>
    <m/>
    <m/>
    <m/>
    <x v="0"/>
    <s v="45.321683 -122.533558"/>
    <m/>
    <s v=""/>
    <m/>
    <n v="1100"/>
    <n v="1100"/>
    <s v=""/>
    <m/>
    <m/>
    <m/>
    <m/>
    <n v="1"/>
    <n v="1100"/>
    <m/>
    <m/>
    <n v="1100"/>
    <n v="0"/>
    <n v="0"/>
    <n v="0"/>
    <n v="0"/>
    <n v="0"/>
    <n v="0"/>
    <n v="0"/>
    <n v="0"/>
    <n v="0"/>
    <n v="0"/>
  </r>
  <r>
    <s v="US0007"/>
    <x v="0"/>
    <n v="2016"/>
    <n v="0"/>
    <s v="Dennis Stoltzfoos"/>
    <n v="10005"/>
    <s v="Dennis Stoltzfoos"/>
    <m/>
    <s v="Out of Program"/>
    <m/>
    <m/>
    <m/>
    <x v="0"/>
    <s v="30.13526 -83.18676"/>
    <m/>
    <s v=""/>
    <m/>
    <n v="1100"/>
    <n v="1100"/>
    <s v=""/>
    <m/>
    <m/>
    <m/>
    <m/>
    <n v="1"/>
    <n v="1100"/>
    <m/>
    <m/>
    <n v="1100"/>
    <n v="0"/>
    <n v="0"/>
    <n v="0"/>
    <n v="0"/>
    <n v="0"/>
    <n v="0"/>
    <n v="0"/>
    <n v="0"/>
    <n v="0"/>
    <n v="0"/>
  </r>
  <r>
    <s v="US0009"/>
    <x v="0"/>
    <n v="2016"/>
    <n v="2025"/>
    <s v="Jay Ridings"/>
    <n v="10007"/>
    <s v="Jay Ridings"/>
    <s v="901-619-5991, 901-476-1263, 901-313-9793"/>
    <s v="RFT"/>
    <s v="jridings01@aol.com, jayspaintandbody@gmail.com, jridings01@aol.com"/>
    <s v="1972 Leighs Chapel Rd, Covington, TN 38019-4522"/>
    <s v="1972 Leighs Chapel Rd, Covington, TN 38019-4522"/>
    <x v="0"/>
    <s v="35.616983, -89.699598"/>
    <n v="12"/>
    <s v=""/>
    <m/>
    <n v="1650"/>
    <n v="1650"/>
    <s v=""/>
    <m/>
    <m/>
    <m/>
    <m/>
    <n v="1"/>
    <n v="1650"/>
    <m/>
    <m/>
    <n v="1650"/>
    <n v="0.27768595041322308"/>
    <n v="458.18181818181807"/>
    <n v="0"/>
    <m/>
    <n v="0.27768595041322308"/>
    <n v="0.28000000000000003"/>
    <n v="458.18181818181807"/>
    <n v="0"/>
    <n v="458.18181818181807"/>
    <n v="0"/>
  </r>
  <r>
    <s v="US0010"/>
    <x v="0"/>
    <n v="2016"/>
    <n v="0"/>
    <s v="Jonathan Walker"/>
    <n v="10008"/>
    <s v="Jonathan Walker"/>
    <m/>
    <s v="Out of Program"/>
    <m/>
    <m/>
    <m/>
    <x v="0"/>
    <s v="33.77408, -85.77677"/>
    <m/>
    <s v=""/>
    <m/>
    <n v="550"/>
    <n v="550"/>
    <s v=""/>
    <m/>
    <m/>
    <m/>
    <m/>
    <n v="1"/>
    <n v="550"/>
    <m/>
    <m/>
    <n v="550"/>
    <n v="0"/>
    <n v="0"/>
    <n v="0"/>
    <n v="0"/>
    <n v="0"/>
    <n v="0"/>
    <n v="0"/>
    <n v="0"/>
    <n v="0"/>
    <n v="0"/>
  </r>
  <r>
    <s v="US0012"/>
    <x v="0"/>
    <n v="2016"/>
    <n v="0"/>
    <s v="Loretta Adderson"/>
    <n v="10010"/>
    <s v="Loretta Adderson"/>
    <m/>
    <s v="Out of Program"/>
    <m/>
    <m/>
    <m/>
    <x v="0"/>
    <s v="33.121452, -82.197412"/>
    <m/>
    <s v=""/>
    <m/>
    <n v="2200"/>
    <n v="2200"/>
    <s v=""/>
    <m/>
    <m/>
    <m/>
    <m/>
    <n v="1"/>
    <n v="2200"/>
    <m/>
    <m/>
    <n v="2200"/>
    <n v="0"/>
    <n v="0"/>
    <n v="0"/>
    <n v="0"/>
    <n v="0"/>
    <n v="0"/>
    <n v="0"/>
    <n v="0"/>
    <n v="0"/>
    <n v="0"/>
  </r>
  <r>
    <s v="US0013"/>
    <x v="0"/>
    <n v="2016"/>
    <n v="0"/>
    <s v="Nolan Bradford"/>
    <n v="10011"/>
    <s v="Nolan Bradford"/>
    <n v="0"/>
    <s v="Out of Program"/>
    <m/>
    <m/>
    <m/>
    <x v="0"/>
    <s v="33.983918, -86.808292"/>
    <m/>
    <s v=""/>
    <m/>
    <n v="550"/>
    <n v="550"/>
    <s v=""/>
    <m/>
    <m/>
    <m/>
    <m/>
    <n v="1"/>
    <n v="550"/>
    <m/>
    <m/>
    <n v="550"/>
    <n v="0"/>
    <n v="0"/>
    <n v="0"/>
    <n v="0"/>
    <n v="0"/>
    <n v="0"/>
    <n v="0"/>
    <n v="0"/>
    <n v="0"/>
    <n v="0"/>
  </r>
  <r>
    <s v="US0005"/>
    <x v="1"/>
    <n v="2016"/>
    <n v="2025"/>
    <s v="Bruce Gamble"/>
    <n v="10001"/>
    <s v="Bruce Gamble"/>
    <s v="956-873-2487"/>
    <s v="RFT"/>
    <s v="brucegamblefarms@gmail.com"/>
    <s v="10539 Mile 8 Road, LaFeria, TX, USA, 78559"/>
    <s v="10539 Mile 8 Road, LaFeria, TX, USA, 78559"/>
    <x v="0"/>
    <s v="26.278008, -97.890074"/>
    <n v="21.6"/>
    <s v=""/>
    <m/>
    <n v="2200"/>
    <n v="2200"/>
    <s v=""/>
    <m/>
    <n v="0"/>
    <m/>
    <m/>
    <n v="1"/>
    <n v="2200"/>
    <m/>
    <m/>
    <n v="2200"/>
    <n v="0.53441505333295214"/>
    <n v="1175.7131173324947"/>
    <n v="0"/>
    <m/>
    <n v="0.53441505333295214"/>
    <n v="0.53"/>
    <n v="1175.7131173324947"/>
    <n v="0"/>
    <n v="1175.7131173324947"/>
    <n v="0"/>
  </r>
  <r>
    <s v="CR0008"/>
    <x v="1"/>
    <n v="2017"/>
    <n v="0"/>
    <s v="Carlos Navarro"/>
    <n v="20008"/>
    <s v="Carlos Navarro"/>
    <m/>
    <s v="Out of Program"/>
    <m/>
    <m/>
    <m/>
    <x v="1"/>
    <m/>
    <m/>
    <s v=""/>
    <m/>
    <n v="1200"/>
    <n v="1200"/>
    <s v=""/>
    <m/>
    <n v="0.24"/>
    <n v="288"/>
    <n v="288"/>
    <n v="0.76"/>
    <n v="912"/>
    <m/>
    <m/>
    <n v="912"/>
    <n v="0"/>
    <n v="0"/>
    <n v="0"/>
    <n v="0"/>
    <n v="0"/>
    <n v="0"/>
    <n v="0"/>
    <n v="0"/>
    <n v="0"/>
    <n v="0"/>
  </r>
  <r>
    <s v="CR0009"/>
    <x v="1"/>
    <n v="2017"/>
    <n v="0"/>
    <s v="David Gutierrez"/>
    <n v="20009"/>
    <s v="Edgar Gutierrez"/>
    <m/>
    <s v="Out of Program"/>
    <m/>
    <m/>
    <m/>
    <x v="1"/>
    <m/>
    <m/>
    <s v=""/>
    <m/>
    <n v="500"/>
    <n v="500"/>
    <s v=""/>
    <m/>
    <n v="0.24"/>
    <n v="120"/>
    <n v="120"/>
    <n v="0.76"/>
    <n v="380"/>
    <m/>
    <m/>
    <n v="380"/>
    <n v="0"/>
    <n v="0"/>
    <n v="0"/>
    <n v="0"/>
    <n v="0"/>
    <n v="0"/>
    <n v="0"/>
    <n v="0"/>
    <n v="0"/>
    <n v="0"/>
  </r>
  <r>
    <s v="CR0010"/>
    <x v="1"/>
    <n v="2017"/>
    <n v="0"/>
    <s v="Edgar Ureña"/>
    <n v="20010"/>
    <s v="Edgar Ureña"/>
    <m/>
    <s v="Out of Program"/>
    <m/>
    <m/>
    <m/>
    <x v="1"/>
    <m/>
    <m/>
    <s v=""/>
    <m/>
    <n v="500"/>
    <n v="500"/>
    <s v=""/>
    <m/>
    <n v="0.24"/>
    <n v="120"/>
    <n v="120"/>
    <n v="0.76"/>
    <n v="380"/>
    <m/>
    <m/>
    <n v="380"/>
    <n v="0"/>
    <n v="0"/>
    <n v="0"/>
    <n v="0"/>
    <n v="0"/>
    <n v="0"/>
    <n v="0"/>
    <n v="0"/>
    <n v="0"/>
    <n v="0"/>
  </r>
  <r>
    <s v="CR0011"/>
    <x v="1"/>
    <n v="2017"/>
    <n v="0"/>
    <s v="Fernando Altmann"/>
    <n v="20011"/>
    <s v="Fernando Altmann"/>
    <m/>
    <s v="Out of Program"/>
    <m/>
    <m/>
    <m/>
    <x v="1"/>
    <m/>
    <m/>
    <s v=""/>
    <m/>
    <n v="13000"/>
    <n v="13000"/>
    <s v=""/>
    <m/>
    <n v="0.24"/>
    <n v="3120"/>
    <n v="3120"/>
    <n v="0.76"/>
    <n v="9880"/>
    <m/>
    <m/>
    <n v="9880"/>
    <n v="0"/>
    <n v="0"/>
    <n v="0"/>
    <n v="0"/>
    <n v="0"/>
    <n v="0"/>
    <n v="0"/>
    <n v="0"/>
    <n v="0"/>
    <n v="0"/>
  </r>
  <r>
    <s v="CR0012"/>
    <x v="1"/>
    <n v="2017"/>
    <n v="0"/>
    <s v="Francisco Mena"/>
    <n v="20012"/>
    <s v="Sumava de Lourdes, R.L"/>
    <m/>
    <s v="Out of Program"/>
    <m/>
    <m/>
    <m/>
    <x v="1"/>
    <m/>
    <m/>
    <s v=""/>
    <m/>
    <n v="2000"/>
    <n v="2000"/>
    <s v=""/>
    <m/>
    <n v="0.24"/>
    <n v="480"/>
    <n v="480"/>
    <n v="0.76"/>
    <n v="1520"/>
    <m/>
    <m/>
    <n v="1520"/>
    <n v="0"/>
    <n v="0"/>
    <n v="0"/>
    <n v="0"/>
    <n v="0"/>
    <n v="0"/>
    <n v="0"/>
    <n v="0"/>
    <n v="0"/>
    <n v="0"/>
  </r>
  <r>
    <s v="CR0013"/>
    <x v="1"/>
    <n v="2017"/>
    <n v="2026"/>
    <s v="Herberth Chacon"/>
    <n v="20013"/>
    <s v="Herberth Chacon"/>
    <n v="50687018348"/>
    <s v="RFT"/>
    <s v="h.chacon@hotmail.es, info@cafelaspenas.com"/>
    <s v="Sabanilla, Provincia de Alajuela, Sabanilla, Costa Rica"/>
    <s v="10.067475, -84.219483"/>
    <x v="1"/>
    <s v="10.064184, -84.202693"/>
    <n v="5.8000000000000007"/>
    <s v=""/>
    <m/>
    <n v="1000"/>
    <n v="1000"/>
    <s v=""/>
    <m/>
    <n v="0.24"/>
    <n v="240"/>
    <n v="240"/>
    <n v="0.76"/>
    <n v="760"/>
    <m/>
    <m/>
    <n v="760"/>
    <n v="0.87"/>
    <n v="870"/>
    <n v="0"/>
    <m/>
    <n v="0.87"/>
    <n v="0.87"/>
    <n v="870"/>
    <n v="208.79999999999998"/>
    <n v="661.2"/>
    <n v="0"/>
  </r>
  <r>
    <s v="CR0014"/>
    <x v="1"/>
    <n v="2017"/>
    <n v="0"/>
    <s v="Jorge Arrieta"/>
    <m/>
    <s v="Olymar Santa Lucia"/>
    <m/>
    <s v="Out of Program"/>
    <m/>
    <m/>
    <m/>
    <x v="1"/>
    <m/>
    <m/>
    <s v=""/>
    <m/>
    <n v="1000"/>
    <n v="1000"/>
    <s v=""/>
    <m/>
    <n v="0.24"/>
    <n v="240"/>
    <n v="240"/>
    <n v="0.76"/>
    <n v="760"/>
    <m/>
    <m/>
    <n v="760"/>
    <n v="0"/>
    <n v="0"/>
    <n v="0"/>
    <n v="0"/>
    <n v="0"/>
    <n v="0"/>
    <n v="0"/>
    <n v="0"/>
    <n v="0"/>
    <n v="0"/>
  </r>
  <r>
    <s v="CR0015"/>
    <x v="1"/>
    <n v="2017"/>
    <n v="0"/>
    <s v="Juan Luis  Chaves"/>
    <n v="20005"/>
    <s v="ASESORIA DE EMPRESAS TONAL S A, "/>
    <m/>
    <s v="Out of Program"/>
    <m/>
    <m/>
    <m/>
    <x v="1"/>
    <m/>
    <m/>
    <s v=""/>
    <m/>
    <n v="1000"/>
    <n v="1000"/>
    <s v=""/>
    <m/>
    <n v="0.24"/>
    <n v="240"/>
    <n v="240"/>
    <n v="0.76"/>
    <n v="760"/>
    <m/>
    <m/>
    <n v="760"/>
    <n v="0"/>
    <n v="0"/>
    <n v="0"/>
    <n v="0"/>
    <n v="0"/>
    <n v="0"/>
    <n v="0"/>
    <n v="0"/>
    <n v="0"/>
    <n v="0"/>
  </r>
  <r>
    <s v="CR0016"/>
    <x v="1"/>
    <n v="2017"/>
    <n v="0"/>
    <s v="Krzysztof Adamski"/>
    <n v="20015"/>
    <s v="Krzysztof Adamski"/>
    <m/>
    <s v="Out of Program"/>
    <m/>
    <m/>
    <m/>
    <x v="1"/>
    <m/>
    <m/>
    <s v=""/>
    <m/>
    <n v="600"/>
    <n v="600"/>
    <s v=""/>
    <m/>
    <n v="0.24"/>
    <n v="144"/>
    <n v="144"/>
    <n v="0.76"/>
    <n v="456"/>
    <m/>
    <m/>
    <n v="456"/>
    <n v="0"/>
    <n v="0"/>
    <n v="0"/>
    <n v="0"/>
    <n v="0"/>
    <n v="0"/>
    <n v="0"/>
    <n v="0"/>
    <n v="0"/>
    <n v="0"/>
  </r>
  <r>
    <s v="CR0017"/>
    <x v="1"/>
    <n v="2017"/>
    <n v="0"/>
    <s v="Manuel Rojas"/>
    <n v="20016"/>
    <s v="Rojas y Pacheco S.R.L, "/>
    <m/>
    <s v="Out of Program"/>
    <m/>
    <m/>
    <m/>
    <x v="1"/>
    <m/>
    <m/>
    <s v=""/>
    <m/>
    <n v="1000"/>
    <n v="1000"/>
    <s v=""/>
    <m/>
    <n v="0.24"/>
    <n v="240"/>
    <n v="240"/>
    <n v="0.76"/>
    <n v="760"/>
    <m/>
    <m/>
    <n v="760"/>
    <n v="0"/>
    <n v="0"/>
    <n v="0"/>
    <n v="0"/>
    <n v="0"/>
    <n v="0"/>
    <n v="0"/>
    <n v="0"/>
    <n v="0"/>
    <n v="0"/>
  </r>
  <r>
    <s v="CR0018"/>
    <x v="1"/>
    <n v="2017"/>
    <n v="0"/>
    <s v="Martin Gutierrez"/>
    <n v="20017"/>
    <s v="Martin Gutierrez"/>
    <m/>
    <s v="Out of Program"/>
    <m/>
    <m/>
    <m/>
    <x v="1"/>
    <m/>
    <m/>
    <s v=""/>
    <m/>
    <n v="250"/>
    <n v="250"/>
    <s v=""/>
    <m/>
    <n v="0.24"/>
    <n v="60"/>
    <n v="60"/>
    <n v="0.76"/>
    <n v="190"/>
    <m/>
    <m/>
    <n v="190"/>
    <n v="0"/>
    <n v="0"/>
    <n v="0"/>
    <n v="0"/>
    <n v="0"/>
    <n v="0"/>
    <n v="0"/>
    <n v="0"/>
    <n v="0"/>
    <n v="0"/>
  </r>
  <r>
    <s v="CR0019"/>
    <x v="1"/>
    <n v="2017"/>
    <n v="0"/>
    <s v="Miguel Angel Cabezas"/>
    <n v="20018"/>
    <s v="Miriam Mora Salazar"/>
    <m/>
    <s v="Out of Program"/>
    <m/>
    <m/>
    <m/>
    <x v="1"/>
    <m/>
    <m/>
    <s v=""/>
    <m/>
    <n v="500"/>
    <n v="500"/>
    <s v=""/>
    <m/>
    <n v="0.24"/>
    <n v="120"/>
    <n v="120"/>
    <n v="0.76"/>
    <n v="380"/>
    <m/>
    <m/>
    <n v="380"/>
    <n v="0"/>
    <n v="0"/>
    <n v="0"/>
    <n v="0"/>
    <n v="0"/>
    <n v="0"/>
    <n v="0"/>
    <n v="0"/>
    <n v="0"/>
    <n v="0"/>
  </r>
  <r>
    <s v="CR0020"/>
    <x v="1"/>
    <n v="2017"/>
    <n v="0"/>
    <s v="Fernando Chacon "/>
    <n v="20019"/>
    <s v="Esteban Fernando Chacon "/>
    <m/>
    <s v="Out of Program"/>
    <m/>
    <m/>
    <m/>
    <x v="1"/>
    <m/>
    <m/>
    <s v=""/>
    <m/>
    <n v="300"/>
    <n v="300"/>
    <s v=""/>
    <m/>
    <n v="0.24"/>
    <n v="72"/>
    <n v="72"/>
    <n v="0.76"/>
    <n v="228"/>
    <m/>
    <m/>
    <n v="228"/>
    <n v="0"/>
    <n v="0"/>
    <n v="0"/>
    <n v="0"/>
    <n v="0"/>
    <n v="0"/>
    <n v="0"/>
    <n v="0"/>
    <n v="0"/>
    <n v="0"/>
  </r>
  <r>
    <s v="CR0021"/>
    <x v="1"/>
    <n v="2017"/>
    <n v="0"/>
    <s v="Oscar Viquez"/>
    <n v="20020"/>
    <s v="Oscar Viquez,María Isabel Quesada Víquez, Eraida Quesada Víquez, Estelia Quesada Víquez"/>
    <m/>
    <s v="Out of Program"/>
    <m/>
    <m/>
    <m/>
    <x v="1"/>
    <m/>
    <m/>
    <s v=""/>
    <m/>
    <n v="1000"/>
    <n v="1000"/>
    <s v=""/>
    <m/>
    <n v="0.24"/>
    <n v="240"/>
    <n v="240"/>
    <n v="0.76"/>
    <n v="760"/>
    <m/>
    <m/>
    <n v="760"/>
    <n v="0"/>
    <n v="0"/>
    <n v="0"/>
    <n v="0"/>
    <n v="0"/>
    <n v="0"/>
    <n v="0"/>
    <n v="0"/>
    <n v="0"/>
    <n v="0"/>
  </r>
  <r>
    <s v="CR0022"/>
    <x v="1"/>
    <n v="2017"/>
    <n v="0"/>
    <s v="Susy Calderon"/>
    <n v="20021"/>
    <s v="Susy Calderon"/>
    <m/>
    <s v="Out of Program"/>
    <m/>
    <m/>
    <m/>
    <x v="1"/>
    <m/>
    <m/>
    <s v=""/>
    <m/>
    <n v="250"/>
    <n v="250"/>
    <s v=""/>
    <m/>
    <n v="0.24"/>
    <n v="60"/>
    <n v="60"/>
    <n v="0.76"/>
    <n v="190"/>
    <m/>
    <m/>
    <n v="190"/>
    <n v="0"/>
    <n v="0"/>
    <n v="0"/>
    <n v="0"/>
    <n v="0"/>
    <n v="0"/>
    <n v="0"/>
    <n v="0"/>
    <n v="0"/>
    <n v="0"/>
  </r>
  <r>
    <s v="US0018"/>
    <x v="1"/>
    <n v="2017"/>
    <n v="0"/>
    <s v="Marlene Lewis"/>
    <n v="10016"/>
    <s v="Lewauta Landholdings Inc"/>
    <s v="250-889-1343"/>
    <s v="Out of Program"/>
    <s v="marlene@end-dyslexia.com, mmlewisaccess@gmail.com, marlene@empressacres.ca, petermlewis1@gmail.com"/>
    <s v="2974 Haslam Road, Nanaimo, BC V9X 1T1, Canada"/>
    <s v="2974 Haslam Road, Nanaimo, BC V9X 1T1, Canada"/>
    <x v="0"/>
    <s v="49.06572, -123.854433"/>
    <n v="7.8"/>
    <s v=""/>
    <s v="Y"/>
    <n v="951"/>
    <n v="951"/>
    <s v=""/>
    <m/>
    <n v="0.23974763406940064"/>
    <n v="228"/>
    <n v="228"/>
    <n v="0.76025236593059897"/>
    <n v="722.76"/>
    <m/>
    <m/>
    <n v="722.76"/>
    <n v="0.537280740575518"/>
    <n v="510.95398428731761"/>
    <n v="0"/>
    <n v="0"/>
    <n v="0"/>
    <n v="0"/>
    <n v="0"/>
    <n v="0"/>
    <n v="0"/>
    <n v="0"/>
  </r>
  <r>
    <s v="US0015"/>
    <x v="1"/>
    <n v="2017"/>
    <n v="0"/>
    <s v="Elvire Dembia"/>
    <n v="10013"/>
    <s v="Elvire Frank Dembia"/>
    <m/>
    <s v="Out of Program"/>
    <m/>
    <m/>
    <m/>
    <x v="0"/>
    <m/>
    <m/>
    <s v=""/>
    <m/>
    <n v="2200"/>
    <n v="2200"/>
    <s v=""/>
    <m/>
    <n v="0.24"/>
    <n v="528"/>
    <n v="528"/>
    <n v="0.76"/>
    <n v="1672"/>
    <m/>
    <m/>
    <n v="1672"/>
    <n v="0"/>
    <n v="0"/>
    <n v="0"/>
    <n v="0"/>
    <n v="0"/>
    <n v="0"/>
    <n v="0"/>
    <n v="0"/>
    <n v="0"/>
    <n v="0"/>
  </r>
  <r>
    <s v="US0016"/>
    <x v="1"/>
    <n v="2017"/>
    <n v="0"/>
    <s v="Juan Zermeno"/>
    <n v="10014"/>
    <s v="Juan Zermeno"/>
    <m/>
    <s v="Out of Program"/>
    <m/>
    <m/>
    <m/>
    <x v="0"/>
    <m/>
    <m/>
    <s v=""/>
    <m/>
    <n v="2200"/>
    <n v="2200"/>
    <s v=""/>
    <m/>
    <n v="0.24"/>
    <n v="528"/>
    <n v="528"/>
    <n v="0.76"/>
    <n v="1672"/>
    <m/>
    <m/>
    <n v="1672"/>
    <n v="0"/>
    <n v="0"/>
    <n v="0"/>
    <n v="0"/>
    <n v="0"/>
    <n v="0"/>
    <n v="0"/>
    <n v="0"/>
    <n v="0"/>
    <n v="0"/>
  </r>
  <r>
    <s v="US0017"/>
    <x v="1"/>
    <n v="2017"/>
    <n v="0"/>
    <s v="Larry Wilcoxen"/>
    <n v="10015"/>
    <s v="Larry Wilcoxen"/>
    <m/>
    <s v="Out of Program"/>
    <m/>
    <m/>
    <m/>
    <x v="0"/>
    <m/>
    <m/>
    <s v=""/>
    <m/>
    <n v="550"/>
    <n v="550"/>
    <s v=""/>
    <m/>
    <n v="0.24"/>
    <n v="132"/>
    <n v="132"/>
    <n v="0.76"/>
    <n v="418"/>
    <m/>
    <m/>
    <n v="418"/>
    <n v="0"/>
    <n v="0"/>
    <n v="0"/>
    <n v="0"/>
    <n v="0"/>
    <n v="0"/>
    <n v="0"/>
    <n v="0"/>
    <n v="0"/>
    <n v="0"/>
  </r>
  <r>
    <s v="US0019"/>
    <x v="1"/>
    <n v="2017"/>
    <n v="0"/>
    <s v="Paul Hartz"/>
    <n v="10017"/>
    <s v="Paul Hartz"/>
    <m/>
    <s v="Out of Program"/>
    <m/>
    <m/>
    <m/>
    <x v="0"/>
    <m/>
    <m/>
    <s v=""/>
    <m/>
    <n v="2200"/>
    <n v="2200"/>
    <s v=""/>
    <m/>
    <n v="0.24"/>
    <n v="528"/>
    <n v="528"/>
    <n v="0.76"/>
    <n v="1672"/>
    <m/>
    <m/>
    <n v="1672"/>
    <n v="0"/>
    <n v="0"/>
    <n v="0"/>
    <n v="0"/>
    <n v="0"/>
    <n v="0"/>
    <n v="0"/>
    <n v="0"/>
    <n v="0"/>
    <n v="0"/>
  </r>
  <r>
    <s v="US0020"/>
    <x v="1"/>
    <n v="2017"/>
    <n v="0"/>
    <s v="Richard Cumberland"/>
    <n v="10018"/>
    <s v="Richard Cumberland"/>
    <m/>
    <s v="Out of Program"/>
    <m/>
    <m/>
    <m/>
    <x v="0"/>
    <m/>
    <m/>
    <s v=""/>
    <m/>
    <n v="200"/>
    <n v="200"/>
    <s v=""/>
    <m/>
    <n v="0.24"/>
    <n v="48"/>
    <n v="48"/>
    <n v="0.76"/>
    <n v="152"/>
    <m/>
    <m/>
    <n v="152"/>
    <n v="0"/>
    <n v="0"/>
    <n v="0"/>
    <n v="0"/>
    <n v="0"/>
    <n v="0"/>
    <n v="0"/>
    <n v="0"/>
    <n v="0"/>
    <n v="0"/>
  </r>
  <r>
    <s v="CR0028"/>
    <x v="1"/>
    <n v="2018"/>
    <n v="2027"/>
    <s v="Edgardo Matamoros"/>
    <n v="20025"/>
    <s v="Juan Manuel Sanchez"/>
    <s v="506 88886685, 24500034, 24511126"/>
    <s v="Active"/>
    <s v="ematamoros@elcantaro.net, santaanita@elcantaro.net"/>
    <s v="800 metros del cementerio de candelaria de Naranjo Cualquier"/>
    <s v="San Juan de Naranjo, Costa Rica"/>
    <x v="1"/>
    <s v="10.0115921398, -84.0836667227"/>
    <n v="11.9"/>
    <n v="12.355250518148317"/>
    <m/>
    <n v="2000"/>
    <n v="2000"/>
    <s v=""/>
    <m/>
    <n v="0.113"/>
    <n v="226"/>
    <n v="226"/>
    <n v="0.33200000000000002"/>
    <n v="660"/>
    <n v="0.55500000000000005"/>
    <n v="1120"/>
    <n v="1780"/>
    <n v="0.56000000000000005"/>
    <n v="1120"/>
    <n v="0"/>
    <m/>
    <n v="0.56000000000000005"/>
    <n v="0.56000000000000005"/>
    <n v="1120"/>
    <n v="126.56"/>
    <n v="371.84000000000003"/>
    <n v="621.6"/>
  </r>
  <r>
    <s v="CR0029"/>
    <x v="1"/>
    <n v="2018"/>
    <n v="2027"/>
    <s v="María Julia Ramirez"/>
    <n v="20026"/>
    <s v="María Julia Ramirez"/>
    <s v="506 24500063, +506 83565043"/>
    <s v="Active"/>
    <s v="mariajulia00@yahoo.com.mx, asis.lamerced@gmail.com"/>
    <s v="500 metros norte colegio de naranjo"/>
    <s v="San Rafael de Naranjo, Costa Rica"/>
    <x v="1"/>
    <s v="10.1081763406, -84.3811140226"/>
    <n v="8.1509999999999998"/>
    <n v="3.0888126295370792"/>
    <m/>
    <n v="500"/>
    <n v="500"/>
    <s v=""/>
    <m/>
    <n v="0.114"/>
    <n v="57"/>
    <n v="57"/>
    <n v="0.33200000000000002"/>
    <n v="165"/>
    <n v="0.55600000000000005"/>
    <n v="280"/>
    <n v="445"/>
    <n v="0.6"/>
    <n v="300"/>
    <n v="0"/>
    <m/>
    <n v="0.6"/>
    <n v="0.6"/>
    <n v="300"/>
    <n v="34.200000000000003"/>
    <n v="99.600000000000009"/>
    <n v="166.8"/>
  </r>
  <r>
    <s v="CR0030"/>
    <x v="1"/>
    <n v="2018"/>
    <n v="2027"/>
    <s v="Mayela Quesada"/>
    <n v="20027"/>
    <s v="Mayela Quesada"/>
    <s v="50683838815, 83838815"/>
    <s v="Active"/>
    <s v="mquesada@agricoladelcafetal.com"/>
    <s v="Lourdes de Naranjo, 709, Alajuela Province, Naranjo de Alajuela, Costa Rica"/>
    <s v="10.1525978335, -84.3586197692; 10,1552646 -843609432"/>
    <x v="1"/>
    <s v="10.1525978335, -84.3586197692"/>
    <n v="7.46434"/>
    <n v="6.1776252590741585"/>
    <m/>
    <n v="1000"/>
    <n v="1000"/>
    <s v=""/>
    <m/>
    <n v="0.113"/>
    <n v="113"/>
    <n v="113"/>
    <n v="0.33200000000000002"/>
    <n v="330"/>
    <n v="0.55500000000000005"/>
    <n v="560"/>
    <n v="890"/>
    <n v="0.6"/>
    <n v="600"/>
    <n v="0"/>
    <m/>
    <n v="0.6"/>
    <n v="0.6"/>
    <n v="600"/>
    <n v="67.8"/>
    <n v="199.20000000000002"/>
    <n v="333.00000000000006"/>
  </r>
  <r>
    <s v="CR0023"/>
    <x v="1"/>
    <n v="2018"/>
    <n v="0"/>
    <s v="Carlos Hernandez"/>
    <n v="20022"/>
    <s v="Carlos Hernandez"/>
    <m/>
    <s v="Out of Program"/>
    <m/>
    <m/>
    <m/>
    <x v="1"/>
    <m/>
    <m/>
    <s v=""/>
    <m/>
    <n v="750"/>
    <n v="750"/>
    <s v=""/>
    <m/>
    <n v="0.11333333333333333"/>
    <n v="85"/>
    <n v="85"/>
    <n v="0.33200000000000002"/>
    <n v="247.5"/>
    <n v="0.55466666666666664"/>
    <n v="412.50000000000006"/>
    <n v="660"/>
    <n v="0"/>
    <n v="0"/>
    <n v="0"/>
    <n v="0"/>
    <n v="0"/>
    <n v="0"/>
    <n v="0"/>
    <n v="0"/>
    <n v="0"/>
    <n v="0"/>
  </r>
  <r>
    <s v="CR0024"/>
    <x v="1"/>
    <n v="2018"/>
    <n v="0"/>
    <s v="Carlos Montero"/>
    <n v="20023"/>
    <s v="Carlos Montero"/>
    <m/>
    <s v="Out of Program"/>
    <m/>
    <m/>
    <m/>
    <x v="1"/>
    <m/>
    <m/>
    <s v=""/>
    <m/>
    <n v="2500"/>
    <n v="2500"/>
    <s v=""/>
    <m/>
    <n v="0.1132"/>
    <n v="283"/>
    <n v="283"/>
    <n v="0.33200000000000002"/>
    <n v="825"/>
    <n v="0.55520000000000003"/>
    <n v="1400.0000000000002"/>
    <n v="2225"/>
    <n v="0"/>
    <n v="0"/>
    <n v="0"/>
    <n v="0"/>
    <n v="0"/>
    <n v="0"/>
    <n v="0"/>
    <n v="0"/>
    <n v="0"/>
    <n v="0"/>
  </r>
  <r>
    <s v="CR0026"/>
    <x v="1"/>
    <n v="2018"/>
    <n v="0"/>
    <s v="David Guiterrez "/>
    <n v="20009"/>
    <s v="Edgar Gutierrez"/>
    <m/>
    <s v="Out of Program"/>
    <m/>
    <m/>
    <m/>
    <x v="1"/>
    <m/>
    <m/>
    <s v=""/>
    <m/>
    <n v="500"/>
    <n v="500"/>
    <s v=""/>
    <m/>
    <n v="0.114"/>
    <n v="57"/>
    <n v="57"/>
    <n v="0.33200000000000002"/>
    <n v="165"/>
    <n v="0.55600000000000005"/>
    <n v="280"/>
    <n v="445"/>
    <n v="0"/>
    <n v="0"/>
    <n v="0"/>
    <n v="0"/>
    <n v="0"/>
    <n v="0"/>
    <n v="0"/>
    <n v="0"/>
    <n v="0"/>
    <n v="0"/>
  </r>
  <r>
    <s v="CR0027"/>
    <x v="1"/>
    <n v="2018"/>
    <n v="0"/>
    <s v="Eduardo Gurdian"/>
    <n v="20024"/>
    <s v="Eduardo Gurdian"/>
    <m/>
    <s v="Out of Program"/>
    <m/>
    <m/>
    <m/>
    <x v="1"/>
    <m/>
    <m/>
    <s v=""/>
    <m/>
    <n v="500"/>
    <n v="500"/>
    <s v=""/>
    <m/>
    <n v="0.114"/>
    <n v="57"/>
    <n v="57"/>
    <n v="0.33200000000000002"/>
    <n v="165"/>
    <n v="0.55600000000000005"/>
    <n v="280"/>
    <n v="445"/>
    <n v="0"/>
    <n v="0"/>
    <n v="0"/>
    <n v="0"/>
    <n v="0"/>
    <n v="0"/>
    <n v="0"/>
    <n v="0"/>
    <n v="0"/>
    <n v="0"/>
  </r>
  <r>
    <s v="CR0031"/>
    <x v="1"/>
    <n v="2018"/>
    <n v="0"/>
    <s v="Oscar Viquez "/>
    <n v="20020"/>
    <s v="Oscar Viquez,María Isabel Quesada Víquez, Eraida Quesada Víquez, Estelia Quesada Víquez"/>
    <m/>
    <s v="Out of Program"/>
    <m/>
    <m/>
    <m/>
    <x v="1"/>
    <m/>
    <m/>
    <s v=""/>
    <m/>
    <n v="1000"/>
    <n v="1000"/>
    <s v=""/>
    <m/>
    <n v="0.113"/>
    <n v="113"/>
    <n v="113"/>
    <n v="0.33200000000000002"/>
    <n v="330"/>
    <n v="0.55500000000000005"/>
    <n v="560"/>
    <n v="890"/>
    <n v="0"/>
    <n v="0"/>
    <n v="0"/>
    <n v="0"/>
    <n v="0"/>
    <n v="0"/>
    <n v="0"/>
    <n v="0"/>
    <n v="0"/>
    <n v="0"/>
  </r>
  <r>
    <s v="CR0032"/>
    <x v="1"/>
    <n v="2018"/>
    <n v="0"/>
    <s v="Rene Ceciliano"/>
    <n v="20028"/>
    <s v="Inversiones Los Alpinos S.A"/>
    <m/>
    <s v="Out of Program"/>
    <m/>
    <m/>
    <m/>
    <x v="1"/>
    <m/>
    <m/>
    <s v=""/>
    <m/>
    <n v="1000"/>
    <n v="1000"/>
    <s v=""/>
    <m/>
    <n v="0.113"/>
    <n v="113"/>
    <n v="113"/>
    <n v="0.33200000000000002"/>
    <n v="330"/>
    <n v="0.55500000000000005"/>
    <n v="560"/>
    <n v="890"/>
    <n v="0"/>
    <n v="0"/>
    <n v="0"/>
    <n v="0"/>
    <n v="0"/>
    <n v="0"/>
    <n v="0"/>
    <n v="0"/>
    <n v="0"/>
    <n v="0"/>
  </r>
  <r>
    <s v="CR0033"/>
    <x v="1"/>
    <n v="2018"/>
    <n v="0"/>
    <s v="Ricardo Simpson"/>
    <n v="20029"/>
    <s v="Ricardo Simpson"/>
    <m/>
    <s v="Out of Program"/>
    <m/>
    <m/>
    <m/>
    <x v="1"/>
    <m/>
    <m/>
    <s v=""/>
    <m/>
    <n v="1100"/>
    <n v="1100"/>
    <s v=""/>
    <m/>
    <n v="0.11272727272727273"/>
    <n v="124"/>
    <n v="124"/>
    <n v="0.33181818181818185"/>
    <n v="363"/>
    <n v="0.55545454545454542"/>
    <n v="616.00000000000011"/>
    <n v="979.00000000000011"/>
    <n v="0"/>
    <n v="0"/>
    <n v="0"/>
    <n v="0"/>
    <n v="0"/>
    <n v="0"/>
    <n v="0"/>
    <n v="0"/>
    <n v="0"/>
    <n v="0"/>
  </r>
  <r>
    <s v="CR0025"/>
    <x v="1"/>
    <n v="2018"/>
    <n v="0"/>
    <s v="Carlos Navarro"/>
    <n v="20008"/>
    <s v="Carlos Navarro"/>
    <m/>
    <s v="Out of Program"/>
    <m/>
    <m/>
    <m/>
    <x v="1"/>
    <m/>
    <m/>
    <s v=""/>
    <m/>
    <n v="350"/>
    <n v="350"/>
    <s v=""/>
    <m/>
    <n v="0.11428571428571428"/>
    <n v="40"/>
    <n v="40"/>
    <n v="0.33142857142857141"/>
    <n v="115.5"/>
    <n v="0.55428571428571427"/>
    <n v="192.50000000000003"/>
    <n v="308"/>
    <n v="0"/>
    <n v="0"/>
    <n v="0"/>
    <n v="0"/>
    <n v="0"/>
    <n v="0"/>
    <n v="0"/>
    <n v="0"/>
    <n v="0"/>
    <n v="0"/>
  </r>
  <r>
    <s v="CR0034"/>
    <x v="1"/>
    <n v="2018"/>
    <n v="0"/>
    <s v="Richard Valverde"/>
    <n v="20030"/>
    <s v="Richard Valverde"/>
    <m/>
    <s v="Out of Program"/>
    <m/>
    <m/>
    <m/>
    <x v="1"/>
    <m/>
    <m/>
    <s v=""/>
    <m/>
    <n v="1100"/>
    <n v="1100"/>
    <s v=""/>
    <m/>
    <n v="0.11363636363636363"/>
    <n v="125"/>
    <n v="125"/>
    <n v="0.33"/>
    <n v="363"/>
    <n v="0.55636363636363639"/>
    <n v="616.00000000000011"/>
    <n v="979.00000000000011"/>
    <n v="0"/>
    <n v="0"/>
    <n v="0"/>
    <n v="0"/>
    <n v="0"/>
    <n v="0"/>
    <n v="0"/>
    <n v="0"/>
    <n v="0"/>
    <n v="0"/>
  </r>
  <r>
    <s v="US0022"/>
    <x v="1"/>
    <n v="2018"/>
    <n v="2027"/>
    <s v="Daniel Byrd"/>
    <n v="10020"/>
    <s v="Daniel Bryd"/>
    <s v="270-261-2663"/>
    <s v="Active"/>
    <s v="dbyrd@plinsurance.com"/>
    <s v="1456 Finney Rd Glasgow KY 42141-8796"/>
    <s v="1456 Finney Rd Glasgow KY 42141-8796"/>
    <x v="0"/>
    <s v="36.949087, -85.989939"/>
    <n v="23.5"/>
    <n v="23"/>
    <s v="Y"/>
    <n v="2530"/>
    <n v="2530"/>
    <s v=""/>
    <m/>
    <n v="0.11304347826086956"/>
    <n v="286"/>
    <n v="286"/>
    <n v="0.33201581027667987"/>
    <n v="834.90000000000009"/>
    <n v="0.55494071146245061"/>
    <n v="1391.5"/>
    <n v="2226.4"/>
    <n v="0.65793722892853301"/>
    <n v="1664.5811891891885"/>
    <n v="0"/>
    <m/>
    <n v="0.65793722892853301"/>
    <n v="0.65793722892853301"/>
    <n v="1664.5811891891885"/>
    <n v="188.17004747356043"/>
    <n v="552.66727229996775"/>
    <n v="923.74386941566036"/>
  </r>
  <r>
    <s v="US0023"/>
    <x v="1"/>
    <n v="2018"/>
    <n v="2027"/>
    <s v="Eugene Martens"/>
    <n v="10006"/>
    <s v="Eugene Martens"/>
    <s v="334-646-0227, 334-885-6998"/>
    <s v="Active"/>
    <s v="emartens@teleclipse.net"/>
    <s v="516 County Road 664, Roanoke, AL. 36274-5431"/>
    <s v="516 County Road 664, Roanoke, AL. 36274-5431"/>
    <x v="0"/>
    <s v="33.147101, -85.298481"/>
    <n v="5.4"/>
    <n v="6"/>
    <m/>
    <n v="660"/>
    <n v="660"/>
    <s v=""/>
    <m/>
    <n v="0.11363636363636363"/>
    <n v="75"/>
    <n v="75"/>
    <n v="0.33181818181818185"/>
    <n v="217.8"/>
    <n v="0.55454545454545456"/>
    <n v="363.00000000000006"/>
    <n v="580.80000000000007"/>
    <n v="0.76315789473684204"/>
    <n v="503.68421052631572"/>
    <n v="0"/>
    <m/>
    <n v="0.76315789473684204"/>
    <n v="0.76315789473684204"/>
    <n v="503.68421052631572"/>
    <n v="57.23684210526315"/>
    <n v="167.13157894736841"/>
    <n v="279.31578947368416"/>
  </r>
  <r>
    <s v="US0024"/>
    <x v="1"/>
    <n v="2018"/>
    <s v="=COUNTIFS(Table11[Region],$C66,Table11[ETP Year],2020,'Master Data Results'!B181,Table11[USA trees/Allocation/Planted],&quot;&lt;&gt;&quot;)"/>
    <s v="Grover Plunkett"/>
    <n v="10021"/>
    <s v="Southern Innovative Investments LLC"/>
    <s v="334-462-4962, 334-324-6696, 334-322-7480 (Cody Bell Farm manager"/>
    <s v="Active"/>
    <s v="gplunkett@faulkner.edu, rebecca.plunkett2@gmail.com"/>
    <s v="6464 Halcyon Dr  Montgomery  AL  36117-3416"/>
    <s v="5129 New Harmony Rd, Arab, AL 35016, USA"/>
    <x v="0"/>
    <s v="34.250719, -86.527252 ; 34.262473, -86.553188"/>
    <n v="22.1"/>
    <n v="20"/>
    <s v="Y"/>
    <n v="2200"/>
    <n v="2200"/>
    <s v=""/>
    <m/>
    <n v="0.11318181818181818"/>
    <n v="248.99999999999997"/>
    <n v="248.99999999999997"/>
    <n v="0.33181818181818185"/>
    <n v="726"/>
    <n v="0.55500000000000005"/>
    <n v="1232.0000000000002"/>
    <n v="1958.0000000000002"/>
    <n v="0.66990291262135904"/>
    <n v="1473.7864077669899"/>
    <n v="0"/>
    <m/>
    <n v="0.66990291262135904"/>
    <n v="0.66990291262135904"/>
    <n v="1473.7864077669899"/>
    <n v="166.80582524271838"/>
    <n v="489.02912621359212"/>
    <n v="817.95145631067942"/>
  </r>
  <r>
    <s v="US0028"/>
    <x v="1"/>
    <n v="2018"/>
    <n v="2027"/>
    <s v="Matthew Knox"/>
    <n v="10024"/>
    <s v="Matthew Knox"/>
    <s v="256-596-0663"/>
    <s v="Active"/>
    <s v="knoxbrothersllc@gmail.com, matthewknox1968@yahoo.com"/>
    <s v="200 Tommy Hill Rd  Dadeville  AL  36853-4391"/>
    <s v="200 Tommy Hill Rd  Dadeville  AL  36853-4391"/>
    <x v="0"/>
    <s v="32.674238, -85.847949"/>
    <n v="5.01"/>
    <n v="5"/>
    <m/>
    <n v="550"/>
    <n v="550"/>
    <s v=""/>
    <m/>
    <n v="0.11272727272727273"/>
    <n v="62"/>
    <n v="62"/>
    <n v="0.3327272727272727"/>
    <n v="181.5"/>
    <n v="0.55454545454545456"/>
    <n v="302.5"/>
    <n v="484"/>
    <n v="0.89130434782608703"/>
    <n v="490.21739130434787"/>
    <n v="0"/>
    <m/>
    <n v="0.89130434782608703"/>
    <n v="0.89130434782608703"/>
    <n v="490.21739130434787"/>
    <n v="55.260869565217398"/>
    <n v="163.10869565217391"/>
    <n v="271.84782608695656"/>
  </r>
  <r>
    <s v="US0030"/>
    <x v="1"/>
    <n v="2018"/>
    <n v="2027"/>
    <s v="Wayne Crotty"/>
    <n v="10026"/>
    <s v="Wayne Crotty"/>
    <s v="407-908-0643, 386-938-2468"/>
    <s v="Active"/>
    <s v="wayne@allproservicesco.com"/>
    <s v="9451 Southwest Co Road 143, Jasper, FL, USA"/>
    <s v="9451 Southwest Co Road 143, Jasper, FL, USA"/>
    <x v="0"/>
    <s v="30.424531, -83.201936"/>
    <n v="22"/>
    <n v="23"/>
    <s v="Y"/>
    <n v="2530"/>
    <n v="2530"/>
    <s v=""/>
    <m/>
    <n v="0.11304347826086956"/>
    <n v="286"/>
    <n v="286"/>
    <n v="0.33201581027667987"/>
    <n v="834.90000000000009"/>
    <n v="0.55494071146245061"/>
    <n v="1391.5"/>
    <n v="2226.4"/>
    <n v="0.92206828861120005"/>
    <n v="2332.8327701863363"/>
    <n v="0"/>
    <m/>
    <n v="0.92206828861120005"/>
    <n v="0.92206828861120005"/>
    <n v="2332.8327701863363"/>
    <n v="263.71153054280325"/>
    <n v="774.53736243340813"/>
    <n v="1294.5838772101251"/>
  </r>
  <r>
    <s v="US0031"/>
    <x v="1"/>
    <n v="2018"/>
    <n v="2027"/>
    <s v="Wendell Lynn"/>
    <n v="10027"/>
    <s v="Wendell Lynn"/>
    <s v="912-293-7679"/>
    <s v="Active"/>
    <s v="wdlynn99@gmail.com"/>
    <s v="550 Hancock Landing Rd, Waynesboro GA 30830-3000"/>
    <s v="2130 Cedar Creek Church Rd, Collins GA 30421-3240"/>
    <x v="0"/>
    <s v="32.226497, -82.098965"/>
    <n v="4.9000000000000004"/>
    <n v="5"/>
    <m/>
    <n v="550"/>
    <n v="550"/>
    <s v=""/>
    <m/>
    <n v="0.11272727272727273"/>
    <n v="62"/>
    <n v="62"/>
    <n v="0.3327272727272727"/>
    <n v="181.5"/>
    <n v="0.55454545454545456"/>
    <n v="302.5"/>
    <n v="484"/>
    <n v="0.78260869565217395"/>
    <n v="430.43478260869568"/>
    <n v="0"/>
    <m/>
    <n v="0.78260869565217395"/>
    <n v="0.78260869565217395"/>
    <n v="430.43478260869568"/>
    <n v="48.521739130434788"/>
    <n v="143.21739130434781"/>
    <n v="238.69565217391306"/>
  </r>
  <r>
    <s v="US0032"/>
    <x v="1"/>
    <n v="2018"/>
    <n v="2027"/>
    <s v="Will Johnson"/>
    <n v="10028"/>
    <s v="Will and Amanda Johnson"/>
    <s v="(386) 697-8079, 386-249-2134"/>
    <s v="Active"/>
    <s v="Trophyhillplantation@gmail.com"/>
    <s v="7791 200th St, Mc Alpin, FL, USA 32062-2754"/>
    <s v="7791 200th St, Mc Alpin, FL, USA 32062-2754"/>
    <x v="0"/>
    <s v="30.090810, -82.909628"/>
    <n v="10.9"/>
    <n v="10.6"/>
    <s v="Y"/>
    <n v="1166"/>
    <n v="1166"/>
    <s v=""/>
    <m/>
    <n v="0.11318"/>
    <n v="131.96788000000001"/>
    <n v="131.96788000000001"/>
    <n v="0.33179999999999998"/>
    <n v="384.78000000000003"/>
    <n v="0.55500000000000005"/>
    <n v="652.96"/>
    <n v="1037.74"/>
    <n v="0.93548387096774199"/>
    <n v="1090.7741935483871"/>
    <n v="0"/>
    <m/>
    <n v="0.93548387096774199"/>
    <n v="0.93548387096774199"/>
    <n v="1090.7741935483871"/>
    <n v="123.45382322580645"/>
    <n v="361.91887741935483"/>
    <n v="605.37967741935483"/>
  </r>
  <r>
    <s v="US0021"/>
    <x v="1"/>
    <n v="2018"/>
    <n v="0"/>
    <s v="Brandon Bailey"/>
    <n v="10019"/>
    <s v="Brandon Bailey"/>
    <m/>
    <s v="Out of Program"/>
    <m/>
    <m/>
    <m/>
    <x v="0"/>
    <m/>
    <m/>
    <s v=""/>
    <m/>
    <n v="2200"/>
    <n v="2200"/>
    <s v=""/>
    <m/>
    <n v="0.11318181818181818"/>
    <n v="248.99999999999997"/>
    <n v="248.99999999999997"/>
    <n v="0.33181818181818185"/>
    <n v="726"/>
    <n v="0.55500000000000005"/>
    <n v="1232.0000000000002"/>
    <n v="1958.0000000000002"/>
    <n v="0"/>
    <n v="0"/>
    <n v="0"/>
    <n v="0"/>
    <n v="0"/>
    <n v="0"/>
    <n v="0"/>
    <n v="0"/>
    <n v="0"/>
    <n v="0"/>
  </r>
  <r>
    <s v="US0025"/>
    <x v="1"/>
    <n v="2018"/>
    <n v="2027"/>
    <s v="Jacob Schwartz"/>
    <n v="10022"/>
    <s v="Jacob Schwartz"/>
    <s v="417-935-2048, 417-859-6283, 417-840-1211, 417-766-1389"/>
    <s v="RFT"/>
    <n v="0"/>
    <s v="908 Smith Rd  Seymour  MO  65746-8033"/>
    <s v="908 Smith Rd  Seymour  MO  65746-8033"/>
    <x v="0"/>
    <s v="37.21962, -92.693223"/>
    <n v="9.6199999999999992"/>
    <s v=""/>
    <m/>
    <n v="1100"/>
    <n v="1100"/>
    <s v=""/>
    <m/>
    <n v="0.11272727272727273"/>
    <n v="124"/>
    <n v="124"/>
    <n v="0.33181818181818185"/>
    <n v="363"/>
    <n v="0.55545454545454542"/>
    <n v="616.00000000000011"/>
    <n v="979.00000000000011"/>
    <n v="0.72462337662337595"/>
    <n v="797.08571428571349"/>
    <n v="0"/>
    <m/>
    <n v="0.72462337662337595"/>
    <n v="0.72"/>
    <n v="797.08571428571349"/>
    <n v="0"/>
    <n v="264.48753246753222"/>
    <n v="442.74488311688265"/>
  </r>
  <r>
    <s v="US0029"/>
    <x v="1"/>
    <n v="2018"/>
    <n v="2027"/>
    <s v="Tracy Sturgeon"/>
    <n v="10025"/>
    <s v="Tracy Sturgeon"/>
    <s v="918-413-2680, 918-385-1914"/>
    <s v="RFT"/>
    <s v="tracyl1a1sw@yahoo.com"/>
    <s v="PO Box 70 Albion OK 74521"/>
    <s v="14602 SE 1103 Ave  Tuskahoma, OK 74574"/>
    <x v="0"/>
    <s v="34.702318, -95.141474"/>
    <n v="9.94"/>
    <s v=""/>
    <m/>
    <n v="1100"/>
    <n v="1100"/>
    <s v=""/>
    <m/>
    <n v="0.11272727272727273"/>
    <n v="124"/>
    <n v="124"/>
    <n v="0.33181818181818185"/>
    <n v="363"/>
    <n v="0.55545454545454542"/>
    <n v="616.00000000000011"/>
    <n v="979.00000000000011"/>
    <n v="0.47499999999999998"/>
    <n v="522.5"/>
    <n v="0"/>
    <m/>
    <n v="0.47499999999999998"/>
    <n v="0.48"/>
    <n v="522.5"/>
    <n v="0"/>
    <n v="173.37500000000003"/>
    <n v="290.22499999999997"/>
  </r>
  <r>
    <s v="US0027"/>
    <x v="1"/>
    <n v="2018"/>
    <n v="0"/>
    <s v="Marlene Lewis"/>
    <n v="10016"/>
    <s v="Lewauta Landholdings Inc"/>
    <s v="250-889-1343"/>
    <s v="Out of Program"/>
    <s v="marlene@end-dyslexia.com, mmlewisaccess@gmail.com, marlene@empressacres.ca, petermlewis1@gmail.com"/>
    <s v="2974 Haslam Road, Nanaimo, BC V9X 1T1, Canada"/>
    <s v="2974 Haslam Road, Nanaimo, BC V9X 1T1, Canada"/>
    <x v="0"/>
    <s v="49.065235, -123.856235"/>
    <n v="4"/>
    <s v=""/>
    <s v="Y"/>
    <n v="425"/>
    <n v="425"/>
    <s v=""/>
    <m/>
    <n v="0.11294117647058824"/>
    <n v="48"/>
    <n v="48"/>
    <n v="0.33176470588235296"/>
    <n v="140.25"/>
    <n v="0.55529411764705883"/>
    <n v="238.00000000000003"/>
    <n v="378.25"/>
    <n v="0.82352941176470584"/>
    <n v="350"/>
    <n v="0"/>
    <n v="0"/>
    <n v="0"/>
    <n v="0"/>
    <n v="0"/>
    <n v="0"/>
    <n v="0"/>
    <n v="0"/>
  </r>
  <r>
    <s v="US0026"/>
    <x v="2"/>
    <n v="2018"/>
    <n v="0"/>
    <s v="John Cline"/>
    <n v="10023"/>
    <s v="John Cline"/>
    <m/>
    <s v="Out of Program"/>
    <m/>
    <m/>
    <m/>
    <x v="0"/>
    <m/>
    <m/>
    <s v=""/>
    <m/>
    <n v="550"/>
    <n v="550"/>
    <s v=""/>
    <m/>
    <n v="0.64"/>
    <n v="352"/>
    <n v="352"/>
    <n v="0.36"/>
    <n v="198"/>
    <m/>
    <m/>
    <n v="198"/>
    <n v="0"/>
    <n v="0"/>
    <n v="0"/>
    <n v="0"/>
    <n v="0"/>
    <n v="0"/>
    <n v="0"/>
    <n v="0"/>
    <n v="0"/>
    <n v="0"/>
  </r>
  <r>
    <s v="CR0080"/>
    <x v="2"/>
    <n v="2019"/>
    <n v="0"/>
    <s v="Carlos Batalla"/>
    <n v="20074"/>
    <s v="Carlos Batalla"/>
    <m/>
    <s v="Out of Program"/>
    <m/>
    <m/>
    <m/>
    <x v="1"/>
    <m/>
    <m/>
    <s v=""/>
    <m/>
    <n v="500"/>
    <n v="500"/>
    <s v=""/>
    <m/>
    <n v="0.64"/>
    <n v="320"/>
    <n v="320"/>
    <n v="0.36"/>
    <n v="180"/>
    <m/>
    <m/>
    <n v="180"/>
    <n v="0"/>
    <n v="0"/>
    <n v="0"/>
    <n v="0"/>
    <n v="0"/>
    <n v="0"/>
    <n v="0"/>
    <n v="0"/>
    <n v="0"/>
    <n v="0"/>
  </r>
  <r>
    <s v="CR0081"/>
    <x v="2"/>
    <n v="2019"/>
    <n v="2028"/>
    <s v="Carlos Castro Solano"/>
    <n v="20075"/>
    <s v="Corporacion Lummal S.A"/>
    <s v="50683178860, 5067005-9832"/>
    <s v="RFT"/>
    <s v="corporacionlumal@hotmail.com"/>
    <s v="San José Province, Vuelta de Jorco, Costa Rica"/>
    <n v="0"/>
    <x v="1"/>
    <s v="9.808026349, -84.1160400027"/>
    <n v="57.96"/>
    <s v=""/>
    <m/>
    <n v="4000"/>
    <n v="4000"/>
    <s v=""/>
    <m/>
    <n v="0.64"/>
    <n v="2560"/>
    <n v="2560"/>
    <n v="0.36"/>
    <n v="1440"/>
    <m/>
    <m/>
    <n v="1440"/>
    <n v="0.39"/>
    <n v="1560"/>
    <n v="0"/>
    <m/>
    <n v="0.39"/>
    <n v="0.39"/>
    <n v="1560"/>
    <n v="998.4"/>
    <n v="561.6"/>
    <n v="0"/>
  </r>
  <r>
    <s v="CR0082"/>
    <x v="2"/>
    <n v="2019"/>
    <n v="2028"/>
    <s v="Gustavo Arias"/>
    <n v="20076"/>
    <s v="Carlos Luis Arias"/>
    <n v="50683114275"/>
    <s v="RFT"/>
    <s v="javier.arias.chaves@hotmail.com, gustavoariaschaves@gmail.com"/>
    <s v="Alajuela Province, Sarchi, Costa Rica"/>
    <s v="10.1442903528, -84.3388900105"/>
    <x v="1"/>
    <s v="10.1442903528, -84.3388900105"/>
    <n v="8"/>
    <s v=""/>
    <m/>
    <n v="1000"/>
    <n v="1000"/>
    <s v=""/>
    <m/>
    <n v="0.64"/>
    <n v="640"/>
    <n v="640"/>
    <n v="0.36"/>
    <n v="360"/>
    <m/>
    <m/>
    <n v="360"/>
    <n v="0.6186544270833334"/>
    <n v="618.65442708333342"/>
    <n v="0"/>
    <m/>
    <n v="0.6186544270833334"/>
    <n v="0.62"/>
    <n v="618.65442708333342"/>
    <n v="395.93883333333338"/>
    <n v="222.71559375000001"/>
    <n v="0"/>
  </r>
  <r>
    <s v="CR0083"/>
    <x v="2"/>
    <n v="2019"/>
    <n v="2028"/>
    <s v="Carlos Montero"/>
    <n v="20023"/>
    <s v="Carlos Montero"/>
    <m/>
    <s v="RFT"/>
    <m/>
    <m/>
    <m/>
    <x v="1"/>
    <m/>
    <m/>
    <s v=""/>
    <m/>
    <n v="4000"/>
    <n v="4000"/>
    <s v=""/>
    <m/>
    <n v="0.64"/>
    <n v="2560"/>
    <n v="2560"/>
    <n v="0.36"/>
    <n v="1440"/>
    <m/>
    <m/>
    <n v="1440"/>
    <n v="0"/>
    <n v="0"/>
    <n v="0"/>
    <m/>
    <n v="0"/>
    <n v="0"/>
    <n v="0"/>
    <n v="0"/>
    <n v="0"/>
    <n v="0"/>
  </r>
  <r>
    <s v="CR0084"/>
    <x v="2"/>
    <n v="2019"/>
    <n v="2028"/>
    <s v="Carmelita Soto"/>
    <n v="20077"/>
    <s v="Carmelita Soto"/>
    <n v="50689424551"/>
    <s v="Out of Program"/>
    <s v="carmelitasn21@gmail.com"/>
    <s v="Puntarenas Province, San Vito, Costa Rica"/>
    <s v="8.81043499972, -82.9855150001"/>
    <x v="1"/>
    <s v="8.81043499972, -82.9855150001"/>
    <n v="7.17"/>
    <s v=""/>
    <m/>
    <n v="1000"/>
    <n v="1000"/>
    <s v=""/>
    <m/>
    <n v="0.64"/>
    <n v="640"/>
    <n v="640"/>
    <n v="0.36"/>
    <n v="360"/>
    <m/>
    <m/>
    <n v="360"/>
    <n v="1"/>
    <n v="1000"/>
    <n v="0"/>
    <n v="0"/>
    <n v="0"/>
    <n v="0"/>
    <n v="0"/>
    <n v="0"/>
    <n v="0"/>
    <n v="0"/>
  </r>
  <r>
    <s v="CR0085"/>
    <x v="2"/>
    <n v="2019"/>
    <n v="0"/>
    <s v="David Gutierrez"/>
    <n v="20009"/>
    <s v="Edgar Gutierrez"/>
    <m/>
    <s v="Out of Program"/>
    <m/>
    <m/>
    <m/>
    <x v="1"/>
    <m/>
    <m/>
    <s v=""/>
    <m/>
    <n v="285"/>
    <n v="285"/>
    <s v=""/>
    <m/>
    <n v="0.64"/>
    <n v="182.4"/>
    <n v="182.4"/>
    <n v="0.36"/>
    <n v="102.6"/>
    <m/>
    <m/>
    <n v="102.6"/>
    <n v="0"/>
    <n v="0"/>
    <n v="0"/>
    <n v="0"/>
    <n v="0"/>
    <n v="0"/>
    <n v="0"/>
    <n v="0"/>
    <n v="0"/>
    <n v="0"/>
  </r>
  <r>
    <s v="CR0086"/>
    <x v="2"/>
    <n v="2019"/>
    <n v="0"/>
    <s v="Agner Chinchlla"/>
    <n v="20078"/>
    <s v="Edgar Chinchilla Quesada "/>
    <s v="5068952-7886"/>
    <s v="Out of Program"/>
    <s v="agnerchinchilla64@gmail.com"/>
    <s v="Sabalito, Puntarenas Province, Costa Rica"/>
    <s v="8.845435,-82.895748"/>
    <x v="1"/>
    <s v="8.845435,-82.895748"/>
    <n v="6.714572092800001"/>
    <s v=""/>
    <m/>
    <n v="1700"/>
    <n v="1700"/>
    <s v=""/>
    <m/>
    <n v="0.64"/>
    <n v="1088"/>
    <n v="1088"/>
    <n v="0.36"/>
    <n v="612"/>
    <m/>
    <m/>
    <n v="612"/>
    <n v="1"/>
    <n v="1700"/>
    <n v="0"/>
    <n v="0"/>
    <n v="0"/>
    <n v="0"/>
    <n v="0"/>
    <n v="0"/>
    <n v="0"/>
    <n v="0"/>
  </r>
  <r>
    <s v="CR0087"/>
    <x v="2"/>
    <n v="2019"/>
    <n v="2028"/>
    <s v="Francisco Flores"/>
    <n v="20079"/>
    <s v="Beneficio La Guaria S.A"/>
    <s v="50685334949, 50624484800, 50683822204"/>
    <s v="RFT"/>
    <s v="beneguaria@ice.co.cr, brasacha@gmail.com"/>
    <s v="San Rafael de Poas, Alajuela Province, San Rafael, Costa Rica"/>
    <s v="10.094975, -84.2569388889"/>
    <x v="1"/>
    <s v="10.094975, -84.2569388889"/>
    <n v="16.521830000000001"/>
    <s v=""/>
    <m/>
    <n v="4500"/>
    <n v="4500"/>
    <s v=""/>
    <m/>
    <n v="0.64"/>
    <n v="2880"/>
    <n v="2880"/>
    <n v="0.36"/>
    <n v="1620"/>
    <m/>
    <m/>
    <n v="1620"/>
    <n v="0.60207975308641981"/>
    <n v="2709.3588888888889"/>
    <n v="0"/>
    <m/>
    <n v="0.60207975308641981"/>
    <n v="0.6"/>
    <n v="2709.3588888888889"/>
    <n v="1733.9896888888888"/>
    <n v="975.36919999999998"/>
    <n v="0"/>
  </r>
  <r>
    <s v="CR0088"/>
    <x v="2"/>
    <n v="2019"/>
    <n v="2028"/>
    <s v="Leonardo Cordero"/>
    <n v="20080"/>
    <s v="Greivin Cordero"/>
    <n v="50689554585"/>
    <s v="RFT"/>
    <s v="leonardocrdr986@gmail.com"/>
    <s v="Tuis, Cartago Province, Turrialba, Costa Rica"/>
    <s v="9.85458385907, -83.5665219867"/>
    <x v="1"/>
    <s v="9.85458385907, -83.5665219867"/>
    <n v="4.6899999999999995"/>
    <s v=""/>
    <m/>
    <n v="1000"/>
    <n v="1000"/>
    <s v=""/>
    <m/>
    <n v="0.64"/>
    <n v="640"/>
    <n v="640"/>
    <n v="0.36"/>
    <n v="360"/>
    <m/>
    <m/>
    <n v="360"/>
    <n v="0.9"/>
    <n v="900"/>
    <n v="0"/>
    <m/>
    <n v="0.9"/>
    <n v="0.9"/>
    <n v="900"/>
    <n v="576"/>
    <n v="324"/>
    <n v="0"/>
  </r>
  <r>
    <s v="CR0090"/>
    <x v="2"/>
    <n v="2019"/>
    <n v="0"/>
    <s v="Omar Cascante"/>
    <n v="20082"/>
    <s v="Omar Cascante"/>
    <m/>
    <s v="Out of Program"/>
    <m/>
    <m/>
    <m/>
    <x v="1"/>
    <m/>
    <m/>
    <s v=""/>
    <m/>
    <n v="1800"/>
    <n v="1800"/>
    <s v=""/>
    <m/>
    <n v="0.64"/>
    <n v="1152"/>
    <n v="1152"/>
    <n v="0.36"/>
    <n v="648"/>
    <m/>
    <m/>
    <n v="648"/>
    <n v="0"/>
    <n v="0"/>
    <n v="0"/>
    <n v="0"/>
    <n v="0"/>
    <n v="0"/>
    <n v="0"/>
    <n v="0"/>
    <n v="0"/>
    <n v="0"/>
  </r>
  <r>
    <s v="CR0091"/>
    <x v="2"/>
    <n v="2019"/>
    <n v="0"/>
    <s v="William Mora"/>
    <n v="20083"/>
    <s v="William Mora"/>
    <m/>
    <s v="Out of Program"/>
    <m/>
    <m/>
    <m/>
    <x v="1"/>
    <m/>
    <m/>
    <s v=""/>
    <m/>
    <n v="1000"/>
    <n v="1000"/>
    <s v=""/>
    <m/>
    <n v="0.64"/>
    <n v="640"/>
    <n v="640"/>
    <n v="0.36"/>
    <n v="360"/>
    <m/>
    <m/>
    <n v="360"/>
    <n v="0"/>
    <n v="0"/>
    <n v="0"/>
    <n v="0"/>
    <n v="0"/>
    <n v="0"/>
    <n v="0"/>
    <n v="0"/>
    <n v="0"/>
    <n v="0"/>
  </r>
  <r>
    <s v="CR0089"/>
    <x v="2"/>
    <n v="2019"/>
    <n v="2028"/>
    <s v="Miguel Corrales Venegas"/>
    <n v="20081"/>
    <s v="Miguel Corrales Venegas"/>
    <s v="50689876752, 50688005783"/>
    <s v="Active"/>
    <s v="vialca81@gmail.com, nanocv77@gmail.com"/>
    <s v="La Potenciana, San José Province, Costa Rica"/>
    <s v="9.79456599997, -84.4494810002"/>
    <x v="1"/>
    <s v="9.79456599997, -84.4494810002"/>
    <n v="10.909000000000001"/>
    <n v="12.355250518148317"/>
    <m/>
    <n v="2000"/>
    <n v="2000"/>
    <s v=""/>
    <m/>
    <n v="0.64"/>
    <n v="1280"/>
    <n v="1280"/>
    <n v="0.36"/>
    <n v="720"/>
    <m/>
    <m/>
    <n v="720"/>
    <n v="0.70532954987550567"/>
    <n v="1410.6590997510114"/>
    <n v="0"/>
    <m/>
    <n v="0.70532954987550567"/>
    <n v="0.70532954987550567"/>
    <n v="1410.6590997510114"/>
    <n v="902.82182384064731"/>
    <n v="507.83727591036404"/>
    <n v="0"/>
  </r>
  <r>
    <s v="GT0002"/>
    <x v="2"/>
    <n v="2019"/>
    <n v="0"/>
    <s v="Christopher Michael Schwart Marklan"/>
    <n v="30002"/>
    <s v="Christopher Michael Schwart Marklan"/>
    <m/>
    <s v="Out of Program"/>
    <m/>
    <m/>
    <m/>
    <x v="2"/>
    <m/>
    <m/>
    <s v=""/>
    <m/>
    <n v="1000"/>
    <n v="1000"/>
    <s v=""/>
    <m/>
    <n v="0.64"/>
    <n v="640"/>
    <n v="640"/>
    <n v="0.36"/>
    <n v="360"/>
    <m/>
    <m/>
    <n v="360"/>
    <n v="0"/>
    <n v="0"/>
    <n v="0"/>
    <n v="0"/>
    <n v="0"/>
    <n v="0"/>
    <n v="0"/>
    <n v="0"/>
    <n v="0"/>
    <n v="0"/>
  </r>
  <r>
    <s v="GT0003"/>
    <x v="2"/>
    <n v="2019"/>
    <n v="0"/>
    <s v="Edgar Rodolfo Grisolia"/>
    <n v="30003"/>
    <s v="Edgar Rodolfo Grisolia"/>
    <m/>
    <s v="Out of Program"/>
    <m/>
    <m/>
    <m/>
    <x v="2"/>
    <m/>
    <m/>
    <s v=""/>
    <m/>
    <n v="1000"/>
    <n v="1000"/>
    <s v=""/>
    <m/>
    <n v="0.64"/>
    <n v="640"/>
    <n v="640"/>
    <n v="0.36"/>
    <n v="360"/>
    <m/>
    <m/>
    <n v="360"/>
    <n v="0"/>
    <n v="0"/>
    <n v="0"/>
    <n v="0"/>
    <n v="0"/>
    <n v="0"/>
    <n v="0"/>
    <n v="0"/>
    <n v="0"/>
    <n v="0"/>
  </r>
  <r>
    <s v="GT0004"/>
    <x v="2"/>
    <n v="2019"/>
    <n v="0"/>
    <s v="Jorge Guillermo Castillo Mastahinich"/>
    <n v="30004"/>
    <s v="Jorge Guillermo Castillo Mastahinich"/>
    <m/>
    <s v="Out of Program"/>
    <m/>
    <m/>
    <m/>
    <x v="2"/>
    <m/>
    <m/>
    <s v=""/>
    <m/>
    <n v="1000"/>
    <n v="1000"/>
    <s v=""/>
    <m/>
    <n v="0.64"/>
    <n v="640"/>
    <n v="640"/>
    <n v="0.36"/>
    <n v="360"/>
    <m/>
    <m/>
    <n v="360"/>
    <n v="0"/>
    <n v="0"/>
    <n v="0"/>
    <n v="0"/>
    <n v="0"/>
    <n v="0"/>
    <n v="0"/>
    <n v="0"/>
    <n v="0"/>
    <n v="0"/>
  </r>
  <r>
    <s v="GT0008"/>
    <x v="2"/>
    <n v="2019"/>
    <n v="0"/>
    <s v="Pablo Antonio Castillo Mastahinich"/>
    <n v="30008"/>
    <s v="Pablo Antonio Castillo Mastahinich"/>
    <m/>
    <s v="Out of Program"/>
    <m/>
    <m/>
    <m/>
    <x v="2"/>
    <m/>
    <m/>
    <s v=""/>
    <m/>
    <n v="1000"/>
    <n v="1000"/>
    <s v=""/>
    <m/>
    <n v="0.64"/>
    <n v="640"/>
    <n v="640"/>
    <n v="0.36"/>
    <n v="360"/>
    <m/>
    <m/>
    <n v="360"/>
    <n v="0"/>
    <n v="0"/>
    <n v="0"/>
    <n v="0"/>
    <n v="0"/>
    <n v="0"/>
    <n v="0"/>
    <n v="0"/>
    <n v="0"/>
    <n v="0"/>
  </r>
  <r>
    <s v="GT0011"/>
    <x v="2"/>
    <n v="2019"/>
    <n v="2028"/>
    <s v="Erick Cienfuegos "/>
    <n v="30011"/>
    <s v="Rudy Israel Cienfuegos Cordón"/>
    <s v="+(502) 50010308"/>
    <s v="RFT"/>
    <s v="rudy-cem@hotmail.com"/>
    <s v="5ª CALLE B 2-01, ZONA 3, COLONIA LOS ANGELES, MUNICIPIO DE CHIQUIMULA, DEPARTAMENTO DE CHIQUIMULA"/>
    <s v="MUNICIPIO DE LA UNIÓN, DEPARTAMENTO DE ZACAPA"/>
    <x v="2"/>
    <s v="14.949444, -89.331667"/>
    <n v="2.2999999999999998"/>
    <s v=""/>
    <m/>
    <n v="1000"/>
    <n v="1000"/>
    <s v=""/>
    <m/>
    <n v="0.64"/>
    <n v="640"/>
    <n v="640"/>
    <n v="0.36"/>
    <n v="360"/>
    <m/>
    <m/>
    <n v="360"/>
    <n v="0.18409090909090908"/>
    <n v="184.09090909090909"/>
    <n v="0"/>
    <m/>
    <n v="0.18409090909090908"/>
    <n v="0.18"/>
    <n v="184.09090909090909"/>
    <n v="117.81818181818183"/>
    <n v="66.272727272727266"/>
    <n v="0"/>
  </r>
  <r>
    <s v="GT0005"/>
    <x v="2"/>
    <n v="2019"/>
    <n v="0"/>
    <s v="Jose Antonio Mombiela Mastahinich"/>
    <n v="30005"/>
    <s v="Jose Antonio Mombiela Mastahinich"/>
    <m/>
    <s v="Out of Program"/>
    <m/>
    <m/>
    <m/>
    <x v="2"/>
    <m/>
    <m/>
    <s v=""/>
    <m/>
    <n v="1056"/>
    <n v="1056"/>
    <s v=""/>
    <m/>
    <n v="0.64015151515151503"/>
    <n v="675.99999999999989"/>
    <n v="675.99999999999989"/>
    <n v="0.35984848484848497"/>
    <n v="380.15999999999997"/>
    <m/>
    <m/>
    <n v="380.15999999999997"/>
    <n v="0"/>
    <n v="0"/>
    <n v="0"/>
    <n v="0"/>
    <n v="0"/>
    <n v="0"/>
    <n v="0"/>
    <n v="0"/>
    <n v="0"/>
    <n v="0"/>
  </r>
  <r>
    <s v="GT0010"/>
    <x v="2"/>
    <n v="2019"/>
    <n v="0"/>
    <s v="Pedro Maximiliano Mombiela De Leon"/>
    <n v="30010"/>
    <s v="Pedro Maximiliano Mombiela De Leon"/>
    <m/>
    <s v="Out of Program"/>
    <m/>
    <m/>
    <m/>
    <x v="2"/>
    <m/>
    <m/>
    <s v=""/>
    <m/>
    <n v="1000"/>
    <n v="0"/>
    <n v="1000"/>
    <m/>
    <n v="1"/>
    <n v="1000"/>
    <m/>
    <m/>
    <m/>
    <m/>
    <m/>
    <n v="0"/>
    <n v="0"/>
    <n v="0"/>
    <n v="0"/>
    <n v="0"/>
    <n v="0"/>
    <n v="0"/>
    <n v="0"/>
    <n v="0"/>
    <n v="0"/>
    <n v="0"/>
  </r>
  <r>
    <s v="GT0001"/>
    <x v="2"/>
    <n v="2019"/>
    <n v="2028"/>
    <s v="José Scheel "/>
    <n v="30001"/>
    <s v="Ada Patricia Scheel Bartlett"/>
    <s v="+502 57031213"/>
    <s v="Active"/>
    <s v="s_hpatricia@hotmail.com"/>
    <s v="AVENIDA LAS AMERICAS 7-62, ZONA 3, EDIFICIO TORRE PRADE-RA XELA, OCTAVO NIVEL, OFICINA 801, QUETZALTENANGO, GUATEMALA"/>
    <s v="FINCA SAN JOSÉ, MUNICIPIO DE FLORES COSTA CUCA, DEPARTAMENTO DE QUETZALTENANGO"/>
    <x v="2"/>
    <s v="14.673889, -91.808333; 14.990889, -91.990889"/>
    <n v="12.1"/>
    <n v="9.0909090909090917"/>
    <m/>
    <n v="1000"/>
    <n v="1000"/>
    <s v=""/>
    <m/>
    <n v="0.64"/>
    <n v="640"/>
    <n v="640"/>
    <n v="0.36"/>
    <n v="360"/>
    <m/>
    <m/>
    <n v="360"/>
    <n v="1"/>
    <n v="1000"/>
    <n v="0"/>
    <m/>
    <n v="1"/>
    <n v="1"/>
    <n v="1000"/>
    <n v="640"/>
    <n v="360"/>
    <n v="0"/>
  </r>
  <r>
    <s v="GT0006"/>
    <x v="2"/>
    <n v="2019"/>
    <n v="2028"/>
    <s v="Luis Fernando Morán Peréz"/>
    <n v="30006"/>
    <s v="Luis Fernando Morán Peréz"/>
    <s v="+50254114650"/>
    <s v="Active"/>
    <s v="lmoran@inversionesluys.com"/>
    <s v="A VENIDA LAS AMERICAS 7-62, ZONA 3, EDIFICIO TORRE PRADE­RA XELA, OCTAVO NIVEL, OFICINA 813, MUNICIPIO DE QUETZALTENANGO, DEPARTAMENTO DE  QUETZAL TENANGO"/>
    <s v="FINCA ENTRE RIOS, MUNICIPIO DE EL PALMAR, DEPARTAMENTO DE QUETZALTENANGO"/>
    <x v="2"/>
    <s v="14.680103, -91.609028"/>
    <n v="85.8"/>
    <n v="136.36363636363637"/>
    <m/>
    <n v="15000"/>
    <n v="15000"/>
    <s v=""/>
    <m/>
    <n v="0.64"/>
    <n v="9600"/>
    <n v="9600"/>
    <n v="0.36"/>
    <n v="5400"/>
    <m/>
    <m/>
    <n v="5400"/>
    <n v="0.48423591965479834"/>
    <n v="7263.538794821975"/>
    <n v="0"/>
    <m/>
    <n v="0.48423591965479834"/>
    <n v="0.48423591965479834"/>
    <n v="7263.538794821975"/>
    <n v="4648.6648286860645"/>
    <n v="2614.8739661359109"/>
    <n v="0"/>
  </r>
  <r>
    <s v="GT0007"/>
    <x v="2"/>
    <n v="2019"/>
    <n v="2028"/>
    <s v="Miguel Roberto Mombiela Bruni"/>
    <n v="30007"/>
    <s v="Miguel Roberto Mombiela Bruni"/>
    <s v="+502 30098257"/>
    <s v="Active"/>
    <s v="mrmombiela@gmail.com"/>
    <s v="2ª calle 4A-40 zona 9, La Floresta, Quetzaltenango"/>
    <s v="Municipio de Génova, departamento de Quetzaltenango"/>
    <x v="2"/>
    <s v="14.662500, -91.613889; 14.606417, -91.840889"/>
    <n v="1.9"/>
    <n v="2.7272727272727271"/>
    <m/>
    <n v="300"/>
    <n v="300"/>
    <s v=""/>
    <m/>
    <n v="0.64"/>
    <n v="192"/>
    <n v="192"/>
    <n v="0.36"/>
    <n v="108"/>
    <m/>
    <m/>
    <n v="108"/>
    <n v="0.8680524088888889"/>
    <n v="260.41572266666668"/>
    <n v="0"/>
    <m/>
    <n v="0.8680524088888889"/>
    <n v="0.8680524088888889"/>
    <n v="260.41572266666668"/>
    <n v="166.66606250666669"/>
    <n v="93.749660160000005"/>
    <n v="0"/>
  </r>
  <r>
    <s v="GT0009"/>
    <x v="2"/>
    <n v="2019"/>
    <n v="2028"/>
    <s v="Pedro Antonio Mombiela De León "/>
    <n v="30009"/>
    <s v="Pedro Antonio Mombiela De León "/>
    <s v="(502) 55178198"/>
    <s v="Active"/>
    <s v="pedroantoniomombiela@yahoo.com.mx"/>
    <s v="AGRO E INDUSTRIAS LAS MARIAS, COLOMBA COSTA CUCA QUETZALTENANGO,GT"/>
    <s v="AGRO E INDUSTRIAS LAS MARIAS, COLOMBA COSTA CUCA QUETZALTENANGO,GT"/>
    <x v="2"/>
    <s v="14.716111, -91.743611"/>
    <n v="4.4000000000000004"/>
    <n v="5"/>
    <m/>
    <n v="550"/>
    <n v="550"/>
    <s v=""/>
    <m/>
    <n v="0.64"/>
    <n v="352"/>
    <n v="352"/>
    <n v="0.36"/>
    <n v="198"/>
    <m/>
    <m/>
    <n v="198"/>
    <n v="0.81797103593073583"/>
    <n v="449.8840697619047"/>
    <n v="0"/>
    <m/>
    <n v="0.81797103593073583"/>
    <n v="0.81797103593073583"/>
    <n v="449.8840697619047"/>
    <n v="287.92580464761903"/>
    <n v="161.95826511428569"/>
    <n v="0"/>
  </r>
  <r>
    <s v="MX0001"/>
    <x v="2"/>
    <n v="2019"/>
    <n v="0"/>
    <s v="Jose Angel Hurtado Márquez"/>
    <n v="40001"/>
    <s v="Jose Angel Hurtado Márquez"/>
    <m/>
    <s v="Out of Program"/>
    <m/>
    <m/>
    <m/>
    <x v="3"/>
    <m/>
    <m/>
    <s v=""/>
    <m/>
    <n v="5000"/>
    <n v="5000"/>
    <s v=""/>
    <m/>
    <n v="0.64"/>
    <n v="3200"/>
    <n v="3200"/>
    <n v="0.36"/>
    <n v="1800"/>
    <m/>
    <m/>
    <n v="1800"/>
    <n v="0"/>
    <n v="0"/>
    <n v="0"/>
    <n v="0"/>
    <n v="0"/>
    <n v="0"/>
    <n v="0"/>
    <n v="0"/>
    <n v="0"/>
    <n v="0"/>
  </r>
  <r>
    <s v="MX0002"/>
    <x v="2"/>
    <n v="2019"/>
    <n v="0"/>
    <s v="José Francisco Sánchez Rojas"/>
    <n v="40002"/>
    <s v="José Francisco Sánchez Rojas"/>
    <m/>
    <s v="Out of Program"/>
    <m/>
    <m/>
    <m/>
    <x v="3"/>
    <m/>
    <m/>
    <s v=""/>
    <m/>
    <n v="2000"/>
    <n v="2000"/>
    <s v=""/>
    <m/>
    <n v="0.64"/>
    <n v="1280"/>
    <n v="1280"/>
    <n v="0.36"/>
    <n v="720"/>
    <m/>
    <m/>
    <n v="720"/>
    <n v="0"/>
    <n v="0"/>
    <n v="0"/>
    <n v="0"/>
    <n v="0"/>
    <n v="0"/>
    <n v="0"/>
    <n v="0"/>
    <n v="0"/>
    <n v="0"/>
  </r>
  <r>
    <s v="US0034"/>
    <x v="2"/>
    <n v="2019"/>
    <n v="2028"/>
    <s v="Billy Whittaker"/>
    <n v="10030"/>
    <s v="Billy Whittaker"/>
    <s v="229-243-3487, 229 400 2304"/>
    <s v="Active"/>
    <s v="whihm@aol.com"/>
    <s v="7701 Reynolds Landing Rd Donalsonville GA 39845-6928"/>
    <s v="7701 Reynolds Landing Rd Donalsonville GA 39845-6928"/>
    <x v="0"/>
    <s v="30.820767, -84.808612"/>
    <n v="6.7"/>
    <n v="10"/>
    <m/>
    <n v="1100"/>
    <n v="1100"/>
    <s v=""/>
    <m/>
    <n v="0.64"/>
    <n v="704"/>
    <n v="704"/>
    <n v="0.36"/>
    <n v="396"/>
    <m/>
    <m/>
    <n v="396"/>
    <n v="0.9550545454545456"/>
    <n v="1050.5600000000002"/>
    <n v="0"/>
    <m/>
    <n v="0.9550545454545456"/>
    <n v="0.9550545454545456"/>
    <n v="1050.5600000000002"/>
    <n v="672.35840000000007"/>
    <n v="378.20160000000004"/>
    <n v="0"/>
  </r>
  <r>
    <s v="US0035"/>
    <x v="2"/>
    <n v="2019"/>
    <n v="2028"/>
    <s v="Billy Whittaker"/>
    <n v="10030"/>
    <s v="Billy Whittaker and Joyce P Earnest"/>
    <s v="229-243-3487, 229 400 2304"/>
    <s v="Active"/>
    <s v="whihm@aol.com"/>
    <s v="7701 Reynolds Landing Rd Donalsonville GA 39845-6928"/>
    <s v="7701 Reynolds Landing Rd Donalsonville GA 39845-6928"/>
    <x v="0"/>
    <s v="30.836336, -84.884128"/>
    <n v="4.2"/>
    <n v="4.1818181818181817"/>
    <m/>
    <n v="460"/>
    <n v="460"/>
    <s v=""/>
    <m/>
    <n v="0.63913043478260867"/>
    <n v="294"/>
    <n v="294"/>
    <n v="0.36"/>
    <n v="165.6"/>
    <m/>
    <m/>
    <n v="165.6"/>
    <n v="0.1521739130434783"/>
    <n v="70.000000000000014"/>
    <n v="0"/>
    <m/>
    <n v="0.1521739130434783"/>
    <n v="0.1521739130434783"/>
    <n v="70.000000000000014"/>
    <n v="44.739130434782616"/>
    <n v="25.200000000000003"/>
    <n v="0"/>
  </r>
  <r>
    <s v="US0037"/>
    <x v="2"/>
    <n v="2019"/>
    <n v="2028"/>
    <s v="Cheryl Meserole"/>
    <n v="10031"/>
    <s v="Cheryl Meserole"/>
    <s v="334-885-6662"/>
    <s v="Active"/>
    <s v="cyarbrough@teleclipse.net"/>
    <s v="545 County Road 664 Roanoke AL 36274-5439"/>
    <s v="545 County Road 664 Roanoke AL 36274-5439"/>
    <x v="0"/>
    <s v="33.151431, -85.297489"/>
    <n v="4.0999999999999996"/>
    <n v="5"/>
    <m/>
    <n v="550"/>
    <n v="550"/>
    <s v=""/>
    <m/>
    <n v="0.64"/>
    <n v="352"/>
    <n v="352"/>
    <n v="0.36"/>
    <n v="198"/>
    <m/>
    <m/>
    <n v="198"/>
    <n v="0.98399999999999987"/>
    <n v="541.19999999999993"/>
    <n v="0"/>
    <m/>
    <n v="0.98399999999999987"/>
    <n v="0.98399999999999987"/>
    <n v="541.19999999999993"/>
    <n v="346.36799999999994"/>
    <n v="194.83199999999997"/>
    <n v="0"/>
  </r>
  <r>
    <s v="US0038"/>
    <x v="2"/>
    <n v="2019"/>
    <n v="2028"/>
    <s v="Dan McClure"/>
    <n v="10032"/>
    <s v="The Langdon Group WW LLC"/>
    <s v="509-520-2957, 509-520-2957"/>
    <s v="Active"/>
    <s v="mccluredan4@gmail.com, sarahdale.mcclure@gmail.com, cbmcclure22@gmail.com"/>
    <n v="0"/>
    <s v="2994 Barney Rd, Touchet, WA 99360-9681"/>
    <x v="0"/>
    <s v="46.018121, -118.631065"/>
    <m/>
    <n v="30.90909090909091"/>
    <m/>
    <n v="3400"/>
    <n v="3400"/>
    <s v=""/>
    <m/>
    <n v="0.64"/>
    <n v="2176"/>
    <n v="2176"/>
    <n v="0.36"/>
    <n v="1224"/>
    <m/>
    <m/>
    <n v="1224"/>
    <n v="0.625"/>
    <n v="2125"/>
    <n v="0"/>
    <m/>
    <n v="0.625"/>
    <n v="0.625"/>
    <n v="2125"/>
    <n v="1360"/>
    <n v="765"/>
    <n v="0"/>
  </r>
  <r>
    <s v="US0039"/>
    <x v="2"/>
    <n v="2019"/>
    <n v="2028"/>
    <s v="David Chang"/>
    <n v="10033"/>
    <s v="David Chang"/>
    <s v="769-475-0772"/>
    <s v="Active"/>
    <s v="lungs111@yahoo.com, lungs111@gmail.com"/>
    <s v="2561 Legends Row, Mobile, AL, USA 36618-4819"/>
    <s v="4019 Stringfellow Road, Lucedale, MS 39452, USA"/>
    <x v="0"/>
    <s v="31.046150, -88.514616"/>
    <n v="8.5"/>
    <n v="10"/>
    <s v="Y"/>
    <n v="1100"/>
    <n v="1100"/>
    <s v=""/>
    <m/>
    <n v="0.64"/>
    <n v="704"/>
    <n v="704"/>
    <n v="0.36"/>
    <n v="396"/>
    <m/>
    <m/>
    <n v="396"/>
    <n v="0.96193846153846152"/>
    <n v="1058.1323076923077"/>
    <n v="0"/>
    <m/>
    <n v="0.96193846153846152"/>
    <n v="0.96193846153846152"/>
    <n v="1058.1323076923077"/>
    <n v="677.20467692307693"/>
    <n v="380.92763076923075"/>
    <n v="0"/>
  </r>
  <r>
    <s v="US0040"/>
    <x v="2"/>
    <n v="2019"/>
    <n v="2028"/>
    <s v="David Peterson"/>
    <n v="10034"/>
    <s v="David Peterson"/>
    <s v="334-651-3521"/>
    <s v="Active"/>
    <s v="davpete82@yahoo.com"/>
    <n v="0"/>
    <s v="1028 Old Georgia Plank Road, Wetumpka, AL 36092-5962, USA"/>
    <x v="0"/>
    <s v="32.570194, -86.139344"/>
    <n v="10.9"/>
    <n v="12"/>
    <s v="Y"/>
    <n v="1320"/>
    <n v="1320"/>
    <s v=""/>
    <m/>
    <n v="0.64015151515151514"/>
    <n v="845"/>
    <n v="845"/>
    <n v="0.35984848484848486"/>
    <n v="475.2"/>
    <m/>
    <m/>
    <n v="475.2"/>
    <n v="0.93502418363529483"/>
    <n v="1234.2319223985892"/>
    <n v="0"/>
    <m/>
    <n v="0.93502418363529483"/>
    <n v="0.93502418363529483"/>
    <n v="1234.2319223985892"/>
    <n v="790.09543517182408"/>
    <n v="444.13648722676504"/>
    <n v="0"/>
  </r>
  <r>
    <s v="US0041"/>
    <x v="2"/>
    <n v="2019"/>
    <n v="2028"/>
    <s v="Derek Bass"/>
    <n v="10035"/>
    <s v="Derek Bass"/>
    <s v="334-657-2856"/>
    <s v="Active"/>
    <s v="wdb359@aol.com"/>
    <s v="359 Sunny Lane Loop, Wetumpka, AL, USA 36092"/>
    <s v="359 Sunny Lane Loop, Wetumpka, AL, USA 36092"/>
    <x v="0"/>
    <s v="32.643850, -86.087211"/>
    <n v="11.2"/>
    <n v="10"/>
    <m/>
    <n v="1100"/>
    <n v="1100"/>
    <s v=""/>
    <m/>
    <n v="0.64"/>
    <n v="704"/>
    <n v="704"/>
    <n v="0.36"/>
    <n v="396"/>
    <m/>
    <m/>
    <n v="396"/>
    <n v="0.79071177226813594"/>
    <n v="869.78294949494955"/>
    <n v="0"/>
    <m/>
    <n v="0.79071177226813594"/>
    <n v="0.79071177226813594"/>
    <n v="869.78294949494955"/>
    <n v="556.66108767676769"/>
    <n v="313.1218618181818"/>
    <n v="0"/>
  </r>
  <r>
    <s v="US0042"/>
    <x v="3"/>
    <n v="2019"/>
    <n v="2028"/>
    <s v="Grover Plunkett"/>
    <n v="10021"/>
    <s v="Southern Innovative Investments LLC"/>
    <s v="334-462-4962, 334-324-6696, 334-322-7480 (Cody Bell Farm manager"/>
    <s v="Active"/>
    <s v="gplunkett@faulkner.edu, rebecca.plunkett2@gmail.com"/>
    <s v="6464 Halcyon Dr  Montgomery  AL  36117-3416"/>
    <s v="5129 New Harmony Rd, Arab, AL 35016, USA"/>
    <x v="0"/>
    <s v="34.241776, -86.527479 (see Land Info file)"/>
    <n v="129.5"/>
    <n v="142"/>
    <m/>
    <n v="15620"/>
    <n v="15620"/>
    <s v=""/>
    <m/>
    <m/>
    <m/>
    <m/>
    <m/>
    <m/>
    <n v="1"/>
    <n v="15620"/>
    <n v="15620"/>
    <n v="0.4152352481607674"/>
    <n v="6485.9745762711864"/>
    <n v="0"/>
    <m/>
    <n v="0.4152352481607674"/>
    <n v="0.4152352481607674"/>
    <n v="6485.9745762711864"/>
    <n v="0"/>
    <n v="0"/>
    <n v="6485.9745762711864"/>
  </r>
  <r>
    <s v="US0043"/>
    <x v="2"/>
    <n v="2019"/>
    <n v="2028"/>
    <s v="Jason Humphries"/>
    <n v="10036"/>
    <s v="Jason Humphries"/>
    <s v="(205) 369-9295, (205) 915-1310"/>
    <s v="Active"/>
    <s v="13biscuit@gmail.com, ahumphries0731@gmail.com, 4hplantation@gmail.com"/>
    <s v="1457 Ballantrae Club Dr. Pelham AL 35124-6255"/>
    <s v="897 Berry Road, Valley Grande, AL, USA"/>
    <x v="0"/>
    <s v="32.493119, -87.035615"/>
    <n v="30.9"/>
    <n v="28.818181818181817"/>
    <s v="Y"/>
    <n v="3170"/>
    <n v="3170"/>
    <s v=""/>
    <m/>
    <n v="0.64006309148264984"/>
    <n v="2029"/>
    <n v="2029"/>
    <n v="0.35993690851735016"/>
    <n v="1141.2"/>
    <m/>
    <m/>
    <n v="1141.2"/>
    <n v="0.97915080314732228"/>
    <n v="3103.9080459770116"/>
    <n v="0"/>
    <m/>
    <n v="0.97915080314732228"/>
    <n v="0.97915080314732228"/>
    <n v="3103.9080459770116"/>
    <n v="1986.6969795859168"/>
    <n v="1117.2110663910948"/>
    <n v="0"/>
  </r>
  <r>
    <s v="US0045"/>
    <x v="2"/>
    <n v="2019"/>
    <n v="2028"/>
    <s v="Michael Masengil"/>
    <n v="10038"/>
    <s v="Michael Masengil"/>
    <s v="423-453-1271"/>
    <s v="Active"/>
    <s v="mlmasengil@gmail.com"/>
    <s v="945 County Road 461,  Englewood TN 37329-5242"/>
    <s v="945 County Road 461,  Englewood TN 37329-5242"/>
    <x v="0"/>
    <s v="35.414436, -84.455699"/>
    <n v="7.7"/>
    <n v="10"/>
    <m/>
    <n v="1100"/>
    <n v="1100"/>
    <s v=""/>
    <m/>
    <n v="0.64"/>
    <n v="704"/>
    <n v="704"/>
    <n v="0.36"/>
    <n v="396"/>
    <m/>
    <m/>
    <n v="396"/>
    <n v="0.84739022435897426"/>
    <n v="932.12924679487173"/>
    <n v="0"/>
    <m/>
    <n v="0.84739022435897426"/>
    <n v="0.84739022435897426"/>
    <n v="932.12924679487173"/>
    <n v="596.56271794871793"/>
    <n v="335.5665288461538"/>
    <n v="0"/>
  </r>
  <r>
    <s v="US0047"/>
    <x v="2"/>
    <n v="2019"/>
    <n v="2028"/>
    <s v="Scott Willis"/>
    <n v="10040"/>
    <s v="Scott Willis"/>
    <s v="205-287-1554"/>
    <s v="Active"/>
    <s v="fishdraft@yahoo.com"/>
    <s v="33303 County Rd. 51 Clanton Al 35046"/>
    <s v="455 County Road 537, Verbena, AL 36091, USA"/>
    <x v="0"/>
    <s v="32.718296, -86.462519"/>
    <n v="14.9"/>
    <n v="10"/>
    <s v="Y"/>
    <n v="1100"/>
    <n v="1100"/>
    <s v=""/>
    <m/>
    <n v="0.64"/>
    <n v="704"/>
    <n v="704"/>
    <n v="0.36"/>
    <n v="396"/>
    <m/>
    <m/>
    <n v="396"/>
    <n v="0.97496103896103914"/>
    <n v="1072.457142857143"/>
    <n v="0"/>
    <m/>
    <n v="0.97496103896103914"/>
    <n v="0.97496103896103914"/>
    <n v="1072.457142857143"/>
    <n v="686.37257142857152"/>
    <n v="386.08457142857145"/>
    <n v="0"/>
  </r>
  <r>
    <s v="US0049"/>
    <x v="2"/>
    <n v="2019"/>
    <n v="2028"/>
    <s v="Steven Whittaker"/>
    <n v="10042"/>
    <s v="Steven Whittaker"/>
    <s v="229-254-3319"/>
    <s v="Active"/>
    <s v="jarviswhittaker@icloud.com"/>
    <s v="7688 Reynolds Landing Rd, Donalsonville, GA 39845-6925, USA"/>
    <s v="7688 Reynolds Landing Rd, Donalsonville, GA 39845-6925, USA"/>
    <x v="0"/>
    <s v="30.822035, -84.810527"/>
    <n v="11.3"/>
    <n v="8"/>
    <m/>
    <n v="880"/>
    <n v="880"/>
    <s v=""/>
    <m/>
    <n v="0.64"/>
    <n v="563.20000000000005"/>
    <n v="563.20000000000005"/>
    <n v="0.36"/>
    <n v="316.8"/>
    <m/>
    <m/>
    <n v="316.8"/>
    <n v="1"/>
    <n v="880"/>
    <n v="0"/>
    <m/>
    <n v="1"/>
    <n v="1"/>
    <n v="880"/>
    <n v="563.20000000000005"/>
    <n v="316.8"/>
    <n v="0"/>
  </r>
  <r>
    <s v="US0033"/>
    <x v="2"/>
    <n v="2019"/>
    <n v="0"/>
    <s v="Alfie Kelly"/>
    <n v="10029"/>
    <s v="Alfie Kelly"/>
    <m/>
    <s v="Out of Program"/>
    <m/>
    <m/>
    <m/>
    <x v="0"/>
    <m/>
    <m/>
    <s v=""/>
    <m/>
    <n v="4400"/>
    <n v="4400"/>
    <s v=""/>
    <m/>
    <n v="0.64"/>
    <n v="2816"/>
    <n v="2816"/>
    <n v="0.36"/>
    <n v="1584"/>
    <m/>
    <m/>
    <n v="1584"/>
    <n v="0"/>
    <n v="0"/>
    <n v="0"/>
    <n v="0"/>
    <n v="0"/>
    <n v="0"/>
    <n v="0"/>
    <n v="0"/>
    <n v="0"/>
    <n v="0"/>
  </r>
  <r>
    <s v="US0036"/>
    <x v="2"/>
    <n v="2019"/>
    <n v="0"/>
    <s v="Billy Whittaker"/>
    <n v="10030"/>
    <s v="Two Rivers Timbers LLC"/>
    <s v="229-243-3487, 229 400 2304"/>
    <s v="Out of Program"/>
    <s v="whihm@aol.com"/>
    <s v="7701 Reynolds Landing Rd Donalsonville GA 39845-6928"/>
    <s v="7701 Reynolds Landing Rd Donalsonville GA 39845-6928"/>
    <x v="0"/>
    <m/>
    <m/>
    <s v=""/>
    <m/>
    <n v="1300"/>
    <n v="1300"/>
    <s v=""/>
    <m/>
    <n v="0.64"/>
    <n v="832"/>
    <n v="832"/>
    <n v="0.36"/>
    <n v="468"/>
    <m/>
    <m/>
    <n v="468"/>
    <n v="0"/>
    <n v="0"/>
    <n v="0"/>
    <n v="0"/>
    <n v="0"/>
    <n v="0"/>
    <n v="0"/>
    <n v="0"/>
    <n v="0"/>
    <n v="0"/>
  </r>
  <r>
    <s v="US0044"/>
    <x v="2"/>
    <n v="2019"/>
    <n v="0"/>
    <s v="Jimmy Aplin"/>
    <n v="10037"/>
    <s v="Jimmy Aplin"/>
    <m/>
    <s v="Out of Program"/>
    <m/>
    <m/>
    <m/>
    <x v="0"/>
    <m/>
    <m/>
    <s v=""/>
    <m/>
    <n v="1100"/>
    <n v="1100"/>
    <s v=""/>
    <m/>
    <n v="0.64"/>
    <n v="704"/>
    <n v="704"/>
    <n v="0.36"/>
    <n v="396"/>
    <m/>
    <m/>
    <n v="396"/>
    <n v="0"/>
    <n v="0"/>
    <n v="0"/>
    <n v="0"/>
    <n v="0"/>
    <n v="0"/>
    <n v="0"/>
    <n v="0"/>
    <n v="0"/>
    <n v="0"/>
  </r>
  <r>
    <s v="US0046"/>
    <x v="2"/>
    <n v="2019"/>
    <n v="0"/>
    <s v="Ricky and Darcy Dollar"/>
    <n v="10039"/>
    <s v="Ricky and/or Darcy Dollar"/>
    <s v="479-216-3092"/>
    <s v="Out of Program"/>
    <s v="rickytodddollar@gmail.com, darcydollar@yahoo.com"/>
    <s v="211 Polk Rd 193, Mena, AR 71953-8196, USA"/>
    <s v="211 Polk Rd 193, Mena, AR 71953-8196, USA"/>
    <x v="0"/>
    <s v="34.606751, -94.057801"/>
    <n v="11.3"/>
    <s v=""/>
    <m/>
    <n v="1100"/>
    <n v="1100"/>
    <s v=""/>
    <m/>
    <n v="0.64"/>
    <n v="704"/>
    <n v="704"/>
    <n v="0.36"/>
    <n v="396"/>
    <m/>
    <m/>
    <n v="396"/>
    <n v="0.43659090909090909"/>
    <n v="480.24999989999998"/>
    <n v="0"/>
    <n v="0"/>
    <n v="0"/>
    <n v="0"/>
    <n v="0"/>
    <n v="0"/>
    <n v="0"/>
    <n v="0"/>
  </r>
  <r>
    <s v="US0048"/>
    <x v="2"/>
    <n v="2019"/>
    <n v="0"/>
    <s v="Shawn Harrison"/>
    <n v="10041"/>
    <s v="Shawn Harrison"/>
    <m/>
    <s v="Out of Program"/>
    <m/>
    <m/>
    <m/>
    <x v="0"/>
    <m/>
    <m/>
    <s v=""/>
    <m/>
    <n v="1100"/>
    <n v="1100"/>
    <s v=""/>
    <m/>
    <n v="0.64"/>
    <n v="704"/>
    <n v="704"/>
    <n v="0.36"/>
    <n v="396"/>
    <m/>
    <m/>
    <n v="396"/>
    <n v="0"/>
    <n v="0"/>
    <n v="0"/>
    <n v="0"/>
    <n v="0"/>
    <n v="0"/>
    <n v="0"/>
    <n v="0"/>
    <n v="0"/>
    <n v="0"/>
  </r>
  <r>
    <s v="US0050"/>
    <x v="2"/>
    <n v="2019"/>
    <n v="2028"/>
    <s v="Teddy Meeks"/>
    <n v="10043"/>
    <s v="Teddy Meeks"/>
    <s v="770-468-1878"/>
    <s v="RFT"/>
    <s v="Wilddaisyfarm109@gmail.com"/>
    <s v="1506 GA Highway 109, Molena GA 30258-3234"/>
    <s v="20 Spring Rd, Molena, GA 30258, USA"/>
    <x v="0"/>
    <m/>
    <m/>
    <s v=""/>
    <m/>
    <n v="1100"/>
    <n v="1100"/>
    <s v=""/>
    <m/>
    <n v="0.64"/>
    <n v="704"/>
    <n v="704"/>
    <n v="0.36"/>
    <n v="396"/>
    <m/>
    <m/>
    <n v="396"/>
    <n v="0"/>
    <n v="0"/>
    <n v="0"/>
    <m/>
    <n v="0"/>
    <n v="0"/>
    <n v="0"/>
    <n v="0"/>
    <n v="0"/>
    <n v="0"/>
  </r>
  <r>
    <s v="US0051"/>
    <x v="2"/>
    <n v="2019"/>
    <n v="2028"/>
    <s v="Wayne Moseley"/>
    <n v="10044"/>
    <s v="Wayne Moseley"/>
    <s v="251-769-2778, 251-246-4346"/>
    <s v="Active"/>
    <n v="0"/>
    <s v="2045 Pruitt Rd, Leroy, AL, USA 36548-5010"/>
    <s v="2045 Pruitt Rd, Leroy, AL, USA 36548-5010"/>
    <x v="0"/>
    <s v="31.507085, -88.018129"/>
    <n v="9"/>
    <n v="10"/>
    <m/>
    <n v="1100"/>
    <n v="1100"/>
    <s v=""/>
    <m/>
    <n v="0.64"/>
    <n v="704"/>
    <n v="704"/>
    <n v="0.36"/>
    <n v="396"/>
    <m/>
    <m/>
    <n v="396"/>
    <n v="0.35181818181818175"/>
    <n v="386.99999999999994"/>
    <n v="0"/>
    <m/>
    <n v="0.35181818181818175"/>
    <n v="0.35181818181818175"/>
    <n v="386.99999999999994"/>
    <n v="247.67999999999998"/>
    <n v="139.31999999999996"/>
    <n v="0"/>
  </r>
  <r>
    <s v="CR0035"/>
    <x v="4"/>
    <n v="2020"/>
    <n v="2029"/>
    <s v="Alex Donato Arguedas Arroyo"/>
    <n v="20031"/>
    <s v="Alex Donato Arguedas Arroyo"/>
    <s v="(506) 8393-8278, (506)-8386-1055"/>
    <s v="Active"/>
    <s v="ganaderiada@gmail.com"/>
    <s v="500m Oeste del supermercado La Canastica, La Guácima, Alajuela."/>
    <s v="el distrito 3-Rita cantón 2-Pococi de la provincia de Limón"/>
    <x v="1"/>
    <s v="10.3787110, -83.8081410"/>
    <n v="7.4"/>
    <n v="7.4131503108889909"/>
    <m/>
    <n v="1200"/>
    <n v="1200"/>
    <s v=""/>
    <m/>
    <n v="1"/>
    <n v="1200"/>
    <n v="1200"/>
    <m/>
    <m/>
    <m/>
    <m/>
    <n v="0"/>
    <n v="1"/>
    <n v="1200"/>
    <n v="1068"/>
    <n v="0.89"/>
    <n v="0.89"/>
    <n v="0.89"/>
    <n v="1068"/>
    <n v="1068"/>
    <n v="0"/>
    <n v="0"/>
  </r>
  <r>
    <s v="CR0037"/>
    <x v="4"/>
    <n v="2020"/>
    <n v="2029"/>
    <s v="Ana Wolfe Arce"/>
    <n v="20033"/>
    <s v="Hermanos Wolfe Arce S.A"/>
    <s v="506 84963507, +506 61159707, 84963507"/>
    <s v="Active"/>
    <s v="aiwa1069@hotmail.com"/>
    <s v="Limón, Matina, Batan, 28 millas 75m al este de la escuela"/>
    <s v="10.1003100, -83.3830780"/>
    <x v="1"/>
    <s v="10.1003100, -83.3830780"/>
    <m/>
    <n v="24.710501036296634"/>
    <m/>
    <n v="4000"/>
    <n v="4000"/>
    <s v=""/>
    <m/>
    <n v="1"/>
    <n v="4000"/>
    <n v="4000"/>
    <m/>
    <m/>
    <m/>
    <m/>
    <n v="0"/>
    <n v="0.95"/>
    <n v="3800"/>
    <n v="0"/>
    <m/>
    <n v="0.95"/>
    <n v="0.95"/>
    <n v="3800"/>
    <n v="3800"/>
    <n v="0"/>
    <n v="0"/>
  </r>
  <r>
    <s v="CR0040"/>
    <x v="4"/>
    <n v="2020"/>
    <n v="2029"/>
    <s v="Marco Pacheco"/>
    <n v="20036"/>
    <s v="Aracelly Sanchez Rojas"/>
    <s v="8858-1627, 8503-2348, 2259-6150"/>
    <s v="Active"/>
    <s v="Yarima.sandoval@gmail.com"/>
    <s v="San José, Desamparados, Urbanización Monte Claro, casa D5-1"/>
    <s v="9.937280, -84.4446730"/>
    <x v="1"/>
    <s v="9.937280, -84.4446730"/>
    <n v="2.75"/>
    <n v="4.5096664391241363"/>
    <m/>
    <n v="730"/>
    <n v="730"/>
    <s v=""/>
    <m/>
    <n v="1"/>
    <n v="730"/>
    <n v="730"/>
    <m/>
    <m/>
    <m/>
    <m/>
    <n v="0"/>
    <n v="0.95"/>
    <n v="693.5"/>
    <n v="680.36"/>
    <n v="0.93200000000000005"/>
    <n v="0.93"/>
    <n v="0.93"/>
    <n v="678.90000000000009"/>
    <n v="678.90000000000009"/>
    <n v="0"/>
    <n v="0"/>
  </r>
  <r>
    <s v="CR0042"/>
    <x v="4"/>
    <n v="2020"/>
    <n v="2029"/>
    <s v="Didier Alfaro Alvarado"/>
    <n v="20038"/>
    <s v="Didier Jose Alfaro Alvarado"/>
    <s v="506-8521-1397, 506-8551-4454"/>
    <s v="Active"/>
    <s v="didier-alfaro@hotmail.es, alexis.aa@gmail.com"/>
    <s v="300m SO del bar la Central en San Juan, Bolivar de Grecia"/>
    <s v="el distrito 13-pocosol Canton 10-San Carlos de la provincia de Alajuela, Costa Rica"/>
    <x v="1"/>
    <s v="10.7701, -84.5141"/>
    <m/>
    <n v="18.409323272040993"/>
    <m/>
    <n v="2980"/>
    <n v="2980"/>
    <s v=""/>
    <m/>
    <n v="1"/>
    <n v="2980"/>
    <n v="2980"/>
    <m/>
    <m/>
    <m/>
    <m/>
    <n v="0"/>
    <n v="1"/>
    <n v="2980"/>
    <n v="2071.1"/>
    <n v="0.69499999999999995"/>
    <n v="0.7"/>
    <n v="0.7"/>
    <n v="2086"/>
    <n v="2086"/>
    <n v="0"/>
    <n v="0"/>
  </r>
  <r>
    <s v="CR0044"/>
    <x v="4"/>
    <n v="2020"/>
    <n v="2029"/>
    <s v="Diogenes Cubero"/>
    <n v="20040"/>
    <s v="Diogenes Cubero"/>
    <s v="8312-1516"/>
    <s v="Active"/>
    <s v="dioqbero@gmail.com"/>
    <s v="Pijije de Bagaces, Guanacaste, 800m suroeste de la escuela, casa amarilla, mano izquierda"/>
    <s v="DISTRITO 6-ESQUIPULAS CANTON 7-PALMARES DE LA PROVINCIA DE ALAJUELA, Costa Rica,"/>
    <x v="1"/>
    <s v="10.070442, -84.415962"/>
    <n v="5"/>
    <n v="6.1776252590741585"/>
    <m/>
    <n v="1000"/>
    <n v="1000"/>
    <s v=""/>
    <m/>
    <n v="1"/>
    <n v="1000"/>
    <n v="1000"/>
    <m/>
    <m/>
    <m/>
    <m/>
    <n v="0"/>
    <n v="1"/>
    <n v="1000"/>
    <n v="589"/>
    <n v="0.58899999999999997"/>
    <n v="0.59"/>
    <n v="0.59"/>
    <n v="590"/>
    <n v="590"/>
    <n v="0"/>
    <n v="0"/>
  </r>
  <r>
    <s v="CR0046"/>
    <x v="4"/>
    <n v="2020"/>
    <n v="2029"/>
    <s v="Enrique Quiroz"/>
    <n v="20042"/>
    <s v="Elia Araya Guzman"/>
    <s v="83063090 , 7021-3625"/>
    <s v="Active"/>
    <s v="eligas8@gmail.com"/>
    <s v="Alajuela, San Carlos, Cuidad Quesada, calle Gamboa, 150m este del taller Chicho."/>
    <s v="EL DISTRITO 3-EL AMPARO CANTON 14-LOS CHILES DE LA PROVINCIA DE ALAJUELA, Costa Rica"/>
    <x v="1"/>
    <s v="10.8096, -84.6369"/>
    <n v="4.58"/>
    <n v="12.355250518148317"/>
    <m/>
    <n v="2000"/>
    <n v="2000"/>
    <s v=""/>
    <m/>
    <n v="1"/>
    <n v="2000"/>
    <n v="2000"/>
    <m/>
    <m/>
    <m/>
    <m/>
    <n v="0"/>
    <n v="0.91"/>
    <n v="1820"/>
    <n v="2000"/>
    <n v="1"/>
    <n v="1"/>
    <n v="1"/>
    <n v="2000"/>
    <n v="2000"/>
    <n v="0"/>
    <n v="0"/>
  </r>
  <r>
    <s v="CR0047"/>
    <x v="4"/>
    <n v="2020"/>
    <n v="2029"/>
    <s v="Francisco Ramirez"/>
    <n v="20043"/>
    <s v="Emidey Ramirez"/>
    <s v="506-8718-4363"/>
    <s v="Active"/>
    <s v="fr308099@gmail.com"/>
    <s v="De la escuela Los Ángeles de Colinas de Puntarenas 700m al Sur Oeste"/>
    <s v="El distrito 6- Colinas Cantón 3-Buenos Aires de la provincia de Puntarenas Costa Rica"/>
    <x v="1"/>
    <s v="9.0522990, -83.4801100"/>
    <m/>
    <n v="7.4131503108889909"/>
    <m/>
    <n v="1200"/>
    <n v="1200"/>
    <s v=""/>
    <m/>
    <n v="1"/>
    <n v="1200"/>
    <n v="1200"/>
    <m/>
    <m/>
    <m/>
    <m/>
    <n v="0"/>
    <n v="0.95"/>
    <n v="1140"/>
    <n v="1018.8"/>
    <n v="0.84899999999999998"/>
    <n v="0.85"/>
    <n v="0.84899999999999998"/>
    <n v="1018.8"/>
    <n v="1018.8"/>
    <n v="0"/>
    <n v="0"/>
  </r>
  <r>
    <s v="CR0049"/>
    <x v="4"/>
    <n v="2020"/>
    <n v="2029"/>
    <s v="Gregorio Corella"/>
    <n v="20045"/>
    <s v="Gregorio Corella"/>
    <s v="8775-4304"/>
    <s v="Active"/>
    <s v="corella30g@gmail.com"/>
    <s v="Asentamiento el Paraíso, 300 m Suroeste bazar Sandra"/>
    <s v="EL DISTRITO 14-SARAPIQUI CANTON 1-ALAJUELA DE LA PROVINCIA DE ALAJUELA, Costa Rica"/>
    <x v="1"/>
    <s v="10.4020950, -84.1630570"/>
    <m/>
    <n v="7.4131503108889909"/>
    <m/>
    <n v="1200"/>
    <n v="1200"/>
    <s v=""/>
    <m/>
    <n v="1"/>
    <n v="1200"/>
    <n v="1200"/>
    <m/>
    <m/>
    <m/>
    <m/>
    <n v="0"/>
    <n v="0.95"/>
    <n v="1140"/>
    <n v="806.40000000000009"/>
    <n v="0.67200000000000004"/>
    <n v="0.67"/>
    <n v="0.67200000000000004"/>
    <n v="806.40000000000009"/>
    <n v="806.40000000000009"/>
    <n v="0"/>
    <n v="0"/>
  </r>
  <r>
    <s v="CR0051"/>
    <x v="4"/>
    <n v="2020"/>
    <n v="2029"/>
    <s v="Jeison Espinoza"/>
    <n v="20047"/>
    <s v="Jeison Espinoza"/>
    <s v="6033-5997"/>
    <s v="Active"/>
    <s v="Jespinoza@colonos.com"/>
    <s v="750m NO de la iglesia Catolica de Tukankir 1, Guatuso Alajuela"/>
    <s v="el distrito 4-Katira Canton 15-Guatuso de la provincia de Alajuela"/>
    <x v="1"/>
    <s v="10.7634470, -84.8849640"/>
    <m/>
    <n v="8.0309128367964071"/>
    <m/>
    <n v="1300"/>
    <n v="1300"/>
    <s v=""/>
    <m/>
    <n v="1"/>
    <n v="1300"/>
    <n v="1300"/>
    <m/>
    <m/>
    <m/>
    <m/>
    <n v="0"/>
    <n v="0.95"/>
    <n v="1235"/>
    <n v="1235"/>
    <n v="0.95"/>
    <n v="0.95"/>
    <n v="0.95"/>
    <n v="1235"/>
    <n v="1235"/>
    <n v="0"/>
    <n v="0"/>
  </r>
  <r>
    <s v="CR0052"/>
    <x v="4"/>
    <n v="2020"/>
    <n v="2029"/>
    <s v="Jerry Myers"/>
    <n v="20048"/>
    <s v="Tengo Fuera S.A"/>
    <s v="506 8626 5530, 506-8910-8202, 239-851-2700"/>
    <s v="Active"/>
    <s v="amaninchedda96@gmail.com, ily0523@hotmail.com, jerry.myers@gmail.com"/>
    <s v="Barrio Vasquez, San Rafael de Santa Ana. Del Centro de Desarrollo Humano 50m NO. Apartado postal: 75-6150 Santa Ana, San Jose, Costa Rica"/>
    <s v="el distrito 2-Desmonte canton 4-San Mateo de la provincia de Alajuela, Costa Rica"/>
    <x v="1"/>
    <s v="9.948961, -84.476863"/>
    <n v="12.04"/>
    <n v="14.826300621777982"/>
    <m/>
    <n v="2400"/>
    <n v="2400"/>
    <s v=""/>
    <m/>
    <n v="1"/>
    <n v="2400"/>
    <n v="2400"/>
    <m/>
    <m/>
    <m/>
    <m/>
    <n v="0"/>
    <n v="1"/>
    <n v="2400"/>
    <n v="2040"/>
    <n v="0.85"/>
    <n v="0.85"/>
    <n v="0.85"/>
    <n v="2040"/>
    <n v="2040"/>
    <n v="0"/>
    <n v="0"/>
  </r>
  <r>
    <s v="CR0053"/>
    <x v="4"/>
    <n v="2020"/>
    <n v="2029"/>
    <s v="Jose Eduardo Esquivel "/>
    <n v="20049"/>
    <s v="Jose Eduardo Esquivel "/>
    <s v="8820-9988, 8920-9639"/>
    <s v="Active"/>
    <s v="Fernando.esquivel.arce@gmail.com, pardosc123@gmail.com"/>
    <s v="150m noreste del puente la cazuela, San Pablo. Ciudad Quesada."/>
    <s v="Bajo de Chilamate, del rancho Magallanes 800m este, 200m sur y 400m este"/>
    <x v="1"/>
    <s v="10.4592560, -84.0859000"/>
    <m/>
    <n v="6.1776252590741585"/>
    <m/>
    <n v="1000"/>
    <n v="1000"/>
    <s v=""/>
    <m/>
    <n v="1"/>
    <n v="1000"/>
    <n v="1000"/>
    <m/>
    <m/>
    <m/>
    <m/>
    <n v="0"/>
    <n v="1"/>
    <n v="1000"/>
    <n v="953"/>
    <n v="0.95299999999999996"/>
    <n v="0.95"/>
    <n v="0.95299999999999996"/>
    <n v="953"/>
    <n v="953"/>
    <n v="0"/>
    <n v="0"/>
  </r>
  <r>
    <s v="CR0059"/>
    <x v="4"/>
    <n v="2020"/>
    <n v="2029"/>
    <s v="Marianela Campos"/>
    <n v="20055"/>
    <s v="Marianela Campos Campos"/>
    <s v="506-8580-1567, 506-8525-3436"/>
    <s v="Active"/>
    <s v="vane18ka471@gmail.com"/>
    <s v="Upala Centro, 150m Norte del MAG"/>
    <s v="el distrito 2-Cano Negro, canton 14-Los Chiles de la provincia de Alajuela, Costa Rica"/>
    <x v="1"/>
    <s v="10.8637164, -84.8670888"/>
    <n v="11.94"/>
    <n v="12.355250518148317"/>
    <m/>
    <n v="2000"/>
    <n v="2000"/>
    <s v=""/>
    <m/>
    <n v="1"/>
    <n v="2000"/>
    <n v="2000"/>
    <m/>
    <m/>
    <m/>
    <m/>
    <n v="0"/>
    <n v="1"/>
    <n v="2000"/>
    <n v="1236"/>
    <n v="0.61799999999999999"/>
    <n v="0.62"/>
    <n v="0.61799999999999999"/>
    <n v="600"/>
    <n v="600"/>
    <n v="0"/>
    <n v="0"/>
  </r>
  <r>
    <s v="CR0060"/>
    <x v="4"/>
    <n v="2020"/>
    <n v="2029"/>
    <s v="Marleni Oporta Castillo"/>
    <n v="20056"/>
    <s v="Marleni Oporta Castillo"/>
    <s v="8577-7454"/>
    <s v="Active"/>
    <s v="sibethlopez2001@gmail.com"/>
    <s v="De la escuela San Luis 600m Norte, parcela 33. San Luis de Dos Rios"/>
    <s v="el distrito 6-dos rios canton 13-upala de la provincia de alajuela, Costa Rica"/>
    <x v="1"/>
    <s v="10.937500, -85.365000"/>
    <m/>
    <n v="12.355250518148317"/>
    <m/>
    <n v="2000"/>
    <n v="2000"/>
    <s v=""/>
    <m/>
    <n v="1"/>
    <n v="2000"/>
    <n v="2000"/>
    <m/>
    <m/>
    <m/>
    <m/>
    <n v="0"/>
    <n v="1"/>
    <n v="2000"/>
    <n v="1562"/>
    <n v="0.78100000000000003"/>
    <n v="0.78"/>
    <n v="0.78100000000000003"/>
    <n v="1562"/>
    <n v="1562"/>
    <n v="0"/>
    <n v="0"/>
  </r>
  <r>
    <s v="CR0061"/>
    <x v="4"/>
    <n v="2020"/>
    <n v="2029"/>
    <s v="Mayela Quesada"/>
    <n v="20027"/>
    <s v="Mayela Quesada"/>
    <s v="50683838815, 83838815"/>
    <s v="Active"/>
    <s v="mquesada@agricoladelcafetal.com"/>
    <s v="Lourdes de Naranjo, 709, Alajuela Province, Naranjo de Alajuela, Costa Rica"/>
    <s v="10.1525978335, -84.3586197692; 10,1552646 -843609432"/>
    <x v="1"/>
    <s v="10.1525978335, -84.3586197692"/>
    <m/>
    <n v="3.0888126295370792"/>
    <m/>
    <n v="500"/>
    <n v="500"/>
    <s v=""/>
    <m/>
    <n v="1"/>
    <n v="500"/>
    <n v="500"/>
    <m/>
    <m/>
    <m/>
    <m/>
    <n v="0"/>
    <n v="0.6"/>
    <n v="300"/>
    <n v="321.5"/>
    <n v="0.64300000000000002"/>
    <n v="0.64"/>
    <n v="0.64300000000000002"/>
    <n v="321.5"/>
    <n v="321.5"/>
    <n v="0"/>
    <n v="0"/>
  </r>
  <r>
    <s v="CR0062"/>
    <x v="4"/>
    <n v="2020"/>
    <n v="2029"/>
    <s v="Mercedes Barboza"/>
    <n v="20057"/>
    <s v="Mercedez Barboza"/>
    <s v="87512200, 8363-3137"/>
    <s v="Active"/>
    <s v="diegobarboza2062@gmail.com"/>
    <s v="900m de la escuela los Ceibos, la Unión de Guatuso"/>
    <s v="el distrito 2-Buena Vista, cantón 15-Guatuso de la provincia de Alajuela, Costa Rica"/>
    <x v="1"/>
    <s v="10.7950000, -84.8722222"/>
    <n v="5.7"/>
    <n v="7.4131503108889909"/>
    <m/>
    <n v="1200"/>
    <n v="1200"/>
    <s v=""/>
    <m/>
    <n v="1"/>
    <n v="1200"/>
    <n v="1200"/>
    <m/>
    <m/>
    <m/>
    <m/>
    <n v="0"/>
    <n v="1"/>
    <n v="1200"/>
    <n v="1062"/>
    <n v="0.88500000000000001"/>
    <n v="0.89"/>
    <n v="0.88500000000000001"/>
    <n v="1062"/>
    <n v="1062"/>
    <n v="0"/>
    <n v="0"/>
  </r>
  <r>
    <s v="CR0063"/>
    <x v="4"/>
    <n v="2020"/>
    <n v="2029"/>
    <s v="Olger Monge"/>
    <n v="20058"/>
    <s v="Olger Monge"/>
    <s v="7132-5754, 87123143"/>
    <s v="Active"/>
    <s v="ser1229@yahoo.es, olgermonge04@gmail.com"/>
    <s v="San José de Acosta Chirraca, contiguo a la terminal de buses Monge, casa color amarilla"/>
    <s v="distrito 3-Palmichal, cantón 12-Acosta de la provincia de San José, Costa Rica"/>
    <x v="1"/>
    <s v="9.822226, -84.173046"/>
    <m/>
    <n v="3.7065751554444955"/>
    <m/>
    <n v="600"/>
    <n v="600"/>
    <s v=""/>
    <m/>
    <n v="1"/>
    <n v="600"/>
    <n v="600"/>
    <m/>
    <m/>
    <m/>
    <m/>
    <n v="0"/>
    <n v="0.95"/>
    <n v="570"/>
    <n v="574.79999999999995"/>
    <n v="0.95799999999999996"/>
    <n v="0.96"/>
    <n v="0.95799999999999996"/>
    <n v="574.79999999999995"/>
    <n v="574.79999999999995"/>
    <n v="0"/>
    <n v="0"/>
  </r>
  <r>
    <s v="CR0065"/>
    <x v="4"/>
    <n v="2020"/>
    <n v="2029"/>
    <s v="Roy Damian Campos"/>
    <n v="20060"/>
    <s v="Roy Damian Campos"/>
    <s v="89805576"/>
    <s v="Active"/>
    <s v="cazuca.czc@gmail.com"/>
    <s v="300 metros oeste de la Gasolinera La Lucha, La Tigra San Carlos"/>
    <s v="EN EL DISTRITO 8-ANGELES CANTON 2-SAN RAMON DE LA PROVINCIA DE ALAJUELA"/>
    <x v="1"/>
    <s v="10.3508, -84.6472"/>
    <n v="8.3450000000000006"/>
    <n v="10.50196294042607"/>
    <m/>
    <n v="1700"/>
    <n v="1700"/>
    <s v=""/>
    <m/>
    <n v="1"/>
    <n v="1700"/>
    <n v="1700"/>
    <m/>
    <m/>
    <m/>
    <m/>
    <n v="0"/>
    <n v="1"/>
    <n v="1700"/>
    <n v="1609.8999999999999"/>
    <n v="0.94699999999999995"/>
    <n v="0.95"/>
    <n v="0.94699999999999995"/>
    <n v="1609.8999999999999"/>
    <n v="1609.8999999999999"/>
    <n v="0"/>
    <n v="0"/>
  </r>
  <r>
    <s v="CR0066"/>
    <x v="4"/>
    <n v="2020"/>
    <n v="2029"/>
    <s v="Victor Godinez"/>
    <n v="20061"/>
    <s v="AGRICOLA BUENA VISTA EL ALTO S.A"/>
    <s v="506 8868-9602, 8868-9602"/>
    <s v="Active"/>
    <s v="buenavistaagricola@gmail.com"/>
    <s v="100N de la esucla de San Lorenzo de Tarrazu, San Jose, Costa Rica"/>
    <s v="9.584145, -84.044777"/>
    <x v="1"/>
    <s v="9.584145, -84.044777"/>
    <m/>
    <n v="6.1776252590741585"/>
    <m/>
    <n v="1000"/>
    <n v="1000"/>
    <s v=""/>
    <m/>
    <n v="1"/>
    <n v="1000"/>
    <n v="1000"/>
    <m/>
    <m/>
    <m/>
    <m/>
    <n v="0"/>
    <n v="0.95"/>
    <n v="950"/>
    <n v="827"/>
    <n v="0.82699999999999996"/>
    <n v="0.83"/>
    <n v="0.82699999999999996"/>
    <n v="827"/>
    <n v="827"/>
    <n v="0"/>
    <n v="0"/>
  </r>
  <r>
    <s v="CR0068"/>
    <x v="4"/>
    <n v="2020"/>
    <n v="2029"/>
    <s v="Wilberth Jesus Alfaro"/>
    <n v="20063"/>
    <s v="Wilberth Jesus Alfaro"/>
    <s v="506-8983-8148, 506-8505-5669, 506-8318-5891"/>
    <s v="Active"/>
    <s v="eve_728@hotmail.com"/>
    <s v="Diagonal a ferreteria Canlete en Canelete de Upala"/>
    <s v="el distrito 8-Canalete canton 13-Uplala de la provincia de Alajuela, Costa Rica"/>
    <x v="1"/>
    <s v="10.8283, -85.0779"/>
    <n v="12.25"/>
    <n v="12.355250518148317"/>
    <m/>
    <n v="2000"/>
    <n v="2000"/>
    <s v=""/>
    <m/>
    <n v="1"/>
    <n v="2000"/>
    <n v="2000"/>
    <m/>
    <m/>
    <m/>
    <m/>
    <n v="0"/>
    <n v="0.91"/>
    <n v="1820"/>
    <n v="1514"/>
    <n v="0.75700000000000001"/>
    <n v="0.76"/>
    <n v="0.75700000000000001"/>
    <n v="1514"/>
    <n v="1514"/>
    <n v="0"/>
    <n v="0"/>
  </r>
  <r>
    <s v="CR0069"/>
    <x v="4"/>
    <n v="2020"/>
    <n v="2029"/>
    <s v="Wilman Alvarado"/>
    <n v="20064"/>
    <s v="Wilman Alvarado"/>
    <s v="506-8875-4687"/>
    <s v="Active"/>
    <s v="wtecnifrutas@gmail.com"/>
    <s v="Santa Isabel Rio Cuarto de Alajuela"/>
    <s v="10.058027, -84.456474"/>
    <x v="1"/>
    <s v="10.057484, -84.4583290"/>
    <m/>
    <n v="6.1776252590741585"/>
    <m/>
    <n v="1000"/>
    <n v="1000"/>
    <s v=""/>
    <m/>
    <n v="1"/>
    <n v="1000"/>
    <n v="1000"/>
    <m/>
    <m/>
    <m/>
    <m/>
    <n v="0"/>
    <n v="1"/>
    <n v="1000"/>
    <n v="580"/>
    <n v="0.57999999999999996"/>
    <n v="0.57999999999999996"/>
    <n v="0.57999999999999996"/>
    <n v="580"/>
    <n v="580"/>
    <n v="0"/>
    <n v="0"/>
  </r>
  <r>
    <s v="CR0036"/>
    <x v="4"/>
    <n v="2020"/>
    <n v="2029"/>
    <s v="Alexander Abarca Ortega"/>
    <n v="20032"/>
    <s v="El Edén de los Abarca S.A"/>
    <s v="8694-3131"/>
    <s v="RFT"/>
    <s v="03abarca@gmail.com, adavidabarca@gmail.com"/>
    <s v="Limón Pocosí Guápiles, de la iglesia católica de Toro Amarillo 200m norte y 75 este"/>
    <s v="DISTRITO 2- BATAN CANTON 5-MATINA DE LA PROVINCIA DE LIMON, Costa Rica,"/>
    <x v="1"/>
    <s v="10.061023, -83.390802"/>
    <m/>
    <s v=""/>
    <m/>
    <n v="5200"/>
    <n v="5200"/>
    <s v=""/>
    <m/>
    <n v="1"/>
    <n v="5200"/>
    <n v="5200"/>
    <m/>
    <m/>
    <m/>
    <m/>
    <n v="0"/>
    <n v="0.82499999999999996"/>
    <n v="4290"/>
    <n v="0"/>
    <m/>
    <n v="0.82499999999999996"/>
    <n v="0.83"/>
    <n v="4290"/>
    <n v="4290"/>
    <n v="0"/>
    <n v="0"/>
  </r>
  <r>
    <s v="CR0038"/>
    <x v="4"/>
    <n v="2020"/>
    <n v="0"/>
    <s v="Anastacio Castillo"/>
    <n v="20034"/>
    <s v="Anastacio Castillo"/>
    <m/>
    <s v="Out of Program"/>
    <m/>
    <m/>
    <m/>
    <x v="1"/>
    <m/>
    <m/>
    <s v=""/>
    <m/>
    <n v="1200"/>
    <n v="1200"/>
    <s v=""/>
    <m/>
    <n v="1"/>
    <n v="1200"/>
    <n v="1200"/>
    <m/>
    <m/>
    <m/>
    <m/>
    <n v="0"/>
    <n v="0"/>
    <n v="0"/>
    <n v="0"/>
    <n v="0"/>
    <n v="0"/>
    <n v="0"/>
    <n v="0"/>
    <n v="0"/>
    <n v="0"/>
    <n v="0"/>
  </r>
  <r>
    <s v="CR0039"/>
    <x v="4"/>
    <n v="2020"/>
    <n v="2029"/>
    <s v="Mauricio Alvarado"/>
    <n v="20035"/>
    <s v="Ania Monge Chavarria "/>
    <s v="8449-5753, 506 8443 5753"/>
    <s v="RFT"/>
    <s v="agus1092@hotmail.com"/>
    <s v="San Ignacio de Acosta 1 km al oeste de la iglesia de Chirraca"/>
    <s v="el distrito 3-Palmichal cantón 12-Acosta de la provincia de San José, Costa Rica"/>
    <x v="1"/>
    <s v="9.814743, -84.175211"/>
    <m/>
    <s v=""/>
    <m/>
    <n v="700"/>
    <n v="700"/>
    <s v=""/>
    <m/>
    <n v="1"/>
    <n v="700"/>
    <n v="700"/>
    <m/>
    <m/>
    <m/>
    <m/>
    <n v="0"/>
    <n v="0.82499999999999996"/>
    <n v="577.5"/>
    <n v="369.6"/>
    <n v="0.52800000000000002"/>
    <n v="0.53"/>
    <n v="0.53"/>
    <n v="371"/>
    <n v="371"/>
    <n v="0"/>
    <n v="0"/>
  </r>
  <r>
    <s v="CR0041"/>
    <x v="4"/>
    <n v="2020"/>
    <n v="0"/>
    <s v="Carlos Peña"/>
    <n v="20037"/>
    <s v="Carlos Peña"/>
    <s v="506-6076-0838"/>
    <s v="Out of Program"/>
    <s v="carlosdec@gmail.com"/>
    <s v="Rohrmoser, Pavas, costado norte del Colegio Humbolt, 4ta casa a mano izquierda"/>
    <s v="DISTRITO 3-SAN JUAN CANTON 7-ABANGARES DE LA PROVINCIA DE GUANACASTE, Costa Rica"/>
    <x v="1"/>
    <s v="10.2500530, -84.8776320"/>
    <m/>
    <s v=""/>
    <m/>
    <n v="2000"/>
    <n v="2000"/>
    <s v=""/>
    <m/>
    <n v="1"/>
    <n v="2000"/>
    <n v="2000"/>
    <m/>
    <m/>
    <m/>
    <m/>
    <n v="0"/>
    <n v="0"/>
    <n v="0"/>
    <n v="0"/>
    <n v="0"/>
    <n v="0"/>
    <n v="0"/>
    <n v="0"/>
    <n v="0"/>
    <n v="0"/>
    <n v="0"/>
  </r>
  <r>
    <s v="CR0043"/>
    <x v="4"/>
    <n v="2020"/>
    <n v="0"/>
    <s v="Diego Gerardo Fernandez Barboza"/>
    <n v="20039"/>
    <s v="Diego Gerardo Fernandez Barboza"/>
    <s v="87512200"/>
    <s v="Out of Program"/>
    <s v="diegobarboza2062@gmail.com"/>
    <s v="900 m Norte de la escuela los Ceibos en la unión de Guatuso"/>
    <s v="EL DISTRITO 2-BUENA VISTA CANTON 15-GUATUSO DE LA PROVINCIA DE ALAJUELA, Costa Rica"/>
    <x v="1"/>
    <s v="10.7950000, -084.8700000"/>
    <m/>
    <s v=""/>
    <m/>
    <n v="1200"/>
    <n v="1200"/>
    <s v=""/>
    <m/>
    <n v="1"/>
    <n v="1200"/>
    <n v="1200"/>
    <m/>
    <m/>
    <m/>
    <m/>
    <n v="0"/>
    <n v="0"/>
    <n v="0"/>
    <n v="0"/>
    <n v="0"/>
    <n v="0"/>
    <n v="0"/>
    <n v="0"/>
    <n v="0"/>
    <n v="0"/>
    <n v="0"/>
  </r>
  <r>
    <s v="CR0045"/>
    <x v="4"/>
    <n v="2020"/>
    <n v="2029"/>
    <s v="Donald Diaz Rojas"/>
    <n v="20041"/>
    <s v="Donald Diaz Rojas"/>
    <s v="8899-9775, 5712-2326."/>
    <s v="RFT"/>
    <s v="donalddr79@gmail.com"/>
    <s v="150m al sur del colegio técnico, San José de San Pablo, Turrubares."/>
    <s v="DISTRITO 5-CUREÑA CANTON 10-SARAPIQUI DE LA PROVINCIA DE HEREDIA, Costa Rica"/>
    <x v="1"/>
    <s v="10.681722, -84.068329"/>
    <m/>
    <s v=""/>
    <m/>
    <n v="4500"/>
    <n v="4500"/>
    <s v=""/>
    <m/>
    <n v="1"/>
    <n v="4500"/>
    <n v="4500"/>
    <m/>
    <m/>
    <m/>
    <m/>
    <n v="0"/>
    <n v="0.83"/>
    <n v="3735"/>
    <n v="0"/>
    <m/>
    <n v="0.83"/>
    <n v="0.83"/>
    <n v="3735"/>
    <n v="3735"/>
    <n v="0"/>
    <n v="0"/>
  </r>
  <r>
    <s v="CR0048"/>
    <x v="4"/>
    <n v="2020"/>
    <n v="0"/>
    <s v="Marijose Apestegui "/>
    <n v="20044"/>
    <s v="El anillo de doña Emilia S.A"/>
    <s v="6345-6387"/>
    <s v="Out of Program"/>
    <s v="marijoseapestegui@gmail.com"/>
    <s v="Palmira, Carrillo, Guanacaste. Del Lagar Dolt Center 500m NO. Entrada de piedra a mano izquierda finca Linares"/>
    <s v="el distrito 2-palmira canton 5-carrillo de la provincia de guanacaste, costa rica"/>
    <x v="1"/>
    <s v="10.5613210, -85.5959160"/>
    <m/>
    <s v=""/>
    <m/>
    <n v="3600"/>
    <n v="3600"/>
    <s v=""/>
    <m/>
    <n v="1"/>
    <n v="3600"/>
    <n v="3600"/>
    <m/>
    <m/>
    <m/>
    <m/>
    <n v="0"/>
    <n v="1"/>
    <n v="3600"/>
    <n v="0"/>
    <n v="0"/>
    <n v="0"/>
    <n v="0"/>
    <n v="0"/>
    <n v="0"/>
    <n v="0"/>
    <n v="0"/>
  </r>
  <r>
    <s v="CR0050"/>
    <x v="4"/>
    <n v="2020"/>
    <n v="0"/>
    <s v="Ismael Chaves "/>
    <n v="20046"/>
    <s v="Ismael Chaves "/>
    <s v="8394-1098"/>
    <s v="Out of Program"/>
    <s v="ismaelchaves59@hotmail.com"/>
    <s v="00m sur y  100m oeste del Scotiabank, Liberia, Guanacaste"/>
    <s v="el distrito 6-dos rios canton 13-upala de la provincia de alajuela, Costa rica"/>
    <x v="1"/>
    <s v="10.94816, -85.378762"/>
    <m/>
    <s v=""/>
    <m/>
    <n v="3440"/>
    <n v="3440"/>
    <s v=""/>
    <m/>
    <n v="1"/>
    <n v="3440"/>
    <n v="3440"/>
    <m/>
    <m/>
    <m/>
    <m/>
    <n v="0"/>
    <n v="0.95"/>
    <n v="3268"/>
    <n v="0"/>
    <n v="0"/>
    <n v="0"/>
    <n v="0"/>
    <n v="0"/>
    <n v="0"/>
    <n v="0"/>
    <n v="0"/>
  </r>
  <r>
    <s v="CR0054"/>
    <x v="4"/>
    <n v="2020"/>
    <n v="0"/>
    <s v="Karlos Bolaños"/>
    <n v="20050"/>
    <s v="Karlos Bolaños"/>
    <m/>
    <s v="Out of Program"/>
    <m/>
    <m/>
    <m/>
    <x v="1"/>
    <m/>
    <m/>
    <s v=""/>
    <m/>
    <n v="800"/>
    <n v="800"/>
    <s v=""/>
    <m/>
    <n v="1"/>
    <n v="800"/>
    <n v="800"/>
    <m/>
    <m/>
    <m/>
    <m/>
    <n v="0"/>
    <n v="0"/>
    <n v="0"/>
    <n v="0"/>
    <n v="0"/>
    <n v="0"/>
    <n v="0"/>
    <n v="0"/>
    <n v="0"/>
    <n v="0"/>
    <n v="0"/>
  </r>
  <r>
    <s v="CR0055"/>
    <x v="4"/>
    <n v="2020"/>
    <n v="2029"/>
    <s v="Laura Blanco"/>
    <n v="20051"/>
    <s v="Laura Blanco"/>
    <s v="8642-5654"/>
    <s v="RFT"/>
    <s v="laublanco29383@gmail.com"/>
    <s v="Pejibaye, Perez Zeledon"/>
    <s v="el distrito 7-pejibaye canton 19-perez zeledon de la provincia de san jose, costa rica"/>
    <x v="1"/>
    <s v="9.154319, -83.550926"/>
    <m/>
    <s v=""/>
    <m/>
    <n v="1000"/>
    <n v="1000"/>
    <s v=""/>
    <m/>
    <n v="1"/>
    <n v="1000"/>
    <n v="1000"/>
    <m/>
    <m/>
    <m/>
    <m/>
    <n v="0"/>
    <n v="0.82499999999999996"/>
    <n v="825"/>
    <n v="454"/>
    <n v="0.45400000000000001"/>
    <n v="0.45"/>
    <n v="0.45"/>
    <n v="450"/>
    <n v="450"/>
    <n v="0"/>
    <n v="0"/>
  </r>
  <r>
    <s v="CR0056"/>
    <x v="4"/>
    <n v="2020"/>
    <n v="2029"/>
    <s v="Luis Alonso Salazar Rodriguez"/>
    <n v="20052"/>
    <s v="LKC Arrendamientos S.A"/>
    <s v="8469-6085"/>
    <s v="RFT"/>
    <s v="asalazar@salazarabogados.net"/>
    <s v="San José Province, San Pablo, Costa Rica"/>
    <s v="el distrito 3- San Juan de Mata, cantón 16-Turrubares de la provincia de San José, Costa Rica"/>
    <x v="1"/>
    <s v="9.813735,-84.521880"/>
    <m/>
    <s v=""/>
    <m/>
    <n v="4000"/>
    <n v="4000"/>
    <s v=""/>
    <m/>
    <n v="1"/>
    <n v="4000"/>
    <n v="4000"/>
    <m/>
    <m/>
    <m/>
    <m/>
    <n v="0"/>
    <n v="0.82499999999999996"/>
    <n v="3300"/>
    <n v="0"/>
    <m/>
    <n v="0.82499999999999996"/>
    <n v="0.83"/>
    <n v="3300"/>
    <n v="3300"/>
    <n v="0"/>
    <n v="0"/>
  </r>
  <r>
    <s v="CR0057"/>
    <x v="4"/>
    <n v="2020"/>
    <n v="2029"/>
    <s v="Marco Fiorio"/>
    <n v="20053"/>
    <s v="Marco Fiorio"/>
    <s v="8770-9822, (506) 8615-4445"/>
    <s v="RFT"/>
    <s v="marco.f.fiorio@gmail.com"/>
    <s v="1 Km Oeste de la escuela de Hamacas, Pittier Coto Brus"/>
    <s v="Pittier de Coto Brus, Puntarenas, Costa Rica"/>
    <x v="1"/>
    <s v="8.994306, -82.996704"/>
    <n v="11.82"/>
    <s v=""/>
    <m/>
    <n v="2000"/>
    <n v="2000"/>
    <s v=""/>
    <m/>
    <n v="1"/>
    <n v="2000"/>
    <n v="2000"/>
    <m/>
    <m/>
    <m/>
    <m/>
    <n v="0"/>
    <n v="0.73"/>
    <n v="1460"/>
    <n v="0"/>
    <m/>
    <n v="0.73"/>
    <n v="0.73"/>
    <n v="1460"/>
    <n v="1460"/>
    <n v="0"/>
    <n v="0"/>
  </r>
  <r>
    <s v="CR0058"/>
    <x v="4"/>
    <n v="2020"/>
    <n v="2029"/>
    <s v="Marco Mora"/>
    <n v="20054"/>
    <s v="Marco Mora"/>
    <s v="8584-2076"/>
    <s v="RFT"/>
    <s v="info@cgextintores.com"/>
    <s v="Salitral de Santa Ana cincuenta metros oeste de la delegación de Fuerza Pública."/>
    <s v="el distrito segundo Salitral, cantón noveno, Santa Ana de la provincia de San José, Costa Rica"/>
    <x v="1"/>
    <s v="9.9029650, -84.1790050"/>
    <n v="9.43"/>
    <s v=""/>
    <m/>
    <n v="2000"/>
    <n v="2000"/>
    <s v=""/>
    <m/>
    <n v="1"/>
    <n v="2000"/>
    <n v="2000"/>
    <m/>
    <m/>
    <m/>
    <m/>
    <n v="0"/>
    <n v="0.67"/>
    <n v="1340"/>
    <n v="812"/>
    <n v="0.40600000000000003"/>
    <n v="0.41"/>
    <n v="0.41"/>
    <n v="820"/>
    <n v="820"/>
    <n v="0"/>
    <n v="0"/>
  </r>
  <r>
    <s v="CR0064"/>
    <x v="4"/>
    <n v="2020"/>
    <n v="2029"/>
    <s v="Marvin Chavarria"/>
    <n v="20059"/>
    <s v="Oswaldo Alvarez"/>
    <s v="(506) 8877-7710, (506) 7075-0880"/>
    <s v="RFT"/>
    <s v="begocarrental@gmail.com"/>
    <s v="Media Vuelta, 400m Norte de la Iglesia Catolica. Sarapiqui, Heredia"/>
    <s v="el distrito 1-Puerto Viejo, Canton 10-Sarapiqui de la provincia de Heredia, Costa Rica"/>
    <x v="1"/>
    <s v="10.38712, -83.57776"/>
    <m/>
    <s v=""/>
    <m/>
    <n v="1000"/>
    <n v="1000"/>
    <s v=""/>
    <m/>
    <n v="1"/>
    <n v="1000"/>
    <n v="1000"/>
    <m/>
    <m/>
    <m/>
    <m/>
    <n v="0"/>
    <n v="0.625"/>
    <n v="625"/>
    <n v="241"/>
    <n v="0.24099999999999999"/>
    <n v="0.24"/>
    <n v="0.24"/>
    <n v="240"/>
    <n v="240"/>
    <n v="0"/>
    <n v="0"/>
  </r>
  <r>
    <s v="CR0067"/>
    <x v="4"/>
    <n v="2020"/>
    <n v="2029"/>
    <s v="Victor Sibaja Elizondo"/>
    <n v="20062"/>
    <s v="Victor Sibaja Elizondo"/>
    <s v="8542-3910, 8498-8324"/>
    <s v="RFT"/>
    <s v="sibajaelizondovictor@gmail.com"/>
    <s v="1 km al este de la escuela de Esquipulas"/>
    <s v="el distrito 11-Cutris Canton 10-San Carlos de la provincia de Alajuela, Costa Rica"/>
    <x v="1"/>
    <s v="10.6152, -84.3317"/>
    <m/>
    <s v=""/>
    <m/>
    <n v="1200"/>
    <n v="1200"/>
    <s v=""/>
    <m/>
    <n v="1"/>
    <n v="1200"/>
    <n v="1200"/>
    <m/>
    <m/>
    <m/>
    <m/>
    <n v="0"/>
    <n v="0.95"/>
    <n v="1140"/>
    <n v="0"/>
    <m/>
    <n v="0.95"/>
    <n v="0.95"/>
    <n v="1140"/>
    <n v="1140"/>
    <n v="0"/>
    <n v="0"/>
  </r>
  <r>
    <s v="GT0012"/>
    <x v="4"/>
    <n v="2020"/>
    <n v="2029"/>
    <s v="Alvaro Antonio Guzman Rodas"/>
    <n v="30012"/>
    <s v="Alvaro Antonio Guzman Rodas"/>
    <s v="(502) 46849832"/>
    <s v="RFT"/>
    <s v="alvaroguzmanrodas@gmail.com"/>
    <s v="3ª AVENIDA 8-73, ZONA 1, MUNICIPIO DE ESQUIPULAS, DEPAR-TAMENTO DE CHIQUIMULA"/>
    <s v="CRUZ ALTA, ALDEA CRUZ ALTA, MUNICIPIO DE ESQUIPULAS, DEPARTA-MENTO DE CHIQUIMULA"/>
    <x v="2"/>
    <s v="14.569028, -89.387389"/>
    <n v="17"/>
    <s v=""/>
    <m/>
    <n v="2000"/>
    <n v="2000"/>
    <s v=""/>
    <m/>
    <n v="1"/>
    <n v="2000"/>
    <n v="2000"/>
    <m/>
    <m/>
    <m/>
    <m/>
    <n v="0"/>
    <n v="0.73600680000000007"/>
    <n v="1472.0136000000002"/>
    <n v="0"/>
    <m/>
    <n v="0.73600680000000007"/>
    <n v="0.74"/>
    <n v="1472.0136000000002"/>
    <n v="1472.0136000000002"/>
    <n v="0"/>
    <n v="0"/>
  </r>
  <r>
    <s v="GT0013"/>
    <x v="4"/>
    <n v="2020"/>
    <n v="0"/>
    <s v="Axel Duarte Duarte"/>
    <n v="30013"/>
    <s v="Axel Gamaliel Duarte Duarte"/>
    <s v="(502) 57827512"/>
    <s v="Out of Program"/>
    <s v="darinelld@hotmail.com"/>
    <s v="2ª CALLE C 0-57, ZONA 2, BARRIO DE LA ESPERANZA, MUNICIPIO DE JALAPA, DEPARTAMENTO DE JALAPA, GUATEMALA"/>
    <s v="ALDEA SAN IGNACIO, MUNIPICIO DE JALAPA, DEPARTAMENTO DE JALAPA"/>
    <x v="2"/>
    <s v="14.7226790, -90.0106004"/>
    <n v="17.5"/>
    <s v=""/>
    <m/>
    <n v="2000"/>
    <n v="2000"/>
    <s v=""/>
    <m/>
    <n v="1"/>
    <n v="2000"/>
    <n v="2000"/>
    <m/>
    <m/>
    <m/>
    <m/>
    <n v="0"/>
    <n v="0.54460477499999993"/>
    <n v="1089.2095499999998"/>
    <n v="0"/>
    <n v="0"/>
    <n v="0"/>
    <n v="0"/>
    <n v="0"/>
    <n v="0"/>
    <n v="0"/>
    <n v="0"/>
  </r>
  <r>
    <s v="GT0015"/>
    <x v="4"/>
    <n v="2020"/>
    <n v="0"/>
    <s v="Carlos López"/>
    <n v="30015"/>
    <s v="Carlos Adolfo López Letona"/>
    <s v="(502) 55163538"/>
    <s v="Out of Program"/>
    <s v="carloslopezletona@gmail.com"/>
    <s v="Lotificación Guayacán, 7ª calle final, Casa # 2, Coatepeque, Quetzaltenango"/>
    <s v="Municipio de Flores Costa Cuca, departamento Quetzaltenango"/>
    <x v="2"/>
    <s v="14.670583, -91.861889"/>
    <m/>
    <s v=""/>
    <m/>
    <n v="0"/>
    <n v="0"/>
    <s v=""/>
    <m/>
    <n v="1"/>
    <m/>
    <m/>
    <m/>
    <m/>
    <m/>
    <m/>
    <n v="0"/>
    <n v="0"/>
    <n v="0"/>
    <n v="0"/>
    <n v="0"/>
    <n v="0"/>
    <n v="0"/>
    <n v="0"/>
    <n v="0"/>
    <n v="0"/>
    <n v="0"/>
  </r>
  <r>
    <s v="GT0016"/>
    <x v="4"/>
    <n v="2020"/>
    <n v="2029"/>
    <s v="Ricardo Chacón"/>
    <n v="30016"/>
    <s v="Cartago S.A./ Elsa De Chacón "/>
    <s v="(502) 40603843"/>
    <s v="RFT"/>
    <s v="rchacony@cartagofresh.com"/>
    <s v="FINCA 16095 FOLIO 112 LIBRO 84 DE SANTA ROSA"/>
    <s v="Aldea las violetas, municipio de taxisco, dept de santa rosa, Guatemala"/>
    <x v="2"/>
    <s v="14.075889, -90.571944"/>
    <n v="8.1999999999999993"/>
    <s v=""/>
    <m/>
    <n v="1469"/>
    <n v="1469"/>
    <s v=""/>
    <m/>
    <n v="1"/>
    <n v="1469"/>
    <n v="1469"/>
    <m/>
    <m/>
    <m/>
    <m/>
    <n v="0"/>
    <n v="0.33614608695652171"/>
    <n v="493.79860173913039"/>
    <n v="0"/>
    <m/>
    <n v="0.33614608695652171"/>
    <n v="0.34"/>
    <n v="493.79860173913039"/>
    <n v="493.79860173913039"/>
    <n v="0"/>
    <n v="0"/>
  </r>
  <r>
    <s v="GT0017"/>
    <x v="4"/>
    <n v="2020"/>
    <n v="0"/>
    <s v="David Horacio Estrada - Asoverde"/>
    <n v="30017"/>
    <s v="David Horacio Estrada - Asoverde"/>
    <s v="(502) 56940037"/>
    <s v="Out of Program"/>
    <s v="estradahoracio@yahoo.es"/>
    <s v="ASOCIACION DE DESARROLLO VERDE DE GUATEMALA - ASOVERDE, CASA NÚMERO 4, COLONIA PRADOS DE CANNAN, MUNICIPIO DE CHIQUIMULA, DEPARTAMENTO DE CHIQUIMULA"/>
    <s v="ALDEA EL DURAZNO, MUNICIPIO DE CHIQUIMULA, DEPARTAMENTO DE CHIQUIMULA"/>
    <x v="2"/>
    <s v="14.8485947, -89.6783307"/>
    <n v="5.6"/>
    <s v=""/>
    <m/>
    <n v="1000"/>
    <n v="1000"/>
    <s v=""/>
    <m/>
    <n v="1"/>
    <n v="1000"/>
    <n v="1000"/>
    <m/>
    <m/>
    <m/>
    <m/>
    <n v="0"/>
    <n v="0.4741032"/>
    <n v="474.10320000000002"/>
    <n v="0"/>
    <n v="0"/>
    <n v="0"/>
    <n v="0"/>
    <n v="0"/>
    <n v="0"/>
    <n v="0"/>
    <n v="0"/>
  </r>
  <r>
    <s v="GT0019"/>
    <x v="4"/>
    <n v="2020"/>
    <n v="0"/>
    <s v="Hamblin Duarte"/>
    <n v="30019"/>
    <s v="Emilsa Natalia Guzman Leiva"/>
    <m/>
    <s v="Out of Program"/>
    <m/>
    <m/>
    <m/>
    <x v="2"/>
    <m/>
    <m/>
    <s v=""/>
    <m/>
    <n v="1000"/>
    <n v="1000"/>
    <s v=""/>
    <m/>
    <n v="1"/>
    <n v="1000"/>
    <n v="1000"/>
    <m/>
    <m/>
    <m/>
    <m/>
    <n v="0"/>
    <n v="0"/>
    <n v="0"/>
    <n v="0"/>
    <n v="0"/>
    <n v="0"/>
    <n v="0"/>
    <n v="0"/>
    <n v="0"/>
    <n v="0"/>
    <n v="0"/>
  </r>
  <r>
    <s v="GT0020"/>
    <x v="4"/>
    <n v="2020"/>
    <n v="0"/>
    <s v="Giovanni Musella"/>
    <n v="30020"/>
    <s v="Giovanni Musella"/>
    <m/>
    <s v="Out of Program"/>
    <m/>
    <m/>
    <m/>
    <x v="2"/>
    <m/>
    <m/>
    <s v=""/>
    <m/>
    <n v="1200"/>
    <n v="1200"/>
    <s v=""/>
    <m/>
    <n v="1"/>
    <n v="1200"/>
    <n v="1200"/>
    <m/>
    <m/>
    <m/>
    <m/>
    <n v="0"/>
    <n v="0"/>
    <n v="0"/>
    <n v="0"/>
    <n v="0"/>
    <n v="0"/>
    <n v="0"/>
    <n v="0"/>
    <n v="0"/>
    <n v="0"/>
    <n v="0"/>
  </r>
  <r>
    <s v="GT0021"/>
    <x v="4"/>
    <n v="2020"/>
    <n v="0"/>
    <s v="Jaime Rolando Maximino Perez Hernández"/>
    <n v="30021"/>
    <s v="Jaime Rolando Maximino Perez Hernández"/>
    <s v="(502) 57744044"/>
    <s v="Out of Program"/>
    <s v="ca.shell@yahoo.com"/>
    <s v="KM 13 CARRETERA A EL SALVADOR, CONDOMINIO LAS LUCES LIRIOS 8, MUNICIPIO DE SANTA CATARINA PINULA, DEPARTAMENTO DE GUATEMALA"/>
    <s v="LOTE 11 DE SANTO TOMAS DE CASTILLA, MUNICIPIO DE PUERTO BA-RRIOS, DEPARTAMENTO DE IZABAL"/>
    <x v="2"/>
    <s v="15.6174366, -88.550626"/>
    <n v="12"/>
    <s v=""/>
    <m/>
    <n v="2000"/>
    <n v="2000"/>
    <s v=""/>
    <m/>
    <n v="1"/>
    <n v="2000"/>
    <n v="2000"/>
    <m/>
    <m/>
    <m/>
    <m/>
    <n v="0"/>
    <n v="0.57519228"/>
    <n v="1150.38456"/>
    <n v="0"/>
    <n v="0"/>
    <n v="0"/>
    <n v="0"/>
    <n v="0"/>
    <n v="0"/>
    <n v="0"/>
    <n v="0"/>
  </r>
  <r>
    <s v="GT0022"/>
    <x v="4"/>
    <n v="2020"/>
    <n v="0"/>
    <s v="Jose Antonio Mombiela Mastahinich"/>
    <n v="30005"/>
    <s v="Jose Antonio Mombiela Mastahinich"/>
    <m/>
    <s v="Out of Program"/>
    <m/>
    <m/>
    <m/>
    <x v="2"/>
    <m/>
    <m/>
    <s v=""/>
    <m/>
    <n v="488"/>
    <n v="488"/>
    <s v=""/>
    <m/>
    <n v="1"/>
    <n v="488"/>
    <n v="488"/>
    <m/>
    <m/>
    <m/>
    <m/>
    <n v="0"/>
    <n v="0"/>
    <n v="0"/>
    <n v="0"/>
    <n v="0"/>
    <n v="0"/>
    <n v="0"/>
    <n v="0"/>
    <n v="0"/>
    <n v="0"/>
    <n v="0"/>
  </r>
  <r>
    <s v="GT0023"/>
    <x v="4"/>
    <n v="2020"/>
    <n v="2029"/>
    <s v="José Francisco Castillo Vásquez"/>
    <n v="30022"/>
    <s v="José Francisco Castillo Vásquez"/>
    <s v="(502) 56900614"/>
    <s v="RFT"/>
    <s v="aecv2003@hotmail.com"/>
    <s v="14 AVENIDA A 0-77, ZONA 1, MUNICIPIO DE QUETZALTENANGO, DEPARTAMENTO DE QUETZALTENANGO"/>
    <s v="FINCA LA SOLA, LAS PASCUAS, MUNICIPIO DE SAN CRISTOBAL CUCHO, DEPARTAMENTO DE SAN MARCOS"/>
    <x v="2"/>
    <s v="14.844633, -91.779992"/>
    <n v="10.7"/>
    <s v=""/>
    <m/>
    <n v="2865"/>
    <n v="2865"/>
    <s v=""/>
    <m/>
    <n v="1"/>
    <n v="2865"/>
    <n v="2865"/>
    <m/>
    <m/>
    <m/>
    <m/>
    <n v="0"/>
    <n v="0.30791167539267017"/>
    <n v="882.16695000000004"/>
    <n v="0"/>
    <m/>
    <n v="0.30791167539267017"/>
    <n v="0.31"/>
    <n v="882.16695000000004"/>
    <n v="882.16695000000004"/>
    <n v="0"/>
    <n v="0"/>
  </r>
  <r>
    <s v="GT0025"/>
    <x v="4"/>
    <n v="2020"/>
    <n v="2029"/>
    <s v="Marvin Rodolfo Porras Calderon"/>
    <n v="30024"/>
    <s v="Marvin Rodolfo Porras Calderon"/>
    <s v="(502) 54135219"/>
    <s v="RFT"/>
    <s v="mayalsmiscelanea@hotmail.com"/>
    <s v="Barrio El Centro zona 1, municipio de San Luis Jilotepeque, departamento de Jalapa"/>
    <s v="Aldea El Zapote, municipio de San Luis, departamento de Petén"/>
    <x v="2"/>
    <s v="16.074253, -89.729667"/>
    <n v="58.2"/>
    <s v=""/>
    <m/>
    <n v="6666"/>
    <n v="6666"/>
    <s v=""/>
    <m/>
    <n v="1"/>
    <n v="6666"/>
    <n v="6666"/>
    <m/>
    <m/>
    <m/>
    <m/>
    <n v="0"/>
    <n v="0.93050765076507658"/>
    <n v="6202.7640000000001"/>
    <n v="0"/>
    <m/>
    <n v="0.93050765076507658"/>
    <n v="0.93"/>
    <n v="6202.7640000000001"/>
    <n v="6202.7640000000001"/>
    <n v="0"/>
    <n v="0"/>
  </r>
  <r>
    <s v="GT0026"/>
    <x v="4"/>
    <n v="2020"/>
    <n v="0"/>
    <s v="Pablo Castillo (Novio Laura María Morán)"/>
    <n v="30025"/>
    <s v="Olga Victoria Herrera Sanjuan"/>
    <m/>
    <s v="Out of Program"/>
    <m/>
    <m/>
    <m/>
    <x v="2"/>
    <m/>
    <m/>
    <s v=""/>
    <m/>
    <n v="990"/>
    <n v="990"/>
    <s v=""/>
    <m/>
    <n v="1"/>
    <n v="990"/>
    <n v="990"/>
    <m/>
    <m/>
    <m/>
    <m/>
    <n v="0"/>
    <n v="0"/>
    <n v="0"/>
    <n v="0"/>
    <n v="0"/>
    <n v="0"/>
    <n v="0"/>
    <n v="0"/>
    <n v="0"/>
    <n v="0"/>
    <n v="0"/>
  </r>
  <r>
    <s v="GT0027"/>
    <x v="4"/>
    <n v="2020"/>
    <n v="2029"/>
    <s v="Richard Steven Callaway Ayau - Eco Energía H20"/>
    <n v="30026"/>
    <s v="Richard Steven Callaway Ayau"/>
    <s v="(502) 52063353"/>
    <s v="RFT"/>
    <s v="rcallaway@armaviacion.com"/>
    <s v="AVENIDA HINCAPIE, ZONA 13, HANGAR K2, MUNICIPIO DE GUA-TEMALA, DEPARTAMENTO DE GUATEMALA"/>
    <s v="MUNICIPIO DE BARBERENA, DEPARTAMENTO DE SANTA ROSA"/>
    <x v="2"/>
    <s v="14.323333, -90.434028"/>
    <n v="48"/>
    <s v=""/>
    <m/>
    <n v="6788"/>
    <n v="6788"/>
    <s v=""/>
    <m/>
    <n v="1"/>
    <n v="6788"/>
    <n v="6788"/>
    <m/>
    <m/>
    <m/>
    <m/>
    <n v="0"/>
    <n v="0.80951679430000001"/>
    <n v="5494.9999997083996"/>
    <n v="0"/>
    <m/>
    <n v="0.80951679430000001"/>
    <n v="0.81"/>
    <n v="5494.9999997083996"/>
    <n v="0"/>
    <n v="0"/>
    <n v="0"/>
  </r>
  <r>
    <s v="GT0028"/>
    <x v="4"/>
    <n v="2020"/>
    <n v="2029"/>
    <s v="Rolando Chinchilla Buezo"/>
    <n v="30027"/>
    <s v="Rolando Chinchilla Buezo"/>
    <s v="(502) 30220730"/>
    <s v="RFT"/>
    <s v="hamblin.duarte@gmail.com"/>
    <s v="1ª AVENIDA 8-22, ZONA 1, MUNICIPIO DE ESQUIPULAS, DEPAR-TAMENTO DE CHIQUIMULA"/>
    <s v="ALDEA TIMUSHAN, MUNICIPIO DE ESQUIPULAS, DEPARTAMENTO DE CHIQUIMULA"/>
    <x v="2"/>
    <s v="14.7237050, -89.1903883"/>
    <n v="7.1"/>
    <s v=""/>
    <m/>
    <n v="1000"/>
    <n v="1000"/>
    <s v=""/>
    <m/>
    <n v="1"/>
    <n v="1000"/>
    <n v="1000"/>
    <m/>
    <m/>
    <m/>
    <m/>
    <n v="0"/>
    <n v="0.75014183999999995"/>
    <n v="750.14184"/>
    <n v="0"/>
    <m/>
    <n v="0.75014183999999995"/>
    <n v="0.75"/>
    <n v="750.14184"/>
    <n v="0"/>
    <n v="0"/>
    <n v="0"/>
  </r>
  <r>
    <s v="GT0014"/>
    <x v="4"/>
    <n v="2020"/>
    <n v="2029"/>
    <s v="Boris Garza"/>
    <n v="30014"/>
    <s v="Borigar S.A. Carmen Lucía Garza López"/>
    <s v="+502 41231219, (502) 79430065"/>
    <s v="Active"/>
    <s v="gerenciadenegocios@gmail.com"/>
    <s v="3ª CALLE 1-85, ZONA 3, MUNICIPIO DE ESQUIPULAS, DEPARTA-MENTO DE CHIQUIMULA"/>
    <s v="Finca La Papayera, aldea Cidabenque, Melchor de Mencos, El Petén"/>
    <x v="2"/>
    <s v="14.5684073, -89.3669417; 17.004972, -89.243806"/>
    <n v="70.3"/>
    <n v="72.727272727272734"/>
    <m/>
    <n v="8000"/>
    <n v="8000"/>
    <s v=""/>
    <m/>
    <n v="1"/>
    <n v="8000"/>
    <n v="8000"/>
    <m/>
    <m/>
    <m/>
    <m/>
    <n v="0"/>
    <n v="0.95"/>
    <n v="7600"/>
    <n v="7416"/>
    <n v="0.92700000000000005"/>
    <n v="0.93"/>
    <n v="0.93"/>
    <n v="7440"/>
    <n v="7440"/>
    <n v="0"/>
    <n v="0"/>
  </r>
  <r>
    <s v="GT0018"/>
    <x v="4"/>
    <n v="2020"/>
    <n v="2029"/>
    <s v="Carlos López"/>
    <n v="30018"/>
    <s v="Emilia Beatriz Lopez Letona"/>
    <s v="(502) 54049842"/>
    <s v="Active"/>
    <s v="bittylopez@hotmail.com"/>
    <s v="FINCA PANAMÁ, MUNICIPIO DE FLORES COSTA CUCA, DEPARTAMENTO DE QUETZALTENANGO"/>
    <s v="FINCA PANAMÁ, MUNICIPIO DE FLORES COSTA CUCA, DEPARTAMENTO DE QUETZALTENANGO"/>
    <x v="2"/>
    <s v="14.664795, -91.860090"/>
    <n v="22.6"/>
    <n v="24.09090909090909"/>
    <m/>
    <n v="2650"/>
    <n v="2650"/>
    <s v=""/>
    <m/>
    <n v="1"/>
    <n v="2650"/>
    <n v="2650"/>
    <m/>
    <m/>
    <m/>
    <m/>
    <n v="0"/>
    <n v="0.74312650188679252"/>
    <n v="1969.2852300000002"/>
    <n v="2493.6499999999996"/>
    <n v="0.94099999999999995"/>
    <n v="0.94"/>
    <n v="0.94099999999999995"/>
    <n v="2493.6499999999996"/>
    <n v="2493.6499999999996"/>
    <n v="0"/>
    <n v="0"/>
  </r>
  <r>
    <s v="GT0024a"/>
    <x v="4"/>
    <n v="2020"/>
    <n v="2029"/>
    <s v="Julio Francisco Morán Pérez"/>
    <n v="30023"/>
    <s v="Julio Francisco Morán Pérez"/>
    <s v="(502) 56972396"/>
    <s v="Active"/>
    <s v="julmora213@gmail.com"/>
    <s v="14 A VENIDA LAS AMERICAS 7-62, ZONA 3, EDIFICIO TORRE PRADE­RA XELA, OCTAVO NTVEL, OFTCTNA 812, MUNTCTPTO DE QUETZALTENANGO, DEPARTAMENTO DE QUETZAL TENA NGO"/>
    <s v="FTNCA 4 PTLARES DE LAS PAULOWNTAS, MUNTCTPTO DE EL PALMAR, DEPARTAMENTO DE QUETZALTENANGO"/>
    <x v="2"/>
    <s v="14.696111, -91.608056"/>
    <n v="40.1"/>
    <n v="47.454545454545453"/>
    <m/>
    <n v="5220"/>
    <n v="5220"/>
    <s v=""/>
    <m/>
    <n v="1"/>
    <n v="5220"/>
    <n v="5220"/>
    <m/>
    <m/>
    <m/>
    <m/>
    <n v="0"/>
    <n v="0.82858216683583918"/>
    <n v="4325.1989108830803"/>
    <n v="0"/>
    <m/>
    <n v="0.82858216683583918"/>
    <n v="0.82858216683583918"/>
    <n v="4325.1989108830803"/>
    <n v="4325.1989108830803"/>
    <n v="0"/>
    <n v="0"/>
  </r>
  <r>
    <s v="MX0018"/>
    <x v="2"/>
    <n v="2020"/>
    <n v="2029"/>
    <s v="Omar Ulises Guerrero Aboytes"/>
    <n v="40017"/>
    <s v="Omar Ulises Guerrero Aboytes"/>
    <s v="412-121-3850"/>
    <s v="RFT"/>
    <s v="u.gro.abts@gmail.com"/>
    <s v="Benito Juarez #23. Comunidad Neutla, Como nfort, Guanajuato, CP 38220, Mexico"/>
    <s v="El Capulin, Neutla, Comonfort, Guanajuato. CP 38220, Mexico"/>
    <x v="3"/>
    <s v="20.715003, -100.847181"/>
    <n v="2"/>
    <s v=""/>
    <m/>
    <n v="1000"/>
    <n v="1000"/>
    <s v=""/>
    <m/>
    <n v="0.64"/>
    <n v="640"/>
    <n v="640"/>
    <n v="0.36"/>
    <n v="360"/>
    <m/>
    <m/>
    <n v="360"/>
    <n v="0.34"/>
    <n v="340"/>
    <n v="0"/>
    <m/>
    <n v="0.34"/>
    <n v="0.34"/>
    <n v="340"/>
    <n v="217.6"/>
    <n v="122.39999999999999"/>
    <n v="0"/>
  </r>
  <r>
    <s v="MX0019"/>
    <x v="2"/>
    <n v="2020"/>
    <n v="2029"/>
    <s v="Rogelio Rizo Velázquez"/>
    <n v="40018"/>
    <s v="Rogelio Rizo Velázquez"/>
    <s v="4773863295"/>
    <s v="RFT"/>
    <s v="carisrs@hotmail.com"/>
    <s v="Fraccionamiento Villas del Vergel, Comunidad de Jesus del Monte, San Francisco del Rincon, Guanajuato 36460, Mexico"/>
    <s v="San Diego N° 115. Col. Puerta San Rafael. Leon. Guanajuato. Mexico"/>
    <x v="3"/>
    <s v="20.926944, -101.754167"/>
    <n v="28.3"/>
    <s v=""/>
    <m/>
    <n v="9200"/>
    <n v="9200"/>
    <s v=""/>
    <m/>
    <n v="0.64"/>
    <n v="5888"/>
    <n v="5888"/>
    <n v="0.36"/>
    <n v="3312"/>
    <m/>
    <m/>
    <n v="3312"/>
    <n v="0.85"/>
    <n v="7820"/>
    <n v="0"/>
    <m/>
    <n v="0.85"/>
    <n v="0.85"/>
    <n v="7820"/>
    <n v="5004.8"/>
    <n v="2815.2"/>
    <n v="0"/>
  </r>
  <r>
    <s v="MX0004"/>
    <x v="2"/>
    <n v="2020"/>
    <n v="0"/>
    <s v="Felipe Ramirez Flores"/>
    <n v="40004"/>
    <s v="Aniceto Ramírez Flores and  Gilberto Hernandez Ayala"/>
    <m/>
    <s v="Out of Program"/>
    <m/>
    <m/>
    <m/>
    <x v="3"/>
    <m/>
    <m/>
    <s v=""/>
    <m/>
    <n v="5500"/>
    <n v="5500"/>
    <s v=""/>
    <m/>
    <n v="0.64"/>
    <n v="3520"/>
    <n v="3520"/>
    <n v="0.36"/>
    <n v="1980"/>
    <m/>
    <m/>
    <n v="1980"/>
    <n v="0"/>
    <n v="0"/>
    <n v="0"/>
    <n v="0"/>
    <n v="0"/>
    <n v="0"/>
    <n v="0"/>
    <n v="0"/>
    <n v="0"/>
    <n v="0"/>
  </r>
  <r>
    <s v="MX0016"/>
    <x v="2"/>
    <n v="2020"/>
    <n v="0"/>
    <s v="Miguel Angel Parada Fuentes"/>
    <n v="40015"/>
    <s v="Miguel Angel Parada Fuentes"/>
    <m/>
    <s v="Out of Program"/>
    <m/>
    <m/>
    <m/>
    <x v="3"/>
    <m/>
    <m/>
    <s v=""/>
    <m/>
    <n v="2200"/>
    <n v="2200"/>
    <s v=""/>
    <m/>
    <n v="0.64"/>
    <n v="1408"/>
    <n v="1408"/>
    <n v="0.36"/>
    <n v="792"/>
    <m/>
    <m/>
    <n v="792"/>
    <n v="0"/>
    <n v="0"/>
    <n v="0"/>
    <n v="0"/>
    <n v="0"/>
    <n v="0"/>
    <n v="0"/>
    <n v="0"/>
    <n v="0"/>
    <n v="0"/>
  </r>
  <r>
    <s v="MX0005"/>
    <x v="4"/>
    <n v="2020"/>
    <n v="2029"/>
    <s v="Arturo Arguelles Barradas"/>
    <n v="40005"/>
    <s v="Arturo Arguelles Barradas"/>
    <s v="287.110.7413"/>
    <s v="RFT"/>
    <s v="aarguelles03b@gmail.com"/>
    <s v="Calle Rio Jaltepec no . 7 4, fraccionamiento Lomas del Rio Medio 3, Zamora, Veracruz. 91809. Mex ico"/>
    <s v="Calle Rio Jaltepec no . 74, fraccionamiento Lomas del R io Med io 3, Zamora, Veracruz. 91809, Mexico"/>
    <x v="3"/>
    <s v="17.523197, -95.390517"/>
    <m/>
    <s v=""/>
    <m/>
    <n v="1100"/>
    <n v="1100"/>
    <s v=""/>
    <m/>
    <n v="1"/>
    <n v="1100"/>
    <n v="1100"/>
    <m/>
    <m/>
    <m/>
    <m/>
    <n v="0"/>
    <n v="0.95"/>
    <n v="1045"/>
    <n v="0"/>
    <m/>
    <n v="0.95"/>
    <n v="0.95"/>
    <n v="1045"/>
    <n v="1045"/>
    <n v="0"/>
    <n v="0"/>
  </r>
  <r>
    <s v="MX0006"/>
    <x v="4"/>
    <n v="2020"/>
    <n v="0"/>
    <s v="Cesar Aaron Olquin Jimenez"/>
    <n v="40006"/>
    <s v="Cesar Aaron Olquin Jimenez"/>
    <m/>
    <s v="Out of Program"/>
    <m/>
    <m/>
    <m/>
    <x v="3"/>
    <m/>
    <m/>
    <s v=""/>
    <m/>
    <n v="7700"/>
    <n v="7700"/>
    <s v=""/>
    <m/>
    <n v="1"/>
    <n v="7700"/>
    <n v="7700"/>
    <m/>
    <m/>
    <m/>
    <m/>
    <n v="0"/>
    <n v="0"/>
    <n v="0"/>
    <n v="0"/>
    <n v="0"/>
    <n v="0"/>
    <n v="0"/>
    <n v="0"/>
    <n v="0"/>
    <n v="0"/>
    <n v="0"/>
  </r>
  <r>
    <s v="MX0007"/>
    <x v="5"/>
    <n v="2020"/>
    <n v="0"/>
    <s v="Cesar Aaron Olquin Jimenez"/>
    <n v="40006"/>
    <s v="Cesar Aaron Olquin Jimenez"/>
    <m/>
    <s v="Out of Program"/>
    <m/>
    <m/>
    <m/>
    <x v="3"/>
    <m/>
    <m/>
    <s v=""/>
    <m/>
    <n v="14300"/>
    <n v="14300"/>
    <s v=""/>
    <m/>
    <n v="1"/>
    <n v="14300"/>
    <n v="14300"/>
    <m/>
    <m/>
    <m/>
    <m/>
    <n v="0"/>
    <n v="0"/>
    <n v="0"/>
    <n v="0"/>
    <n v="0"/>
    <n v="0"/>
    <n v="0"/>
    <n v="0"/>
    <n v="0"/>
    <n v="0"/>
    <n v="0"/>
  </r>
  <r>
    <s v="MX0008"/>
    <x v="5"/>
    <n v="2020"/>
    <n v="0"/>
    <s v="Heriberto Mendoza Villegas"/>
    <n v="40007"/>
    <s v="Dionicio Mendoza Rinconcillo"/>
    <m/>
    <s v="Out of Program"/>
    <m/>
    <m/>
    <m/>
    <x v="3"/>
    <m/>
    <m/>
    <s v=""/>
    <m/>
    <n v="5500"/>
    <n v="5500"/>
    <s v=""/>
    <m/>
    <n v="1"/>
    <n v="5500"/>
    <n v="5500"/>
    <m/>
    <m/>
    <m/>
    <m/>
    <n v="0"/>
    <n v="0"/>
    <n v="0"/>
    <n v="0"/>
    <n v="0"/>
    <n v="0"/>
    <n v="0"/>
    <n v="0"/>
    <n v="0"/>
    <n v="0"/>
    <n v="0"/>
  </r>
  <r>
    <s v="MX0010"/>
    <x v="5"/>
    <n v="2020"/>
    <n v="0"/>
    <s v="Víctor Manuel Godínez Martínez"/>
    <n v="40009"/>
    <s v="Jesus Enriquez Magana"/>
    <m/>
    <s v="Out of Program"/>
    <m/>
    <m/>
    <m/>
    <x v="3"/>
    <m/>
    <m/>
    <s v=""/>
    <m/>
    <m/>
    <m/>
    <s v=""/>
    <m/>
    <n v="1"/>
    <m/>
    <m/>
    <m/>
    <m/>
    <m/>
    <m/>
    <n v="0"/>
    <n v="0"/>
    <n v="0"/>
    <n v="0"/>
    <n v="0"/>
    <n v="0"/>
    <n v="0"/>
    <n v="0"/>
    <n v="0"/>
    <n v="0"/>
    <n v="0"/>
  </r>
  <r>
    <s v="MX0011"/>
    <x v="4"/>
    <n v="2020"/>
    <n v="0"/>
    <s v="Jose Dolores Hugo Torres Hernandez"/>
    <n v="40010"/>
    <s v="Miguel Angel García Torres"/>
    <m/>
    <s v="Out of Program"/>
    <m/>
    <m/>
    <m/>
    <x v="3"/>
    <m/>
    <n v="1.4"/>
    <s v=""/>
    <m/>
    <n v="4400"/>
    <n v="4400"/>
    <s v=""/>
    <m/>
    <n v="1"/>
    <n v="4400"/>
    <n v="4400"/>
    <m/>
    <m/>
    <m/>
    <m/>
    <n v="0"/>
    <n v="0"/>
    <n v="0"/>
    <n v="0"/>
    <n v="0"/>
    <n v="0"/>
    <n v="0"/>
    <n v="0"/>
    <n v="0"/>
    <n v="0"/>
    <n v="0"/>
  </r>
  <r>
    <s v="MX0012"/>
    <x v="5"/>
    <n v="2020"/>
    <n v="2029"/>
    <s v="Juan Carlos Cardoso Vargas"/>
    <n v="40011"/>
    <s v="Juan Carlos Cardoso Vargas"/>
    <s v="429-103-2060"/>
    <s v="RFT"/>
    <s v="cardosoproduceyagave@gmail.com"/>
    <s v="Vicente Guerrero s/n. Rancho Guadalupe, Huanimaro, Guanajuato CP 36998, Mexico"/>
    <s v="Ojo de Agua, Municipio de Abasolo, Guanajuato 36987, Mexico. La Loma, Municipio de Huanfmaro CP 36998, Mexico"/>
    <x v="3"/>
    <s v="20.389148,-101.579335; 20.3781949,-101.549031"/>
    <n v="52.4"/>
    <s v=""/>
    <m/>
    <n v="12000"/>
    <n v="12000"/>
    <s v=""/>
    <m/>
    <n v="1"/>
    <n v="12000"/>
    <n v="12000"/>
    <m/>
    <m/>
    <m/>
    <m/>
    <n v="0"/>
    <n v="0.34"/>
    <n v="4080"/>
    <n v="0"/>
    <m/>
    <n v="0.34"/>
    <n v="0.34"/>
    <n v="4080.0000000000005"/>
    <n v="4080.0000000000005"/>
    <n v="0"/>
    <n v="0"/>
  </r>
  <r>
    <s v="MX0014"/>
    <x v="4"/>
    <n v="2020"/>
    <n v="2029"/>
    <s v="Norma Pérez González"/>
    <n v="40013"/>
    <s v="Juan Luis Villeda Gayosso"/>
    <s v="4493482975"/>
    <s v="RFT"/>
    <s v="villedajuanluis@gmail.com"/>
    <s v="Salvador Duran Castanedo N° 409, Col. VNSA, Aguascalientes, Aqs. Mexico. CP 20126"/>
    <s v="Sector de producción 2, Ejido el Tule, Asientos, Aguascalientes 20704, México"/>
    <x v="3"/>
    <s v="22.114167, -102.098228"/>
    <n v="14"/>
    <s v=""/>
    <m/>
    <n v="3300"/>
    <n v="3300"/>
    <s v=""/>
    <m/>
    <n v="1"/>
    <n v="3300"/>
    <n v="3300"/>
    <m/>
    <m/>
    <m/>
    <m/>
    <n v="0"/>
    <n v="0.64"/>
    <n v="2112"/>
    <n v="0"/>
    <m/>
    <n v="0.64"/>
    <n v="0.64"/>
    <n v="2112"/>
    <n v="2112"/>
    <n v="0"/>
    <n v="0"/>
  </r>
  <r>
    <s v="MX0015"/>
    <x v="5"/>
    <n v="2020"/>
    <n v="0"/>
    <s v="Lucila Morales Druallet"/>
    <n v="40014"/>
    <s v="Lucila Morales Druallet"/>
    <m/>
    <s v="Out of Program"/>
    <m/>
    <m/>
    <m/>
    <x v="3"/>
    <m/>
    <m/>
    <s v=""/>
    <m/>
    <n v="2750"/>
    <n v="2750"/>
    <s v=""/>
    <m/>
    <n v="1"/>
    <n v="2750"/>
    <n v="2750"/>
    <m/>
    <m/>
    <m/>
    <m/>
    <n v="0"/>
    <n v="0"/>
    <n v="0"/>
    <n v="0"/>
    <n v="0"/>
    <n v="0"/>
    <n v="0"/>
    <n v="0"/>
    <n v="0"/>
    <n v="0"/>
    <n v="0"/>
  </r>
  <r>
    <s v="MX0017"/>
    <x v="5"/>
    <n v="2020"/>
    <n v="0"/>
    <s v="Modesto Negrete Almeida"/>
    <n v="40016"/>
    <s v="Modesto Negrete Almeida"/>
    <m/>
    <s v="Out of Program"/>
    <m/>
    <m/>
    <m/>
    <x v="3"/>
    <m/>
    <m/>
    <s v=""/>
    <m/>
    <n v="11550"/>
    <n v="11550"/>
    <s v=""/>
    <m/>
    <n v="1"/>
    <n v="11550"/>
    <n v="11550"/>
    <m/>
    <m/>
    <m/>
    <m/>
    <n v="0"/>
    <n v="0"/>
    <n v="0"/>
    <n v="0"/>
    <n v="0"/>
    <n v="0"/>
    <n v="0"/>
    <n v="0"/>
    <n v="0"/>
    <n v="0"/>
    <n v="0"/>
  </r>
  <r>
    <s v="MX0020"/>
    <x v="4"/>
    <n v="2020"/>
    <n v="0"/>
    <s v="Victor Manuel Godinez Martinez"/>
    <n v="40019"/>
    <s v="Victor Manuel Godinez Martinez"/>
    <m/>
    <s v="Out of Program"/>
    <m/>
    <m/>
    <m/>
    <x v="3"/>
    <m/>
    <m/>
    <s v=""/>
    <m/>
    <n v="11000"/>
    <n v="11000"/>
    <s v=""/>
    <m/>
    <n v="1"/>
    <n v="11000"/>
    <n v="11000"/>
    <m/>
    <m/>
    <m/>
    <m/>
    <n v="0"/>
    <n v="0"/>
    <n v="0"/>
    <n v="0"/>
    <n v="0"/>
    <n v="0"/>
    <n v="0"/>
    <n v="0"/>
    <n v="0"/>
    <n v="0"/>
    <n v="0"/>
  </r>
  <r>
    <s v="MX0013"/>
    <x v="4"/>
    <n v="2020"/>
    <n v="2029"/>
    <s v="Juan Chavez Calderon"/>
    <n v="40012"/>
    <s v="Juan Chavez Calderon"/>
    <s v="352-107-7863"/>
    <s v="Active"/>
    <s v="jcagronegocios022@hotmail.com"/>
    <s v="Blvd. Adolfo Lopez Mateos, Centro, La Piedad, Michoacan. CP 59300. Mexico"/>
    <s v="Presa Vieja y el Guamuchil, Taguiscuareo, La Piedad, Michoacan. CP 59300, Mexico"/>
    <x v="3"/>
    <s v="20.253389, -102.084111"/>
    <n v="9.9"/>
    <n v="12.355108275676161"/>
    <m/>
    <n v="2750"/>
    <n v="2750"/>
    <s v=""/>
    <m/>
    <n v="1"/>
    <n v="2750"/>
    <n v="2750"/>
    <m/>
    <m/>
    <m/>
    <m/>
    <n v="0"/>
    <n v="0.66"/>
    <n v="1815"/>
    <n v="0"/>
    <m/>
    <n v="0.66"/>
    <n v="0.66"/>
    <n v="1815"/>
    <n v="1815"/>
    <n v="0"/>
    <n v="0"/>
  </r>
  <r>
    <s v="US0053"/>
    <x v="4"/>
    <n v="2020"/>
    <n v="0"/>
    <s v="Anthony Cowart"/>
    <n v="10046"/>
    <s v="Jimmy A Cowart, Steve Anthony Cowart, and Christy Cowart Murphy"/>
    <s v="912-245-0476"/>
    <s v="Out of Program"/>
    <s v="cowartinc1@bellsouth.net, cowartinc2@bellsouth.net"/>
    <s v="816 GA Highway 56 W Lyons GA 30436-5945"/>
    <s v="816 GA Highway 56 W Lyons GA 30436-5945"/>
    <x v="0"/>
    <m/>
    <m/>
    <s v=""/>
    <m/>
    <n v="3300"/>
    <n v="3300"/>
    <s v=""/>
    <m/>
    <n v="1"/>
    <n v="3300"/>
    <n v="3300"/>
    <m/>
    <m/>
    <m/>
    <m/>
    <n v="0"/>
    <n v="0"/>
    <n v="0"/>
    <n v="0"/>
    <n v="0"/>
    <n v="0"/>
    <n v="0"/>
    <n v="0"/>
    <n v="0"/>
    <n v="0"/>
    <n v="0"/>
  </r>
  <r>
    <s v="US0060"/>
    <x v="4"/>
    <n v="2020"/>
    <n v="2029"/>
    <s v="Daniel Perez"/>
    <n v="10052"/>
    <s v="Daniel Perez"/>
    <s v="813-727-1896"/>
    <s v="RFT"/>
    <s v="dpjr01@gmail.com"/>
    <s v="457 Herndon Rd  Lumpkin GA 31815-4702"/>
    <s v="457 Herndon Rd  Lumpkin GA 31815-4702"/>
    <x v="0"/>
    <s v="31.942337, -84.868611"/>
    <n v="9.5"/>
    <s v=""/>
    <s v="Y"/>
    <n v="1100"/>
    <n v="1100"/>
    <s v=""/>
    <m/>
    <n v="1"/>
    <n v="1100"/>
    <n v="1100"/>
    <m/>
    <m/>
    <m/>
    <m/>
    <n v="0"/>
    <n v="0.625"/>
    <n v="687.5"/>
    <n v="0"/>
    <m/>
    <n v="0.625"/>
    <n v="0"/>
    <n v="687.5"/>
    <n v="687.5"/>
    <n v="0"/>
    <n v="0"/>
  </r>
  <r>
    <s v="US0066"/>
    <x v="4"/>
    <n v="2020"/>
    <n v="0"/>
    <s v="Glenn Preskitt"/>
    <n v="10056"/>
    <s v="Glenn Preskitt"/>
    <s v="334-652-5278, 334-567-5600"/>
    <s v="Out of Program"/>
    <s v="mattpreskitt@gmail.com"/>
    <s v="4536 Grier Rd Wetumpka AL 36092-6104"/>
    <s v="3990 Grier Rd. Wetumpka AL 36092-4214"/>
    <x v="0"/>
    <m/>
    <m/>
    <s v=""/>
    <m/>
    <n v="5500"/>
    <n v="5500"/>
    <s v=""/>
    <m/>
    <n v="1"/>
    <n v="5500"/>
    <n v="5500"/>
    <m/>
    <m/>
    <m/>
    <m/>
    <n v="0"/>
    <n v="0.78"/>
    <n v="4290"/>
    <n v="0"/>
    <n v="0"/>
    <n v="0"/>
    <n v="0"/>
    <n v="0"/>
    <n v="0"/>
    <n v="0"/>
    <n v="0"/>
  </r>
  <r>
    <s v="US0072"/>
    <x v="4"/>
    <n v="2020"/>
    <n v="0"/>
    <s v="John Hayes"/>
    <n v="10062"/>
    <s v="Hayes Farms LLC"/>
    <s v="334-726-8074"/>
    <s v="Out of Program"/>
    <s v="john.hayes09@icloud.com"/>
    <s v="5053 Pansey Rd Pansey AL 36370-4059"/>
    <s v="2536 S County Road 75, Pansey AL 36370-4922"/>
    <x v="0"/>
    <s v="31.157609, -85.167070"/>
    <n v="9.6999999999999993"/>
    <s v=""/>
    <s v="Y"/>
    <n v="1100"/>
    <n v="1100"/>
    <s v=""/>
    <m/>
    <n v="1"/>
    <n v="1100"/>
    <n v="1100"/>
    <m/>
    <m/>
    <m/>
    <m/>
    <n v="0"/>
    <n v="0.82499999999999996"/>
    <n v="907.5"/>
    <n v="0"/>
    <n v="0"/>
    <n v="0"/>
    <n v="0"/>
    <n v="0"/>
    <n v="0"/>
    <n v="0"/>
    <n v="0"/>
  </r>
  <r>
    <s v="US0078"/>
    <x v="4"/>
    <n v="2020"/>
    <n v="2029"/>
    <s v="Pete Preskitt"/>
    <n v="10068"/>
    <s v="Pete Preskitt"/>
    <s v="334-651-1377"/>
    <s v="RFT"/>
    <s v="ppreskitt@icloud.com"/>
    <s v="2140 Weoka Rd Wetumpka AL 36092-4520"/>
    <s v="2140 Weoka Rd Wetumpka AL 36092-4520"/>
    <x v="0"/>
    <s v="32.617043, -86.203639"/>
    <n v="11.2"/>
    <s v=""/>
    <s v="Y"/>
    <n v="1100"/>
    <n v="1100"/>
    <s v=""/>
    <m/>
    <n v="1"/>
    <n v="1100"/>
    <n v="1100"/>
    <m/>
    <m/>
    <m/>
    <m/>
    <n v="0"/>
    <n v="0.95"/>
    <n v="1045"/>
    <n v="790.9"/>
    <n v="0.71899999999999997"/>
    <n v="0.72"/>
    <n v="0"/>
    <n v="792"/>
    <n v="792"/>
    <n v="0"/>
    <n v="0"/>
  </r>
  <r>
    <s v="US0088"/>
    <x v="4"/>
    <n v="2020"/>
    <n v="0"/>
    <s v="Will Allen"/>
    <n v="10076"/>
    <s v="Will Allen"/>
    <s v="256-846-0777"/>
    <s v="Out of Program"/>
    <s v="willallen78@gmail.com"/>
    <s v="516 Co Rd 482, Heflin, AL, USA"/>
    <s v="County Road 482, Heflin, AL 36264, USA"/>
    <x v="0"/>
    <s v="33.621869, -85.456980"/>
    <n v="10.15"/>
    <s v=""/>
    <s v="Y"/>
    <n v="1100"/>
    <n v="1100"/>
    <s v=""/>
    <m/>
    <n v="1"/>
    <n v="1100"/>
    <n v="1100"/>
    <m/>
    <m/>
    <m/>
    <m/>
    <n v="0"/>
    <n v="0.95"/>
    <n v="1045"/>
    <n v="0"/>
    <n v="0"/>
    <n v="0"/>
    <n v="0"/>
    <n v="0"/>
    <n v="0"/>
    <n v="0"/>
    <n v="0"/>
  </r>
  <r>
    <s v="US0052"/>
    <x v="4"/>
    <n v="2020"/>
    <n v="2029"/>
    <s v="Andy Youngblood"/>
    <n v="10045"/>
    <s v="Andy Youngblood"/>
    <s v="479-243-5423"/>
    <s v="Active"/>
    <s v="info@youngbloodfarm.com"/>
    <s v="173 Polk Rd 252, Grannis, AR, USA 71944"/>
    <s v="173 Polk Rd 252, Grannis, AR 71944, USA"/>
    <x v="0"/>
    <s v="34.2594, -94.2761; 34.3301, -94.3201"/>
    <n v="16"/>
    <n v="10"/>
    <s v="Y"/>
    <n v="1100"/>
    <n v="1100"/>
    <s v=""/>
    <m/>
    <n v="1"/>
    <n v="1100"/>
    <n v="1100"/>
    <m/>
    <m/>
    <m/>
    <m/>
    <n v="0"/>
    <n v="0.82499999999999996"/>
    <n v="907.5"/>
    <n v="0"/>
    <m/>
    <n v="0.82499999999999996"/>
    <n v="0.82499999999999996"/>
    <n v="907.5"/>
    <n v="907.5"/>
    <n v="0"/>
    <n v="0"/>
  </r>
  <r>
    <s v="US0054"/>
    <x v="4"/>
    <n v="2020"/>
    <n v="2029"/>
    <s v="William Franklin"/>
    <n v="10047"/>
    <s v="William Franklin"/>
    <s v="334-850-6700, 334-320-1545"/>
    <s v="Active"/>
    <s v="sherifffranklin@elmoreso.com, luke2a21@gmail.com"/>
    <s v="410 Fortner Rd Wetumpka AL 36092-4229"/>
    <s v="410 Fortner Rd Wetumpka AL 36092-4229"/>
    <x v="0"/>
    <s v="32.627857, -86.179914"/>
    <n v="12.5"/>
    <n v="10"/>
    <s v="Y"/>
    <n v="1100"/>
    <n v="1100"/>
    <s v=""/>
    <m/>
    <n v="1"/>
    <n v="1100"/>
    <n v="1100"/>
    <m/>
    <m/>
    <m/>
    <m/>
    <n v="0"/>
    <n v="1"/>
    <n v="1100"/>
    <n v="0"/>
    <m/>
    <n v="1"/>
    <n v="1"/>
    <n v="1100"/>
    <n v="1100"/>
    <n v="0"/>
    <n v="0"/>
  </r>
  <r>
    <s v="US0055"/>
    <x v="4"/>
    <n v="2020"/>
    <n v="2029"/>
    <s v="Billy Strange"/>
    <n v="10048"/>
    <s v="Billy Strange"/>
    <s v="318-481-1835, 318-481-1833"/>
    <s v="Active"/>
    <s v="riza_strange@yahoo.com"/>
    <s v="1142 Good Road, Jonesville, Louisiana 71343"/>
    <s v="1142 Good Road, Jonesville, Louisiana 71343"/>
    <x v="0"/>
    <s v="31.623947, -91.865519"/>
    <n v="5.5"/>
    <n v="4.5454545454545459"/>
    <s v="Y"/>
    <n v="500"/>
    <n v="500"/>
    <s v=""/>
    <m/>
    <n v="1"/>
    <n v="500"/>
    <n v="500"/>
    <m/>
    <m/>
    <m/>
    <m/>
    <n v="0"/>
    <n v="1"/>
    <n v="500"/>
    <n v="0"/>
    <m/>
    <n v="1"/>
    <n v="1"/>
    <n v="500"/>
    <n v="500"/>
    <n v="0"/>
    <n v="0"/>
  </r>
  <r>
    <s v="US0056"/>
    <x v="2"/>
    <n v="2020"/>
    <n v="2029"/>
    <s v="Billy Whittaker"/>
    <n v="10030"/>
    <s v="Billy Whittaker"/>
    <s v="229-243-3487, 229 400 2304"/>
    <s v="Active"/>
    <s v="whihm@aol.com"/>
    <s v="7701 Reynolds Landing Rd Donalsonville GA 39845-6928"/>
    <s v="7701 Reynolds Landing Rd Donalsonville GA 39845-6928"/>
    <x v="0"/>
    <s v="30.814991, -84.811270"/>
    <n v="15.5"/>
    <n v="12"/>
    <s v="Y"/>
    <n v="1320"/>
    <n v="1320"/>
    <s v=""/>
    <m/>
    <n v="1"/>
    <n v="1320"/>
    <n v="1320"/>
    <m/>
    <m/>
    <m/>
    <m/>
    <n v="0"/>
    <n v="1"/>
    <n v="1320"/>
    <n v="1268.52"/>
    <n v="0.96099999999999997"/>
    <n v="0.96099999999999997"/>
    <n v="0.96"/>
    <n v="1269"/>
    <n v="1269"/>
    <n v="0"/>
    <n v="0"/>
  </r>
  <r>
    <s v="US0057"/>
    <x v="4"/>
    <n v="2020"/>
    <n v="2029"/>
    <s v="Carl Womack"/>
    <n v="10049"/>
    <s v="Carl Womack"/>
    <s v="334-701-8363"/>
    <s v="Active"/>
    <s v="carlwomack1@yahoo.com"/>
    <s v="2536 S County Road 75, Pansey AL 36370-4922"/>
    <s v="2536 S County Road 75, Pansey AL 36370-4922"/>
    <x v="0"/>
    <s v="31.166019, -85.103106"/>
    <n v="14.5"/>
    <n v="15"/>
    <s v="Y"/>
    <n v="1650"/>
    <n v="1650"/>
    <s v=""/>
    <m/>
    <n v="1"/>
    <n v="1650"/>
    <n v="1650"/>
    <m/>
    <m/>
    <m/>
    <m/>
    <n v="0"/>
    <n v="1"/>
    <n v="1650"/>
    <n v="1590.6"/>
    <n v="0.96399999999999997"/>
    <n v="0.96399999999999997"/>
    <n v="0.96"/>
    <n v="1591"/>
    <n v="1591"/>
    <n v="0"/>
    <n v="0"/>
  </r>
  <r>
    <s v="US0058"/>
    <x v="4"/>
    <n v="2020"/>
    <n v="2029"/>
    <s v="Chad Payne"/>
    <n v="10050"/>
    <s v="Chadwin Payne"/>
    <s v="706-741-5396"/>
    <s v="Active"/>
    <s v="cdpayne1@gmail.com"/>
    <n v="0"/>
    <s v="2467 Boyt Rd Yatesville GA 31097-3911"/>
    <x v="0"/>
    <s v="32.943417, -84.155063"/>
    <n v="7.6"/>
    <n v="10"/>
    <s v="Y"/>
    <n v="1100"/>
    <n v="1100"/>
    <s v=""/>
    <m/>
    <n v="1"/>
    <n v="1100"/>
    <n v="1100"/>
    <m/>
    <m/>
    <m/>
    <m/>
    <n v="0"/>
    <n v="0.98818181818181816"/>
    <n v="1087"/>
    <n v="0"/>
    <m/>
    <n v="0.99299999999999999"/>
    <n v="0.98818181818181816"/>
    <n v="1087"/>
    <n v="1087"/>
    <n v="0"/>
    <n v="0"/>
  </r>
  <r>
    <s v="US0059"/>
    <x v="4"/>
    <n v="2020"/>
    <n v="2029"/>
    <s v="Dale Ratliff"/>
    <n v="10051"/>
    <s v="W.D. Ratliff"/>
    <s v="386-590-1822, 386-590-1821"/>
    <s v="Active"/>
    <s v="ratliff4@windstream.net, dratliff50@gmail.com, fallonratliff97@hotmail.com, daleratliff50@gmail.com"/>
    <n v="0"/>
    <s v="15949 68th St, Live Oak, FL 32060, USA"/>
    <x v="0"/>
    <s v="30.328607, -83.079026"/>
    <n v="12.4"/>
    <n v="12.363636363636363"/>
    <s v="Y"/>
    <n v="1360"/>
    <n v="1360"/>
    <s v=""/>
    <m/>
    <n v="1"/>
    <n v="1360"/>
    <n v="1360"/>
    <m/>
    <m/>
    <m/>
    <m/>
    <n v="0"/>
    <n v="1"/>
    <n v="1360"/>
    <n v="1350.48"/>
    <n v="0.99299999999999999"/>
    <n v="0.99"/>
    <n v="0.99"/>
    <n v="1350"/>
    <n v="1350"/>
    <n v="0"/>
    <n v="0"/>
  </r>
  <r>
    <s v="US0061"/>
    <x v="4"/>
    <n v="2020"/>
    <n v="2029"/>
    <s v="Darren Beachem"/>
    <n v="10053"/>
    <s v="Darren Beachem"/>
    <s v="334-782-6461"/>
    <s v="Active"/>
    <s v="darren.beachem22@gmail.com, darren.beachem@yahoo.com"/>
    <s v="3022 Autumn Wood Dr NW Apt B Huntsville AL 35816-3120"/>
    <s v="22316 US-82 Union Springs, AL 36089-6279"/>
    <x v="0"/>
    <s v="32.144117, -85.580865"/>
    <n v="24"/>
    <n v="20"/>
    <s v="Y"/>
    <n v="2200"/>
    <n v="2200"/>
    <s v=""/>
    <m/>
    <n v="1"/>
    <n v="2200"/>
    <n v="2200"/>
    <m/>
    <m/>
    <m/>
    <m/>
    <n v="0"/>
    <n v="1"/>
    <n v="2200"/>
    <n v="0"/>
    <m/>
    <n v="1"/>
    <n v="1"/>
    <n v="2200"/>
    <n v="2200"/>
    <n v="0"/>
    <n v="0"/>
  </r>
  <r>
    <s v="US0062"/>
    <x v="4"/>
    <n v="2020"/>
    <n v="2029"/>
    <s v="David Chang"/>
    <n v="10033"/>
    <s v="David Chang"/>
    <s v="769-475-0772"/>
    <s v="Active"/>
    <s v="lungs111@yahoo.com, lungs111@gmail.com"/>
    <s v="2561 Legends Row, Mobile, AL, USA 36618-4819"/>
    <s v="4019 Stringfellow Road, Lucedale, MS 39452, USA"/>
    <x v="0"/>
    <s v="31.044872, -88.515002"/>
    <n v="4.5"/>
    <n v="5"/>
    <s v="Y"/>
    <n v="550"/>
    <n v="550"/>
    <s v=""/>
    <m/>
    <n v="1"/>
    <n v="550"/>
    <n v="550"/>
    <m/>
    <m/>
    <m/>
    <m/>
    <n v="0"/>
    <n v="0.82499999999999996"/>
    <n v="453.75"/>
    <n v="488.95"/>
    <n v="0.88900000000000001"/>
    <n v="0.89"/>
    <n v="0.89"/>
    <n v="489"/>
    <n v="489"/>
    <n v="0"/>
    <n v="0"/>
  </r>
  <r>
    <s v="US0063"/>
    <x v="4"/>
    <n v="2020"/>
    <n v="2029"/>
    <s v="Derek Bass"/>
    <n v="10035"/>
    <s v="Derek Bass"/>
    <s v="334-657-2856"/>
    <s v="Active"/>
    <s v="wdb359@aol.com"/>
    <s v="359 Sunny Lane Loop, Wetumpka, AL, USA 36092"/>
    <s v="359 Sunny Lane Loop, Wetumpka, AL, USA 36092"/>
    <x v="0"/>
    <s v="32.645386, -86.086846"/>
    <n v="3.75"/>
    <n v="4"/>
    <s v="Y"/>
    <n v="440"/>
    <n v="440"/>
    <s v=""/>
    <m/>
    <n v="1"/>
    <n v="440"/>
    <n v="440"/>
    <m/>
    <m/>
    <m/>
    <m/>
    <n v="0"/>
    <n v="0.76818181818181819"/>
    <n v="338"/>
    <n v="179.95999999999998"/>
    <n v="0.40899999999999997"/>
    <n v="0.41"/>
    <n v="0.41"/>
    <n v="180"/>
    <n v="180"/>
    <n v="0"/>
    <n v="0"/>
  </r>
  <r>
    <s v="US0064"/>
    <x v="4"/>
    <n v="2020"/>
    <n v="2029"/>
    <s v="Ed Davenport"/>
    <n v="10054"/>
    <s v="Ed Davenport"/>
    <s v="770-712-9831"/>
    <s v="Active"/>
    <s v="davenported91@gmail.com, mnmtrailers@gmail.com"/>
    <s v="490 Whites Bottom Rd Pendergrass GA 30567-2816"/>
    <s v="490 Whites Bottom Rd Pendergrass GA 30567-2816"/>
    <x v="0"/>
    <s v="34.147730, -83.731530"/>
    <n v="9.43"/>
    <n v="10"/>
    <s v="Y"/>
    <n v="1100"/>
    <n v="1100"/>
    <s v=""/>
    <m/>
    <n v="1"/>
    <n v="1100"/>
    <n v="1100"/>
    <m/>
    <m/>
    <m/>
    <m/>
    <n v="0"/>
    <n v="1"/>
    <n v="1100"/>
    <n v="0"/>
    <m/>
    <n v="0.61699999999999999"/>
    <n v="1"/>
    <n v="1100"/>
    <n v="1100"/>
    <n v="0"/>
    <n v="0"/>
  </r>
  <r>
    <s v="US0065"/>
    <x v="4"/>
    <n v="2020"/>
    <n v="2029"/>
    <s v="Glenn Sanders"/>
    <n v="10055"/>
    <s v="Glen Sanders"/>
    <s v="706-714-4180"/>
    <s v="Active"/>
    <s v="gsand1956@gmail.com"/>
    <s v="184 Bunker Hill Rd Crawford GA 30630-2410"/>
    <s v="3345 Robert Hardeman Rd, Winterville, GA 30683, USA"/>
    <x v="0"/>
    <s v="33.925245, -83.275859"/>
    <n v="11"/>
    <n v="10"/>
    <s v="Y"/>
    <n v="1100"/>
    <n v="1100"/>
    <s v=""/>
    <m/>
    <n v="1"/>
    <n v="1100"/>
    <n v="1100"/>
    <m/>
    <m/>
    <m/>
    <m/>
    <n v="0"/>
    <n v="0.98818181818181816"/>
    <n v="1087"/>
    <n v="1089"/>
    <n v="0.99"/>
    <n v="0.99"/>
    <n v="0.98818181818181816"/>
    <n v="1089"/>
    <n v="1089"/>
    <n v="0"/>
    <n v="0"/>
  </r>
  <r>
    <s v="US0067"/>
    <x v="4"/>
    <n v="2020"/>
    <n v="2029"/>
    <s v="Guy Goodson"/>
    <n v="10057"/>
    <s v="Guy Goodson"/>
    <s v="334-726-4064"/>
    <s v="Active"/>
    <s v="gcgoodson@yahoo.com"/>
    <s v="6810 N County 33 Rd, Columbia AL 36319-4026"/>
    <s v="2148 Hunter Rd, Columbia, AL 36319, USA"/>
    <x v="0"/>
    <s v="31.246499, -85.161864"/>
    <n v="23.2"/>
    <n v="20"/>
    <s v="Y"/>
    <n v="2200"/>
    <n v="2200"/>
    <s v=""/>
    <m/>
    <n v="1"/>
    <n v="2200"/>
    <n v="2200"/>
    <m/>
    <m/>
    <m/>
    <m/>
    <n v="0"/>
    <n v="0.92045454545454541"/>
    <n v="2025"/>
    <n v="1438.8"/>
    <n v="0.65400000000000003"/>
    <n v="0.65"/>
    <n v="0.65"/>
    <n v="1439"/>
    <n v="1439"/>
    <n v="0"/>
    <n v="0"/>
  </r>
  <r>
    <s v="US0068"/>
    <x v="4"/>
    <n v="2020"/>
    <n v="2029"/>
    <s v="Jeff Barnes"/>
    <n v="10058"/>
    <s v="Richard and Trudie Barnes"/>
    <s v="334-312-5528"/>
    <s v="Active"/>
    <s v="jmbarnes65@gmail.com"/>
    <s v="6170 Vine Dr Andalusia AL 36420-6714"/>
    <s v="6170 Vine Dr Andalusia AL 36420-6714"/>
    <x v="0"/>
    <s v="31.080472, -86.570887"/>
    <n v="10.5"/>
    <n v="10"/>
    <s v="Y"/>
    <n v="1100"/>
    <n v="1100"/>
    <s v=""/>
    <m/>
    <n v="1"/>
    <n v="1100"/>
    <n v="1100"/>
    <m/>
    <m/>
    <m/>
    <m/>
    <n v="0"/>
    <n v="0.90227272727272723"/>
    <n v="992.5"/>
    <n v="678.7"/>
    <n v="0.61699999999999999"/>
    <n v="0.62"/>
    <n v="0.62"/>
    <n v="679"/>
    <n v="679"/>
    <n v="0"/>
    <n v="0"/>
  </r>
  <r>
    <s v="US0069"/>
    <x v="4"/>
    <n v="2020"/>
    <n v="2029"/>
    <s v="Jeff George"/>
    <n v="10059"/>
    <s v="Jeff George"/>
    <s v="601-527-1366, 601-743-2647"/>
    <s v="Active"/>
    <s v="jeff@tjsubway.net"/>
    <s v="8834 Highway 495 S, De Kalb, MS 39328-7173"/>
    <s v="8834 Highway 495 S, De Kalb, MS 39328-7173"/>
    <x v="0"/>
    <s v="32.675524, -88.847579"/>
    <n v="14"/>
    <n v="10"/>
    <s v="Y"/>
    <n v="1100"/>
    <n v="1100"/>
    <s v=""/>
    <m/>
    <n v="1"/>
    <n v="1100"/>
    <n v="1100"/>
    <m/>
    <m/>
    <m/>
    <m/>
    <n v="0"/>
    <n v="1"/>
    <n v="1100"/>
    <n v="0"/>
    <m/>
    <n v="1"/>
    <n v="1"/>
    <n v="1100"/>
    <n v="1100"/>
    <n v="0"/>
    <n v="0"/>
  </r>
  <r>
    <s v="US0070"/>
    <x v="4"/>
    <n v="2020"/>
    <n v="2029"/>
    <s v="Jeff Rice"/>
    <n v="10060"/>
    <s v="Jeffrey Rice"/>
    <s v="334-728-3304"/>
    <s v="Active"/>
    <s v="Jetney7@gmail.com"/>
    <s v="376 County Shop Rd Dadeville AL 36853-3706"/>
    <s v="376 County Shop Rd Dadeville AL 36853-3706"/>
    <x v="0"/>
    <s v="31.26, -89.8300000"/>
    <n v="11.2"/>
    <n v="10"/>
    <s v="Y"/>
    <n v="1100"/>
    <n v="1100"/>
    <s v=""/>
    <m/>
    <n v="1"/>
    <n v="1100"/>
    <n v="1100"/>
    <m/>
    <m/>
    <m/>
    <m/>
    <n v="0"/>
    <n v="0.88227272727272732"/>
    <n v="970.5"/>
    <n v="852.5"/>
    <n v="0.77500000000000002"/>
    <n v="0.78100000000000003"/>
    <n v="0.78"/>
    <n v="853"/>
    <n v="853"/>
    <n v="0"/>
    <n v="0"/>
  </r>
  <r>
    <s v="US0071"/>
    <x v="4"/>
    <n v="2020"/>
    <n v="2029"/>
    <s v="Jim West"/>
    <n v="10061"/>
    <s v="Jim West"/>
    <s v="706-200-6522"/>
    <s v="Active"/>
    <s v="westjb@hotmail.com"/>
    <s v="2984 Highway 255 South, Sautee Nacoochee, GA 30571, USA"/>
    <s v="2984 Georgia 255, Sautee Nacoochee, GA, USA"/>
    <x v="0"/>
    <s v="34.704052, -83.659809"/>
    <n v="9.9"/>
    <n v="10"/>
    <s v="Y"/>
    <n v="1100"/>
    <n v="1100"/>
    <s v=""/>
    <m/>
    <n v="1"/>
    <n v="1100"/>
    <n v="1100"/>
    <m/>
    <m/>
    <m/>
    <m/>
    <n v="0"/>
    <n v="1"/>
    <n v="1100"/>
    <n v="1100"/>
    <n v="1"/>
    <n v="1"/>
    <n v="1"/>
    <n v="1100"/>
    <n v="1100"/>
    <n v="0"/>
    <n v="0"/>
  </r>
  <r>
    <s v="US0073"/>
    <x v="4"/>
    <n v="2020"/>
    <n v="2029"/>
    <s v="Joseph Garrett"/>
    <n v="10063"/>
    <s v="Joseph Garrett"/>
    <s v="334-726-5737"/>
    <s v="Active"/>
    <s v="trac9to8r@yahoo.com"/>
    <s v="1033 McDaniel Rd, Ashford AL 36312-5627"/>
    <s v="2536 S County Road 75, Pansey AL 36370-4922"/>
    <x v="0"/>
    <s v="31.157525, -85.197849"/>
    <n v="10.6"/>
    <n v="10"/>
    <s v="Y"/>
    <n v="1100"/>
    <n v="1100"/>
    <s v=""/>
    <m/>
    <n v="1"/>
    <n v="1100"/>
    <n v="1100"/>
    <m/>
    <m/>
    <m/>
    <m/>
    <n v="0"/>
    <n v="0.98818181818181816"/>
    <n v="1087"/>
    <n v="1090.0999999999999"/>
    <n v="0.99099999999999999"/>
    <n v="0.99"/>
    <n v="0.98818181818181816"/>
    <n v="1090"/>
    <n v="1090"/>
    <n v="0"/>
    <n v="0"/>
  </r>
  <r>
    <s v="US0074"/>
    <x v="4"/>
    <n v="2020"/>
    <n v="2029"/>
    <s v="Josh Allen"/>
    <n v="10064"/>
    <s v="Josh Allen"/>
    <s v="770-826-1573"/>
    <s v="Active"/>
    <s v="jlabowhunter@yahoo.com"/>
    <s v="1924 County Road 104 Muscadine AL 36269-3198"/>
    <s v="1924 County Road 104 Muscadine AL 36269-3198"/>
    <x v="0"/>
    <s v="33.685657, -85.343371"/>
    <n v="10.4"/>
    <n v="10"/>
    <s v="Y"/>
    <n v="1100"/>
    <n v="1100"/>
    <s v=""/>
    <m/>
    <n v="1"/>
    <n v="1100"/>
    <n v="1100"/>
    <m/>
    <m/>
    <m/>
    <m/>
    <n v="0"/>
    <n v="0.95"/>
    <n v="1045"/>
    <n v="0"/>
    <m/>
    <n v="0.95"/>
    <n v="0.95"/>
    <n v="1045"/>
    <n v="1045"/>
    <n v="0"/>
    <n v="0"/>
  </r>
  <r>
    <s v="US0075"/>
    <x v="4"/>
    <n v="2020"/>
    <n v="2029"/>
    <s v="Justin Brewer"/>
    <n v="10065"/>
    <s v="Justin Brewer"/>
    <s v="229-947-9400"/>
    <s v="Active"/>
    <s v="brewer_justin90@yahoo.com"/>
    <s v="134 Powers Rd, Cordele, Georgia, 31015-7904"/>
    <s v="134 Powers Rd, Cordele, Georgia, 31015-7904"/>
    <x v="0"/>
    <s v="32.019754, -83.626989"/>
    <n v="12"/>
    <n v="9.9090909090909083"/>
    <s v="Y"/>
    <n v="1090"/>
    <n v="1090"/>
    <s v=""/>
    <m/>
    <n v="1"/>
    <n v="1090"/>
    <n v="1090"/>
    <m/>
    <m/>
    <m/>
    <m/>
    <n v="0"/>
    <n v="1"/>
    <n v="1090"/>
    <n v="1043.1299999999999"/>
    <n v="0.95699999999999996"/>
    <n v="0.96"/>
    <n v="0.96"/>
    <n v="1043"/>
    <n v="1043"/>
    <n v="0"/>
    <n v="0"/>
  </r>
  <r>
    <s v="US0076"/>
    <x v="4"/>
    <n v="2020"/>
    <n v="2029"/>
    <s v="Kim Martens"/>
    <n v="10066"/>
    <s v="Kim Martens"/>
    <s v="608-852-5395, 678-595-0537"/>
    <s v="Active"/>
    <s v="kmartens8482@gmail.com, kim.empressenterprise@gmail.com, kim@empressenterprise.net"/>
    <s v="516 County Road 664, Roanoke, AL 36274, USA"/>
    <s v="516 County Road 664, Roanoke, AL 36274, USA"/>
    <x v="0"/>
    <s v="33.148289, -85.301667"/>
    <n v="5.3"/>
    <n v="6.8181818181818183"/>
    <s v="Y"/>
    <n v="750"/>
    <n v="750"/>
    <s v=""/>
    <m/>
    <n v="1"/>
    <n v="750"/>
    <n v="750"/>
    <m/>
    <m/>
    <m/>
    <m/>
    <n v="0"/>
    <n v="0.96499999999999997"/>
    <n v="723.75"/>
    <n v="0"/>
    <m/>
    <n v="0.97"/>
    <n v="0.96499999999999997"/>
    <n v="723.75"/>
    <n v="723.75"/>
    <n v="0"/>
    <n v="0"/>
  </r>
  <r>
    <s v="US0077"/>
    <x v="4"/>
    <n v="2020"/>
    <n v="2029"/>
    <s v="Mike Porter"/>
    <n v="10067"/>
    <s v="Mike Porter and Teri Galardi"/>
    <s v="702-406-7479"/>
    <s v="Active"/>
    <s v="mikeporter64@gmail.com"/>
    <s v="2146 Highway 42 S Flovilla GA 30216-2318"/>
    <s v="2146 Highway 42 S Flovilla GA 30216-2318"/>
    <x v="0"/>
    <s v="33.218413, -83.932813"/>
    <n v="29.5"/>
    <n v="20"/>
    <s v="Y"/>
    <n v="2200"/>
    <n v="2200"/>
    <s v=""/>
    <m/>
    <n v="1"/>
    <n v="2200"/>
    <n v="2200"/>
    <m/>
    <m/>
    <m/>
    <m/>
    <n v="0"/>
    <n v="1"/>
    <n v="2200"/>
    <n v="1718.2"/>
    <n v="0.78100000000000003"/>
    <n v="0.78"/>
    <n v="0.78"/>
    <n v="1718"/>
    <n v="1718"/>
    <n v="0"/>
    <n v="0"/>
  </r>
  <r>
    <s v="US0079"/>
    <x v="4"/>
    <n v="2020"/>
    <n v="2029"/>
    <s v="Peter Kampmann"/>
    <n v="10069"/>
    <s v="Peter Kampmann"/>
    <s v="530-514-5947, 530-520-0961"/>
    <s v="Active"/>
    <s v="heartkamp@gmail.com"/>
    <s v="4955 Wilson Hill Road, Manton, California 96059, USA"/>
    <s v="4955 Wilson Hill Road, Manton, California 96059, USA"/>
    <x v="0"/>
    <s v="40.450869, -121.877380"/>
    <n v="20"/>
    <n v="19.363636363636363"/>
    <s v="Y"/>
    <n v="2130"/>
    <n v="2130"/>
    <s v=""/>
    <m/>
    <n v="1"/>
    <n v="2130"/>
    <n v="2130"/>
    <m/>
    <m/>
    <m/>
    <m/>
    <n v="0"/>
    <n v="1"/>
    <n v="2130"/>
    <n v="0"/>
    <m/>
    <n v="1"/>
    <n v="1"/>
    <n v="2130"/>
    <n v="2130"/>
    <n v="0"/>
    <n v="0"/>
  </r>
  <r>
    <s v="US0080"/>
    <x v="4"/>
    <n v="2020"/>
    <n v="2029"/>
    <s v="Randy Grant"/>
    <n v="10070"/>
    <s v="Randy Grant"/>
    <s v="334-504-8494"/>
    <s v="Active"/>
    <s v="bigoak2019@gmail.com"/>
    <s v="4264 Morgan Mill Rd Brantley AL 36009-3207"/>
    <s v="4264 Morgan Mill Rd Brantley AL 36009-3207"/>
    <x v="0"/>
    <s v="31.452362, -86.213403"/>
    <n v="54.8"/>
    <n v="48.18181818181818"/>
    <s v="Y"/>
    <n v="5300"/>
    <n v="5300"/>
    <s v=""/>
    <m/>
    <n v="1"/>
    <n v="5300"/>
    <n v="5300"/>
    <m/>
    <m/>
    <m/>
    <m/>
    <n v="0"/>
    <n v="1"/>
    <n v="5300"/>
    <n v="0"/>
    <m/>
    <n v="1"/>
    <n v="1"/>
    <n v="5300"/>
    <n v="5300"/>
    <n v="0"/>
    <n v="0"/>
  </r>
  <r>
    <s v="US0081"/>
    <x v="4"/>
    <n v="2020"/>
    <n v="2029"/>
    <s v="Ricky Mitchell"/>
    <n v="10071"/>
    <s v="Ricky Mitchell"/>
    <s v="334-654-4553"/>
    <s v="Active"/>
    <s v="mitchellricky799@gmail.com, 754mitchell@gmail.com"/>
    <s v="29306 US Highway 331 Opp AL 36467-5640"/>
    <s v="29306 US Highway 331 Opp AL 36467-5640"/>
    <x v="0"/>
    <s v="32.49, -86.5100000"/>
    <n v="10.26"/>
    <n v="10"/>
    <s v="Y"/>
    <n v="1100"/>
    <n v="1100"/>
    <s v=""/>
    <m/>
    <n v="1"/>
    <n v="1100"/>
    <n v="1100"/>
    <m/>
    <m/>
    <m/>
    <m/>
    <n v="0"/>
    <n v="0.97772727272727278"/>
    <n v="1075.5"/>
    <n v="220"/>
    <n v="0.2"/>
    <n v="0.2"/>
    <n v="0.2"/>
    <n v="220"/>
    <n v="220"/>
    <n v="0"/>
    <n v="0"/>
  </r>
  <r>
    <s v="US0082"/>
    <x v="4"/>
    <n v="2020"/>
    <n v="2029"/>
    <s v="Ronnie and Kent Mathis"/>
    <n v="10072"/>
    <s v="Ronnie Mathis"/>
    <s v="706-499-6493, 706 499 1501"/>
    <s v="Active"/>
    <s v="ronmountainearthfarms@gmail.com, kentrm1@yahoo.com"/>
    <s v="PO Box 1592 Cornelia GA 30531-1026"/>
    <s v="260 Hollywood Hwy Clarkesville GA 30523-4731"/>
    <x v="0"/>
    <s v="34.43919 N, 83.23246 W"/>
    <n v="27"/>
    <n v="35"/>
    <s v="Y"/>
    <n v="3850"/>
    <n v="3850"/>
    <s v=""/>
    <m/>
    <n v="1"/>
    <n v="3850"/>
    <n v="3850"/>
    <m/>
    <m/>
    <m/>
    <m/>
    <n v="0"/>
    <n v="1"/>
    <n v="3850"/>
    <n v="3769.15"/>
    <n v="0.97899999999999998"/>
    <n v="0.98"/>
    <n v="0.98"/>
    <n v="3769"/>
    <n v="3769"/>
    <n v="0"/>
    <n v="0"/>
  </r>
  <r>
    <s v="US0083"/>
    <x v="4"/>
    <n v="2020"/>
    <n v="2029"/>
    <s v="Russell and Sedalia Nelson"/>
    <n v="10073"/>
    <s v="Russell and Sedalia Nelson"/>
    <s v="251-747-0140, 251-269-8749"/>
    <s v="Active"/>
    <s v="russell17852@gmail.com"/>
    <s v="1154 Hunter Rd Columbia AL 36319-4018"/>
    <s v="1154 Hunter Rd Columbia AL 36319-4018"/>
    <x v="0"/>
    <s v="31.246976, -85.178192"/>
    <n v="15.3"/>
    <n v="14.718181818181819"/>
    <s v="Y"/>
    <n v="1619"/>
    <n v="1619"/>
    <s v=""/>
    <m/>
    <n v="1"/>
    <n v="1619"/>
    <n v="1619"/>
    <m/>
    <m/>
    <m/>
    <m/>
    <n v="0"/>
    <n v="0.95"/>
    <n v="1538.05"/>
    <n v="1578.5249999999999"/>
    <n v="0.97499999999999998"/>
    <n v="0.98"/>
    <n v="0.98"/>
    <n v="1579"/>
    <n v="1579"/>
    <n v="0"/>
    <n v="0"/>
  </r>
  <r>
    <s v="US0084"/>
    <x v="4"/>
    <n v="2020"/>
    <n v="2029"/>
    <s v="Scott Fenn"/>
    <n v="10074"/>
    <s v="Scott Fenn"/>
    <s v="334 546 8921"/>
    <s v="Active"/>
    <s v="scottf@southerngrowers.com, fennjam@hotmail.com"/>
    <s v="Southern Growers, 3601 Wetumpka Highway, Montgomery, AL 36110, USA"/>
    <s v="3601 Wetumpka Highway Montgomery AL 36110"/>
    <x v="0"/>
    <s v="31.9851774, -85.5246404"/>
    <n v="8.23"/>
    <n v="10"/>
    <s v="Y"/>
    <n v="1100"/>
    <n v="1100"/>
    <s v=""/>
    <m/>
    <n v="1"/>
    <n v="1100"/>
    <n v="1100"/>
    <m/>
    <m/>
    <m/>
    <m/>
    <n v="0"/>
    <n v="0.82499999999999996"/>
    <n v="907.5"/>
    <n v="0"/>
    <m/>
    <n v="0.82499999999999996"/>
    <n v="0.82499999999999996"/>
    <n v="907.5"/>
    <n v="907.5"/>
    <n v="0"/>
    <n v="0"/>
  </r>
  <r>
    <s v="US0085"/>
    <x v="4"/>
    <n v="2020"/>
    <n v="2029"/>
    <s v="Scott Landreau"/>
    <n v="10075"/>
    <s v="Cidney Scott and Stuart Page Landreau"/>
    <s v="334-303-0827"/>
    <s v="Active"/>
    <s v="landreauinc@yahoo.com, scott2lallc@yahoo.com, Mklandreau@yahoo.com"/>
    <s v="3063 Little Road, Tallassee, AL 36078-3267"/>
    <s v="494 State Hwy 26, Hatchechubbee, AL, USA"/>
    <x v="0"/>
    <s v="32.278489, -85.247919"/>
    <n v="18.27"/>
    <n v="12"/>
    <s v="Y"/>
    <n v="1320"/>
    <n v="1320"/>
    <s v=""/>
    <m/>
    <n v="1"/>
    <n v="1320"/>
    <n v="1320"/>
    <m/>
    <m/>
    <m/>
    <m/>
    <n v="0"/>
    <n v="0.82499999999999996"/>
    <n v="1089"/>
    <n v="0"/>
    <m/>
    <n v="0.82499999999999996"/>
    <n v="0.82499999999999996"/>
    <n v="1089"/>
    <n v="1089"/>
    <n v="0"/>
    <n v="0"/>
  </r>
  <r>
    <s v="US0086"/>
    <x v="4"/>
    <n v="2020"/>
    <n v="2029"/>
    <s v="Steven Whittaker"/>
    <n v="10042"/>
    <s v="Janet Whittaker"/>
    <s v="229-254-3319"/>
    <s v="Active"/>
    <s v="jarviswhittaker@icloud.com"/>
    <s v="7688 Reynolds Landing Rd, Donalsonville, GA 39845-6925, USA"/>
    <s v="7688 Reynolds Landing Rd, Donalsonville, GA 39845-6925, USA"/>
    <x v="0"/>
    <s v="30.909772, -84.752342"/>
    <n v="3.7"/>
    <n v="3.4545454545454546"/>
    <s v="Y"/>
    <n v="380"/>
    <n v="380"/>
    <s v=""/>
    <m/>
    <n v="1"/>
    <n v="380"/>
    <n v="380"/>
    <m/>
    <m/>
    <m/>
    <m/>
    <n v="0"/>
    <n v="1"/>
    <n v="380"/>
    <n v="354.54"/>
    <n v="0.93300000000000005"/>
    <n v="0.93"/>
    <n v="0.93"/>
    <n v="355"/>
    <n v="355"/>
    <n v="0"/>
    <n v="0"/>
  </r>
  <r>
    <s v="US0087"/>
    <x v="4"/>
    <n v="2020"/>
    <n v="2029"/>
    <s v="Steven Whittaker"/>
    <n v="10042"/>
    <s v="Steven Whittaker"/>
    <s v="229-254-3319"/>
    <s v="Active"/>
    <s v="jarviswhittaker@icloud.com"/>
    <s v="7688 Reynolds Landing Rd, Donalsonville, GA 39845-6925, USA"/>
    <s v="7688 Reynolds Landing Rd, Donalsonville, GA 39845-6925, USA"/>
    <x v="0"/>
    <s v="30.819041, -84.808993"/>
    <n v="10"/>
    <n v="10"/>
    <s v="Y"/>
    <n v="1100"/>
    <n v="1100"/>
    <s v=""/>
    <m/>
    <n v="1"/>
    <n v="1100"/>
    <n v="1100"/>
    <m/>
    <m/>
    <m/>
    <m/>
    <n v="0"/>
    <n v="1"/>
    <n v="1100"/>
    <n v="1004.3000000000001"/>
    <n v="0.91300000000000003"/>
    <n v="0.91"/>
    <n v="0.91"/>
    <n v="1004"/>
    <n v="1004"/>
    <n v="0"/>
    <n v="0"/>
  </r>
  <r>
    <s v="CR0073"/>
    <x v="6"/>
    <n v="2021"/>
    <n v="2030"/>
    <s v="Geiner Araya Guzman"/>
    <n v="20067"/>
    <s v="Geiner Araya Guzman"/>
    <s v="50662444795, 506-8694-6846"/>
    <s v="Active"/>
    <s v="manfrito8@gmail.com"/>
    <s v="50m este de Polloiandia, El Pavon, Los Chiles Alajuela 21401"/>
    <s v="el distrito 3-El Amparo Canton 14-Los Chiles de la provincia de Alajuela"/>
    <x v="1"/>
    <s v="10.798889, -84.645000"/>
    <n v="8.9"/>
    <n v="6.1776252590741585"/>
    <m/>
    <n v="1000"/>
    <n v="1000"/>
    <s v=""/>
    <m/>
    <n v="1"/>
    <n v="1000"/>
    <n v="1000"/>
    <m/>
    <m/>
    <m/>
    <m/>
    <n v="0"/>
    <n v="1"/>
    <n v="1000"/>
    <n v="978"/>
    <n v="0.97799999999999998"/>
    <n v="0.98"/>
    <n v="0.98"/>
    <n v="978"/>
    <n v="978"/>
    <n v="0"/>
    <n v="0"/>
  </r>
  <r>
    <s v="CR0070"/>
    <x v="6"/>
    <n v="2021"/>
    <n v="2030"/>
    <s v="Alfonso Carranza"/>
    <n v="20065"/>
    <s v="Alfonso Carranza"/>
    <s v="60760838, +506-61778830, +506- 84447590"/>
    <s v="RFT"/>
    <s v="carlosdec@gmail.com"/>
    <s v="Abangares Campo de Oro, 3km al sur de la escuela 50702"/>
    <s v="Abangares Campo de Oro, 3km al sur de la escuela"/>
    <x v="1"/>
    <s v="10.3576690, -84.9288100"/>
    <n v="5.69"/>
    <s v=""/>
    <m/>
    <n v="1000"/>
    <n v="1000"/>
    <s v=""/>
    <m/>
    <n v="1"/>
    <n v="1000"/>
    <n v="1000"/>
    <m/>
    <m/>
    <m/>
    <m/>
    <n v="0"/>
    <n v="1"/>
    <n v="1000"/>
    <n v="0"/>
    <m/>
    <n v="1"/>
    <n v="0"/>
    <n v="1000"/>
    <n v="1000"/>
    <n v="0"/>
    <n v="0"/>
  </r>
  <r>
    <s v="CR0071"/>
    <x v="6"/>
    <n v="2021"/>
    <n v="0"/>
    <s v="Carlos Peña"/>
    <n v="20037"/>
    <s v="Carlos Peña"/>
    <s v="506-6076-0838"/>
    <s v="Out of Program"/>
    <s v="carlosdec@gmail.com"/>
    <s v="Rohrmoser, Pavas, costado norte del Colegio Humbolt, 4ta casa a mano izquierda"/>
    <s v="DISTRITO 3-SAN JUAN CANTON 7-ABANGARES DE LA PROVINCIA DE GUANACASTE, Costa Rica"/>
    <x v="1"/>
    <s v="10.2500530, -84.8776320"/>
    <m/>
    <s v=""/>
    <m/>
    <n v="1800"/>
    <n v="1800"/>
    <s v=""/>
    <m/>
    <n v="1"/>
    <n v="1800"/>
    <n v="1800"/>
    <m/>
    <m/>
    <m/>
    <m/>
    <n v="0"/>
    <n v="0"/>
    <n v="0"/>
    <n v="0"/>
    <n v="0"/>
    <n v="0"/>
    <n v="0"/>
    <n v="0"/>
    <n v="0"/>
    <n v="0"/>
    <n v="0"/>
  </r>
  <r>
    <s v="CR0072"/>
    <x v="6"/>
    <n v="2021"/>
    <n v="2030"/>
    <s v="Christian Miranda"/>
    <n v="20066"/>
    <s v="Colegio Tecnico Ricardo Beer"/>
    <s v="24277051, 86559870"/>
    <s v="RFT"/>
    <s v="cristian.miranda.alpizar@mep.go.cr"/>
    <s v="Alajuela Province, Orotina, Costa Rica"/>
    <s v="9.907088488496681, -84.53383254232823"/>
    <x v="1"/>
    <s v="9.907088488496681, -84.53383254232823"/>
    <m/>
    <s v=""/>
    <m/>
    <n v="650"/>
    <n v="650"/>
    <s v=""/>
    <m/>
    <n v="1"/>
    <n v="650"/>
    <n v="650"/>
    <m/>
    <m/>
    <m/>
    <m/>
    <n v="0"/>
    <n v="1"/>
    <n v="650"/>
    <n v="0"/>
    <m/>
    <n v="1"/>
    <n v="0"/>
    <n v="650"/>
    <n v="650"/>
    <n v="0"/>
    <n v="0"/>
  </r>
  <r>
    <s v="CR0074"/>
    <x v="6"/>
    <n v="2021"/>
    <n v="2030"/>
    <s v="Luis Alonso Garita Hidalgo "/>
    <n v="20068"/>
    <s v="Ubuntu GH  S.A"/>
    <s v="506 60030444, 506 88239449"/>
    <s v="Active"/>
    <s v="lagaritah@gmail.com, christian.garita@gmail.com"/>
    <s v="Heredia Central Ulloa condominio Terrafé lote 83"/>
    <s v="4-SAN JORGE CANTON 14-LOS CHILES DE LA PROVINCIA DE ALAJUELA"/>
    <x v="1"/>
    <s v="10.717385, -84.684209"/>
    <n v="15.37"/>
    <n v="10.687291698198294"/>
    <m/>
    <n v="1730"/>
    <n v="1730"/>
    <s v=""/>
    <m/>
    <n v="1"/>
    <n v="1730"/>
    <n v="1730"/>
    <m/>
    <m/>
    <m/>
    <m/>
    <n v="0"/>
    <n v="0.97687861271676302"/>
    <n v="1690"/>
    <n v="1520.67"/>
    <n v="0.879"/>
    <n v="0.88"/>
    <n v="0.88"/>
    <n v="1521"/>
    <n v="1521"/>
    <n v="0"/>
    <n v="0"/>
  </r>
  <r>
    <s v="CR0075"/>
    <x v="6"/>
    <n v="2021"/>
    <n v="2030"/>
    <s v="Oldemar Perez"/>
    <n v="20069"/>
    <s v="Oldemar Perez"/>
    <n v="50672971864"/>
    <s v="Active"/>
    <s v="kapp241087@gmail.com"/>
    <s v="Aguas Claras, Alajuela Province, Costa Rica"/>
    <s v="10.819479, -85.239038"/>
    <x v="1"/>
    <s v="10.819479, -85.239038"/>
    <m/>
    <n v="6.1776252590741585"/>
    <m/>
    <n v="1000"/>
    <n v="1000"/>
    <s v=""/>
    <m/>
    <n v="1"/>
    <n v="1000"/>
    <n v="1000"/>
    <m/>
    <m/>
    <m/>
    <m/>
    <n v="0"/>
    <n v="0.79738117283950627"/>
    <n v="797.38117283950623"/>
    <n v="0"/>
    <m/>
    <n v="0.79738117283950627"/>
    <n v="0.79738117283950627"/>
    <n v="797.38117283950623"/>
    <n v="797.38117283950623"/>
    <n v="0"/>
    <n v="0"/>
  </r>
  <r>
    <s v="CR0076"/>
    <x v="6"/>
    <n v="2021"/>
    <n v="2030"/>
    <s v="Olga Chavarria "/>
    <n v="20070"/>
    <s v="Olga Chavarria "/>
    <s v="50687125265, 506-8568-1948"/>
    <s v="Active"/>
    <s v="ldiegocastillo@hotmail.com"/>
    <s v="125 metros sur y 50 este del cruce a Las Quebredas, Rincon de Zaragoza, Palmares Alajuela 20702"/>
    <s v="1.5km al norte y 2km al este de la Escuela de Alto Lopez, Barrio San Jose Sur, Atenas, Alajuela"/>
    <x v="1"/>
    <s v="10.025055, -84.395242"/>
    <n v="7.5"/>
    <n v="6.1776252590741585"/>
    <m/>
    <n v="1000"/>
    <n v="1000"/>
    <s v=""/>
    <m/>
    <n v="1"/>
    <n v="1000"/>
    <n v="1000"/>
    <m/>
    <m/>
    <m/>
    <m/>
    <n v="0"/>
    <n v="0.99199999999999999"/>
    <n v="992"/>
    <n v="950"/>
    <n v="0.95"/>
    <n v="0.95"/>
    <n v="0.95"/>
    <n v="950"/>
    <n v="950"/>
    <n v="0"/>
    <n v="0"/>
  </r>
  <r>
    <s v="CR0077"/>
    <x v="6"/>
    <n v="2021"/>
    <n v="2030"/>
    <s v="Rafael Quiroz"/>
    <n v="20071"/>
    <s v="Rafael Quiroz"/>
    <n v="50660822879"/>
    <s v="Active"/>
    <s v="fvindas1974@gmail.com"/>
    <s v="Limón Po­cocí La Rita comunidad la Suerte, 70203"/>
    <s v="La suerte de la Rita de Pococi. un kilómetro de la escuela"/>
    <x v="1"/>
    <s v="9.957288, -84.191905"/>
    <n v="23.33"/>
    <n v="17.760672619838207"/>
    <m/>
    <n v="2875"/>
    <n v="2875"/>
    <s v=""/>
    <m/>
    <n v="1"/>
    <n v="2875"/>
    <n v="2875"/>
    <m/>
    <m/>
    <m/>
    <m/>
    <n v="0"/>
    <n v="1"/>
    <n v="2875"/>
    <n v="2481.125"/>
    <n v="0.86299999999999999"/>
    <n v="0.86"/>
    <n v="0.86"/>
    <n v="2481"/>
    <n v="2481"/>
    <n v="0"/>
    <n v="0"/>
  </r>
  <r>
    <s v="CR0078"/>
    <x v="6"/>
    <n v="2021"/>
    <n v="2030"/>
    <s v="Xinia Moya"/>
    <n v="20072"/>
    <s v="Xinia Moya"/>
    <n v="50686608587"/>
    <s v="Active"/>
    <s v="gabrielquiros059@gmail.com"/>
    <s v="El Bosque de Guacimo, Limón"/>
    <s v="10.262187, -83.684872"/>
    <x v="1"/>
    <s v="10.262187, -83.684872"/>
    <m/>
    <n v="6.1776252590741585"/>
    <m/>
    <n v="1000"/>
    <n v="1000"/>
    <s v=""/>
    <m/>
    <n v="1"/>
    <n v="1000"/>
    <n v="1000"/>
    <m/>
    <m/>
    <m/>
    <m/>
    <n v="0"/>
    <n v="0.91214444444444442"/>
    <n v="912.14444444444439"/>
    <n v="0"/>
    <m/>
    <n v="0.91214444444444442"/>
    <n v="0.91214444444444442"/>
    <n v="912.14444444444439"/>
    <n v="912.14444444444439"/>
    <n v="0"/>
    <n v="0"/>
  </r>
  <r>
    <s v="CR0092"/>
    <x v="6"/>
    <n v="2021"/>
    <n v="2030"/>
    <s v="Christian Araya"/>
    <n v="20084"/>
    <s v="Christian Araya"/>
    <s v="506-8335-4070, 506-7285-3817"/>
    <s v="Active"/>
    <s v="miravalles1085@gmail.com"/>
    <s v="350m sur de la iglesia catollca de Guacallto, Canalete de Upala. 21301"/>
    <s v="10.804139,-85.107325"/>
    <x v="1"/>
    <s v="E00378909 N01194901"/>
    <m/>
    <n v="6.1776252590741585"/>
    <m/>
    <n v="1000"/>
    <n v="1000"/>
    <s v=""/>
    <m/>
    <n v="1"/>
    <n v="1000"/>
    <n v="1000"/>
    <m/>
    <m/>
    <m/>
    <m/>
    <n v="0"/>
    <n v="0.89531611111111109"/>
    <n v="895.31611111111113"/>
    <n v="0"/>
    <m/>
    <n v="0.89531611111111109"/>
    <n v="0.89531611111111109"/>
    <n v="895.31611111111113"/>
    <n v="895.31611111111113"/>
    <n v="0"/>
    <n v="0"/>
  </r>
  <r>
    <s v="GT0024b"/>
    <x v="4"/>
    <n v="2021"/>
    <n v="2030"/>
    <s v="Julio Francisco Morán Pérez"/>
    <n v="30023"/>
    <s v="Julio Francisco Morán Pérez"/>
    <s v="(502) 56972396"/>
    <s v="Active"/>
    <s v="julmora213@gmail.com"/>
    <s v="14 A VENIDA LAS AMERICAS 7-62, ZONA 3, EDIFICIO TORRE PRADE­RA XELA, OCTAVO NTVEL, OFTCTNA 812, MUNTCTPTO DE QUETZALTENANGO, DEPARTAMENTO DE QUETZAL TENA NGO"/>
    <s v="FTNCA 4 PTLARES DE LAS PAULOWNTAS, MUNTCTPTO DE EL PALMAR, DEPARTAMENTO DE QUETZALTENANGO"/>
    <x v="2"/>
    <s v="14.696111, -91.608056"/>
    <n v="40.1"/>
    <n v="13.027272727272727"/>
    <m/>
    <n v="1433"/>
    <n v="1433"/>
    <s v=""/>
    <m/>
    <n v="1"/>
    <n v="1433"/>
    <n v="1433"/>
    <m/>
    <m/>
    <m/>
    <m/>
    <n v="0"/>
    <n v="0.82858216683583918"/>
    <n v="1187.3582450757576"/>
    <n v="0"/>
    <m/>
    <n v="0.82858216683583918"/>
    <n v="0.82858216683583918"/>
    <n v="1187.3582450757576"/>
    <n v="1187.3582450757576"/>
    <n v="0"/>
    <n v="0"/>
  </r>
  <r>
    <s v="GT0029"/>
    <x v="4"/>
    <n v="2021"/>
    <n v="2030"/>
    <s v="Erick Cienfuegos "/>
    <n v="30011"/>
    <s v="Rudy Israel Cienfuegos Cordón"/>
    <s v="+(502) 50010308"/>
    <s v="Active"/>
    <s v="rudy-cem@hotmail.com"/>
    <s v="5ª CALLE B 2-01, ZONA 3, COLONIA LOS ANGELES, MUNICIPIO DE CHIQUIMULA, DEPARTAMENTO DE CHIQUIMULA"/>
    <s v="MUNICIPIO DE LA UNIÓN, DEPARTAMENTO DE ZACAPA"/>
    <x v="2"/>
    <s v="14.949444, -89.331667"/>
    <n v="42"/>
    <n v="36.81818181818182"/>
    <m/>
    <n v="4050"/>
    <n v="4050"/>
    <s v=""/>
    <m/>
    <n v="1"/>
    <n v="4050"/>
    <n v="4050"/>
    <m/>
    <m/>
    <m/>
    <m/>
    <n v="0"/>
    <n v="0.63782465185185189"/>
    <n v="2583.18984"/>
    <n v="0"/>
    <m/>
    <n v="0.63782465185185189"/>
    <n v="0.63782465185185189"/>
    <n v="2583.18984"/>
    <n v="2583.18984"/>
    <n v="0"/>
    <n v="0"/>
  </r>
  <r>
    <s v="GT0030"/>
    <x v="6"/>
    <n v="2021"/>
    <n v="2030"/>
    <s v="Ada Patricia Scheel Bartlett"/>
    <n v="30001"/>
    <s v="Ada Patricia Scheel Bartlett"/>
    <s v="+502 57031213"/>
    <s v="Active"/>
    <s v="s_hpatricia@hotmail.com"/>
    <s v="AVENIDA LAS AMERICAS 7-62, ZONA 3, EDIFICIO TORRE PRADE-RA XELA, OCTAVO NIVEL, OFICINA 801, QUETZALTENANGO, GUATEMALA"/>
    <s v="FINCA SAN JOSÉ, MUNICIPIO DE FLORES COSTA CUCA, DEPARTAMENTO DE QUETZALTENANGO"/>
    <x v="2"/>
    <s v="14.673889, -91.808333; 14.990889, -91.990889"/>
    <n v="8.6999999999999993"/>
    <n v="18.181818181818183"/>
    <m/>
    <n v="2000"/>
    <n v="2000"/>
    <s v=""/>
    <m/>
    <n v="1"/>
    <n v="2000"/>
    <n v="2000"/>
    <m/>
    <m/>
    <m/>
    <m/>
    <n v="0"/>
    <n v="0.47639943192307688"/>
    <n v="952.79886384615372"/>
    <n v="0"/>
    <m/>
    <n v="0.47639943192307688"/>
    <n v="0.47639943192307688"/>
    <n v="952.79886384615372"/>
    <n v="952.79886384615372"/>
    <n v="0"/>
    <n v="0"/>
  </r>
  <r>
    <s v="GT0031a"/>
    <x v="6"/>
    <n v="2021"/>
    <n v="2030"/>
    <s v="Derek José Herman Gordillo"/>
    <n v="30028"/>
    <s v="Agroindustrias Nativa S.A./Derek José Herman Gordillo"/>
    <s v="+502 40117762"/>
    <s v="Active"/>
    <s v="hermangster@gmail.com, dherman@grupoadh.com"/>
    <s v="Aldea Laguna Bermeja, Granja San Luis, Condominio Laguna del Bosque Casa '1169, zona 7, Santa Cata­rina Pinula, Guatemala"/>
    <s v="Aldea El Parafso, municipio de Sayaxche, Departamento de Peten"/>
    <x v="2"/>
    <s v="16.490000, -90.127200"/>
    <n v="149.69999999999999"/>
    <n v="163.63636363636363"/>
    <m/>
    <n v="18000"/>
    <n v="18000"/>
    <s v=""/>
    <m/>
    <n v="1"/>
    <n v="18000"/>
    <n v="18000"/>
    <m/>
    <m/>
    <m/>
    <m/>
    <n v="0"/>
    <n v="0.42083333333333334"/>
    <n v="7575"/>
    <n v="0"/>
    <m/>
    <n v="0.42083333333333334"/>
    <n v="0.42"/>
    <n v="7560"/>
    <n v="7560"/>
    <n v="0"/>
    <n v="0"/>
  </r>
  <r>
    <s v="GT0033"/>
    <x v="4"/>
    <n v="2021"/>
    <n v="2030"/>
    <s v="Carlos Adolfo López Letona"/>
    <n v="30015"/>
    <s v="Carlos Adolfo López Letona"/>
    <s v="(502) 55163538"/>
    <s v="Active"/>
    <s v="carloslopezletona@gmail.com"/>
    <s v="Lotificación Guayacán, 7ª calle final, Casa # 2, Coatepeque, Quetzaltenango"/>
    <s v="Municipio de Flores Costa Cuca, departamento Quetzaltenango"/>
    <x v="2"/>
    <s v="14.670583, -91.861889"/>
    <n v="20.8"/>
    <n v="24.09090909090909"/>
    <m/>
    <n v="2650"/>
    <n v="2650"/>
    <s v=""/>
    <m/>
    <n v="1"/>
    <n v="2650"/>
    <n v="2650"/>
    <m/>
    <m/>
    <m/>
    <m/>
    <n v="0"/>
    <n v="0.40309903807890224"/>
    <n v="1068.2124509090909"/>
    <n v="0"/>
    <m/>
    <n v="0.40309903807890224"/>
    <n v="0.40309903807890224"/>
    <n v="1068.2124509090909"/>
    <n v="1068.2124509090909"/>
    <n v="0"/>
    <n v="0"/>
  </r>
  <r>
    <s v="GT0034"/>
    <x v="4"/>
    <n v="2021"/>
    <n v="2030"/>
    <s v="Edin Leonel Chávez Rodriguez"/>
    <n v="30029"/>
    <s v="Edin Leonel Chávez Rodriguez"/>
    <s v="+502 58063533"/>
    <s v="Active"/>
    <s v="chadievalleverde@yahoo.com"/>
    <s v="Barrio Chidesaaj, municipio de Cobán, departamento de Alta Verapaz"/>
    <s v="Aldea Palestina, municipio Las Cruces, departamento de El Petén"/>
    <x v="2"/>
    <s v="16.739722, -90.462361"/>
    <n v="7.1"/>
    <n v="9.0909090909090917"/>
    <m/>
    <n v="1000"/>
    <n v="1000"/>
    <s v=""/>
    <m/>
    <n v="1"/>
    <n v="1000"/>
    <n v="1000"/>
    <m/>
    <m/>
    <m/>
    <m/>
    <n v="0"/>
    <n v="0.88318954662680671"/>
    <n v="883.18954662680676"/>
    <n v="0"/>
    <m/>
    <n v="0.88318954662680671"/>
    <n v="0.88318954662680671"/>
    <n v="883.18954662680676"/>
    <n v="883.18954662680676"/>
    <n v="0"/>
    <n v="0"/>
  </r>
  <r>
    <s v="GT0035"/>
    <x v="4"/>
    <n v="2021"/>
    <n v="2030"/>
    <s v="Sergio Gordillo"/>
    <n v="30030"/>
    <s v="El Paste S.A./Elisa Janeth Salguero Pineda De Gordillo"/>
    <s v="57151628"/>
    <s v="Active"/>
    <s v="cheiomilo@gmail.com"/>
    <s v="Finca San diego, La Fragua, Zacapa, Guatamala"/>
    <s v="FINCA DOLORES , MUNICIPIO DE LA UNION, DEPARTAMENTO DE ZACAPA"/>
    <x v="2"/>
    <s v="14.965472, -89.280583"/>
    <n v="8.8000000000000007"/>
    <n v="9.0909090909090917"/>
    <m/>
    <n v="1000"/>
    <n v="1000"/>
    <s v=""/>
    <m/>
    <n v="1"/>
    <n v="1000"/>
    <n v="1000"/>
    <m/>
    <m/>
    <m/>
    <m/>
    <n v="0"/>
    <n v="0.89730003125000013"/>
    <n v="897.30003125000007"/>
    <n v="0"/>
    <m/>
    <n v="0.89730003125000013"/>
    <n v="0.89730003125000013"/>
    <n v="897.30003125000007"/>
    <n v="897.30003125000007"/>
    <n v="0"/>
    <n v="0"/>
  </r>
  <r>
    <s v="GT0032"/>
    <x v="6"/>
    <n v="2021"/>
    <n v="2030"/>
    <s v="Boris Garza"/>
    <n v="30014"/>
    <s v="Borigar S.A. Carmen Lucía Garza López"/>
    <s v="+502 41231219, (502) 79430065"/>
    <s v="RFT"/>
    <s v="gerenciadenegocios@gmail.com"/>
    <s v="3ª CALLE 1-85, ZONA 3, MUNICIPIO DE ESQUIPULAS, DEPARTA-MENTO DE CHIQUIMULA"/>
    <s v="Finca La Papayera, aldea Cidabenque, Melchor de Mencos, El Petén"/>
    <x v="2"/>
    <s v="14.5684073, -89.3669417; 17.004972, -89.243806"/>
    <n v="16.7"/>
    <s v=""/>
    <m/>
    <n v="2000"/>
    <n v="2000"/>
    <s v=""/>
    <m/>
    <n v="1"/>
    <n v="2000"/>
    <n v="2000"/>
    <m/>
    <m/>
    <m/>
    <m/>
    <n v="0"/>
    <n v="0"/>
    <n v="0"/>
    <n v="0"/>
    <m/>
    <n v="0"/>
    <n v="0"/>
    <n v="0"/>
    <n v="0"/>
    <n v="0"/>
    <n v="0"/>
  </r>
  <r>
    <s v="GT0036"/>
    <x v="6"/>
    <n v="2021"/>
    <n v="2030"/>
    <s v="Edilsar García"/>
    <n v="30031"/>
    <s v="Eloisa Amparo García Barrios"/>
    <s v="+502 56408432"/>
    <s v="Active"/>
    <s v="edilsargarcia78@gmail.com"/>
    <s v="Aldea Sigüila, San Juán Ostuncalco, Quetzaltenango"/>
    <s v="Playa Grande cabecera municipal del Municipio Ixcán, Departamento de El Quiché"/>
    <x v="2"/>
    <s v="16.008611, -90.842000"/>
    <n v="18.899999999999999"/>
    <n v="26.427272727272726"/>
    <m/>
    <n v="2907"/>
    <n v="2907"/>
    <s v=""/>
    <m/>
    <n v="1"/>
    <n v="2907"/>
    <n v="2907"/>
    <m/>
    <m/>
    <m/>
    <m/>
    <n v="0"/>
    <n v="0.99556028895768844"/>
    <n v="2894.0937600000002"/>
    <n v="0"/>
    <m/>
    <n v="0.99556028895768844"/>
    <n v="0.99556028895768844"/>
    <n v="2894.0937600000002"/>
    <n v="2894.0937600000002"/>
    <n v="0"/>
    <n v="0"/>
  </r>
  <r>
    <s v="GT0037"/>
    <x v="6"/>
    <n v="2021"/>
    <n v="2030"/>
    <s v="Jorge Mario De León Alconero"/>
    <n v="30032"/>
    <s v="Jorge Mario De León Alconero"/>
    <s v="+502 52044476"/>
    <s v="Active"/>
    <s v="alconerodeleonjm@gmail.com"/>
    <s v="11 avenida 3-09 zona 9, Barrio Garibaldi, Quetzaltenango"/>
    <s v="Municipio de San José El Rodeo, departamento de San Marcos"/>
    <x v="2"/>
    <s v="14.990889, -91.990889"/>
    <n v="9.4"/>
    <n v="13.636363636363637"/>
    <m/>
    <n v="1500"/>
    <n v="1500"/>
    <s v=""/>
    <m/>
    <n v="1"/>
    <n v="1500"/>
    <n v="1500"/>
    <m/>
    <m/>
    <m/>
    <m/>
    <n v="0"/>
    <n v="0.77819284158241753"/>
    <n v="1167.2892623736263"/>
    <n v="0"/>
    <m/>
    <n v="0.3"/>
    <n v="0.3"/>
    <n v="350.18677871208791"/>
    <n v="350.18677871208791"/>
    <n v="0"/>
    <n v="0"/>
  </r>
  <r>
    <s v="GT0038"/>
    <x v="6"/>
    <n v="2021"/>
    <n v="2030"/>
    <s v="Luis Fernando Morán Peréz"/>
    <n v="30006"/>
    <s v="Luis Fernando Morán Peréz"/>
    <s v="+50254114650"/>
    <s v="Active"/>
    <s v="lmoran@inversionesluys.com"/>
    <s v="A VENIDA LAS AMERICAS 7-62, ZONA 3, EDIFICIO TORRE PRADE­RA XELA, OCTAVO NIVEL, OFICINA 813, MUNICIPIO DE QUETZALTENANGO, DEPARTAMENTO DE  QUETZAL TENANGO"/>
    <s v="FINCA ENTRE RIOS, MUNICIPIO DE EL PALMAR, DEPARTAMENTO DE QUETZALTENANGO"/>
    <x v="2"/>
    <s v="14.680103, -91.609028"/>
    <m/>
    <n v="34.5"/>
    <m/>
    <n v="3795"/>
    <n v="3795"/>
    <s v=""/>
    <m/>
    <n v="1"/>
    <n v="3795"/>
    <n v="3795"/>
    <m/>
    <m/>
    <m/>
    <m/>
    <n v="0"/>
    <n v="0.79658714839778522"/>
    <n v="3023.0482281695949"/>
    <n v="0"/>
    <m/>
    <n v="0.79658714839778522"/>
    <n v="0.79658714839778522"/>
    <n v="3023.0482281695949"/>
    <n v="3023.0482281695949"/>
    <n v="0"/>
    <n v="0"/>
  </r>
  <r>
    <s v="GT0040"/>
    <x v="4"/>
    <n v="2021"/>
    <n v="2030"/>
    <s v="Miguel Roberto Mombiela Bruni"/>
    <n v="30007"/>
    <s v="Miguel Roberto Mombiela Bruni"/>
    <s v="+502 30098257"/>
    <s v="Active"/>
    <s v="mrmombiela@gmail.com"/>
    <s v="2ª calle 4A-40 zona 9, La Floresta, Quetzaltenango"/>
    <s v="Municipio de Génova, departamento de Quetzaltenango"/>
    <x v="2"/>
    <s v="14.662500, -91.613889; 14.606417, -91.840889"/>
    <n v="3"/>
    <n v="6.2727272727272725"/>
    <m/>
    <n v="690"/>
    <n v="690"/>
    <s v=""/>
    <m/>
    <n v="1"/>
    <n v="690"/>
    <n v="690"/>
    <m/>
    <m/>
    <m/>
    <m/>
    <n v="0"/>
    <n v="0.9735441137123747"/>
    <n v="671.74543846153858"/>
    <n v="0"/>
    <m/>
    <n v="0.9735441137123747"/>
    <n v="0.9735441137123747"/>
    <n v="671.74543846153858"/>
    <n v="671.74543846153858"/>
    <n v="0"/>
    <n v="0"/>
  </r>
  <r>
    <s v="GT0039"/>
    <x v="4"/>
    <n v="2021"/>
    <n v="2030"/>
    <s v="Marvin Rodolfo Porras Calderón"/>
    <n v="30024"/>
    <s v="Marvin Rodolfo Porras Calderón"/>
    <s v="(502) 54135219"/>
    <s v="RFT"/>
    <s v="mayalsmiscelanea@hotmail.com"/>
    <s v="Barrio El Centro zona 1, municipio de San Luis Jilotepeque, departamento de Jalapa"/>
    <s v="Aldea El Zapote, municipio de San Luis, departamento de Petén"/>
    <x v="2"/>
    <s v="16.074253, -89.729667"/>
    <n v="18.899999999999999"/>
    <s v=""/>
    <m/>
    <n v="2350"/>
    <n v="2350"/>
    <s v=""/>
    <m/>
    <n v="1"/>
    <n v="2350"/>
    <n v="2350"/>
    <m/>
    <m/>
    <m/>
    <m/>
    <n v="0"/>
    <n v="0.569907813742912"/>
    <n v="1339.2833622958433"/>
    <n v="0"/>
    <m/>
    <n v="0.569907813742912"/>
    <n v="0"/>
    <n v="1339.2833622958433"/>
    <n v="1339.2833622958433"/>
    <n v="0"/>
    <n v="0"/>
  </r>
  <r>
    <s v="MX0009"/>
    <x v="6"/>
    <n v="2021"/>
    <n v="2030"/>
    <s v="Dolores Ramirez Rodriguez"/>
    <n v="40008"/>
    <s v="Dolores Ramirez Rodriguez"/>
    <s v="287.110.7413"/>
    <s v="Active"/>
    <s v="ramirez032175@hotmail.com"/>
    <s v="C Juan Escutia 42 col Francisco I Madero, Minatitlan, Veracruz 96770, Mexico"/>
    <s v="C Juan Escutia 42 col Francisco I Madero, Minatitlan, Veracruz 96770, Mexico"/>
    <x v="3"/>
    <s v="17.568433, -95.317894"/>
    <m/>
    <n v="12.355108275676161"/>
    <m/>
    <n v="2750"/>
    <n v="2750"/>
    <s v=""/>
    <m/>
    <n v="1"/>
    <n v="2750"/>
    <n v="2750"/>
    <m/>
    <m/>
    <m/>
    <m/>
    <n v="0"/>
    <n v="0.75180051860701436"/>
    <n v="2067.4514261692893"/>
    <n v="0"/>
    <m/>
    <n v="0.75180051860701436"/>
    <n v="0.75180051860701436"/>
    <n v="2067.4514261692893"/>
    <n v="2067.4514261692893"/>
    <n v="0"/>
    <n v="0"/>
  </r>
  <r>
    <s v="MX0021"/>
    <x v="6"/>
    <n v="2021"/>
    <n v="2030"/>
    <s v="Alvaro Hernandez Suarez"/>
    <n v="40020"/>
    <s v="Alvaro Hernandez Suarez"/>
    <s v="2831131385"/>
    <s v="RFT"/>
    <s v="olgalidia_sm@live.com.mx"/>
    <s v="Av. Ferrocarril S/N, Localidad Los Tigres, C.P. 95680, Juan Rodriguez Clara, Veracruz, Mexico"/>
    <s v="Predio rustico &quot;Algodonal y Angostura, Municipio de San Juan Evangelista, Distrito de Acayucan, Veracruz, Mexico"/>
    <x v="3"/>
    <s v="17.817750, -95.269309"/>
    <n v="13.2"/>
    <s v=""/>
    <m/>
    <n v="2750"/>
    <n v="2750"/>
    <s v=""/>
    <m/>
    <n v="1"/>
    <n v="2750"/>
    <n v="2750"/>
    <m/>
    <m/>
    <m/>
    <m/>
    <n v="0"/>
    <n v="0.49865233400236858"/>
    <n v="1371.2939185065136"/>
    <n v="0"/>
    <m/>
    <n v="0.49865233400236858"/>
    <n v="0"/>
    <n v="1371.2939185065136"/>
    <n v="1371.2939185065136"/>
    <n v="0"/>
    <n v="0"/>
  </r>
  <r>
    <s v="MX0022"/>
    <x v="6"/>
    <n v="2021"/>
    <n v="2030"/>
    <s v="Gregorio Martinez Sebastian"/>
    <n v="40021"/>
    <s v="Gregorio Martinez Sebastian"/>
    <s v="9991054657"/>
    <s v="Active"/>
    <s v="martinezsg@hotmail.com"/>
    <s v="Colonia agricola. &quot;General Miguel Aleman&quot;. Municipio de las Choapas. Estado de Veracruz. Mexico"/>
    <s v="Colonia agricola. &quot;General Miguel Aleman&quot;. Municipio de las Choapas. Estado de Veracruz. Mexico"/>
    <x v="3"/>
    <s v="17.773121, -94.070394"/>
    <n v="13.64"/>
    <n v="12.355108275676161"/>
    <m/>
    <n v="2750"/>
    <n v="2750"/>
    <s v=""/>
    <m/>
    <n v="1"/>
    <n v="2750"/>
    <n v="2750"/>
    <m/>
    <m/>
    <m/>
    <m/>
    <n v="0"/>
    <n v="0.98381437317028064"/>
    <n v="2705.4895262182717"/>
    <n v="0"/>
    <m/>
    <n v="0.98381437317028064"/>
    <n v="0.98381437317028064"/>
    <n v="2705.4895262182717"/>
    <n v="2705.4895262182717"/>
    <n v="0"/>
    <n v="0"/>
  </r>
  <r>
    <s v="MX0023"/>
    <x v="6"/>
    <n v="2021"/>
    <n v="2030"/>
    <s v="Guadelupe Morales Cordova"/>
    <n v="40022"/>
    <s v="Guadelupe Morales Cordova"/>
    <s v="9241443056"/>
    <s v="Active"/>
    <s v="romfrojas2012@gmail.com"/>
    <s v="Calle Miguel Hidalgo S/N, Localidad La Soledad, San Juan Evangelista, Veracruz, Me­xico"/>
    <s v="Parcela 131 Z-1 P-4. Ejido Zapotitancillo de Juarez. Santiago Yaveo. Oaxaca. Mexico"/>
    <x v="3"/>
    <s v="17.613268, -95.2580050"/>
    <m/>
    <n v="9.8840866205409288"/>
    <m/>
    <n v="2200"/>
    <n v="2200"/>
    <s v=""/>
    <m/>
    <n v="1"/>
    <n v="2200"/>
    <n v="2200"/>
    <m/>
    <m/>
    <m/>
    <m/>
    <n v="0"/>
    <n v="0.76766132076147975"/>
    <n v="1688.8549056752554"/>
    <n v="0"/>
    <m/>
    <n v="0.76766132076147975"/>
    <n v="0.76766132076147975"/>
    <n v="1688.8549056752554"/>
    <n v="1688.8549056752554"/>
    <n v="0"/>
    <n v="0"/>
  </r>
  <r>
    <s v="MX0024"/>
    <x v="6"/>
    <n v="2021"/>
    <n v="2030"/>
    <s v="José Baruche Rodríguez Zuñiga"/>
    <n v="40023"/>
    <s v="Mayolo Rodríguez Mendoza"/>
    <s v="+529921073276, 9921310372"/>
    <s v="RFT"/>
    <s v="jbaruch15@hotmail.com"/>
    <s v="Calle Primera Poniente Sur No. 83, Barrio Ramajal, C.P. 29410, Teopisca, Chiapas, Mexico"/>
    <s v="Barrio Ramjal de la Villa de Teopisca, Municipio, Teopis ca, Chiapas, Mexico"/>
    <x v="3"/>
    <s v="16.534257, -92.474401"/>
    <m/>
    <s v=""/>
    <m/>
    <n v="1100"/>
    <n v="1100"/>
    <s v=""/>
    <m/>
    <n v="1"/>
    <n v="1100"/>
    <n v="1100"/>
    <m/>
    <m/>
    <m/>
    <m/>
    <n v="0"/>
    <n v="0.95"/>
    <n v="1045"/>
    <n v="0"/>
    <m/>
    <n v="0.95"/>
    <n v="0"/>
    <n v="1045"/>
    <n v="1045"/>
    <n v="0"/>
    <n v="0"/>
  </r>
  <r>
    <s v="MX0025"/>
    <x v="6"/>
    <n v="2021"/>
    <n v="2030"/>
    <s v="Francisco Crivelli"/>
    <n v="40024"/>
    <s v="Teresa Morales Román"/>
    <s v="2831042417"/>
    <s v="RFT"/>
    <s v="olgalidia_sm@live.com.mx"/>
    <s v="Calle Pipila S/N, Localidad Los Tigres, C.P. 95680, Juan Rodriguez Clara, Veracruz, Mexico"/>
    <s v="Rancho San Antonio, Municiopio Juan Rodriguez Clara, Veracruz, Mexico"/>
    <x v="3"/>
    <s v="17.933919, -95.322563"/>
    <m/>
    <s v=""/>
    <m/>
    <n v="2750"/>
    <n v="2750"/>
    <s v=""/>
    <m/>
    <n v="1"/>
    <n v="2750"/>
    <n v="2750"/>
    <m/>
    <m/>
    <m/>
    <m/>
    <n v="0"/>
    <n v="0.14065963545930102"/>
    <n v="386.81399751307782"/>
    <n v="0"/>
    <m/>
    <n v="0.14065963545930102"/>
    <n v="0"/>
    <n v="386.81399751307782"/>
    <n v="386.81399751307782"/>
    <n v="0"/>
    <n v="0"/>
  </r>
  <r>
    <s v="MX0003"/>
    <x v="4"/>
    <n v="2021"/>
    <n v="2030"/>
    <s v="Ana Paulina Hurtado Castro"/>
    <n v="40003"/>
    <s v="Ana Paulina Hurtado Castro"/>
    <s v="4777271251"/>
    <s v="RFT"/>
    <s v="pavizh@gmail.com"/>
    <s v="Calle Novello #107 Fraccionamiento Residencial Piamonte. Co Ionia Llacienda Santa Fe. Leon, Guanajuato. Mexico, 37299"/>
    <s v="El Potrerito, Ca bras de Guadelupe, Municipio de Ocampo, Guanajuato. CP 37640"/>
    <x v="3"/>
    <s v="22.446450, -101.494247"/>
    <n v="2.4"/>
    <s v=""/>
    <m/>
    <n v="1100"/>
    <n v="1100"/>
    <s v=""/>
    <m/>
    <n v="1"/>
    <n v="1100"/>
    <n v="1100"/>
    <m/>
    <m/>
    <m/>
    <m/>
    <n v="0"/>
    <n v="0.99"/>
    <n v="1089"/>
    <n v="0"/>
    <m/>
    <n v="0.99"/>
    <n v="0"/>
    <n v="1089"/>
    <n v="1089"/>
    <n v="0"/>
    <n v="0"/>
  </r>
  <r>
    <s v="US0093"/>
    <x v="4"/>
    <n v="2021"/>
    <n v="0"/>
    <s v="Billy Whittaker"/>
    <n v="10030"/>
    <s v="Billy Whittaker "/>
    <s v="229-243-3487, 229 400 2304"/>
    <s v="Out of Program"/>
    <s v="whihm@aol.com"/>
    <s v="7701 Reynolds Landing Rd Donalsonville GA 39845-6928"/>
    <s v="7701 Reynolds Landing Rd Donalsonville GA 39845-6928"/>
    <x v="0"/>
    <m/>
    <m/>
    <s v=""/>
    <m/>
    <n v="280"/>
    <n v="280"/>
    <s v=""/>
    <m/>
    <n v="1"/>
    <n v="280"/>
    <n v="280"/>
    <m/>
    <m/>
    <m/>
    <m/>
    <n v="0"/>
    <n v="0"/>
    <n v="0"/>
    <n v="0"/>
    <n v="0"/>
    <n v="0"/>
    <n v="0"/>
    <n v="0"/>
    <n v="0"/>
    <n v="0"/>
    <n v="0"/>
  </r>
  <r>
    <s v="US0098"/>
    <x v="4"/>
    <n v="2021"/>
    <n v="2030"/>
    <s v="David Fordham"/>
    <n v="10084"/>
    <s v="David  Fordham"/>
    <s v="912-685-5887"/>
    <s v="RFT"/>
    <s v="fordhaminsurance@yahoo.com"/>
    <s v="7357 Harvest Rd Metter GA 30439-8914"/>
    <s v="7357 Harvest Rd Metter GA 30439-8914"/>
    <x v="0"/>
    <s v="32.461693, -82.125609"/>
    <m/>
    <s v=""/>
    <m/>
    <n v="1650"/>
    <n v="1650"/>
    <s v=""/>
    <m/>
    <n v="1"/>
    <n v="1650"/>
    <n v="1650"/>
    <m/>
    <m/>
    <m/>
    <m/>
    <n v="0"/>
    <n v="0.25020633687300353"/>
    <n v="412.84045584045583"/>
    <n v="0"/>
    <m/>
    <n v="0.25020633687300353"/>
    <n v="0"/>
    <n v="412.84045584045583"/>
    <n v="412.84045584045583"/>
    <n v="0"/>
    <n v="0"/>
  </r>
  <r>
    <s v="US0089"/>
    <x v="6"/>
    <n v="2021"/>
    <n v="0"/>
    <s v="Andy Thomas"/>
    <n v="10077"/>
    <s v="Andy  Thomas"/>
    <s v="912-381-3658"/>
    <s v="Out of Program"/>
    <s v="athomas31552@gmail.com, athomas@elixirext.com"/>
    <s v="4610 Andrew Tanner Rd Nicholls GA 31554-6371"/>
    <s v="4610 Andrew Tanner Rd Nicholls GA 31554-6371"/>
    <x v="0"/>
    <m/>
    <m/>
    <s v=""/>
    <m/>
    <n v="1100"/>
    <n v="1100"/>
    <s v=""/>
    <m/>
    <n v="1"/>
    <n v="1100"/>
    <n v="1100"/>
    <m/>
    <m/>
    <m/>
    <m/>
    <n v="0"/>
    <n v="0"/>
    <n v="0"/>
    <n v="0"/>
    <n v="0"/>
    <n v="0"/>
    <n v="0"/>
    <n v="0"/>
    <n v="0"/>
    <n v="0"/>
    <n v="0"/>
  </r>
  <r>
    <s v="US0107"/>
    <x v="4"/>
    <n v="2021"/>
    <n v="0"/>
    <s v="Jordy McMahan"/>
    <n v="10092"/>
    <s v="Jordy and Kim P McMahan"/>
    <s v="470-351-8043, 256-201-9099"/>
    <s v="Out of Program"/>
    <s v="jordy@barco-us.com, KMcMahan@alfains.com"/>
    <s v="PO Box 113 Heflin AL 36264-0113"/>
    <s v="6568 Highway 78 Heflin AL 36264-2422; 2444 Steadman Rd, Tallapoosa, GA 30176"/>
    <x v="0"/>
    <s v="33.669076, -85.558646"/>
    <n v="5.91"/>
    <s v=""/>
    <m/>
    <n v="550"/>
    <n v="550"/>
    <s v=""/>
    <m/>
    <n v="1"/>
    <n v="550"/>
    <n v="550"/>
    <m/>
    <m/>
    <m/>
    <m/>
    <n v="0"/>
    <n v="0.90649035812672174"/>
    <n v="498.56969696969696"/>
    <n v="0"/>
    <n v="0"/>
    <n v="0"/>
    <n v="0"/>
    <n v="0"/>
    <n v="0"/>
    <n v="0"/>
    <n v="0"/>
  </r>
  <r>
    <s v="US0108"/>
    <x v="4"/>
    <n v="2021"/>
    <n v="0"/>
    <s v="Jordy McMahan"/>
    <n v="10092"/>
    <s v="Jordy McMahan"/>
    <s v="470-351-8043, 256-201-9099"/>
    <s v="Out of Program"/>
    <s v="jordy@barco-us.com, KMcMahan@alfains.com"/>
    <s v="PO Box 113 Heflin AL 36264-0113"/>
    <s v="6568 Highway 78 Heflin AL 36264-2422; 2444 Steadman Rd, Tallapoosa, GA 30176"/>
    <x v="0"/>
    <s v="33.817511, -85.333604"/>
    <n v="10.78"/>
    <s v=""/>
    <m/>
    <n v="1100"/>
    <n v="1100"/>
    <s v=""/>
    <m/>
    <n v="1"/>
    <n v="1100"/>
    <n v="1100"/>
    <m/>
    <m/>
    <m/>
    <m/>
    <n v="0"/>
    <n v="0.89884615384615374"/>
    <n v="988.73076923076917"/>
    <n v="0"/>
    <n v="0"/>
    <n v="0"/>
    <n v="0"/>
    <n v="0"/>
    <n v="0"/>
    <n v="0"/>
    <n v="0"/>
  </r>
  <r>
    <s v="US0119"/>
    <x v="4"/>
    <n v="2021"/>
    <n v="2030"/>
    <s v="Scott Landreau"/>
    <n v="10075"/>
    <s v="Cidney Scott and Stuart Page Landreau"/>
    <s v="334-303-0827"/>
    <s v="RFT"/>
    <s v="landreauinc@yahoo.com, scott2lallc@yahoo.com, Mklandreau@yahoo.com"/>
    <s v="3063 Little Road, Tallassee, AL 36078-3267"/>
    <s v="494 State Hwy 26, Hatchechubbee, AL, USA"/>
    <x v="0"/>
    <s v="32.278489, -85.247919"/>
    <n v="8.4700000000000006"/>
    <s v=""/>
    <m/>
    <n v="880"/>
    <n v="880"/>
    <s v=""/>
    <m/>
    <n v="1"/>
    <n v="880"/>
    <n v="880"/>
    <m/>
    <m/>
    <m/>
    <m/>
    <n v="0"/>
    <n v="0.24936868686868685"/>
    <n v="219.44444444444443"/>
    <n v="0"/>
    <m/>
    <n v="0.24936868686868685"/>
    <n v="0"/>
    <n v="219.44444444444443"/>
    <n v="219.44444444444443"/>
    <n v="0"/>
    <n v="0"/>
  </r>
  <r>
    <s v="US0122"/>
    <x v="4"/>
    <n v="2021"/>
    <n v="0"/>
    <s v="Stephen Andrews"/>
    <n v="10103"/>
    <s v="Stephen  Andrews"/>
    <s v="912-658-9372"/>
    <s v="Out of Program"/>
    <s v="sda308@aol.com"/>
    <s v="242 Rivercrest Dr, Brooklet, GA, 30415-5691"/>
    <s v="1001 North 2nd Street, Stillmore, GA, USA"/>
    <x v="0"/>
    <m/>
    <m/>
    <s v=""/>
    <m/>
    <n v="1100"/>
    <n v="1100"/>
    <s v=""/>
    <m/>
    <n v="1"/>
    <n v="1100"/>
    <n v="1100"/>
    <m/>
    <m/>
    <m/>
    <m/>
    <n v="0"/>
    <n v="0"/>
    <n v="0"/>
    <n v="0"/>
    <n v="0"/>
    <n v="0"/>
    <n v="0"/>
    <n v="0"/>
    <n v="0"/>
    <n v="0"/>
    <n v="0"/>
  </r>
  <r>
    <s v="US0125"/>
    <x v="4"/>
    <n v="2021"/>
    <n v="2030"/>
    <s v="Tim Harper"/>
    <n v="10106"/>
    <s v="Tim  Harper"/>
    <s v="334-726-9624"/>
    <s v="RFT"/>
    <s v="fld120_1994@yahoo.com"/>
    <s v="4471 E County Road 8 Pansey AL 36370-6043"/>
    <s v="4471 E County Road 8 Pansey AL 36370-6043"/>
    <x v="0"/>
    <m/>
    <m/>
    <s v=""/>
    <m/>
    <n v="1650"/>
    <n v="1650"/>
    <s v=""/>
    <m/>
    <n v="1"/>
    <n v="1650"/>
    <n v="1650"/>
    <m/>
    <m/>
    <m/>
    <m/>
    <n v="0"/>
    <n v="0"/>
    <n v="0"/>
    <n v="0"/>
    <m/>
    <n v="0"/>
    <n v="0"/>
    <n v="0"/>
    <n v="0"/>
    <n v="0"/>
    <n v="0"/>
  </r>
  <r>
    <s v="US0105"/>
    <x v="6"/>
    <n v="2021"/>
    <n v="0"/>
    <s v="John Hayes"/>
    <n v="10062"/>
    <s v="Hayes Farms LLC"/>
    <s v="334-726-8074"/>
    <s v="Out of Program"/>
    <s v="john.hayes09@icloud.com"/>
    <s v="5053 Pansey Rd Pansey AL 36370-4059"/>
    <s v="2536 S County Road 75, Pansey AL 36370-4922"/>
    <x v="0"/>
    <m/>
    <n v="3"/>
    <s v=""/>
    <m/>
    <n v="330"/>
    <n v="330"/>
    <s v=""/>
    <m/>
    <n v="1"/>
    <n v="330"/>
    <n v="330"/>
    <m/>
    <m/>
    <m/>
    <m/>
    <n v="0"/>
    <n v="0.37906336088154269"/>
    <n v="125.09090909090909"/>
    <n v="0"/>
    <n v="0"/>
    <n v="0"/>
    <n v="0"/>
    <n v="0"/>
    <n v="0"/>
    <n v="0"/>
    <n v="0"/>
  </r>
  <r>
    <s v="US0110"/>
    <x v="6"/>
    <n v="2021"/>
    <n v="2030"/>
    <s v="Kyle Flint"/>
    <n v="10094"/>
    <s v="RD Land and Materials LLC"/>
    <s v="405-215-8195"/>
    <s v="RFT"/>
    <s v="kyle.flint@bhboring.com"/>
    <s v="301 James Dean Dr Norman OK 73072-9793"/>
    <s v="2450 Cox City Rd Rush Springs OK 73082-3122"/>
    <x v="0"/>
    <m/>
    <m/>
    <s v=""/>
    <m/>
    <n v="1100"/>
    <n v="1100"/>
    <s v=""/>
    <m/>
    <n v="1"/>
    <n v="1100"/>
    <n v="1100"/>
    <m/>
    <m/>
    <m/>
    <m/>
    <n v="0"/>
    <n v="0"/>
    <n v="0"/>
    <n v="0"/>
    <m/>
    <n v="0"/>
    <n v="0"/>
    <n v="0"/>
    <n v="0"/>
    <n v="0"/>
    <n v="0"/>
  </r>
  <r>
    <s v="US0090"/>
    <x v="4"/>
    <n v="2021"/>
    <n v="2030"/>
    <s v="Beau Dixon"/>
    <n v="10078"/>
    <s v="Don Dixon"/>
    <s v="334-321-1984"/>
    <s v="Active"/>
    <s v="beau526@hotmail.com, ddtreefarm6@gmail.com"/>
    <s v="255 Zion Hill Road, Hatchechubbee, AL  36858"/>
    <s v="255 Zion Hill Road, Hatchechubbee, AL  36858"/>
    <x v="0"/>
    <s v="32.268004, -85.276762"/>
    <n v="16.600000000000001"/>
    <n v="16.40909090909091"/>
    <m/>
    <n v="1805"/>
    <n v="1805"/>
    <s v=""/>
    <m/>
    <n v="1"/>
    <n v="1805"/>
    <n v="1805"/>
    <m/>
    <m/>
    <m/>
    <m/>
    <n v="0"/>
    <n v="0.69368546965499878"/>
    <n v="1252.1022727272727"/>
    <n v="0"/>
    <m/>
    <n v="0.69368546965499878"/>
    <n v="1.0999999999999999E-2"/>
    <n v="20"/>
    <n v="20"/>
    <n v="0"/>
    <n v="0"/>
  </r>
  <r>
    <s v="US0091"/>
    <x v="4"/>
    <n v="2021"/>
    <n v="2030"/>
    <s v="Billy Gordie"/>
    <n v="10079"/>
    <s v="Billy Gordie"/>
    <s v="334-791-5944"/>
    <s v="Active"/>
    <s v="billygordie@gmail.com"/>
    <s v="11517 E State Highway 52 Webb AL 36376-6465"/>
    <s v="11517 E State Highway 52 Webb AL 36376-6465"/>
    <x v="0"/>
    <s v="31.264032, -85.211331"/>
    <n v="10.02"/>
    <n v="10"/>
    <m/>
    <n v="1100"/>
    <n v="1100"/>
    <s v=""/>
    <m/>
    <n v="1"/>
    <n v="1100"/>
    <n v="1100"/>
    <m/>
    <m/>
    <m/>
    <m/>
    <n v="0"/>
    <n v="1"/>
    <n v="1100"/>
    <n v="0"/>
    <m/>
    <n v="1"/>
    <n v="1"/>
    <n v="1100"/>
    <n v="1100"/>
    <n v="0"/>
    <n v="0"/>
  </r>
  <r>
    <s v="US0092"/>
    <x v="4"/>
    <n v="2021"/>
    <n v="2030"/>
    <s v="Billy Strange"/>
    <n v="10048"/>
    <s v="Billy Strange"/>
    <s v="318-481-1835, 318-481-1833"/>
    <s v="Active"/>
    <s v="riza_strange@yahoo.com"/>
    <s v="1142 Good Road, Jonesville, Louisiana 71343"/>
    <s v="1142 Good Road, Jonesville, Louisiana 71343"/>
    <x v="0"/>
    <s v="31.623947, -91.865519"/>
    <n v="10"/>
    <n v="8.1818181818181817"/>
    <m/>
    <n v="900"/>
    <n v="900"/>
    <s v=""/>
    <m/>
    <n v="1"/>
    <n v="900"/>
    <n v="900"/>
    <m/>
    <m/>
    <m/>
    <m/>
    <n v="0"/>
    <n v="0.59791666666666665"/>
    <n v="538.125"/>
    <n v="0"/>
    <m/>
    <n v="0.59791666666666665"/>
    <n v="0.59791666666666665"/>
    <n v="538.125"/>
    <n v="538.125"/>
    <n v="0"/>
    <n v="0"/>
  </r>
  <r>
    <s v="US0094"/>
    <x v="4"/>
    <n v="2021"/>
    <n v="2030"/>
    <s v="Bobby Searcy"/>
    <n v="10080"/>
    <s v="Bobby  Searcy"/>
    <s v="334-405-2409, 334.618.1380"/>
    <s v="Active"/>
    <s v="searcyfarmsangus@gmail.com"/>
    <s v="115 Livingston Loop Webb AL 36376-6435"/>
    <s v="115 Livingston Loop Webb AL 36376-6435"/>
    <x v="0"/>
    <s v="31.258754, -85.252275"/>
    <n v="14"/>
    <n v="14"/>
    <s v="Y"/>
    <n v="1540"/>
    <n v="1540"/>
    <s v=""/>
    <m/>
    <n v="1"/>
    <n v="1540"/>
    <n v="1540"/>
    <m/>
    <m/>
    <m/>
    <m/>
    <n v="0"/>
    <n v="0.83598053152784135"/>
    <n v="1287.4100185528757"/>
    <n v="0"/>
    <m/>
    <n v="0.83598053152784135"/>
    <n v="0.83598053152784135"/>
    <n v="1287.4100185528757"/>
    <n v="1287.4100185528757"/>
    <n v="0"/>
    <n v="0"/>
  </r>
  <r>
    <s v="US0095"/>
    <x v="4"/>
    <n v="2021"/>
    <n v="2030"/>
    <s v="Brent Stiehl"/>
    <n v="10081"/>
    <s v="Brent  Stiehl"/>
    <s v="678-378-7574"/>
    <s v="Active"/>
    <s v="Drstiehl@stiehldental.com"/>
    <s v="2577 Highway 54 Moreland GA 30259-2808"/>
    <s v="2577 Highway 54 Moreland GA 30259-2808"/>
    <x v="0"/>
    <s v="33.118028, -84.690333"/>
    <n v="10.56"/>
    <n v="10"/>
    <m/>
    <n v="1100"/>
    <n v="1100"/>
    <s v=""/>
    <m/>
    <n v="1"/>
    <n v="1100"/>
    <n v="1100"/>
    <m/>
    <m/>
    <m/>
    <m/>
    <n v="0"/>
    <n v="0.75911976911976908"/>
    <n v="835.03174603174602"/>
    <n v="0"/>
    <m/>
    <n v="0.75911976911976908"/>
    <n v="0.75911976911976908"/>
    <n v="835.03174603174602"/>
    <n v="835.03174603174602"/>
    <n v="0"/>
    <n v="0"/>
  </r>
  <r>
    <s v="US0096"/>
    <x v="4"/>
    <n v="2021"/>
    <n v="2030"/>
    <s v="Chris Bolen"/>
    <n v="10082"/>
    <s v="Chris  Bolen"/>
    <s v="678-478-2288"/>
    <s v="Active"/>
    <s v="jcbolen73@gmail.com"/>
    <s v="1751 Heidi Trl Buckhead GA 30625-1530"/>
    <s v="Fawn Rd, Jackson, GA, USA"/>
    <x v="0"/>
    <s v="33.220833, -83.948611"/>
    <n v="10.3"/>
    <n v="10"/>
    <s v="Y"/>
    <n v="1100"/>
    <n v="1100"/>
    <s v=""/>
    <m/>
    <n v="1"/>
    <n v="1100"/>
    <n v="1100"/>
    <m/>
    <m/>
    <m/>
    <m/>
    <n v="0"/>
    <n v="0.9412066115702481"/>
    <n v="1035.3272727272729"/>
    <n v="0"/>
    <m/>
    <n v="0.9412066115702481"/>
    <n v="0.9412066115702481"/>
    <n v="1035.3272727272729"/>
    <n v="1035.3272727272729"/>
    <n v="0"/>
    <n v="0"/>
  </r>
  <r>
    <s v="US0097"/>
    <x v="4"/>
    <n v="2021"/>
    <n v="2030"/>
    <s v="Chris Hoehn"/>
    <n v="10083"/>
    <s v="Chris  Hoehn"/>
    <s v="256-366-1612"/>
    <s v="Active"/>
    <s v="chris.d.hoehn@gmail.com"/>
    <s v="4923 Jenna Cir SE Owens Cross Roads AL 35763-9165"/>
    <s v="348 Nix Mill Pond Rd Phil Campbell AL 35581-4433"/>
    <x v="0"/>
    <s v="34.355772, -87.809977"/>
    <n v="21.7"/>
    <n v="25.454545454545453"/>
    <m/>
    <n v="2800"/>
    <n v="2800"/>
    <s v=""/>
    <m/>
    <n v="1"/>
    <n v="2800"/>
    <n v="2800"/>
    <m/>
    <m/>
    <m/>
    <m/>
    <n v="0"/>
    <n v="0.62958758503401357"/>
    <n v="1762.8452380952381"/>
    <n v="0"/>
    <m/>
    <n v="0.62958758503401357"/>
    <n v="0.62958758503401357"/>
    <n v="1762.8452380952381"/>
    <n v="1762.8452380952381"/>
    <n v="0"/>
    <n v="0"/>
  </r>
  <r>
    <s v="US0099"/>
    <x v="6"/>
    <n v="2021"/>
    <n v="2030"/>
    <s v="Ivette Alcoba"/>
    <n v="10085"/>
    <s v="Ivette  Alcoba"/>
    <s v="786-877-2208"/>
    <s v="Active"/>
    <s v="ivettealcoba1@gmail.com, ialcoba@yahoo.com, ivettealcoba1@gmail.com"/>
    <s v="2451 Brickell Ave Apt 15H Miami FL 33129-2421"/>
    <s v="0 cane Mill Rd LL 305 and 334 14th LD."/>
    <x v="0"/>
    <s v="32.087257, -83.779869"/>
    <n v="10.1"/>
    <n v="11"/>
    <m/>
    <n v="1210"/>
    <n v="1210"/>
    <s v=""/>
    <m/>
    <n v="1"/>
    <n v="1210"/>
    <n v="1210"/>
    <m/>
    <m/>
    <m/>
    <m/>
    <n v="0"/>
    <n v="0.28859595200692123"/>
    <n v="349.20110192837467"/>
    <n v="0"/>
    <m/>
    <n v="0.28859595200692123"/>
    <n v="0.28859595200692123"/>
    <n v="349.20110192837467"/>
    <n v="349.20110192837467"/>
    <n v="0"/>
    <n v="0"/>
  </r>
  <r>
    <s v="US0100"/>
    <x v="6"/>
    <n v="2021"/>
    <n v="2030"/>
    <s v="James Cochran"/>
    <n v="10086"/>
    <s v="James  Cochran"/>
    <s v="864-903-1919"/>
    <s v="Active"/>
    <s v="jncmd90@gmx.com"/>
    <s v="235 Scenic Heights Rd West Union SC 29696-3134"/>
    <s v="235 Scenic Heights Rd West Union SC 29696-3134"/>
    <x v="0"/>
    <s v="34.771515, -83.016177"/>
    <n v="10.01"/>
    <n v="10"/>
    <m/>
    <n v="1100"/>
    <n v="1100"/>
    <s v=""/>
    <m/>
    <n v="1"/>
    <n v="1100"/>
    <n v="1100"/>
    <m/>
    <m/>
    <m/>
    <m/>
    <n v="0"/>
    <n v="0.98090909090909095"/>
    <n v="1079"/>
    <n v="0"/>
    <m/>
    <n v="0.98090909090909095"/>
    <n v="0.98090909090909095"/>
    <n v="1079"/>
    <n v="1079"/>
    <n v="0"/>
    <n v="0"/>
  </r>
  <r>
    <s v="US0101"/>
    <x v="4"/>
    <n v="2021"/>
    <n v="2030"/>
    <s v="Jamie Hayes"/>
    <n v="10087"/>
    <s v="Jamie  Hayes"/>
    <s v="205-229-8176"/>
    <s v="Active"/>
    <s v="bayraynay@gmail.com"/>
    <s v="31840 Shoal Water Dr Orange Beach AL 36561-3770"/>
    <s v="4111 County Road 5 Thorsby AL 35171-7051"/>
    <x v="0"/>
    <s v="32.899323, -86.760369"/>
    <n v="9.8699999999999992"/>
    <n v="10"/>
    <m/>
    <n v="1100"/>
    <n v="1100"/>
    <s v=""/>
    <m/>
    <n v="1"/>
    <n v="1100"/>
    <n v="1100"/>
    <m/>
    <m/>
    <m/>
    <m/>
    <n v="0"/>
    <n v="0.80335858585858588"/>
    <n v="883.69444444444446"/>
    <n v="0"/>
    <m/>
    <n v="0.80335858585858588"/>
    <n v="0.80335858585858588"/>
    <n v="883.69444444444446"/>
    <n v="883.69444444444446"/>
    <n v="0"/>
    <n v="0"/>
  </r>
  <r>
    <s v="US0102"/>
    <x v="4"/>
    <n v="2021"/>
    <n v="2030"/>
    <s v="Jared Lilly"/>
    <n v="10088"/>
    <s v="Jared  Lilly"/>
    <s v="850-643-8515"/>
    <s v="Active"/>
    <s v="jjlilly13@gmail.com"/>
    <s v="15779 NW Ashley Shiver Rd Altha FL 32421-4815"/>
    <s v="15779 NW Ashley Shiver Rd Altha FL 32421-4815"/>
    <x v="0"/>
    <s v="30.503376, -85.128196"/>
    <n v="6.6"/>
    <n v="8"/>
    <m/>
    <n v="880"/>
    <n v="880"/>
    <s v=""/>
    <m/>
    <n v="1"/>
    <n v="880"/>
    <n v="880"/>
    <m/>
    <m/>
    <m/>
    <m/>
    <n v="0"/>
    <n v="0.90427328353464731"/>
    <n v="795.76048951048961"/>
    <n v="0"/>
    <m/>
    <n v="0.90427328353464731"/>
    <n v="0.90427328353464731"/>
    <n v="795.76048951048961"/>
    <n v="795.76048951048961"/>
    <n v="0"/>
    <n v="0"/>
  </r>
  <r>
    <s v="US0103"/>
    <x v="4"/>
    <n v="2021"/>
    <n v="2030"/>
    <s v="Anthony Lea"/>
    <n v="10089"/>
    <s v="Anthony Lea"/>
    <m/>
    <s v="Active"/>
    <s v="anthonylearph@gmail.com"/>
    <s v="130 Bertel Dr Covington LA 70433-4815"/>
    <s v="130 Bertel Dr Covington LA 70433-4815"/>
    <x v="0"/>
    <s v="30.512148, -90.149143"/>
    <n v="9.5"/>
    <n v="10"/>
    <m/>
    <n v="1100"/>
    <n v="1100"/>
    <s v=""/>
    <m/>
    <n v="1"/>
    <n v="1100"/>
    <n v="1100"/>
    <m/>
    <m/>
    <m/>
    <m/>
    <n v="0"/>
    <n v="1"/>
    <n v="1100"/>
    <n v="0"/>
    <m/>
    <n v="1"/>
    <n v="1"/>
    <n v="1100"/>
    <n v="1100"/>
    <n v="0"/>
    <n v="0"/>
  </r>
  <r>
    <s v="US0104"/>
    <x v="6"/>
    <n v="2021"/>
    <n v="2030"/>
    <s v="Joe Lilly"/>
    <n v="10090"/>
    <s v="Joe Lilly"/>
    <s v="850-693-3946"/>
    <s v="Active"/>
    <s v="joelilly1953@gmail.com"/>
    <s v="7701 SE Marysville School Rd Blountstown FL 32424-5623"/>
    <s v="7701 SE Marysville School Rd Blountstown FL 32424-5623"/>
    <x v="0"/>
    <s v="30.296870,-85.118840"/>
    <n v="9.0299999999999994"/>
    <n v="11"/>
    <m/>
    <n v="1210"/>
    <n v="1210"/>
    <s v=""/>
    <m/>
    <n v="1"/>
    <n v="1210"/>
    <n v="1210"/>
    <m/>
    <m/>
    <m/>
    <m/>
    <n v="0"/>
    <n v="0.98422238918106675"/>
    <n v="1190.9090909090908"/>
    <n v="0"/>
    <m/>
    <n v="0.98422238918106675"/>
    <n v="0.98422238918106675"/>
    <n v="1190.9090909090908"/>
    <n v="1190.9090909090908"/>
    <n v="0"/>
    <n v="0"/>
  </r>
  <r>
    <s v="US0106"/>
    <x v="6"/>
    <n v="2021"/>
    <n v="2030"/>
    <s v="John Wilson"/>
    <n v="10091"/>
    <s v="John Wilson"/>
    <s v="334-324-3475, 334-799-4219"/>
    <s v="Active"/>
    <s v="johntammy72289@gmail.com"/>
    <s v="761 Old Farm Rd Deatsville AL 36022-5853"/>
    <s v="761 Old Farm Rd Deatsville AL 36022-5853"/>
    <x v="0"/>
    <s v="32.629858, -86.343719"/>
    <n v="9.85"/>
    <n v="10"/>
    <m/>
    <n v="1100"/>
    <n v="1100"/>
    <s v=""/>
    <m/>
    <n v="1"/>
    <n v="1100"/>
    <n v="1100"/>
    <m/>
    <m/>
    <m/>
    <m/>
    <n v="0"/>
    <n v="0.89767355371900837"/>
    <n v="987.44090909090926"/>
    <n v="0"/>
    <m/>
    <n v="0.89767355371900837"/>
    <n v="0.89767355371900837"/>
    <n v="987.44090909090926"/>
    <n v="987.44090909090926"/>
    <n v="0"/>
    <n v="0"/>
  </r>
  <r>
    <s v="US0109"/>
    <x v="4"/>
    <n v="2021"/>
    <n v="2030"/>
    <s v="Keith Bell"/>
    <n v="10093"/>
    <s v="Keith  Bell"/>
    <s v="334-494-4395"/>
    <s v="Active"/>
    <s v="ecurrencykeith@gmail.com, keith.b.bell@centurytel.net"/>
    <s v="1156-1368 Co Rd 224 Elba, AL 36323"/>
    <s v="1156 Co Rd 224 Elba, AL 36323"/>
    <x v="0"/>
    <s v="31.511507, -86.030343"/>
    <n v="10.65"/>
    <n v="10"/>
    <m/>
    <n v="1100"/>
    <n v="1100"/>
    <s v=""/>
    <m/>
    <n v="1"/>
    <n v="1100"/>
    <n v="1100"/>
    <m/>
    <m/>
    <m/>
    <m/>
    <n v="0"/>
    <n v="0.95415977961432497"/>
    <n v="1049.5757575757575"/>
    <n v="0"/>
    <m/>
    <n v="0.95415977961432497"/>
    <n v="0.95415977961432497"/>
    <n v="1049.5757575757575"/>
    <n v="1049.5757575757575"/>
    <n v="0"/>
    <n v="0"/>
  </r>
  <r>
    <s v="US0112"/>
    <x v="6"/>
    <n v="2021"/>
    <n v="2030"/>
    <s v="Lori Fults"/>
    <n v="10096"/>
    <s v="Lori &amp; Don Fults"/>
    <s v="541-660-0190"/>
    <s v="Active"/>
    <s v="caprith@live.com"/>
    <s v="91722 Prairie Meadows, Junction City, OR 97448, USA"/>
    <s v="91722 Prairie Rd Junction City OR 97448-9419"/>
    <x v="0"/>
    <s v="44.153595, -123.184589"/>
    <n v="10"/>
    <n v="10"/>
    <s v="Y"/>
    <n v="1100"/>
    <n v="1100"/>
    <s v=""/>
    <m/>
    <n v="1"/>
    <n v="1100"/>
    <n v="1100"/>
    <m/>
    <m/>
    <m/>
    <m/>
    <n v="0"/>
    <n v="1"/>
    <n v="1100"/>
    <n v="0"/>
    <m/>
    <n v="1"/>
    <n v="1"/>
    <n v="1100"/>
    <n v="1100"/>
    <n v="0"/>
    <n v="0"/>
  </r>
  <r>
    <s v="US0113"/>
    <x v="6"/>
    <n v="2021"/>
    <n v="2030"/>
    <s v="Mac Alexander"/>
    <n v="10097"/>
    <s v="Mac  Alexander"/>
    <s v="205-999-4665"/>
    <s v="Active"/>
    <s v="alexaar3457@gmail.com, macalex79@gmail.com"/>
    <s v="1802 Dudleyville Rd Dadeville AL 36853-3700"/>
    <s v="1802 Dudleyville Rd Dadeville AL 36853-3700"/>
    <x v="0"/>
    <s v="32.847766, -85.747348"/>
    <n v="10.6"/>
    <n v="10"/>
    <m/>
    <n v="1100"/>
    <n v="1100"/>
    <s v=""/>
    <m/>
    <n v="1"/>
    <n v="1100"/>
    <n v="1100"/>
    <m/>
    <m/>
    <m/>
    <m/>
    <n v="0"/>
    <n v="1"/>
    <n v="1100"/>
    <n v="0"/>
    <m/>
    <n v="1"/>
    <n v="1"/>
    <n v="1100"/>
    <n v="1100"/>
    <n v="0"/>
    <n v="0"/>
  </r>
  <r>
    <s v="US0114"/>
    <x v="6"/>
    <n v="2021"/>
    <n v="2030"/>
    <s v="Marty Causseaux"/>
    <n v="10098"/>
    <s v="Marty  Causseaux"/>
    <s v="850-251-7047"/>
    <s v="Active"/>
    <s v="martyhq02@gmail.com"/>
    <s v="10644 Woodville Hwy Tallahassee FL 32305-1960"/>
    <s v="161 Centerline Rd Crawfordville FL 32327-5408"/>
    <x v="0"/>
    <s v="30.281944, -84.261389"/>
    <n v="10.7"/>
    <n v="10.409090909090908"/>
    <s v="Y"/>
    <n v="1145"/>
    <n v="1145"/>
    <s v=""/>
    <m/>
    <n v="1"/>
    <n v="1145"/>
    <n v="1145"/>
    <m/>
    <m/>
    <m/>
    <m/>
    <n v="0"/>
    <n v="1"/>
    <n v="1145"/>
    <n v="0"/>
    <m/>
    <n v="1"/>
    <n v="1"/>
    <n v="1145"/>
    <n v="1145"/>
    <n v="0"/>
    <n v="0"/>
  </r>
  <r>
    <s v="US0115"/>
    <x v="4"/>
    <n v="2021"/>
    <n v="2030"/>
    <s v="Michael Roe"/>
    <n v="10099"/>
    <s v="Michael  Roe"/>
    <s v="504-210-6684"/>
    <s v="Active"/>
    <s v="michael@WindmillNurseryLLC.com"/>
    <s v="12398 Highway 25 Franklinton LA 70438-4602"/>
    <s v="12398 Highway 25 Franklinton LA 70438-4602"/>
    <x v="0"/>
    <s v="30.7101463, -90.1702716"/>
    <n v="9.6999999999999993"/>
    <n v="10"/>
    <s v="Y"/>
    <n v="1100"/>
    <n v="1100"/>
    <s v=""/>
    <m/>
    <n v="1"/>
    <n v="1100"/>
    <n v="1100"/>
    <m/>
    <m/>
    <m/>
    <m/>
    <n v="0"/>
    <n v="0.88691470650561566"/>
    <n v="975.60617715617718"/>
    <n v="0"/>
    <m/>
    <n v="0.88691470650561566"/>
    <n v="0.88691470650561566"/>
    <n v="975.60617715617718"/>
    <n v="975.60617715617718"/>
    <n v="0"/>
    <n v="0"/>
  </r>
  <r>
    <s v="US0116"/>
    <x v="4"/>
    <n v="2021"/>
    <n v="2030"/>
    <s v="Mike Porter"/>
    <n v="10067"/>
    <s v="Mike Porter and Teri Galardi"/>
    <s v="702-406-7479"/>
    <s v="Active"/>
    <s v="mikeporter64@gmail.com"/>
    <s v="2146 Highway 42 S Flovilla GA 30216-2318"/>
    <s v="2146 Highway 42 S Flovilla GA 30216-2318"/>
    <x v="0"/>
    <s v="33.218413, -83.932813"/>
    <n v="9.5"/>
    <n v="10"/>
    <m/>
    <n v="1100"/>
    <n v="1100"/>
    <s v=""/>
    <m/>
    <n v="1"/>
    <n v="1100"/>
    <n v="1100"/>
    <m/>
    <m/>
    <m/>
    <m/>
    <n v="0"/>
    <n v="0.88247803030303029"/>
    <n v="970.7258333333333"/>
    <n v="0"/>
    <m/>
    <n v="0.88247803030303029"/>
    <n v="0"/>
    <n v="0"/>
    <n v="0"/>
    <n v="0"/>
    <n v="0"/>
  </r>
  <r>
    <s v="US0117"/>
    <x v="6"/>
    <n v="2021"/>
    <n v="2030"/>
    <s v="Ronnie and Kent Mathis"/>
    <n v="10072"/>
    <s v="Ronnie and Kent Mathis"/>
    <s v="706-499-6493, 706 499 1501"/>
    <s v="Active"/>
    <s v="ronmountainearthfarms@gmail.com, kentrm1@yahoo.com"/>
    <s v="PO Box 1592 Cornelia GA 30531-1026"/>
    <s v="260 Hollywood Hwy Clarkesville GA 30523-4731"/>
    <x v="0"/>
    <s v="34.43919 N, 83.23246 W"/>
    <n v="3.21"/>
    <n v="3"/>
    <m/>
    <n v="330"/>
    <n v="330"/>
    <s v=""/>
    <m/>
    <n v="1"/>
    <n v="330"/>
    <n v="330"/>
    <m/>
    <m/>
    <m/>
    <m/>
    <n v="0"/>
    <n v="0.88636363636363635"/>
    <n v="292.5"/>
    <n v="0"/>
    <m/>
    <n v="0.88636363636363635"/>
    <n v="0.88636363636363635"/>
    <n v="292.5"/>
    <n v="292.5"/>
    <n v="0"/>
    <n v="0"/>
  </r>
  <r>
    <s v="US0118"/>
    <x v="6"/>
    <n v="2021"/>
    <n v="2030"/>
    <s v="Roy Price"/>
    <n v="10100"/>
    <s v="Roy  Price"/>
    <s v="334-799-3713"/>
    <s v="Active"/>
    <s v="roy@priceceiling.com"/>
    <s v="350 Price Drive, Clanton, AL, 35046"/>
    <s v="350 Price Drive, Clanton, AL, 35046"/>
    <x v="0"/>
    <s v="32.884628, -86.619910"/>
    <n v="19.489999999999998"/>
    <n v="18"/>
    <m/>
    <n v="1980"/>
    <n v="1980"/>
    <s v=""/>
    <m/>
    <n v="1"/>
    <n v="1980"/>
    <n v="1980"/>
    <m/>
    <m/>
    <m/>
    <m/>
    <n v="0"/>
    <n v="1"/>
    <n v="1980"/>
    <n v="0"/>
    <m/>
    <n v="1"/>
    <n v="1"/>
    <n v="1980"/>
    <n v="1980"/>
    <n v="0"/>
    <n v="0"/>
  </r>
  <r>
    <s v="US0120"/>
    <x v="4"/>
    <n v="2021"/>
    <n v="2030"/>
    <s v="Scotty Mckenzie"/>
    <n v="10101"/>
    <s v="Scotty  Mckenzie"/>
    <s v="478-960-3760"/>
    <s v="Active"/>
    <s v="mac12.5@windstream.net"/>
    <s v="0 Cane Mill Rd, Elko, GA, 31025"/>
    <s v="0 Cane Mill Rd, Elko, GA, 31025"/>
    <x v="0"/>
    <s v="32.294732, -83.771057"/>
    <n v="12.06"/>
    <n v="12"/>
    <m/>
    <n v="1320"/>
    <n v="1320"/>
    <s v=""/>
    <m/>
    <n v="1"/>
    <n v="1320"/>
    <n v="1320"/>
    <m/>
    <m/>
    <m/>
    <m/>
    <n v="0"/>
    <n v="0.4554595429822702"/>
    <n v="601.20659673659668"/>
    <n v="0"/>
    <m/>
    <n v="0.4554595429822702"/>
    <n v="0.4554595429822702"/>
    <n v="601.20659673659668"/>
    <n v="601.20659673659668"/>
    <n v="0"/>
    <n v="0"/>
  </r>
  <r>
    <s v="US0121"/>
    <x v="4"/>
    <n v="2021"/>
    <n v="2030"/>
    <s v="Sisay Souphom"/>
    <n v="10102"/>
    <s v="Sisay  Souphom"/>
    <s v="334-220-2957"/>
    <s v="Active"/>
    <s v="ssouphom@gmail.com"/>
    <s v="625 Fern Rd Wetumpka AL 36092-7465"/>
    <s v="789 Fern Rd Wetumpka, Al 36092"/>
    <x v="0"/>
    <s v="32.619274, -86.316458"/>
    <n v="10.7"/>
    <n v="10"/>
    <s v="Y"/>
    <n v="1100"/>
    <n v="1100"/>
    <s v=""/>
    <m/>
    <n v="1"/>
    <n v="1100"/>
    <n v="1100"/>
    <m/>
    <m/>
    <m/>
    <m/>
    <n v="0"/>
    <n v="0.99066942148760306"/>
    <n v="1089.7363636363634"/>
    <n v="0"/>
    <m/>
    <n v="0.99066942148760306"/>
    <n v="0.99066942148760306"/>
    <n v="1089.7363636363634"/>
    <n v="1089.7363636363634"/>
    <n v="0"/>
    <n v="0"/>
  </r>
  <r>
    <s v="US0123"/>
    <x v="4"/>
    <n v="2021"/>
    <n v="2030"/>
    <s v="Steven Hunter"/>
    <n v="10104"/>
    <s v="Steven and Christy Hunter"/>
    <s v="205-405-0233"/>
    <s v="Active"/>
    <s v="stevenhunter@protonmail.com"/>
    <s v="PO Box 395 Maplesville AL 36750-0395"/>
    <s v="2645 State Highway 139, Maplesville, Alabama 36750, USA"/>
    <x v="0"/>
    <s v="32.819540, -86.884327"/>
    <n v="33.700000000000003"/>
    <n v="32.909090909090907"/>
    <s v="Y"/>
    <n v="3620"/>
    <n v="3620"/>
    <s v=""/>
    <m/>
    <n v="1"/>
    <n v="3620"/>
    <n v="3620"/>
    <m/>
    <m/>
    <m/>
    <m/>
    <n v="0"/>
    <n v="0.85214989190487611"/>
    <n v="3084.7826086956516"/>
    <n v="0"/>
    <m/>
    <n v="0.85214989190487611"/>
    <n v="0.85214989190487611"/>
    <n v="3084.7826086956516"/>
    <n v="3084.7826086956516"/>
    <n v="0"/>
    <n v="0"/>
  </r>
  <r>
    <s v="US0124"/>
    <x v="4"/>
    <n v="2021"/>
    <n v="2030"/>
    <s v="Teresa Beam"/>
    <n v="10105"/>
    <s v="Teresa and Josh Beam"/>
    <s v="704-530-8581, 704-530-8587"/>
    <s v="Active"/>
    <s v="beamberrypatch@gmail.com"/>
    <s v="963 Sunbeam Dr Lincolnton NC 28092-9749"/>
    <s v="5224 7 Pines Rd, Lawndale, NC 28090, USA"/>
    <x v="0"/>
    <s v="35.469667, -81.623418"/>
    <n v="10.17"/>
    <n v="10"/>
    <m/>
    <n v="1100"/>
    <n v="1100"/>
    <s v=""/>
    <m/>
    <n v="1"/>
    <n v="1100"/>
    <n v="1100"/>
    <m/>
    <m/>
    <m/>
    <m/>
    <n v="0"/>
    <n v="0.5412396694214876"/>
    <n v="595.36363636363637"/>
    <n v="0"/>
    <m/>
    <n v="0.5412396694214876"/>
    <n v="0.5412396694214876"/>
    <n v="595.36363636363637"/>
    <n v="595.36363636363637"/>
    <n v="0"/>
    <n v="0"/>
  </r>
  <r>
    <s v="US0126"/>
    <x v="4"/>
    <n v="2021"/>
    <n v="2030"/>
    <s v="Wendy Muhammad"/>
    <n v="10107"/>
    <s v="Wendy Muhammad"/>
    <s v="678-571-7763, 404.219.8878"/>
    <s v="Active"/>
    <s v="farmsforliving@gmail.com"/>
    <s v="177 Porter Rd Fayetteville GA 30215-3053"/>
    <s v="177 Porter Rd Fayetteville GA 30215-3053"/>
    <x v="0"/>
    <s v="33.355810, -84.466823"/>
    <n v="9.9700000000000006"/>
    <n v="10"/>
    <m/>
    <n v="1100"/>
    <n v="1100"/>
    <s v=""/>
    <m/>
    <n v="1"/>
    <n v="1100"/>
    <n v="1100"/>
    <m/>
    <m/>
    <m/>
    <m/>
    <n v="0"/>
    <n v="0.96896969696969704"/>
    <n v="1065.8666666666668"/>
    <n v="0"/>
    <m/>
    <n v="0.96896969696969704"/>
    <n v="0.96896969696969704"/>
    <n v="1065.8666666666668"/>
    <n v="1065.8666666666668"/>
    <n v="0"/>
    <n v="0"/>
  </r>
  <r>
    <s v="US0127"/>
    <x v="6"/>
    <n v="2021"/>
    <n v="2030"/>
    <s v="Wesley and Stanley Todd"/>
    <n v="10108"/>
    <s v="Wesley and Stanley Todd"/>
    <s v="256-452-1441"/>
    <s v="Active"/>
    <s v="wesleytodd95@gmail.com"/>
    <s v="1658 Dailey St Piedmont AL 36272-7582"/>
    <s v="1658 Dailey St Piedmont AL 36272-7582"/>
    <x v="0"/>
    <s v="33.902222, -85.603611"/>
    <n v="5.21"/>
    <n v="6"/>
    <m/>
    <n v="660"/>
    <n v="660"/>
    <s v=""/>
    <m/>
    <n v="1"/>
    <n v="660"/>
    <n v="660"/>
    <m/>
    <m/>
    <m/>
    <m/>
    <n v="0"/>
    <n v="0.94881118881118898"/>
    <n v="521.84615384615392"/>
    <n v="0"/>
    <m/>
    <n v="0.94881118881118898"/>
    <n v="0.95692307692307599"/>
    <n v="622"/>
    <n v="622"/>
    <n v="0"/>
    <n v="0"/>
  </r>
  <r>
    <s v="US0111"/>
    <x v="6"/>
    <n v="2021"/>
    <n v="2030"/>
    <s v="Loren Raymer"/>
    <n v="10095"/>
    <s v="Loren  Raymer"/>
    <s v="469-404-3681, 214-334-6829"/>
    <s v="RFT"/>
    <s v="loren.raymer@gmail.com"/>
    <s v="10031 FM Rd, 1390 Scurry TX 75158"/>
    <s v="10031 FM Rd, 1390 Scurry TX 75158"/>
    <x v="0"/>
    <m/>
    <m/>
    <s v=""/>
    <m/>
    <n v="1100"/>
    <n v="1100"/>
    <s v=""/>
    <m/>
    <n v="1"/>
    <n v="1100"/>
    <n v="1100"/>
    <m/>
    <m/>
    <m/>
    <m/>
    <n v="0"/>
    <n v="0"/>
    <n v="0"/>
    <n v="0"/>
    <m/>
    <n v="0"/>
    <n v="0"/>
    <n v="0"/>
    <n v="0"/>
    <n v="0"/>
    <n v="0"/>
  </r>
  <r>
    <s v="CR0097"/>
    <x v="6"/>
    <n v="2022"/>
    <n v="2031"/>
    <s v="Alvaro Vargas"/>
    <n v="20089"/>
    <s v="Alvaro Vargas"/>
    <s v="506 87912122"/>
    <s v="RFT"/>
    <s v="acastromeza943@gmail.com"/>
    <s v="Provincia de Puntarenas, Buenos Aires, Costa Rica"/>
    <m/>
    <x v="1"/>
    <s v="9.1788952,-83.3352067"/>
    <m/>
    <s v=""/>
    <m/>
    <n v="1200"/>
    <n v="1200"/>
    <s v=""/>
    <m/>
    <n v="1"/>
    <n v="1200"/>
    <n v="1200"/>
    <m/>
    <m/>
    <m/>
    <m/>
    <n v="0"/>
    <n v="1"/>
    <n v="1200"/>
    <n v="0"/>
    <m/>
    <n v="0"/>
    <n v="0"/>
    <n v="0"/>
    <n v="0"/>
    <n v="0"/>
    <n v="0"/>
  </r>
  <r>
    <s v="CR0098"/>
    <x v="6"/>
    <n v="2022"/>
    <n v="2031"/>
    <s v="Jacobo Pardo Jara"/>
    <n v="20090"/>
    <s v="Grettel Jara Lara"/>
    <s v="506 72048081"/>
    <s v="Active"/>
    <s v="jacparja@gmail.com"/>
    <s v="Bijagua"/>
    <m/>
    <x v="1"/>
    <s v="10.737670, -85.045668"/>
    <m/>
    <n v="6.1776252590741585"/>
    <m/>
    <n v="1000"/>
    <n v="1000"/>
    <s v=""/>
    <m/>
    <n v="1"/>
    <n v="1000"/>
    <n v="1000"/>
    <m/>
    <m/>
    <m/>
    <m/>
    <n v="0"/>
    <n v="1"/>
    <n v="1000"/>
    <n v="982"/>
    <n v="0.98199999999999998"/>
    <n v="0.98"/>
    <n v="0.98"/>
    <n v="982"/>
    <n v="982"/>
    <n v="0"/>
    <n v="0"/>
  </r>
  <r>
    <s v="CR0099"/>
    <x v="6"/>
    <n v="2022"/>
    <n v="2031"/>
    <s v="Corporacion Comercial San Miguel del Pacifico S.A"/>
    <n v="20091"/>
    <s v="Jose Francisco Angulo"/>
    <n v="88777278"/>
    <s v="Active"/>
    <s v="federnais2000@gmail.com]"/>
    <s v="Pozos de Santa Ana. De la esquina la Chispa 100m N y 75m E"/>
    <m/>
    <x v="1"/>
    <s v="9.708597,-84.486891"/>
    <m/>
    <n v="12.355250518148317"/>
    <m/>
    <n v="2000"/>
    <n v="2000"/>
    <s v=""/>
    <m/>
    <n v="1"/>
    <n v="2000"/>
    <n v="2000"/>
    <m/>
    <m/>
    <m/>
    <m/>
    <n v="0"/>
    <n v="1"/>
    <n v="2000"/>
    <n v="0"/>
    <m/>
    <n v="1"/>
    <n v="1"/>
    <n v="2000"/>
    <n v="2000"/>
    <n v="0"/>
    <n v="0"/>
  </r>
  <r>
    <s v="GT0031b"/>
    <x v="6"/>
    <n v="2022"/>
    <n v="2031"/>
    <s v="Derek José Herman Gordillo"/>
    <n v="30028"/>
    <s v="Agroindustrias Nativa S.A./Derek José Herman Gordillo"/>
    <s v="+502 40117762"/>
    <s v="Active"/>
    <s v="hermangster@gmail.com, dherman@grupoadh.com"/>
    <s v="Aldea Laguna Bermeja, Granja San Luis, Condominio Laguna del Bosque Casa '1169, zona 7, Santa Cata­rina Pinula, Guatemala"/>
    <s v="Aldea El Parafso, municipio de Sayaxche, Departamento de Peten"/>
    <x v="2"/>
    <s v="16.490000, -90.127200"/>
    <n v="149.69999999999999"/>
    <n v="186.26363636363635"/>
    <m/>
    <n v="20500"/>
    <n v="20489"/>
    <n v="11"/>
    <m/>
    <n v="1"/>
    <n v="20500"/>
    <n v="20489"/>
    <m/>
    <m/>
    <m/>
    <m/>
    <n v="0"/>
    <n v="1"/>
    <n v="4751"/>
    <n v="16810"/>
    <n v="0.82"/>
    <n v="0.82"/>
    <n v="0.82"/>
    <n v="16810"/>
    <n v="16810"/>
    <n v="0"/>
    <n v="0"/>
  </r>
  <r>
    <s v="GT0041"/>
    <x v="6"/>
    <n v="2022"/>
    <n v="2031"/>
    <s v="Trapiche de la Vega S.A. /María Isabel Agüero"/>
    <n v="30033"/>
    <s v="Trapiche de la Vega S.A. /María Isabel Agüero"/>
    <s v="502 59910111"/>
    <s v="Active"/>
    <s v="maguero@grupotecun.com"/>
    <s v="23 av enida 6 72, zona 15, Vista Hermosa I"/>
    <m/>
    <x v="2"/>
    <s v="14.355278, -90.460000"/>
    <m/>
    <n v="9.0909090909090917"/>
    <m/>
    <n v="1000"/>
    <n v="1000"/>
    <s v=""/>
    <m/>
    <n v="1"/>
    <n v="1000"/>
    <n v="1000"/>
    <m/>
    <m/>
    <m/>
    <m/>
    <n v="0"/>
    <n v="1"/>
    <n v="1000"/>
    <n v="935"/>
    <n v="0.93500000000000005"/>
    <n v="0.94"/>
    <n v="0.93500000000000005"/>
    <n v="935"/>
    <n v="935"/>
    <n v="0"/>
    <n v="0"/>
  </r>
  <r>
    <s v="GT0042"/>
    <x v="6"/>
    <n v="2022"/>
    <n v="2031"/>
    <s v="Julio Francisco Morán Pérez"/>
    <n v="30023"/>
    <s v="Julio Francisco Morán Pérez"/>
    <s v="(502) 56972396"/>
    <s v="Active"/>
    <s v="julmora213@gmail.com"/>
    <s v="14 A VENIDA LAS AMERICAS 7-62, ZONA 3, EDIFICIO TORRE PRADE­RA XELA, OCTAVO NTVEL, OFTCTNA 812, MUNTCTPTO DE QUETZALTENANGO, DEPARTAMENTO DE QUETZAL TENA NGO"/>
    <s v="FTNCA 4 PTLARES DE LAS PAULOWNTAS, MUNTCTPTO DE EL PALMAR, DEPARTAMENTO DE QUETZALTENANGO"/>
    <x v="2"/>
    <s v="14.696111, -91.608056"/>
    <m/>
    <n v="36.363636363636367"/>
    <m/>
    <n v="4000"/>
    <n v="4000"/>
    <s v=""/>
    <m/>
    <n v="1"/>
    <n v="4000"/>
    <n v="4000"/>
    <m/>
    <m/>
    <m/>
    <m/>
    <n v="0"/>
    <n v="1"/>
    <n v="4000"/>
    <n v="3420"/>
    <n v="0.85499999999999998"/>
    <n v="0.86"/>
    <n v="0.85499999999999998"/>
    <n v="3420"/>
    <n v="3420"/>
    <n v="0"/>
    <n v="0"/>
  </r>
  <r>
    <s v="GT0043"/>
    <x v="6"/>
    <n v="2022"/>
    <n v="2031"/>
    <s v="Richard Steven Callaway Ayau - Eco Energía H20"/>
    <n v="30026"/>
    <s v="Richard Steven Callaway Ayau"/>
    <s v="(502) 52063353"/>
    <s v="Active"/>
    <s v="rcallaway@armaviacion.com"/>
    <s v="AVENIDA HINCAPIE, ZONA 13, HANGAR K2, MUNICIPIO DE GUA-TEMALA, DEPARTAMENTO DE GUATEMALA"/>
    <s v="MUNICIPIO DE BARBERENA, DEPARTAMENTO DE SANTA ROSA"/>
    <x v="2"/>
    <s v="14.323333, -90.434028"/>
    <m/>
    <n v="18.181818181818183"/>
    <m/>
    <n v="2000"/>
    <n v="2000"/>
    <s v=""/>
    <m/>
    <n v="1"/>
    <n v="2000"/>
    <n v="2000"/>
    <m/>
    <m/>
    <m/>
    <m/>
    <n v="0"/>
    <n v="1"/>
    <n v="2000"/>
    <n v="1952"/>
    <n v="0.97599999999999998"/>
    <n v="0.98"/>
    <n v="0.97599999999999998"/>
    <n v="1952"/>
    <n v="1952"/>
    <n v="0"/>
    <n v="0"/>
  </r>
  <r>
    <s v="MX0026"/>
    <x v="6"/>
    <n v="2022"/>
    <n v="2031"/>
    <s v="Caralampio Arreola López"/>
    <n v="40025"/>
    <s v="Caralampio Arreola López"/>
    <s v="922 227 2099"/>
    <s v="Active"/>
    <s v="hvargasforestal@hotmail.com"/>
    <m/>
    <m/>
    <x v="3"/>
    <s v="17.213206, -94.592429"/>
    <m/>
    <n v="12.355108275676161"/>
    <m/>
    <n v="2750"/>
    <n v="2750"/>
    <s v=""/>
    <m/>
    <n v="1"/>
    <n v="2750"/>
    <n v="2750"/>
    <m/>
    <m/>
    <m/>
    <m/>
    <n v="0"/>
    <n v="1"/>
    <n v="2750"/>
    <n v="2593.25"/>
    <n v="0.94299999999999995"/>
    <n v="0.94"/>
    <n v="0.94299999999999995"/>
    <n v="2593.25"/>
    <n v="2593.25"/>
    <n v="0"/>
    <n v="0"/>
  </r>
  <r>
    <s v="MX0027"/>
    <x v="6"/>
    <n v="2022"/>
    <n v="2031"/>
    <s v="Carlos Carbajal"/>
    <n v="40026"/>
    <s v="Carlos Carbajal"/>
    <s v="992 186 2852"/>
    <s v="Active"/>
    <s v="icarbaial. q@hotmai l.co m"/>
    <m/>
    <m/>
    <x v="3"/>
    <s v="17.502881, -94.437142"/>
    <m/>
    <n v="12.355108275676161"/>
    <m/>
    <n v="2750"/>
    <n v="2750"/>
    <s v=""/>
    <m/>
    <n v="1"/>
    <n v="2750"/>
    <n v="2750"/>
    <m/>
    <m/>
    <m/>
    <m/>
    <n v="0"/>
    <n v="1"/>
    <n v="2750"/>
    <n v="2686.75"/>
    <n v="0.97699999999999998"/>
    <n v="0.98"/>
    <n v="0.97699999999999998"/>
    <n v="2686.75"/>
    <n v="2686.75"/>
    <n v="0"/>
    <n v="0"/>
  </r>
  <r>
    <s v="MX0028"/>
    <x v="6"/>
    <n v="2022"/>
    <n v="2031"/>
    <s v="Cirilo Carbajal Hernandez"/>
    <n v="40027"/>
    <s v="Cirilo Carbajal Hernandez"/>
    <m/>
    <s v="Active"/>
    <s v="carvajalcirilo37@gmail.com"/>
    <m/>
    <m/>
    <x v="3"/>
    <s v="17.511583, -94.450417, 17.513567, -94.419008"/>
    <m/>
    <n v="12.355108275676161"/>
    <m/>
    <n v="2750"/>
    <n v="2750"/>
    <s v=""/>
    <m/>
    <n v="1"/>
    <n v="2750"/>
    <n v="2750"/>
    <m/>
    <m/>
    <m/>
    <m/>
    <n v="0"/>
    <n v="1"/>
    <n v="2750"/>
    <n v="2645.5"/>
    <n v="0.96199999999999997"/>
    <n v="0.96"/>
    <n v="0.96199999999999997"/>
    <n v="2645.5"/>
    <n v="2645.5"/>
    <n v="0"/>
    <n v="0"/>
  </r>
  <r>
    <s v="MX0029"/>
    <x v="6"/>
    <n v="2022"/>
    <n v="2031"/>
    <s v="Francisco Contreras"/>
    <n v="40028"/>
    <s v="Francisco Contreras"/>
    <s v="993 117 2791__"/>
    <s v="Active"/>
    <s v="proye.spazios@gmail.com"/>
    <m/>
    <m/>
    <x v="3"/>
    <s v="17.547283, -93.072147"/>
    <m/>
    <n v="25.159493215922364"/>
    <m/>
    <n v="5600"/>
    <n v="5600"/>
    <s v=""/>
    <m/>
    <n v="1"/>
    <n v="5600"/>
    <n v="5600"/>
    <m/>
    <m/>
    <m/>
    <m/>
    <n v="0"/>
    <n v="1"/>
    <n v="5600"/>
    <n v="4524.8"/>
    <n v="0.80800000000000005"/>
    <n v="0.81"/>
    <n v="0.80800000000000005"/>
    <n v="4524.8"/>
    <n v="4524.8"/>
    <n v="0"/>
    <n v="0"/>
  </r>
  <r>
    <s v="MX0030"/>
    <x v="6"/>
    <n v="2022"/>
    <n v="2031"/>
    <s v="Heradio Hernandez Jímenez"/>
    <n v="40029"/>
    <s v="Heradio Hernandez Jimenez"/>
    <m/>
    <s v="Active"/>
    <s v="heradiohernandes@gmail.com; rubendhj@hotmail.com"/>
    <s v="Av. Francisco I madero N° 39, Col. Centro, Municipio de Ostuacán, Estado de "/>
    <m/>
    <x v="3"/>
    <s v="17.359914, -93.325036"/>
    <m/>
    <n v="9.8840866205409288"/>
    <m/>
    <n v="2200"/>
    <n v="2200"/>
    <s v=""/>
    <m/>
    <n v="1"/>
    <n v="2200"/>
    <n v="2200"/>
    <m/>
    <m/>
    <m/>
    <m/>
    <n v="0"/>
    <n v="1"/>
    <n v="2200"/>
    <n v="541.20000000000005"/>
    <n v="0.246"/>
    <n v="0.25"/>
    <n v="0.246"/>
    <n v="541.20000000000005"/>
    <n v="541.20000000000005"/>
    <n v="0"/>
    <n v="0"/>
  </r>
  <r>
    <s v="MX0031"/>
    <x v="6"/>
    <n v="2022"/>
    <n v="2031"/>
    <s v="Jesus Rauda Gutierrez"/>
    <n v="40030"/>
    <s v="Jesus Rauda Gutierrez"/>
    <s v="922207 7454"/>
    <s v="Active"/>
    <s v="brd1392@outlook.com"/>
    <s v="Chiapas. CP 29550."/>
    <m/>
    <x v="3"/>
    <s v="17.547844, -94.467956"/>
    <m/>
    <n v="12.355108275676161"/>
    <m/>
    <n v="2750"/>
    <n v="2750"/>
    <s v=""/>
    <m/>
    <n v="1"/>
    <n v="2750"/>
    <n v="2750"/>
    <m/>
    <m/>
    <m/>
    <m/>
    <n v="0"/>
    <n v="1"/>
    <n v="2750"/>
    <n v="2673"/>
    <n v="0.97199999999999998"/>
    <n v="0.97"/>
    <n v="0.97199999999999998"/>
    <n v="2673"/>
    <n v="2673"/>
    <n v="0"/>
    <n v="0"/>
  </r>
  <r>
    <s v="MX0032"/>
    <x v="6"/>
    <n v="2022"/>
    <n v="2031"/>
    <s v="Jose Armando Carbajal Ocampo"/>
    <n v="40031"/>
    <s v="Jose Armando Carbajal Ocampo"/>
    <s v="922 286 5063"/>
    <s v="Active"/>
    <s v="iosea rmandoca rvajalocam po@gma i l.com"/>
    <m/>
    <m/>
    <x v="3"/>
    <s v="17.515256, -94.456917"/>
    <m/>
    <n v="12.355108275676161"/>
    <m/>
    <n v="2750"/>
    <n v="2750"/>
    <s v=""/>
    <m/>
    <n v="1"/>
    <n v="2750"/>
    <n v="2750"/>
    <m/>
    <m/>
    <m/>
    <m/>
    <n v="0"/>
    <n v="1"/>
    <n v="2750"/>
    <n v="2425.5"/>
    <n v="0.88200000000000001"/>
    <n v="0.88"/>
    <n v="0.88200000000000001"/>
    <n v="2425.5"/>
    <n v="2425.5"/>
    <n v="0"/>
    <n v="0"/>
  </r>
  <r>
    <s v="MX0033"/>
    <x v="6"/>
    <n v="2022"/>
    <n v="2031"/>
    <s v="Lucas Raudas Guitierrez"/>
    <n v="40032"/>
    <s v="Lucas Raudas Guitierrez"/>
    <m/>
    <s v="Active"/>
    <s v="ofeliagamboa12345@gmail.com"/>
    <m/>
    <m/>
    <x v="3"/>
    <s v="17.567000, -94.448319"/>
    <m/>
    <n v="21.187887501123189"/>
    <m/>
    <n v="4716"/>
    <n v="4716"/>
    <s v=""/>
    <m/>
    <n v="1"/>
    <n v="4716"/>
    <n v="4716"/>
    <m/>
    <m/>
    <m/>
    <m/>
    <n v="0"/>
    <n v="1"/>
    <n v="4716"/>
    <n v="4428.3239999999996"/>
    <n v="0.93899999999999995"/>
    <n v="0.94"/>
    <n v="0.93899999999999995"/>
    <n v="4428.3239999999996"/>
    <n v="4428.3239999999996"/>
    <n v="0"/>
    <n v="0"/>
  </r>
  <r>
    <s v="MX0034"/>
    <x v="6"/>
    <n v="2022"/>
    <n v="2031"/>
    <s v="Pedro Molina Sanchez"/>
    <n v="40033"/>
    <s v="Pedro Molina Sanchez"/>
    <m/>
    <s v="Active"/>
    <s v="hvargasforestal@hotmail.com"/>
    <m/>
    <m/>
    <x v="3"/>
    <s v="17.242739, -94.827503"/>
    <m/>
    <n v="19.768173241081858"/>
    <m/>
    <n v="4400"/>
    <n v="4400"/>
    <s v=""/>
    <m/>
    <n v="1"/>
    <n v="4400"/>
    <n v="4400"/>
    <m/>
    <m/>
    <m/>
    <m/>
    <n v="0"/>
    <n v="1"/>
    <n v="4400"/>
    <n v="0"/>
    <n v="0"/>
    <n v="0"/>
    <n v="0"/>
    <n v="0"/>
    <n v="0"/>
    <n v="0"/>
    <n v="0"/>
  </r>
  <r>
    <s v="MX0035"/>
    <x v="6"/>
    <n v="2022"/>
    <n v="2031"/>
    <s v="Rafael Hernández Hernández"/>
    <n v="40034"/>
    <s v="Rafael Hernández Hernández"/>
    <s v="556 897 8244"/>
    <s v="Active"/>
    <s v="taizonhernandez181@gmail.com"/>
    <m/>
    <m/>
    <x v="3"/>
    <s v="17.5192162, -94.4582382"/>
    <m/>
    <n v="9.8840866205409288"/>
    <m/>
    <n v="2200"/>
    <n v="2200"/>
    <s v=""/>
    <m/>
    <n v="1"/>
    <n v="2200"/>
    <n v="2200"/>
    <m/>
    <m/>
    <m/>
    <m/>
    <n v="0"/>
    <n v="1"/>
    <n v="2200"/>
    <n v="2046"/>
    <n v="0.93"/>
    <n v="0.93"/>
    <n v="0.93"/>
    <n v="2046"/>
    <n v="2046"/>
    <n v="0"/>
    <n v="0"/>
  </r>
  <r>
    <s v="MX0036"/>
    <x v="6"/>
    <n v="2022"/>
    <n v="2031"/>
    <s v="Tito Soria"/>
    <n v="40035"/>
    <s v="Tito Soria"/>
    <m/>
    <s v="Active"/>
    <s v="‎soriapereztito@gmail.com;facturastitosoria@gmail.com"/>
    <m/>
    <m/>
    <x v="3"/>
    <s v="17.796072, -93.463639"/>
    <m/>
    <n v="12.355108275676161"/>
    <m/>
    <n v="2750"/>
    <n v="2750"/>
    <s v=""/>
    <m/>
    <n v="1"/>
    <n v="2750"/>
    <n v="2750"/>
    <m/>
    <m/>
    <m/>
    <m/>
    <n v="0"/>
    <n v="1"/>
    <n v="2750"/>
    <n v="1815"/>
    <n v="0.66"/>
    <n v="0.66"/>
    <n v="0.66"/>
    <n v="1815"/>
    <n v="1815"/>
    <n v="0"/>
    <n v="0"/>
  </r>
  <r>
    <s v="MX0037"/>
    <x v="6"/>
    <n v="2022"/>
    <n v="2031"/>
    <s v="Ubaldo Guillermo Pérez Cruz"/>
    <n v="40036"/>
    <s v="Ubaldo Guillermo Pérez Cruz"/>
    <s v="932 106 9604"/>
    <s v="Active"/>
    <s v="ugperez@hotmail.com;memosum56@outlook.com"/>
    <m/>
    <m/>
    <x v="3"/>
    <s v="17.489817, -92.894725"/>
    <m/>
    <n v="12.355108275676161"/>
    <m/>
    <n v="2750"/>
    <n v="2750"/>
    <s v=""/>
    <m/>
    <n v="1"/>
    <n v="2750"/>
    <n v="2750"/>
    <m/>
    <m/>
    <m/>
    <m/>
    <n v="0"/>
    <n v="1"/>
    <n v="2750"/>
    <n v="330"/>
    <n v="0.12"/>
    <n v="0.12"/>
    <n v="0.12"/>
    <n v="330"/>
    <n v="330"/>
    <n v="0"/>
    <n v="0"/>
  </r>
  <r>
    <s v="US0128"/>
    <x v="6"/>
    <n v="2022"/>
    <n v="2031"/>
    <s v="Belinda Twohig"/>
    <n v="10109"/>
    <s v="Belinda Twohig"/>
    <s v="865-603-0451"/>
    <s v="Active"/>
    <s v="doubletalpacas@gmail.com"/>
    <s v="210 County Road 292 Niota TN 37826-2064"/>
    <s v="210 County Road 292, Niota, TN, USA 37826"/>
    <x v="0"/>
    <s v="35.624443, -84.560837"/>
    <n v="11.3"/>
    <n v="12"/>
    <s v="Y"/>
    <n v="1320"/>
    <n v="1320"/>
    <s v=""/>
    <m/>
    <n v="1"/>
    <n v="1320"/>
    <n v="1320"/>
    <m/>
    <m/>
    <m/>
    <m/>
    <n v="0"/>
    <n v="1"/>
    <n v="1320"/>
    <n v="1244.76"/>
    <n v="0.94299999999999995"/>
    <n v="0.94"/>
    <n v="0.94299999999999995"/>
    <n v="1244.76"/>
    <n v="1244.76"/>
    <n v="0"/>
    <n v="0"/>
  </r>
  <r>
    <s v="US0129"/>
    <x v="6"/>
    <n v="2022"/>
    <n v="2031"/>
    <s v="Bobby Searcy"/>
    <n v="10080"/>
    <s v="Bobby Searcy"/>
    <s v="334-405-2409, 334.618.1380"/>
    <s v="Active"/>
    <s v="searcyfarmsangus@gmail.com"/>
    <s v="115 Livingston Loop Webb AL 36376-6435"/>
    <s v="115 Livingston Loop Webb AL 36376-6435"/>
    <x v="0"/>
    <s v="31.258754, -85.252275"/>
    <n v="6.6"/>
    <n v="5"/>
    <s v="Y"/>
    <n v="550"/>
    <n v="550"/>
    <s v=""/>
    <m/>
    <n v="1"/>
    <n v="550"/>
    <n v="550"/>
    <m/>
    <m/>
    <m/>
    <m/>
    <n v="0"/>
    <n v="1"/>
    <n v="550"/>
    <n v="0"/>
    <n v="0"/>
    <n v="0"/>
    <n v="0"/>
    <n v="0"/>
    <n v="0"/>
    <n v="0"/>
    <n v="0"/>
  </r>
  <r>
    <s v="US0130"/>
    <x v="6"/>
    <n v="2022"/>
    <n v="2031"/>
    <s v="Chris Bolen"/>
    <n v="10082"/>
    <s v="Chris Bolen"/>
    <s v="678-478-2288"/>
    <s v="Active"/>
    <s v="jcbolen73@gmail.com"/>
    <s v="1751 Heidi Trl Buckhead GA 30625-1530"/>
    <s v="Fawn Rd, Jackson, GA, USA"/>
    <x v="0"/>
    <s v="33.220833, -83.948611"/>
    <n v="9"/>
    <n v="10"/>
    <s v="Y"/>
    <n v="1100"/>
    <n v="1100"/>
    <s v=""/>
    <m/>
    <n v="1"/>
    <n v="1100"/>
    <n v="1100"/>
    <m/>
    <m/>
    <m/>
    <m/>
    <n v="0"/>
    <n v="1"/>
    <n v="1100"/>
    <n v="0"/>
    <m/>
    <n v="1"/>
    <n v="1"/>
    <n v="1100"/>
    <n v="1100"/>
    <n v="0"/>
    <n v="0"/>
  </r>
  <r>
    <s v="US0131"/>
    <x v="6"/>
    <n v="2022"/>
    <n v="2031"/>
    <s v="David Hall"/>
    <n v="10110"/>
    <s v="David Hall"/>
    <s v="229-416-8076"/>
    <s v="Active"/>
    <s v="dhall123@netzero.net"/>
    <s v="2975 Herring Buckhole Rd Donalsonville GA 39845-6025"/>
    <s v="2975 Herring Buckhole Rd Donalsonville GA 39845-6025"/>
    <x v="0"/>
    <s v="30.959732, -84.864059"/>
    <n v="34.6"/>
    <n v="34.809090909090912"/>
    <s v="Y"/>
    <n v="3829"/>
    <n v="3829"/>
    <s v=""/>
    <m/>
    <n v="1"/>
    <n v="3829"/>
    <n v="3829"/>
    <m/>
    <m/>
    <m/>
    <m/>
    <n v="0"/>
    <n v="1"/>
    <n v="3829"/>
    <n v="3737.1039999999998"/>
    <n v="0.97599999999999998"/>
    <n v="0.98"/>
    <n v="0.98"/>
    <n v="3737"/>
    <n v="3737"/>
    <n v="0"/>
    <n v="0"/>
  </r>
  <r>
    <s v="US0132"/>
    <x v="6"/>
    <n v="2022"/>
    <n v="2031"/>
    <s v="David Lewis"/>
    <n v="10111"/>
    <s v="David Lewis"/>
    <s v="850-910-0141"/>
    <s v="Active"/>
    <s v="dlewis63@att.net"/>
    <s v="6981 Ranchers Cove Trl Milton FL 32570-5597"/>
    <s v="Eagle Drive, Milton, FL, USA gate code 0720#"/>
    <x v="0"/>
    <s v="30.694789, -87.088518"/>
    <n v="9.4"/>
    <n v="10"/>
    <s v="Y"/>
    <n v="1100"/>
    <n v="1100"/>
    <s v=""/>
    <m/>
    <n v="1"/>
    <n v="1100"/>
    <n v="1100"/>
    <m/>
    <m/>
    <m/>
    <m/>
    <n v="0"/>
    <n v="1"/>
    <n v="1100"/>
    <n v="1072.5"/>
    <n v="0.97499999999999998"/>
    <n v="0.98"/>
    <n v="0.98"/>
    <n v="1073"/>
    <n v="1073"/>
    <n v="0"/>
    <n v="0"/>
  </r>
  <r>
    <s v="US0133"/>
    <x v="6"/>
    <n v="2022"/>
    <n v="2031"/>
    <s v="Heather Rule"/>
    <n v="10112"/>
    <s v="Heather Rule"/>
    <s v="303-984-1014, 719-271-4390"/>
    <s v="Active"/>
    <s v="calantini@live.com, calantini@aol.com"/>
    <s v="3404 S Pierce St, Lakewood, CO 80227, USA"/>
    <s v="111 Myer Rd Morton WA 98356-9504"/>
    <x v="0"/>
    <s v="46.537576, -122.354751"/>
    <n v="16.5"/>
    <n v="12.481818181818182"/>
    <s v="Y"/>
    <n v="1373"/>
    <n v="1373"/>
    <s v=""/>
    <m/>
    <n v="1"/>
    <n v="1373"/>
    <n v="1373"/>
    <m/>
    <m/>
    <m/>
    <m/>
    <n v="0"/>
    <n v="1"/>
    <n v="1373"/>
    <n v="0"/>
    <m/>
    <n v="0"/>
    <n v="0"/>
    <n v="0"/>
    <n v="0"/>
    <n v="0"/>
    <n v="0"/>
  </r>
  <r>
    <s v="US0134"/>
    <x v="6"/>
    <n v="2022"/>
    <n v="2031"/>
    <s v="Kennsel Bennett"/>
    <n v="10113"/>
    <s v="Kennsel Bennett"/>
    <s v="912-387-8919"/>
    <s v="Active"/>
    <s v="kennselb@gmail.com"/>
    <s v="2592 Seminole Trail, Waycross, GA 31501, USA"/>
    <s v="1341 Manor Millwood Rd N, Manor, GA 31550, USA"/>
    <x v="0"/>
    <s v="31.220170, -82.632183"/>
    <n v="9.8000000000000007"/>
    <n v="10"/>
    <s v="Y"/>
    <n v="1100"/>
    <n v="1100"/>
    <s v=""/>
    <m/>
    <n v="1"/>
    <n v="1100"/>
    <n v="1100"/>
    <m/>
    <m/>
    <m/>
    <m/>
    <n v="0"/>
    <n v="1"/>
    <n v="1100"/>
    <n v="739.2"/>
    <n v="0.67200000000000004"/>
    <n v="0.67"/>
    <n v="0.67"/>
    <n v="739"/>
    <n v="739"/>
    <n v="0"/>
    <n v="0"/>
  </r>
  <r>
    <s v="US0135"/>
    <x v="6"/>
    <n v="2022"/>
    <n v="2031"/>
    <s v="Kyle Flint"/>
    <n v="10094"/>
    <s v="Kyle Flint"/>
    <s v="405-215-8195"/>
    <s v="Active"/>
    <s v="kyle.flint@bhboring.com"/>
    <s v="301 James Dean Dr Norman OK 73072-9793"/>
    <s v="2450 Cox City Rd Rush Springs OK 73082-3122"/>
    <x v="0"/>
    <s v="34.778478, -97.835937; 34.994595, -97.562043"/>
    <m/>
    <n v="40"/>
    <m/>
    <n v="4400"/>
    <n v="4400"/>
    <s v=""/>
    <m/>
    <n v="1"/>
    <n v="4400"/>
    <n v="4400"/>
    <m/>
    <m/>
    <m/>
    <m/>
    <n v="0"/>
    <n v="1"/>
    <n v="4400"/>
    <n v="0"/>
    <m/>
    <n v="0.5"/>
    <n v="0.5"/>
    <n v="2200"/>
    <n v="2200"/>
    <n v="0"/>
    <n v="0"/>
  </r>
  <r>
    <s v="US0139"/>
    <x v="6"/>
    <n v="2022"/>
    <n v="2031"/>
    <s v="Rob Cason"/>
    <n v="10116"/>
    <s v="Rob Cason"/>
    <s v="352-494-3072"/>
    <s v="Active"/>
    <s v="robc@cheneybrothers.com"/>
    <s v="12060 NE County Road 237 Lake Butler FL 32054-5200"/>
    <s v="12060 NE County Road 237 Lake Butler FL 32054-5200"/>
    <x v="0"/>
    <s v="30.047118, -82.259403"/>
    <n v="22.8"/>
    <n v="20"/>
    <s v="Y"/>
    <n v="2200"/>
    <n v="2200"/>
    <s v=""/>
    <m/>
    <n v="1"/>
    <n v="2200"/>
    <n v="2200"/>
    <m/>
    <m/>
    <m/>
    <m/>
    <n v="0"/>
    <n v="1"/>
    <n v="2200"/>
    <n v="908.59999999999991"/>
    <n v="0.41299999999999998"/>
    <n v="0.41"/>
    <n v="0.41"/>
    <n v="909"/>
    <n v="909"/>
    <n v="0"/>
    <n v="0"/>
  </r>
  <r>
    <s v="US0140"/>
    <x v="6"/>
    <n v="2022"/>
    <n v="2031"/>
    <s v="Scott Hamilton"/>
    <n v="10117"/>
    <s v="Scott Hamilton"/>
    <s v="562-857-1953"/>
    <s v="Active"/>
    <s v="Scott.hamilton@enpinstitute.com"/>
    <s v="689 High Falls Road, Jackson, GA, USA 30233"/>
    <s v="689 High Falls Road, Jackson, GA, USA"/>
    <x v="0"/>
    <s v="33.191421, -84.068182"/>
    <n v="17.899999999999999"/>
    <n v="18"/>
    <s v="Y"/>
    <n v="1980"/>
    <n v="1980"/>
    <s v=""/>
    <m/>
    <n v="1"/>
    <n v="1980"/>
    <n v="1980"/>
    <m/>
    <m/>
    <m/>
    <m/>
    <n v="0"/>
    <n v="1"/>
    <n v="1980"/>
    <n v="0"/>
    <m/>
    <n v="1"/>
    <n v="1"/>
    <n v="1980"/>
    <n v="1980"/>
    <n v="0"/>
    <n v="0"/>
  </r>
  <r>
    <s v="US0141"/>
    <x v="6"/>
    <n v="2022"/>
    <n v="2031"/>
    <s v="Sisay Souphom"/>
    <n v="10102"/>
    <s v="Sisay Souphom"/>
    <s v="334-220-2957"/>
    <s v="Active"/>
    <s v="ssouphom@gmail.com"/>
    <s v="625 Fern Rd Wetumpka AL 36092-7465"/>
    <s v="789 Fern Rd Wetumpka, Al 36092"/>
    <x v="0"/>
    <s v="32.619274,- 86.316458"/>
    <n v="6.7"/>
    <n v="5"/>
    <s v="Y"/>
    <n v="550"/>
    <n v="550"/>
    <s v=""/>
    <m/>
    <n v="1"/>
    <n v="550"/>
    <n v="550"/>
    <m/>
    <m/>
    <m/>
    <m/>
    <n v="0"/>
    <n v="1"/>
    <n v="550"/>
    <n v="399.3"/>
    <n v="0.72599999999999998"/>
    <n v="0.73"/>
    <n v="0.73"/>
    <n v="399"/>
    <n v="399"/>
    <n v="0"/>
    <n v="0"/>
  </r>
  <r>
    <s v="US0142"/>
    <x v="6"/>
    <n v="2022"/>
    <n v="2031"/>
    <s v="Steven Hunter"/>
    <n v="10104"/>
    <s v="Steven Hunter"/>
    <s v="205-405-0233"/>
    <s v="Active"/>
    <s v="stevenhunter@protonmail.com"/>
    <s v="PO Box 395 Maplesville AL 36750-0395"/>
    <s v="2645 State Highway 139, Maplesville, Alabama 36750, USA"/>
    <x v="0"/>
    <s v="32.819540, -86.884327"/>
    <n v="9.3000000000000007"/>
    <n v="10"/>
    <s v="Y"/>
    <n v="1100"/>
    <n v="1100"/>
    <s v=""/>
    <m/>
    <n v="1"/>
    <n v="1100"/>
    <n v="1100"/>
    <m/>
    <m/>
    <m/>
    <m/>
    <n v="0"/>
    <n v="1"/>
    <n v="1100"/>
    <n v="66"/>
    <n v="0.06"/>
    <n v="0.06"/>
    <n v="0.06"/>
    <n v="66"/>
    <n v="66"/>
    <n v="0"/>
    <n v="0"/>
  </r>
  <r>
    <s v="US0143"/>
    <x v="6"/>
    <n v="2022"/>
    <n v="2031"/>
    <s v="Todd McCarley"/>
    <n v="10118"/>
    <s v="Todd McCarley"/>
    <s v="334-657-8505"/>
    <s v="Active"/>
    <s v="toddm87413@gmail.com"/>
    <s v="818 Foreman Rd Deatsville AL 36022-3546"/>
    <s v="818 Foreman Rd Deatsville AL 36022-3546"/>
    <x v="0"/>
    <s v="32.646970, -86.381339"/>
    <n v="10.199999999999999"/>
    <n v="10"/>
    <s v="Y"/>
    <n v="1100"/>
    <n v="1100"/>
    <s v=""/>
    <m/>
    <n v="1"/>
    <n v="1100"/>
    <n v="1100"/>
    <m/>
    <m/>
    <m/>
    <m/>
    <n v="0"/>
    <n v="1"/>
    <n v="1100"/>
    <n v="726"/>
    <n v="0.66"/>
    <n v="0.66"/>
    <n v="0.66"/>
    <n v="726"/>
    <n v="726"/>
    <n v="0"/>
    <n v="0"/>
  </r>
  <r>
    <s v="US0144"/>
    <x v="6"/>
    <n v="2022"/>
    <n v="2031"/>
    <s v="William (Cliff) Scales"/>
    <n v="10119"/>
    <s v="William (Cliff) Scales"/>
    <s v="478-955-0051"/>
    <s v="Active"/>
    <s v="cliff.scales@outlook.com"/>
    <s v="45B Old Milledgeville Rd Hawkinsville GA 31036-6706"/>
    <s v="45B Old Milledgeville Rd Hawkinsville GA 31036-6706"/>
    <x v="0"/>
    <s v="32.329099, -83.418513"/>
    <n v="9.6999999999999993"/>
    <n v="10"/>
    <s v="Y"/>
    <n v="1100"/>
    <n v="1100"/>
    <s v=""/>
    <m/>
    <n v="1"/>
    <n v="1100"/>
    <n v="1100"/>
    <m/>
    <m/>
    <m/>
    <m/>
    <n v="0"/>
    <n v="1"/>
    <n v="1100"/>
    <n v="0"/>
    <m/>
    <n v="1"/>
    <n v="1"/>
    <n v="1100"/>
    <n v="1100"/>
    <n v="0"/>
    <n v="0"/>
  </r>
  <r>
    <s v="US0136"/>
    <x v="6"/>
    <n v="2022"/>
    <n v="2031"/>
    <s v="Michele Dominguez"/>
    <n v="10114"/>
    <s v="Michele Dominguez"/>
    <s v="540-905-5647"/>
    <s v="RFT"/>
    <s v="jacknimbel@aol.com"/>
    <s v="2530 Ayers Rd Moneta VA 24121-3522"/>
    <s v="2530 Ayers Rd Moneta VA 24121-3522"/>
    <x v="0"/>
    <s v="37.159784, -79.564229"/>
    <n v="23"/>
    <s v=""/>
    <s v="Y"/>
    <n v="1112"/>
    <n v="1112"/>
    <s v=""/>
    <m/>
    <n v="1"/>
    <n v="1112"/>
    <n v="1112"/>
    <m/>
    <m/>
    <m/>
    <m/>
    <n v="0"/>
    <n v="1"/>
    <n v="1112"/>
    <n v="0"/>
    <m/>
    <n v="1"/>
    <n v="0"/>
    <n v="1112"/>
    <n v="1112"/>
    <n v="0"/>
    <n v="0"/>
  </r>
  <r>
    <s v="US0137"/>
    <x v="6"/>
    <n v="2022"/>
    <n v="2031"/>
    <s v="Pete Preskitt"/>
    <n v="10068"/>
    <s v="Pete Preskitt"/>
    <s v="334-651-1377"/>
    <s v="RFT"/>
    <s v="ppreskitt@icloud.com"/>
    <s v="2140 Weoka Rd Wetumpka AL 36092-4520"/>
    <s v="2140 Weoka Rd Wetumpka AL 36092-4520"/>
    <x v="0"/>
    <s v="32.617043, -86.203639"/>
    <n v="10.5"/>
    <s v=""/>
    <s v="Y"/>
    <n v="1100"/>
    <n v="1100"/>
    <s v=""/>
    <m/>
    <n v="1"/>
    <n v="1100"/>
    <n v="1100"/>
    <m/>
    <m/>
    <m/>
    <m/>
    <n v="0"/>
    <n v="1"/>
    <n v="1100"/>
    <n v="0"/>
    <m/>
    <n v="1"/>
    <n v="0"/>
    <n v="1100"/>
    <n v="1100"/>
    <n v="0"/>
    <n v="0"/>
  </r>
  <r>
    <s v="US0138"/>
    <x v="6"/>
    <n v="2022"/>
    <n v="2031"/>
    <s v="Rick Griffis"/>
    <n v="10115"/>
    <s v="Rick Griffis"/>
    <s v="229 834 8941"/>
    <s v="RFT"/>
    <s v="rickgriffis53@gmail.com, rickgriffis@gmail.com"/>
    <s v="3272 GA Highway 135 N Lake Park GA 31636-6137"/>
    <s v="3272 GA Highway 135 N Lake Park GA 31636-6137"/>
    <x v="0"/>
    <s v="30.824649, -83.054345"/>
    <n v="13"/>
    <s v=""/>
    <s v="Y"/>
    <n v="1100"/>
    <n v="1100"/>
    <s v=""/>
    <m/>
    <n v="1"/>
    <n v="1100"/>
    <n v="1100"/>
    <m/>
    <m/>
    <m/>
    <m/>
    <n v="0"/>
    <n v="1"/>
    <n v="1100"/>
    <n v="0"/>
    <m/>
    <n v="1"/>
    <n v="0"/>
    <n v="1100"/>
    <n v="1100"/>
    <n v="0"/>
    <n v="0"/>
  </r>
  <r>
    <s v="CR0100"/>
    <x v="6"/>
    <n v="2023"/>
    <n v="2032"/>
    <s v="Samuel Wards"/>
    <n v="20092"/>
    <s v="Samule Wards"/>
    <s v="506-6298-7677"/>
    <s v="Active"/>
    <s v="ward_samuel@yahoo.com"/>
    <s v="Frente a la Iglesia Metodista de Pacuarito de Siquirres, Limón"/>
    <m/>
    <x v="1"/>
    <s v="10.106916, -83.469906"/>
    <n v="6.1776299999999997"/>
    <n v="6.1776252590741585"/>
    <m/>
    <n v="1000"/>
    <n v="1000"/>
    <s v=""/>
    <m/>
    <n v="1"/>
    <n v="1000"/>
    <n v="1000"/>
    <m/>
    <m/>
    <m/>
    <m/>
    <n v="0"/>
    <n v="1"/>
    <n v="1000"/>
    <n v="0"/>
    <m/>
    <n v="1"/>
    <n v="1"/>
    <n v="1000"/>
    <n v="1000"/>
    <n v="0"/>
    <n v="0"/>
  </r>
  <r>
    <s v="CR0101"/>
    <x v="6"/>
    <n v="2023"/>
    <n v="2032"/>
    <s v="Leonardo Barquero"/>
    <n v="20093"/>
    <s v="Tecamachalco S.A"/>
    <s v="52 55 70698839"/>
    <s v="Active"/>
    <s v="barqueroj@gmail.com, ravenard@yahoo.com"/>
    <s v="De la Cruz Roja de Santa Ana, 400m Oeste, 300m Norte y 200 m oeste. Condominio La Hacienda #22"/>
    <m/>
    <x v="1"/>
    <s v="9.9405556, -84.4611111"/>
    <n v="9.8842199999999991"/>
    <n v="10.50196294042607"/>
    <m/>
    <n v="1700"/>
    <n v="1700"/>
    <s v=""/>
    <m/>
    <n v="1"/>
    <n v="1700"/>
    <n v="1700"/>
    <m/>
    <m/>
    <m/>
    <m/>
    <n v="0"/>
    <n v="1"/>
    <n v="1700"/>
    <n v="0"/>
    <m/>
    <n v="1"/>
    <n v="1"/>
    <n v="1700"/>
    <n v="1700"/>
    <n v="0"/>
    <n v="0"/>
  </r>
  <r>
    <s v="CR0102"/>
    <x v="7"/>
    <n v="2023"/>
    <n v="2032"/>
    <s v="William Romero"/>
    <n v="20094"/>
    <s v="Karen Vargas Fernandez y William Romero Fernandez"/>
    <s v="506 8392-9488, 506 8867-9772"/>
    <s v="Active"/>
    <s v="brprecision@hotmail.com"/>
    <s v="Heredia, Ulloa: Calle la Carpintera, de lubricentro Freddy 400mts sur-oeste, tapia color gris a mano izquierda"/>
    <m/>
    <x v="1"/>
    <s v="10.311763, -85.032074"/>
    <n v="7.4131600000000004"/>
    <n v="7.4131503108889909"/>
    <m/>
    <n v="1200"/>
    <n v="1200"/>
    <s v=""/>
    <m/>
    <n v="1"/>
    <n v="1200"/>
    <n v="1200"/>
    <m/>
    <m/>
    <m/>
    <m/>
    <n v="0"/>
    <n v="1"/>
    <n v="1200"/>
    <n v="1143.5999999999999"/>
    <n v="0.95299999999999996"/>
    <n v="0.95"/>
    <n v="0.95"/>
    <n v="1144"/>
    <n v="1144"/>
    <n v="0"/>
    <n v="0"/>
  </r>
  <r>
    <s v="CR0103"/>
    <x v="7"/>
    <n v="2023"/>
    <n v="2032"/>
    <s v="Jorge Alberto Cole"/>
    <n v="20095"/>
    <s v="Himalaya Verde  LTDA"/>
    <s v="506 8599-3617"/>
    <s v="Active"/>
    <s v="guanabanasdeosa@gmail.com"/>
    <s v="Puntarenas Province, Ciudad Cortés, Costa Rica"/>
    <m/>
    <x v="1"/>
    <s v="8.948962,-83.454376"/>
    <n v="12.3553"/>
    <n v="12.355250518148317"/>
    <m/>
    <n v="2000"/>
    <n v="2000"/>
    <s v=""/>
    <m/>
    <n v="1"/>
    <n v="2000"/>
    <n v="2000"/>
    <m/>
    <m/>
    <m/>
    <m/>
    <n v="0"/>
    <n v="1"/>
    <n v="2000"/>
    <n v="0"/>
    <m/>
    <n v="1"/>
    <n v="1"/>
    <n v="2000"/>
    <n v="2000"/>
    <n v="0"/>
    <n v="0"/>
  </r>
  <r>
    <s v="CR0104"/>
    <x v="7"/>
    <n v="2023"/>
    <n v="2032"/>
    <s v="Emmanuel Manuel Ruiz"/>
    <n v="20096"/>
    <s v="Jose Manuel Ruiz"/>
    <s v="506 8357-0986"/>
    <s v="Active"/>
    <s v="emaruiztorres@gmail.com"/>
    <s v="Heredia Province, La Virgen, Costa Rica"/>
    <m/>
    <x v="1"/>
    <s v="10.357575,-84.067108"/>
    <n v="12.3553"/>
    <n v="12.355250518148317"/>
    <m/>
    <n v="2000"/>
    <n v="2000"/>
    <s v=""/>
    <m/>
    <n v="1"/>
    <n v="2000"/>
    <n v="2000"/>
    <m/>
    <m/>
    <m/>
    <m/>
    <n v="0"/>
    <n v="1"/>
    <n v="2000"/>
    <n v="1862"/>
    <n v="0.93100000000000005"/>
    <n v="0.93"/>
    <n v="0.93"/>
    <n v="1862"/>
    <n v="1862"/>
    <n v="0"/>
    <n v="0"/>
  </r>
  <r>
    <s v="CR0105"/>
    <x v="6"/>
    <n v="2023"/>
    <n v="2032"/>
    <s v="Johaner Rosales Flores"/>
    <n v="20097"/>
    <s v="Johaner Rosales Flores"/>
    <s v="506 8323-6963"/>
    <s v="Active"/>
    <s v="johaner.rf@gmail.com"/>
    <s v="Valle de la estrella"/>
    <m/>
    <x v="1"/>
    <s v="9.681389, -82.927467"/>
    <n v="14.8263"/>
    <n v="14.826300621777982"/>
    <m/>
    <n v="2400"/>
    <n v="2400"/>
    <s v=""/>
    <m/>
    <n v="1"/>
    <n v="2400"/>
    <n v="2400"/>
    <m/>
    <m/>
    <m/>
    <m/>
    <n v="0"/>
    <n v="1"/>
    <n v="2400"/>
    <n v="0"/>
    <m/>
    <n v="1"/>
    <n v="1"/>
    <n v="2400"/>
    <n v="2400"/>
    <n v="0"/>
    <n v="0"/>
  </r>
  <r>
    <s v="GT0031c"/>
    <x v="7"/>
    <n v="2023"/>
    <n v="2032"/>
    <s v="Derek José Herman Gordillo"/>
    <n v="30028"/>
    <s v="Agroindustrias Nativa S.A./Derek José Herman Gordillo"/>
    <s v="+502 40117762"/>
    <s v="Active"/>
    <s v="hermangster@gmail.com, dherman@grupoadh.com"/>
    <s v="Aldea Laguna Bermeja, Granja San Luis, Condominio Laguna del Bosque Casa '1169, zona 7, Santa Cata­rina Pinula, Guatemala"/>
    <s v="Aldea El Parafso, municipio de Sayaxche, Departamento de Peten"/>
    <x v="2"/>
    <s v="16.490000, -90.127200"/>
    <n v="149.69999999999999"/>
    <n v="85.63636363636364"/>
    <m/>
    <n v="9420"/>
    <n v="9420"/>
    <s v=""/>
    <m/>
    <n v="1"/>
    <n v="9420"/>
    <n v="9420"/>
    <m/>
    <m/>
    <m/>
    <m/>
    <n v="0"/>
    <n v="1"/>
    <n v="0"/>
    <n v="9420"/>
    <n v="1"/>
    <n v="1"/>
    <n v="1"/>
    <n v="9420"/>
    <n v="9420"/>
    <n v="0"/>
    <n v="0"/>
  </r>
  <r>
    <s v="GT0044"/>
    <x v="7"/>
    <n v="2023"/>
    <n v="2032"/>
    <s v="David Horacio Estrada Jeréz"/>
    <n v="30017"/>
    <s v="David Horacio Estrada Jeréz"/>
    <s v="(502) 56940037"/>
    <s v="Active"/>
    <s v="estradahoracio@yahoo.es"/>
    <s v="ASOCIACION DE DESARROLLO VERDE DE GUATEMALA - ASOVERDE, CASA NÚMERO 4, COLONIA PRADOS DE CANNAN, MUNICIPIO DE CHIQUIMULA, DEPARTAMENTO DE CHIQUIMULA"/>
    <s v="ALDEA EL DURAZNO, MUNICIPIO DE CHIQUIMULA, DEPARTAMENTO DE CHIQUIMULA"/>
    <x v="2"/>
    <s v="14.131222, -90.386278"/>
    <n v="8.8957899999999999"/>
    <n v="9.0909090909090917"/>
    <m/>
    <n v="1000"/>
    <n v="1000"/>
    <s v=""/>
    <m/>
    <n v="1"/>
    <n v="1000"/>
    <n v="1000"/>
    <m/>
    <m/>
    <m/>
    <m/>
    <n v="0"/>
    <n v="1"/>
    <n v="1000"/>
    <n v="855"/>
    <n v="0.85499999999999998"/>
    <n v="0.86"/>
    <n v="0.86"/>
    <n v="855"/>
    <n v="855"/>
    <n v="0"/>
    <n v="0"/>
  </r>
  <r>
    <s v="GT0045"/>
    <x v="7"/>
    <n v="2023"/>
    <n v="2032"/>
    <s v="Trapiche de la Vega S.A. /María Isabel Agüero"/>
    <n v="30033"/>
    <s v="Trapiche de la Vega Sociedad Anónima / Walesca María Isabel Agüero Urruela de Maegli"/>
    <s v="502 59910111"/>
    <s v="Active"/>
    <s v="maguero@grupotecun.com"/>
    <s v="23 av enida 6 72, zona 15, Vista Hermosa I"/>
    <m/>
    <x v="2"/>
    <s v="14.355278, -90.460000"/>
    <n v="14.5792"/>
    <n v="14.909090909090908"/>
    <m/>
    <n v="1640"/>
    <n v="1640"/>
    <s v=""/>
    <m/>
    <n v="1"/>
    <n v="1640"/>
    <n v="1640"/>
    <m/>
    <m/>
    <m/>
    <m/>
    <n v="0"/>
    <n v="1"/>
    <n v="1640"/>
    <n v="1193.92"/>
    <n v="0.72799999999999998"/>
    <n v="0.73"/>
    <n v="0.73"/>
    <n v="1194"/>
    <n v="1194"/>
    <n v="0"/>
    <n v="0"/>
  </r>
  <r>
    <s v="MX0038"/>
    <x v="6"/>
    <n v="2023"/>
    <n v="2032"/>
    <s v="Abraham Arreola Salto"/>
    <n v="40037"/>
    <m/>
    <s v="917 109 7180"/>
    <s v="Active"/>
    <s v="banchearreola@hotmail.com"/>
    <m/>
    <m/>
    <x v="3"/>
    <s v="17.6007097, -94.5515989"/>
    <m/>
    <n v="12.355108275676161"/>
    <m/>
    <n v="2750"/>
    <n v="2750"/>
    <s v=""/>
    <m/>
    <n v="1"/>
    <n v="2750"/>
    <n v="2750"/>
    <m/>
    <m/>
    <m/>
    <m/>
    <n v="0"/>
    <n v="1"/>
    <n v="2750"/>
    <n v="0"/>
    <m/>
    <n v="1"/>
    <n v="1"/>
    <n v="2750"/>
    <n v="2750"/>
    <n v="0"/>
    <n v="0"/>
  </r>
  <r>
    <s v="MX0039"/>
    <x v="7"/>
    <n v="2023"/>
    <n v="2032"/>
    <s v="Agustín Ayala Torres"/>
    <n v="40038"/>
    <m/>
    <m/>
    <s v="Active"/>
    <s v="Joseayalavazquez911@gmail.com"/>
    <m/>
    <m/>
    <x v="3"/>
    <s v="17.5162635, -94.4338635"/>
    <m/>
    <n v="12.579746607961182"/>
    <m/>
    <n v="3542"/>
    <n v="2800"/>
    <n v="742"/>
    <m/>
    <n v="1"/>
    <n v="3542"/>
    <n v="2800"/>
    <m/>
    <m/>
    <m/>
    <m/>
    <n v="0"/>
    <n v="1"/>
    <n v="2800"/>
    <n v="0"/>
    <m/>
    <n v="1"/>
    <n v="1"/>
    <n v="2800"/>
    <n v="2800"/>
    <n v="0"/>
    <n v="0"/>
  </r>
  <r>
    <s v="MX0040"/>
    <x v="6"/>
    <n v="2023"/>
    <n v="2032"/>
    <s v="Angela López Cruz"/>
    <n v="40039"/>
    <m/>
    <m/>
    <s v="Active"/>
    <s v="cruzambrosio370@gmail.com "/>
    <m/>
    <m/>
    <x v="3"/>
    <s v="17.491062, -94.436408"/>
    <m/>
    <n v="12.355108275676161"/>
    <m/>
    <n v="2750"/>
    <n v="2750"/>
    <s v=""/>
    <m/>
    <n v="1"/>
    <n v="2750"/>
    <n v="2750"/>
    <m/>
    <m/>
    <m/>
    <m/>
    <n v="0"/>
    <n v="1"/>
    <n v="2750"/>
    <n v="0"/>
    <m/>
    <n v="1"/>
    <n v="1"/>
    <n v="2750"/>
    <n v="2750"/>
    <n v="0"/>
    <n v="0"/>
  </r>
  <r>
    <s v="MX0042"/>
    <x v="7"/>
    <n v="2023"/>
    <n v="2032"/>
    <s v="Caralampio Arreola López"/>
    <n v="40025"/>
    <m/>
    <m/>
    <s v="Active"/>
    <s v="hvargasforestal@hotmail.com"/>
    <m/>
    <m/>
    <x v="3"/>
    <s v="17.211378, -94.592932"/>
    <m/>
    <n v="4.9420433102704644"/>
    <m/>
    <n v="1100"/>
    <n v="1100"/>
    <s v=""/>
    <m/>
    <n v="1"/>
    <n v="1100"/>
    <n v="1100"/>
    <m/>
    <m/>
    <m/>
    <m/>
    <n v="0"/>
    <n v="1"/>
    <n v="1100"/>
    <n v="0"/>
    <m/>
    <n v="1"/>
    <n v="1"/>
    <n v="1100"/>
    <n v="1100"/>
    <n v="0"/>
    <n v="0"/>
  </r>
  <r>
    <s v="MX0043"/>
    <x v="7"/>
    <n v="2023"/>
    <n v="2032"/>
    <s v="Carlos Carbajal Gutiérrez"/>
    <n v="40026"/>
    <m/>
    <m/>
    <s v="Active"/>
    <s v="jcarbajal.g@hotmail.com"/>
    <m/>
    <m/>
    <x v="3"/>
    <s v="17.502994, -94.439860"/>
    <m/>
    <n v="4.9420433102704644"/>
    <m/>
    <n v="1100"/>
    <n v="1100"/>
    <s v=""/>
    <m/>
    <n v="1"/>
    <n v="1100"/>
    <n v="1100"/>
    <m/>
    <m/>
    <m/>
    <m/>
    <n v="0"/>
    <n v="1"/>
    <n v="1100"/>
    <n v="0"/>
    <m/>
    <n v="1"/>
    <n v="1"/>
    <n v="1100"/>
    <n v="1100"/>
    <n v="0"/>
    <n v="0"/>
  </r>
  <r>
    <s v="MX0044"/>
    <x v="6"/>
    <n v="2023"/>
    <n v="2032"/>
    <s v="Eduardo Romero Aguilar"/>
    <n v="40041"/>
    <m/>
    <m/>
    <s v="Active"/>
    <m/>
    <m/>
    <m/>
    <x v="3"/>
    <s v="17.6514457, -93.7004533"/>
    <m/>
    <n v="12.355108275676161"/>
    <m/>
    <n v="2750"/>
    <n v="2750"/>
    <s v=""/>
    <m/>
    <n v="1"/>
    <n v="2750"/>
    <n v="2750"/>
    <m/>
    <m/>
    <m/>
    <m/>
    <n v="0"/>
    <n v="1"/>
    <n v="2750"/>
    <n v="0"/>
    <m/>
    <n v="1"/>
    <n v="1"/>
    <n v="2750"/>
    <n v="2750"/>
    <n v="0"/>
    <n v="0"/>
  </r>
  <r>
    <s v="MX0046"/>
    <x v="6"/>
    <n v="2023"/>
    <n v="2032"/>
    <s v="Lorenzo Rodríguez Osorio"/>
    <n v="40043"/>
    <m/>
    <m/>
    <s v="Active"/>
    <m/>
    <m/>
    <m/>
    <x v="3"/>
    <s v="17.1850153, -94.2047243"/>
    <m/>
    <n v="4.9420433102704644"/>
    <m/>
    <n v="1100"/>
    <n v="1100"/>
    <s v=""/>
    <m/>
    <n v="1"/>
    <n v="1100"/>
    <n v="1100"/>
    <m/>
    <m/>
    <m/>
    <m/>
    <n v="0"/>
    <n v="1"/>
    <n v="1100"/>
    <n v="0"/>
    <m/>
    <n v="1"/>
    <n v="1"/>
    <n v="1100"/>
    <n v="1100"/>
    <n v="0"/>
    <n v="0"/>
  </r>
  <r>
    <s v="MX0047"/>
    <x v="7"/>
    <n v="2023"/>
    <n v="2032"/>
    <s v="Moisés Jacinto Felipe"/>
    <n v="40044"/>
    <m/>
    <m/>
    <s v="Active"/>
    <s v="jacintofelipemoises16@gmail.com"/>
    <m/>
    <m/>
    <x v="3"/>
    <s v="17.2663584, -94.8070242"/>
    <m/>
    <n v="11.905831611106118"/>
    <m/>
    <n v="4400"/>
    <n v="2650"/>
    <n v="1750"/>
    <m/>
    <n v="1"/>
    <n v="4400"/>
    <n v="2650"/>
    <m/>
    <m/>
    <m/>
    <m/>
    <n v="0"/>
    <n v="1"/>
    <n v="2650"/>
    <n v="0"/>
    <m/>
    <n v="1"/>
    <n v="1"/>
    <n v="2650"/>
    <n v="2650"/>
    <n v="0"/>
    <n v="0"/>
  </r>
  <r>
    <s v="MX0048"/>
    <x v="7"/>
    <n v="2023"/>
    <n v="2032"/>
    <s v="Pedro Molina Sánchez"/>
    <n v="40033"/>
    <m/>
    <m/>
    <s v="Active"/>
    <s v="molina_2155@hotmail.com"/>
    <m/>
    <m/>
    <x v="3"/>
    <s v="17.242757, -94.827848"/>
    <m/>
    <n v="7.4130649654056961"/>
    <m/>
    <n v="1650"/>
    <n v="1650"/>
    <s v=""/>
    <m/>
    <n v="1"/>
    <n v="1650"/>
    <n v="1650"/>
    <m/>
    <m/>
    <m/>
    <m/>
    <n v="0"/>
    <n v="1"/>
    <n v="1650"/>
    <n v="0"/>
    <m/>
    <n v="1"/>
    <n v="1"/>
    <n v="1650"/>
    <n v="1650"/>
    <n v="0"/>
    <n v="0"/>
  </r>
  <r>
    <s v="MX0049"/>
    <x v="7"/>
    <n v="2023"/>
    <n v="2032"/>
    <s v="Roberta Felipe Cruz"/>
    <n v="40045"/>
    <m/>
    <m/>
    <s v="Active"/>
    <s v="jacintofelipemoises16@gmail.com"/>
    <m/>
    <m/>
    <x v="3"/>
    <s v="17.2702675, -94.8103548"/>
    <m/>
    <n v="7.4130649654056961"/>
    <m/>
    <n v="2750"/>
    <n v="1650"/>
    <n v="1100"/>
    <m/>
    <n v="1"/>
    <n v="2750"/>
    <n v="1650"/>
    <m/>
    <m/>
    <m/>
    <m/>
    <n v="0"/>
    <n v="1"/>
    <n v="1650"/>
    <n v="0"/>
    <m/>
    <n v="1"/>
    <n v="1"/>
    <n v="1650"/>
    <n v="1650"/>
    <n v="0"/>
    <n v="0"/>
  </r>
  <r>
    <s v="MX0050"/>
    <x v="6"/>
    <n v="2023"/>
    <n v="2032"/>
    <s v="Sofía Bautista Bustos"/>
    <n v="40046"/>
    <m/>
    <m/>
    <s v="Active"/>
    <s v="dalarconb@hotmail.com"/>
    <m/>
    <m/>
    <x v="3"/>
    <s v="17.581839, -95.235197"/>
    <m/>
    <n v="12.355108275676161"/>
    <m/>
    <n v="2750"/>
    <n v="2750"/>
    <s v=""/>
    <m/>
    <n v="1"/>
    <n v="2750"/>
    <n v="2750"/>
    <m/>
    <m/>
    <m/>
    <m/>
    <n v="0"/>
    <n v="1"/>
    <n v="2750"/>
    <n v="0"/>
    <m/>
    <n v="1"/>
    <n v="1"/>
    <n v="2750"/>
    <n v="2750"/>
    <n v="0"/>
    <n v="0"/>
  </r>
  <r>
    <s v="MX0051"/>
    <x v="7"/>
    <n v="2023"/>
    <n v="2032"/>
    <s v="Tito Soria Pérez"/>
    <n v="40035"/>
    <s v="Tito Soria Pérez"/>
    <m/>
    <s v="Active"/>
    <s v="‎soriapereztito@gmail.com"/>
    <m/>
    <m/>
    <x v="3"/>
    <s v="17.799281, -93.462602"/>
    <m/>
    <n v="49.420433102704642"/>
    <m/>
    <n v="11000"/>
    <n v="11000"/>
    <s v=""/>
    <m/>
    <n v="1"/>
    <n v="11000"/>
    <n v="11000"/>
    <m/>
    <m/>
    <m/>
    <m/>
    <n v="0"/>
    <n v="1"/>
    <n v="11000"/>
    <n v="0"/>
    <m/>
    <n v="1"/>
    <n v="1"/>
    <n v="11000"/>
    <n v="11000"/>
    <n v="0"/>
    <n v="0"/>
  </r>
  <r>
    <s v="MX0052"/>
    <x v="6"/>
    <n v="2023"/>
    <n v="2032"/>
    <s v="Victorico Ortega Cohetero"/>
    <n v="40047"/>
    <m/>
    <m/>
    <s v="Active"/>
    <s v="Victoricoortegacohetero@gmail.com"/>
    <m/>
    <m/>
    <x v="3"/>
    <s v="17.216251, -94.217917"/>
    <m/>
    <n v="12.355108275676161"/>
    <m/>
    <n v="2750"/>
    <n v="2750"/>
    <s v=""/>
    <m/>
    <n v="1"/>
    <n v="2750"/>
    <n v="2750"/>
    <m/>
    <m/>
    <m/>
    <m/>
    <n v="0"/>
    <n v="1"/>
    <n v="2750"/>
    <n v="0"/>
    <m/>
    <n v="1"/>
    <n v="1"/>
    <n v="2750"/>
    <n v="2750"/>
    <n v="0"/>
    <n v="0"/>
  </r>
  <r>
    <s v="MX0041"/>
    <x v="7"/>
    <n v="2023"/>
    <n v="0"/>
    <s v="Aquiles Augusto Del Río Radilla"/>
    <n v="40040"/>
    <m/>
    <m/>
    <s v="Out of Program"/>
    <m/>
    <m/>
    <m/>
    <x v="3"/>
    <s v="17.680469, -94.024183"/>
    <m/>
    <s v=""/>
    <m/>
    <n v="2750"/>
    <n v="420"/>
    <n v="2330"/>
    <m/>
    <n v="1"/>
    <n v="2750"/>
    <n v="420"/>
    <m/>
    <m/>
    <m/>
    <m/>
    <n v="0"/>
    <m/>
    <m/>
    <n v="0"/>
    <n v="0"/>
    <n v="0"/>
    <n v="0"/>
    <n v="0"/>
    <n v="0"/>
    <n v="0"/>
    <n v="0"/>
  </r>
  <r>
    <s v="MX0045"/>
    <x v="7"/>
    <n v="2023"/>
    <n v="0"/>
    <s v="Juan Ramón Aguilar Rodríguez"/>
    <n v="40042"/>
    <m/>
    <m/>
    <s v="Out of Program"/>
    <m/>
    <m/>
    <m/>
    <x v="3"/>
    <m/>
    <m/>
    <s v=""/>
    <m/>
    <n v="550"/>
    <n v="200"/>
    <n v="350"/>
    <m/>
    <n v="1"/>
    <n v="550"/>
    <n v="200"/>
    <m/>
    <m/>
    <m/>
    <m/>
    <n v="0"/>
    <m/>
    <m/>
    <n v="0"/>
    <n v="0"/>
    <n v="0"/>
    <n v="0"/>
    <n v="0"/>
    <n v="0"/>
    <n v="0"/>
    <n v="0"/>
  </r>
  <r>
    <s v="US0145"/>
    <x v="6"/>
    <n v="2023"/>
    <n v="2032"/>
    <s v="Andy McCormick"/>
    <n v="10120"/>
    <s v="Andy McCormick"/>
    <s v="256-201-1839"/>
    <s v="Active"/>
    <s v="grandmastersx32x@yahoo.com"/>
    <s v="380 County Road 923 Heflin AL 36264-3658"/>
    <s v="380 County Road 923 Heflin AL 36264-3658"/>
    <x v="0"/>
    <s v="33.544381, -85.638128"/>
    <n v="15"/>
    <n v="15"/>
    <m/>
    <n v="1650"/>
    <n v="1650"/>
    <s v=""/>
    <m/>
    <n v="1"/>
    <n v="1650"/>
    <n v="1650"/>
    <m/>
    <m/>
    <m/>
    <m/>
    <n v="0"/>
    <n v="1"/>
    <n v="1650"/>
    <n v="0"/>
    <m/>
    <n v="1"/>
    <n v="1"/>
    <n v="1650"/>
    <n v="1650"/>
    <n v="0"/>
    <n v="0"/>
  </r>
  <r>
    <s v="US0146"/>
    <x v="6"/>
    <n v="2023"/>
    <n v="2032"/>
    <s v="Clinton Hardie"/>
    <n v="10121"/>
    <s v="Anita J Hardie"/>
    <s v="478-808-1458"/>
    <s v="Active"/>
    <s v="awnfarms@hotmail.com"/>
    <s v="177 Hwy 243 Ivey GA. 31031"/>
    <s v="181 GA-243, Ivey, GA 31031, USA"/>
    <x v="0"/>
    <s v="32.9159, -83.2916"/>
    <n v="28"/>
    <n v="25.454545454545453"/>
    <m/>
    <n v="2800"/>
    <n v="2800"/>
    <m/>
    <m/>
    <n v="1"/>
    <n v="2800"/>
    <n v="2800"/>
    <m/>
    <m/>
    <m/>
    <m/>
    <n v="0"/>
    <n v="1"/>
    <n v="2800"/>
    <n v="0"/>
    <m/>
    <n v="1"/>
    <n v="1"/>
    <n v="2800"/>
    <n v="2800"/>
    <n v="0"/>
    <n v="0"/>
  </r>
  <r>
    <s v="US0147"/>
    <x v="6"/>
    <n v="2023"/>
    <n v="2032"/>
    <s v="Colin McCulley"/>
    <n v="10122"/>
    <s v="Colin McCulley"/>
    <s v="478-457-6214"/>
    <s v="Active"/>
    <s v="mcc120797@gmail.com"/>
    <s v="23780 U.S. 441, Milledgeville, GA 31061"/>
    <s v="23780 U.S. 441, Milledgeville, GA 31061"/>
    <x v="0"/>
    <s v="32.950704, -83.201976"/>
    <n v="15"/>
    <n v="12"/>
    <m/>
    <n v="1320"/>
    <n v="1320"/>
    <m/>
    <m/>
    <n v="1"/>
    <n v="1320"/>
    <n v="1320"/>
    <m/>
    <m/>
    <m/>
    <m/>
    <n v="0"/>
    <n v="1"/>
    <n v="1320"/>
    <n v="0"/>
    <m/>
    <n v="1"/>
    <n v="1"/>
    <n v="1320"/>
    <n v="1320"/>
    <n v="0"/>
    <n v="0"/>
  </r>
  <r>
    <s v="US0148"/>
    <x v="6"/>
    <n v="2023"/>
    <n v="2032"/>
    <s v="David Hall"/>
    <n v="10110"/>
    <s v="David Hall"/>
    <s v="229-416-8076"/>
    <s v="Active"/>
    <s v="dhall123@netzero.net"/>
    <s v="2975 Herring Buckhole Rd Donalsonville GA 39845-6025"/>
    <s v="2975 Herring Buckhole Rd Donalsonville GA 39845-6025"/>
    <x v="0"/>
    <s v="30.959732, -84.864059"/>
    <n v="10"/>
    <n v="10"/>
    <m/>
    <n v="1100"/>
    <n v="1100"/>
    <s v=""/>
    <m/>
    <n v="1"/>
    <n v="1100"/>
    <n v="1100"/>
    <m/>
    <m/>
    <m/>
    <m/>
    <n v="0"/>
    <n v="1"/>
    <n v="1100"/>
    <n v="0"/>
    <m/>
    <n v="1"/>
    <n v="1"/>
    <n v="1100"/>
    <n v="1100"/>
    <n v="0"/>
    <n v="0"/>
  </r>
  <r>
    <s v="US0149"/>
    <x v="6"/>
    <n v="2023"/>
    <n v="2032"/>
    <s v="Greg Lumpkin"/>
    <n v="10123"/>
    <s v="WT Lumpkin Farms"/>
    <s v="229-317-3926"/>
    <s v="Active"/>
    <s v="gregtlumpkin@yahoo.com"/>
    <s v="274 Snapper Rd, Cuthbert GA, 39840"/>
    <s v="274 Snapper Rd, Cuthbert GA, 39840"/>
    <x v="0"/>
    <s v="31.6476889, -84.8328527, 31.6701278, -84.811122"/>
    <n v="16"/>
    <n v="19.054545454545455"/>
    <m/>
    <n v="2096"/>
    <n v="2096"/>
    <s v=""/>
    <m/>
    <n v="1"/>
    <n v="2096"/>
    <n v="2096"/>
    <m/>
    <m/>
    <m/>
    <m/>
    <n v="0"/>
    <n v="1"/>
    <n v="1760"/>
    <n v="0"/>
    <m/>
    <n v="1"/>
    <n v="1"/>
    <n v="1760"/>
    <n v="1760"/>
    <n v="0"/>
    <n v="0"/>
  </r>
  <r>
    <s v="US0150"/>
    <x v="6"/>
    <n v="2023"/>
    <n v="2032"/>
    <s v="Jim Lamberth"/>
    <n v="10124"/>
    <s v="James Lamberth"/>
    <s v="615-351-6509"/>
    <s v="Active"/>
    <s v="jim@sunshinepoolstn.com"/>
    <s v="901 Clearview Rd, COTTONTOWN, TN, 37048"/>
    <s v="901 Clearview Rd, COTTONTOWN, TN, 37048"/>
    <x v="0"/>
    <s v="36.547, -86.5798"/>
    <n v="20"/>
    <n v="20"/>
    <m/>
    <n v="2200"/>
    <n v="2200"/>
    <s v=""/>
    <m/>
    <n v="1"/>
    <n v="2200"/>
    <n v="2200"/>
    <m/>
    <m/>
    <m/>
    <m/>
    <n v="0"/>
    <n v="1"/>
    <n v="2200"/>
    <n v="0"/>
    <m/>
    <n v="1"/>
    <n v="1"/>
    <n v="2200"/>
    <n v="2200"/>
    <n v="0"/>
    <n v="0"/>
  </r>
  <r>
    <s v="US0151"/>
    <x v="6"/>
    <n v="2023"/>
    <n v="2032"/>
    <s v="Jim West"/>
    <n v="10061"/>
    <s v="Jim West"/>
    <s v="706-200-6522"/>
    <s v="Active"/>
    <s v="westjb@hotmail.com"/>
    <s v="2984 Georgia 255, Sautee Nacoochee, GA, USA"/>
    <s v="2984 Georgia 255, Sautee Nacoochee, GA, USA"/>
    <x v="0"/>
    <s v="34.7043556, -83.6595083"/>
    <n v="10"/>
    <n v="10"/>
    <m/>
    <n v="1100"/>
    <n v="1100"/>
    <s v=""/>
    <m/>
    <n v="1"/>
    <n v="1100"/>
    <n v="1100"/>
    <m/>
    <m/>
    <m/>
    <m/>
    <n v="0"/>
    <n v="1"/>
    <n v="1100"/>
    <n v="0"/>
    <m/>
    <n v="1"/>
    <n v="1"/>
    <n v="1100"/>
    <n v="1100"/>
    <n v="0"/>
    <n v="0"/>
  </r>
  <r>
    <s v="US0152"/>
    <x v="6"/>
    <n v="2023"/>
    <n v="2032"/>
    <s v="Kyle Flint"/>
    <n v="10094"/>
    <s v="Kyle Flint"/>
    <s v="405-215-8195"/>
    <s v="Active"/>
    <s v="kyle.flint@bhboring.com"/>
    <s v="301 James Dean Dr Norman OK 73072-9793"/>
    <s v="2450 Cox City Rd, Rush Springs, OK, USA"/>
    <x v="0"/>
    <s v="35.023722, -97.734500"/>
    <n v="10"/>
    <n v="10"/>
    <m/>
    <n v="1100"/>
    <n v="1100"/>
    <s v=""/>
    <m/>
    <n v="1"/>
    <n v="1100"/>
    <n v="1100"/>
    <m/>
    <m/>
    <m/>
    <m/>
    <n v="0"/>
    <n v="1"/>
    <n v="1100"/>
    <n v="0"/>
    <m/>
    <n v="1"/>
    <n v="0.5"/>
    <n v="550"/>
    <n v="550"/>
    <n v="0"/>
    <n v="0"/>
  </r>
  <r>
    <s v="US0153"/>
    <x v="7"/>
    <n v="2023"/>
    <n v="2032"/>
    <s v="Rob Cason"/>
    <n v="10116"/>
    <s v="Rob Cason"/>
    <s v="352-494-3072"/>
    <s v="Active"/>
    <s v="robc@cheneybrothers.com"/>
    <s v="12060 NE County Road 237 Lake Butler FL 32054-5200"/>
    <s v="12060 NE County Road 237 Lake Butler FL 32054-5200"/>
    <x v="0"/>
    <s v="30.047118, -82.259403"/>
    <n v="13"/>
    <n v="13"/>
    <m/>
    <n v="1430"/>
    <n v="1430"/>
    <s v=""/>
    <m/>
    <n v="1"/>
    <n v="1430"/>
    <n v="1430"/>
    <m/>
    <m/>
    <m/>
    <m/>
    <n v="0"/>
    <n v="1"/>
    <n v="1430"/>
    <n v="0"/>
    <m/>
    <n v="1"/>
    <n v="1"/>
    <n v="1430"/>
    <n v="1430"/>
    <n v="0"/>
    <n v="0"/>
  </r>
  <r>
    <s v="US0154"/>
    <x v="7"/>
    <n v="2023"/>
    <n v="2032"/>
    <s v="Steve Carson"/>
    <n v="10125"/>
    <s v="Steve Carson"/>
    <s v="813-731-1266"/>
    <s v="Active"/>
    <s v="makanifl@verizon.net"/>
    <s v="9024 Breland Dr Tampa FL 33626-2974"/>
    <s v="1631 Georgia Highway 253, Donalsonville 39845 USA"/>
    <x v="0"/>
    <s v="31.002013, -84.443413"/>
    <n v="25"/>
    <n v="25"/>
    <m/>
    <n v="2750"/>
    <n v="2750"/>
    <s v=""/>
    <m/>
    <n v="1"/>
    <n v="2750"/>
    <n v="2750"/>
    <m/>
    <m/>
    <m/>
    <m/>
    <n v="0"/>
    <n v="1"/>
    <n v="2750"/>
    <n v="0"/>
    <m/>
    <n v="1"/>
    <n v="1"/>
    <n v="2750"/>
    <n v="2750"/>
    <n v="0"/>
    <n v="0"/>
  </r>
  <r>
    <s v="CR0106"/>
    <x v="7"/>
    <n v="2024"/>
    <n v="2033"/>
    <s v="Eduardo Trejos"/>
    <n v="20098"/>
    <s v="Eduardo Trejos"/>
    <m/>
    <s v="Active"/>
    <s v="eduardotrejosobando@gmail.com"/>
    <m/>
    <s v="La Rita de Guapiles"/>
    <x v="1"/>
    <s v="10.331239, -83.715675"/>
    <m/>
    <n v="7.4131503108889909"/>
    <m/>
    <n v="1200"/>
    <n v="1200"/>
    <s v=""/>
    <m/>
    <n v="1"/>
    <n v="1200"/>
    <n v="1200"/>
    <m/>
    <m/>
    <m/>
    <m/>
    <n v="0"/>
    <m/>
    <m/>
    <n v="1200"/>
    <n v="1"/>
    <n v="1"/>
    <n v="1"/>
    <n v="1200"/>
    <n v="1200"/>
    <n v="0"/>
    <n v="0"/>
  </r>
  <r>
    <s v="CR0107"/>
    <x v="7"/>
    <n v="2024"/>
    <n v="2033"/>
    <m/>
    <n v="20099"/>
    <s v="Rodrigo Mora"/>
    <n v="50686947869"/>
    <s v="Active"/>
    <s v="roalmoa@gmail.com"/>
    <m/>
    <m/>
    <x v="1"/>
    <m/>
    <m/>
    <n v="7.4131503108889909"/>
    <m/>
    <n v="1200"/>
    <n v="1200"/>
    <s v=""/>
    <m/>
    <n v="1"/>
    <n v="1200"/>
    <n v="1200"/>
    <m/>
    <m/>
    <m/>
    <m/>
    <n v="0"/>
    <m/>
    <m/>
    <n v="1200"/>
    <n v="1"/>
    <n v="1"/>
    <n v="1"/>
    <n v="1200"/>
    <n v="1200"/>
    <n v="0"/>
    <n v="0"/>
  </r>
  <r>
    <s v="CR0108"/>
    <x v="8"/>
    <n v="2024"/>
    <n v="2033"/>
    <s v="Leidi Villalobos Arius"/>
    <n v="20100"/>
    <s v="Leidy Judith de la Trinidad Villalobos Arias, Carolina Castro"/>
    <s v="83120389 and 84152315"/>
    <s v="Active"/>
    <s v="serviciosvillalobos94@gmail,com"/>
    <m/>
    <m/>
    <x v="1"/>
    <s v="10.7182-84.8363"/>
    <m/>
    <n v="7.4131503108889909"/>
    <m/>
    <n v="1200"/>
    <n v="1200"/>
    <s v=""/>
    <m/>
    <n v="1"/>
    <n v="1200"/>
    <n v="1200"/>
    <m/>
    <m/>
    <m/>
    <m/>
    <n v="0"/>
    <m/>
    <m/>
    <n v="1200"/>
    <n v="1"/>
    <n v="1"/>
    <n v="1"/>
    <n v="1200"/>
    <n v="1200"/>
    <n v="0"/>
    <n v="0"/>
  </r>
  <r>
    <s v="CR0109"/>
    <x v="8"/>
    <n v="2024"/>
    <n v="2033"/>
    <m/>
    <n v="20101"/>
    <s v="Carlos Garcia"/>
    <s v="506-85998467,50663441753"/>
    <s v="Active"/>
    <s v="cgarcia.rodriguez.75@gmail.com;marlenyrodcam@gmail.com"/>
    <m/>
    <m/>
    <x v="1"/>
    <s v="10.4297514509-84.4295795273"/>
    <m/>
    <m/>
    <m/>
    <n v="1800"/>
    <n v="1800"/>
    <m/>
    <m/>
    <n v="1"/>
    <n v="1800"/>
    <n v="1800"/>
    <m/>
    <m/>
    <m/>
    <m/>
    <n v="0"/>
    <m/>
    <m/>
    <n v="1800"/>
    <n v="1"/>
    <n v="1"/>
    <n v="1"/>
    <n v="1800"/>
    <n v="1800"/>
    <n v="0"/>
    <n v="0"/>
  </r>
  <r>
    <s v="CR0110"/>
    <x v="8"/>
    <n v="2024"/>
    <n v="2033"/>
    <m/>
    <n v="20091"/>
    <s v="Jose Francisco Angulo"/>
    <m/>
    <s v="Active"/>
    <s v="eraulangulo@gmail.com;fedemais2000@gmail.com"/>
    <m/>
    <m/>
    <x v="1"/>
    <s v="9.715530-84.493030"/>
    <m/>
    <n v="4.942100207259327"/>
    <m/>
    <n v="800"/>
    <n v="800"/>
    <m/>
    <m/>
    <n v="1"/>
    <n v="800"/>
    <n v="800"/>
    <m/>
    <m/>
    <m/>
    <m/>
    <n v="0"/>
    <m/>
    <m/>
    <n v="800"/>
    <n v="1"/>
    <n v="1"/>
    <n v="1"/>
    <n v="800"/>
    <n v="800"/>
    <n v="0"/>
    <n v="0"/>
  </r>
  <r>
    <s v="CR0111"/>
    <x v="7"/>
    <n v="2024"/>
    <n v="2033"/>
    <m/>
    <n v="20102"/>
    <s v="Ricardo Blanco"/>
    <m/>
    <s v="Active"/>
    <s v="provial.ro@gmail.com"/>
    <m/>
    <m/>
    <x v="1"/>
    <s v="10.393608-84.433483"/>
    <m/>
    <m/>
    <m/>
    <n v="2400"/>
    <n v="2400"/>
    <m/>
    <m/>
    <n v="1"/>
    <n v="2400"/>
    <n v="2400"/>
    <m/>
    <m/>
    <m/>
    <m/>
    <n v="0"/>
    <m/>
    <m/>
    <n v="2400"/>
    <n v="1"/>
    <n v="1"/>
    <n v="1"/>
    <n v="2400"/>
    <n v="2400"/>
    <n v="0"/>
    <n v="0"/>
  </r>
  <r>
    <s v="MX0053"/>
    <x v="7"/>
    <n v="2024"/>
    <n v="2033"/>
    <m/>
    <n v="40048"/>
    <s v="Alfonso Juan Durán"/>
    <m/>
    <s v="Active"/>
    <m/>
    <m/>
    <s v="Ejido Los Liberales, Municipio de Uxpanapa, Estado de Veracruz."/>
    <x v="3"/>
    <s v="17.3173835-94.126369"/>
    <m/>
    <m/>
    <m/>
    <n v="550"/>
    <n v="550"/>
    <s v=""/>
    <m/>
    <n v="1"/>
    <n v="550"/>
    <n v="550"/>
    <m/>
    <m/>
    <m/>
    <m/>
    <m/>
    <m/>
    <m/>
    <n v="550"/>
    <n v="1"/>
    <n v="1"/>
    <n v="1"/>
    <n v="550"/>
    <n v="550"/>
    <m/>
    <m/>
  </r>
  <r>
    <s v="MX0054"/>
    <x v="8"/>
    <n v="2024"/>
    <n v="2033"/>
    <m/>
    <n v="40049"/>
    <s v="Virginia Torrecilla Castillo"/>
    <n v="522881358918"/>
    <s v="Active"/>
    <m/>
    <m/>
    <s v="Ejido Los Liberales, Municipio de Uxpanapa, Estado de Veracruz. CP 96998"/>
    <x v="3"/>
    <s v="17.309490-94.158382"/>
    <m/>
    <m/>
    <m/>
    <n v="550"/>
    <n v="550"/>
    <s v=""/>
    <m/>
    <n v="1"/>
    <n v="550"/>
    <n v="550"/>
    <m/>
    <m/>
    <m/>
    <m/>
    <m/>
    <m/>
    <m/>
    <n v="550"/>
    <n v="1"/>
    <n v="1"/>
    <n v="1"/>
    <n v="550"/>
    <n v="550"/>
    <m/>
    <m/>
  </r>
  <r>
    <s v="MX0055"/>
    <x v="8"/>
    <n v="2024"/>
    <n v="2033"/>
    <s v="Casto De la Cruz Francisco"/>
    <n v="40050"/>
    <s v="Venustiano Lino Sisto"/>
    <m/>
    <s v="Active"/>
    <s v="delacruz5castro@gmail.com"/>
    <m/>
    <m/>
    <x v="3"/>
    <s v="17.217334-94.629938"/>
    <m/>
    <m/>
    <m/>
    <n v="1100"/>
    <n v="1100"/>
    <s v=""/>
    <m/>
    <n v="1"/>
    <n v="1100"/>
    <n v="1100"/>
    <m/>
    <m/>
    <m/>
    <m/>
    <m/>
    <m/>
    <m/>
    <n v="1100"/>
    <n v="1"/>
    <n v="1"/>
    <n v="1"/>
    <n v="1100"/>
    <n v="1100"/>
    <m/>
    <m/>
  </r>
  <r>
    <s v="MX0056"/>
    <x v="7"/>
    <n v="2024"/>
    <n v="2033"/>
    <m/>
    <n v="40051"/>
    <s v="Tomás García Rodríguez"/>
    <n v="529221006546"/>
    <s v="Active"/>
    <m/>
    <m/>
    <s v="Ejido Los Liberales, Municipio de Uxpanapa, Estado de Veracruz."/>
    <x v="3"/>
    <s v="17.3168959-94.1362131"/>
    <m/>
    <m/>
    <m/>
    <n v="550"/>
    <n v="550"/>
    <s v=""/>
    <m/>
    <n v="1"/>
    <n v="550"/>
    <n v="550"/>
    <m/>
    <m/>
    <m/>
    <m/>
    <m/>
    <m/>
    <m/>
    <n v="550"/>
    <n v="1"/>
    <n v="1"/>
    <n v="1"/>
    <n v="550"/>
    <n v="550"/>
    <m/>
    <m/>
  </r>
  <r>
    <s v="MX0057"/>
    <x v="7"/>
    <n v="2024"/>
    <n v="2033"/>
    <m/>
    <n v="40052"/>
    <s v="Reyna Rangel Cruz"/>
    <m/>
    <s v="Active"/>
    <m/>
    <m/>
    <s v="Ejido Los Liberales, Municipio de Uxpanapa, Estado de Veracruz."/>
    <x v="3"/>
    <s v="17.3227256-94.1536424"/>
    <m/>
    <m/>
    <m/>
    <n v="550"/>
    <n v="550"/>
    <s v=""/>
    <m/>
    <n v="1"/>
    <n v="550"/>
    <n v="550"/>
    <m/>
    <m/>
    <m/>
    <m/>
    <m/>
    <m/>
    <m/>
    <n v="550"/>
    <n v="1"/>
    <n v="1"/>
    <n v="1"/>
    <n v="550"/>
    <n v="550"/>
    <m/>
    <m/>
  </r>
  <r>
    <s v="MX0058"/>
    <x v="8"/>
    <n v="2024"/>
    <n v="2033"/>
    <m/>
    <n v="40053"/>
    <s v="Miguel Felipe Mauro"/>
    <m/>
    <s v="Active"/>
    <m/>
    <m/>
    <m/>
    <x v="3"/>
    <s v="17.2219009-94.6369167"/>
    <m/>
    <m/>
    <m/>
    <n v="550"/>
    <n v="550"/>
    <s v=""/>
    <m/>
    <n v="1"/>
    <n v="550"/>
    <n v="550"/>
    <m/>
    <m/>
    <m/>
    <m/>
    <m/>
    <m/>
    <m/>
    <n v="550"/>
    <n v="1"/>
    <n v="1"/>
    <n v="1"/>
    <n v="550"/>
    <n v="550"/>
    <m/>
    <m/>
  </r>
  <r>
    <s v="MX0059"/>
    <x v="8"/>
    <n v="2024"/>
    <n v="2033"/>
    <m/>
    <n v="40054"/>
    <s v="Mauricio Maya Chávez"/>
    <n v="529231019162"/>
    <s v="Active"/>
    <m/>
    <m/>
    <s v="Ejido Los Liberales, Municipio de Uxpanapa, Estado de Veracruz. CP 96998"/>
    <x v="3"/>
    <s v="17.300934-94.173452"/>
    <m/>
    <m/>
    <m/>
    <n v="550"/>
    <n v="550"/>
    <s v=""/>
    <m/>
    <n v="1"/>
    <n v="550"/>
    <n v="550"/>
    <m/>
    <m/>
    <m/>
    <m/>
    <m/>
    <m/>
    <m/>
    <n v="550"/>
    <n v="1"/>
    <n v="1"/>
    <n v="1"/>
    <n v="550"/>
    <n v="550"/>
    <m/>
    <m/>
  </r>
  <r>
    <s v="MX0060"/>
    <x v="8"/>
    <n v="2024"/>
    <n v="2033"/>
    <s v="Casto De la Cruz Francisco"/>
    <n v="40055"/>
    <s v="Marcelino De la Cruz Olarte"/>
    <m/>
    <s v="Active"/>
    <s v="delacruz5castro@gmail.com"/>
    <m/>
    <m/>
    <x v="3"/>
    <s v="17.2373253-946166264"/>
    <m/>
    <m/>
    <m/>
    <n v="1820"/>
    <n v="1820"/>
    <s v=""/>
    <n v="1820"/>
    <n v="1"/>
    <n v="1820"/>
    <n v="1820"/>
    <m/>
    <m/>
    <m/>
    <m/>
    <m/>
    <m/>
    <m/>
    <n v="1820"/>
    <n v="1"/>
    <n v="1"/>
    <n v="1"/>
    <n v="1820"/>
    <n v="1820"/>
    <m/>
    <m/>
  </r>
  <r>
    <s v="MX0061"/>
    <x v="8"/>
    <n v="2024"/>
    <n v="2033"/>
    <m/>
    <n v="40056"/>
    <s v="Lorenzo Rodríguez Osorio"/>
    <n v="529222062079"/>
    <s v="Active"/>
    <s v="eddiel279@hotmail.com"/>
    <m/>
    <s v="Ejido N.C.P.E. La Horqueta, Municipio de Uxpanapa, Estado de Veracruz. CP 96998"/>
    <x v="3"/>
    <s v="17.2390516-94.1949683"/>
    <m/>
    <m/>
    <m/>
    <n v="1100"/>
    <n v="1100"/>
    <s v=""/>
    <m/>
    <n v="1"/>
    <n v="1100"/>
    <n v="1100"/>
    <m/>
    <m/>
    <m/>
    <m/>
    <m/>
    <m/>
    <m/>
    <n v="1100"/>
    <n v="1"/>
    <n v="1"/>
    <n v="1"/>
    <n v="1100"/>
    <n v="1100"/>
    <m/>
    <m/>
  </r>
  <r>
    <s v="MX0062"/>
    <x v="8"/>
    <n v="2024"/>
    <n v="2033"/>
    <s v="Justino Cruz"/>
    <n v="40057"/>
    <s v="Justino Cruz Mendoza"/>
    <n v="529721214079"/>
    <s v="Active"/>
    <s v="greenway.stonemasonry@gmail.com"/>
    <m/>
    <m/>
    <x v="3"/>
    <s v="17.2068758-94.7027043"/>
    <m/>
    <m/>
    <m/>
    <n v="550"/>
    <n v="550"/>
    <s v=""/>
    <m/>
    <n v="1"/>
    <n v="550"/>
    <n v="550"/>
    <m/>
    <m/>
    <m/>
    <m/>
    <m/>
    <m/>
    <m/>
    <n v="550"/>
    <n v="1"/>
    <n v="1"/>
    <n v="1"/>
    <n v="550"/>
    <n v="550"/>
    <m/>
    <m/>
  </r>
  <r>
    <s v="MX0063"/>
    <x v="7"/>
    <n v="2024"/>
    <n v="2033"/>
    <m/>
    <n v="40058"/>
    <s v="José Pastor Gutiérrez Rodríguez "/>
    <n v="529231393940"/>
    <s v="Active"/>
    <m/>
    <m/>
    <s v="Ejido Los Liberales, Municipio de Uxpanapa, Estado de Veracruz."/>
    <x v="3"/>
    <s v="17.3242687-94.1495566"/>
    <m/>
    <m/>
    <m/>
    <n v="550"/>
    <n v="550"/>
    <s v=""/>
    <m/>
    <n v="1"/>
    <n v="550"/>
    <n v="550"/>
    <m/>
    <m/>
    <m/>
    <m/>
    <m/>
    <m/>
    <m/>
    <n v="550"/>
    <n v="1"/>
    <n v="1"/>
    <n v="1"/>
    <n v="550"/>
    <n v="550"/>
    <m/>
    <m/>
  </r>
  <r>
    <s v="MX0064"/>
    <x v="8"/>
    <n v="2024"/>
    <n v="2033"/>
    <s v="Casto De la Cruz Francisco"/>
    <n v="40059"/>
    <s v="José De la Cruz Olarte"/>
    <m/>
    <s v="Active"/>
    <s v="delacruz5castro@gmail.com"/>
    <m/>
    <m/>
    <x v="3"/>
    <s v="17.217873-94.638552"/>
    <m/>
    <m/>
    <m/>
    <n v="2750"/>
    <n v="1100"/>
    <n v="1650"/>
    <m/>
    <n v="1"/>
    <n v="2750"/>
    <n v="1100"/>
    <m/>
    <m/>
    <m/>
    <m/>
    <m/>
    <m/>
    <m/>
    <n v="1100"/>
    <n v="1"/>
    <n v="1"/>
    <n v="1"/>
    <n v="1100"/>
    <n v="1100"/>
    <m/>
    <m/>
  </r>
  <r>
    <s v="MX0065"/>
    <x v="8"/>
    <n v="2024"/>
    <n v="2033"/>
    <m/>
    <n v="40060"/>
    <s v="José Becerra García"/>
    <m/>
    <s v="Active"/>
    <m/>
    <m/>
    <m/>
    <x v="3"/>
    <s v="17.3139202-94.1468291"/>
    <m/>
    <m/>
    <m/>
    <n v="550"/>
    <n v="550"/>
    <s v=""/>
    <m/>
    <n v="1"/>
    <n v="550"/>
    <n v="550"/>
    <m/>
    <m/>
    <m/>
    <m/>
    <m/>
    <m/>
    <m/>
    <n v="550"/>
    <n v="1"/>
    <n v="1"/>
    <n v="1"/>
    <n v="550"/>
    <n v="550"/>
    <m/>
    <m/>
  </r>
  <r>
    <s v="MX0066"/>
    <x v="8"/>
    <n v="2024"/>
    <n v="2033"/>
    <m/>
    <n v="40061"/>
    <s v="Irma García Camacho"/>
    <m/>
    <s v="Active"/>
    <m/>
    <m/>
    <m/>
    <x v="3"/>
    <s v="17.310944-94.149801"/>
    <m/>
    <m/>
    <m/>
    <n v="550"/>
    <n v="550"/>
    <s v=""/>
    <m/>
    <n v="1"/>
    <n v="550"/>
    <n v="550"/>
    <m/>
    <m/>
    <m/>
    <m/>
    <m/>
    <m/>
    <m/>
    <n v="550"/>
    <n v="1"/>
    <n v="1"/>
    <n v="1"/>
    <n v="550"/>
    <n v="550"/>
    <m/>
    <m/>
  </r>
  <r>
    <s v="MX0067"/>
    <x v="8"/>
    <n v="2024"/>
    <n v="2033"/>
    <m/>
    <n v="40062"/>
    <s v="Félix Álvarez Vázquez"/>
    <m/>
    <s v="Active"/>
    <m/>
    <m/>
    <s v="Ejido Plan de Arroyos, Municipio de Uxpanapa, Estado de Veracruz De La Llave. CP 96997"/>
    <x v="3"/>
    <s v="17.2322696-94.6381162"/>
    <m/>
    <m/>
    <m/>
    <n v="1100"/>
    <n v="1100"/>
    <s v=""/>
    <m/>
    <n v="1"/>
    <n v="1100"/>
    <n v="1100"/>
    <m/>
    <m/>
    <m/>
    <m/>
    <m/>
    <m/>
    <m/>
    <n v="1100"/>
    <n v="1"/>
    <n v="1"/>
    <n v="1"/>
    <n v="1100"/>
    <n v="1100"/>
    <m/>
    <m/>
  </r>
  <r>
    <s v="MX0068"/>
    <x v="7"/>
    <n v="2024"/>
    <n v="2033"/>
    <m/>
    <n v="40063"/>
    <s v="Facundo Medina Delgado"/>
    <m/>
    <s v="Active"/>
    <m/>
    <m/>
    <s v="Ejido Los Liberales, Municipio de Uxpanapa, Estado de Veracruz."/>
    <x v="3"/>
    <s v="17.3314977-94.1353051"/>
    <m/>
    <m/>
    <m/>
    <n v="550"/>
    <n v="550"/>
    <s v=""/>
    <m/>
    <n v="1"/>
    <n v="550"/>
    <n v="550"/>
    <m/>
    <m/>
    <m/>
    <m/>
    <m/>
    <m/>
    <m/>
    <n v="550"/>
    <n v="1"/>
    <n v="1"/>
    <n v="1"/>
    <n v="550"/>
    <n v="550"/>
    <m/>
    <m/>
  </r>
  <r>
    <s v="MX0069"/>
    <x v="8"/>
    <n v="2024"/>
    <n v="2033"/>
    <s v="Casto De la Cruz Francisco"/>
    <n v="40064"/>
    <s v="Facundo De la Cruz Francisco"/>
    <m/>
    <s v="Active"/>
    <s v="delacruz5castro@gmail.com"/>
    <m/>
    <m/>
    <x v="3"/>
    <s v="17.23549747-94.63290514"/>
    <m/>
    <m/>
    <m/>
    <n v="1100"/>
    <n v="1100"/>
    <s v=""/>
    <m/>
    <n v="1"/>
    <n v="1100"/>
    <n v="1100"/>
    <m/>
    <m/>
    <m/>
    <m/>
    <m/>
    <m/>
    <m/>
    <n v="1100"/>
    <n v="1"/>
    <n v="1"/>
    <n v="1"/>
    <n v="1100"/>
    <n v="1100"/>
    <m/>
    <m/>
  </r>
  <r>
    <s v="MX0070"/>
    <x v="8"/>
    <n v="2024"/>
    <n v="2033"/>
    <m/>
    <n v="40065"/>
    <s v="Eugenia Vargas Hernández"/>
    <m/>
    <s v="Active"/>
    <m/>
    <m/>
    <s v="Ejido Los Liberales, Municipio de Uxpanapa, Estado de Veracruz. CP 96998"/>
    <x v="3"/>
    <s v="17.324828-94.138915"/>
    <m/>
    <m/>
    <m/>
    <n v="1100"/>
    <n v="1100"/>
    <s v=""/>
    <m/>
    <n v="1"/>
    <n v="1100"/>
    <n v="1100"/>
    <m/>
    <m/>
    <m/>
    <m/>
    <m/>
    <m/>
    <m/>
    <n v="1100"/>
    <n v="1"/>
    <n v="1"/>
    <n v="1"/>
    <n v="1100"/>
    <n v="1100"/>
    <m/>
    <m/>
  </r>
  <r>
    <s v="MX0071"/>
    <x v="8"/>
    <n v="2024"/>
    <n v="2033"/>
    <m/>
    <n v="40066"/>
    <s v="Emma Barrios Goméz"/>
    <n v="529222113224"/>
    <s v="Active"/>
    <m/>
    <m/>
    <m/>
    <x v="3"/>
    <s v="17.3628535-94.4446755"/>
    <m/>
    <m/>
    <m/>
    <n v="825"/>
    <n v="550"/>
    <n v="275"/>
    <m/>
    <n v="1"/>
    <n v="825"/>
    <n v="550"/>
    <m/>
    <m/>
    <m/>
    <m/>
    <m/>
    <m/>
    <m/>
    <n v="550"/>
    <n v="1"/>
    <n v="1"/>
    <n v="1"/>
    <n v="550"/>
    <n v="550"/>
    <m/>
    <m/>
  </r>
  <r>
    <s v="MX0072"/>
    <x v="8"/>
    <n v="2024"/>
    <n v="2033"/>
    <m/>
    <n v="40067"/>
    <s v="Ciro Martínez Gutiérrez"/>
    <m/>
    <s v="Active"/>
    <m/>
    <m/>
    <s v="Ejido General Valerio Trujano, Municipio de Uxpanapa, Estado de Veracruz. CP 96998"/>
    <x v="3"/>
    <s v="17.32442-94.1406212;17.3229306-94.1413751"/>
    <m/>
    <m/>
    <m/>
    <n v="1100"/>
    <n v="1100"/>
    <s v=""/>
    <m/>
    <n v="1"/>
    <n v="1100"/>
    <n v="1100"/>
    <m/>
    <m/>
    <m/>
    <m/>
    <m/>
    <m/>
    <m/>
    <n v="1100"/>
    <n v="1"/>
    <n v="1"/>
    <n v="1"/>
    <n v="1100"/>
    <n v="1100"/>
    <m/>
    <m/>
  </r>
  <r>
    <s v="MX0073"/>
    <x v="7"/>
    <n v="2024"/>
    <n v="2033"/>
    <s v="Casto De la Cruz Francisco"/>
    <n v="40068"/>
    <s v="Casto De la Cruz Francisco"/>
    <n v="529241970205"/>
    <s v="Active"/>
    <s v="delacruz5castro@gmail.com"/>
    <m/>
    <s v="Ejido Plan de Arroyos, Municipio de Uxpanapa, Estado de Veracruz De La Llave. CP 96997"/>
    <x v="3"/>
    <s v="17.23688551-94.62315052"/>
    <m/>
    <m/>
    <m/>
    <n v="550"/>
    <n v="550"/>
    <s v=""/>
    <m/>
    <n v="1"/>
    <n v="550"/>
    <n v="550"/>
    <m/>
    <m/>
    <m/>
    <m/>
    <m/>
    <m/>
    <m/>
    <n v="550"/>
    <n v="1"/>
    <n v="1"/>
    <n v="1"/>
    <n v="550"/>
    <n v="550"/>
    <m/>
    <m/>
  </r>
  <r>
    <s v="MX0074"/>
    <x v="8"/>
    <n v="2024"/>
    <n v="2033"/>
    <m/>
    <n v="40069"/>
    <s v="Carolina García García"/>
    <m/>
    <s v="Active"/>
    <m/>
    <m/>
    <s v="Ejido Los Liberales, Municipio de Uxpanapa, Estado de Veracruz. CP 96998"/>
    <x v="3"/>
    <s v="17.3095507-94.1507831"/>
    <m/>
    <m/>
    <m/>
    <n v="1100"/>
    <n v="1100"/>
    <s v=""/>
    <m/>
    <n v="1"/>
    <n v="1100"/>
    <n v="1100"/>
    <m/>
    <m/>
    <m/>
    <m/>
    <m/>
    <m/>
    <m/>
    <n v="1100"/>
    <n v="1"/>
    <n v="1"/>
    <n v="1"/>
    <n v="1100"/>
    <n v="1100"/>
    <m/>
    <m/>
  </r>
  <r>
    <s v="MX0075"/>
    <x v="8"/>
    <n v="2024"/>
    <n v="2033"/>
    <m/>
    <n v="40070"/>
    <s v="Calixtro Cruz Silva"/>
    <m/>
    <s v="Active"/>
    <m/>
    <m/>
    <m/>
    <x v="3"/>
    <s v="17.3284854-94.1451928"/>
    <m/>
    <m/>
    <m/>
    <n v="550"/>
    <n v="550"/>
    <s v=""/>
    <m/>
    <n v="1"/>
    <n v="550"/>
    <n v="550"/>
    <m/>
    <m/>
    <m/>
    <m/>
    <m/>
    <m/>
    <m/>
    <n v="550"/>
    <n v="1"/>
    <n v="1"/>
    <n v="1"/>
    <n v="550"/>
    <n v="550"/>
    <m/>
    <m/>
  </r>
  <r>
    <s v="MX0076"/>
    <x v="7"/>
    <n v="2024"/>
    <n v="2033"/>
    <m/>
    <n v="40071"/>
    <s v="Benita Rendón Ambrocio"/>
    <m/>
    <s v="Active"/>
    <m/>
    <m/>
    <s v="Ejido Los Liberales, Municipio de Uxpanapa, Estado de Veracruz."/>
    <x v="3"/>
    <s v="17.3251813-94.138121"/>
    <m/>
    <m/>
    <m/>
    <n v="550"/>
    <n v="550"/>
    <s v=""/>
    <m/>
    <n v="1"/>
    <n v="550"/>
    <n v="550"/>
    <m/>
    <m/>
    <m/>
    <m/>
    <m/>
    <m/>
    <m/>
    <n v="550"/>
    <n v="1"/>
    <n v="1"/>
    <n v="1"/>
    <n v="550"/>
    <n v="550"/>
    <m/>
    <m/>
  </r>
  <r>
    <s v="US0155"/>
    <x v="8"/>
    <n v="2024"/>
    <n v="2033"/>
    <s v="Anthony Lea"/>
    <n v="10089"/>
    <s v="Jacqueline and Anthony Lea"/>
    <s v="225-939-2710"/>
    <s v="Active"/>
    <s v="anthonylearph@gmail.com"/>
    <s v="41190 Cannon Road, Gonzales, LA 70737"/>
    <s v="Gretchen Lane Off, Covington, LA 70435"/>
    <x v="0"/>
    <s v="30.512792, -90.144444"/>
    <m/>
    <n v="12"/>
    <m/>
    <n v="1320"/>
    <n v="1320"/>
    <m/>
    <m/>
    <n v="1"/>
    <n v="1320"/>
    <n v="1320"/>
    <m/>
    <m/>
    <m/>
    <m/>
    <n v="0"/>
    <m/>
    <m/>
    <n v="1320"/>
    <n v="1"/>
    <n v="1"/>
    <n v="1"/>
    <n v="1320"/>
    <n v="1320"/>
    <n v="0"/>
    <n v="0"/>
  </r>
  <r>
    <s v="US0156"/>
    <x v="7"/>
    <n v="2024"/>
    <n v="2033"/>
    <s v="Austin Stacy"/>
    <n v="10126"/>
    <s v="S&amp;S Timber Farms, Inc"/>
    <s v="678-943-7687"/>
    <s v="Active"/>
    <s v="greggstacy2@aol.com , austinstacy25@gmail.com"/>
    <s v="5334 Birchland Court Buford GA 30518"/>
    <s v="1321 Ga Highway 15 S, Adrian, GA, 31002"/>
    <x v="0"/>
    <s v="32.5623385, -82.6182654"/>
    <m/>
    <n v="40"/>
    <m/>
    <n v="4400"/>
    <n v="4400"/>
    <s v=""/>
    <m/>
    <n v="1"/>
    <n v="4400"/>
    <n v="4400"/>
    <m/>
    <m/>
    <m/>
    <m/>
    <n v="0"/>
    <m/>
    <m/>
    <n v="4400"/>
    <n v="1"/>
    <n v="1"/>
    <n v="1"/>
    <n v="4400"/>
    <n v="4400"/>
    <n v="0"/>
    <n v="0"/>
  </r>
  <r>
    <s v="US0157"/>
    <x v="7"/>
    <n v="2024"/>
    <n v="2033"/>
    <s v="Cortney and Josh Chancey"/>
    <n v="10127"/>
    <s v="Cortney and Josh Chancey"/>
    <s v="334-202-2441"/>
    <s v="Active"/>
    <s v="cmp926@gmail.com"/>
    <s v="521 County Road 20 East, Marbury, AL 36051"/>
    <s v="521 County Road 20 E, Marbury, AL 36051"/>
    <x v="0"/>
    <s v="32.706608, -86.430760"/>
    <m/>
    <n v="10"/>
    <m/>
    <n v="1100"/>
    <n v="1100"/>
    <s v=""/>
    <m/>
    <n v="1"/>
    <n v="1100"/>
    <n v="1100"/>
    <m/>
    <m/>
    <m/>
    <m/>
    <n v="0"/>
    <m/>
    <m/>
    <n v="1100"/>
    <n v="1"/>
    <n v="1"/>
    <n v="1"/>
    <n v="1100"/>
    <n v="1100"/>
    <n v="0"/>
    <n v="0"/>
  </r>
  <r>
    <s v="US0158"/>
    <x v="8"/>
    <n v="2024"/>
    <n v="2033"/>
    <s v="Gary Goldsmith"/>
    <n v="10128"/>
    <s v="Gary Goldsmith and_x000a_Chester Dooly"/>
    <s v="850-240-0780, 850-305-3985"/>
    <s v="Active"/>
    <s v="gmgoldsmith@hotmail.com, chester.dooly@conlanacres.com"/>
    <s v="211 Avondale Circle, Warner Robins, GA 31088"/>
    <s v="5690 Pine Level Road, Oglethorpe, GA 31068"/>
    <x v="0"/>
    <s v="32.42897, -84.09932"/>
    <m/>
    <n v="10"/>
    <m/>
    <n v="1100"/>
    <n v="1100"/>
    <m/>
    <m/>
    <n v="1"/>
    <n v="1100"/>
    <n v="1100"/>
    <m/>
    <m/>
    <m/>
    <m/>
    <n v="0"/>
    <m/>
    <m/>
    <n v="1100"/>
    <n v="1"/>
    <n v="1"/>
    <n v="1"/>
    <n v="1100"/>
    <n v="1100"/>
    <n v="0"/>
    <n v="0"/>
  </r>
  <r>
    <s v="US0159"/>
    <x v="8"/>
    <n v="2024"/>
    <n v="2033"/>
    <s v="Greg Lumpkin"/>
    <n v="10123"/>
    <s v="WT Lumpkin Farms"/>
    <s v="229-317-3926"/>
    <s v="Active"/>
    <s v="gregtlumpkin@yahoo.com"/>
    <s v="274 Snapper rd Coleman Ga 39836"/>
    <s v="274 Snapper Rd, Coleman GA, 39840"/>
    <x v="0"/>
    <s v="31.6701278, -84.811122"/>
    <m/>
    <n v="6"/>
    <m/>
    <n v="660"/>
    <n v="660"/>
    <s v=""/>
    <m/>
    <n v="1"/>
    <n v="660"/>
    <n v="660"/>
    <m/>
    <m/>
    <m/>
    <m/>
    <n v="0"/>
    <m/>
    <m/>
    <n v="660"/>
    <n v="1"/>
    <n v="1"/>
    <n v="1"/>
    <n v="660"/>
    <n v="660"/>
    <n v="0"/>
    <n v="0"/>
  </r>
  <r>
    <s v="US0160"/>
    <x v="8"/>
    <n v="2024"/>
    <n v="2033"/>
    <s v="Keller Galpin"/>
    <n v="10129"/>
    <s v="Keller Galpin"/>
    <s v="229-220-9169"/>
    <s v="Active"/>
    <s v="kwgalpin@gmail.com"/>
    <s v="2113 Blacklake Circle, Bainbridge, Ga 39819"/>
    <s v="Off Sharber Rd, Bainbridge, GA, 39817"/>
    <x v="0"/>
    <s v="30.9439, -84.52606"/>
    <m/>
    <n v="10"/>
    <m/>
    <n v="1100"/>
    <n v="1100"/>
    <s v=""/>
    <m/>
    <n v="1"/>
    <n v="1100"/>
    <n v="1100"/>
    <m/>
    <m/>
    <m/>
    <m/>
    <n v="0"/>
    <m/>
    <m/>
    <n v="1100"/>
    <n v="1"/>
    <n v="1"/>
    <n v="1"/>
    <n v="1100"/>
    <n v="1100"/>
    <n v="0"/>
    <n v="0"/>
  </r>
  <r>
    <s v="US0161"/>
    <x v="7"/>
    <n v="2024"/>
    <n v="2033"/>
    <s v="Ken English"/>
    <n v="10130"/>
    <s v="Ken English"/>
    <s v="334-447-1046"/>
    <s v="Active"/>
    <s v="kenenglish27@gmail.com"/>
    <s v="285 County Road 247, Elba, AL, USA"/>
    <s v="285 County Road 247, Elba, AL, USA"/>
    <x v="0"/>
    <s v="31.44218, -85.98702"/>
    <m/>
    <n v="15.454545454545455"/>
    <m/>
    <n v="1700"/>
    <n v="1700"/>
    <s v=""/>
    <m/>
    <n v="1"/>
    <n v="1700"/>
    <n v="1700"/>
    <m/>
    <m/>
    <m/>
    <m/>
    <n v="0"/>
    <m/>
    <m/>
    <n v="1700"/>
    <n v="1"/>
    <n v="1"/>
    <n v="1"/>
    <n v="1700"/>
    <n v="1700"/>
    <n v="0"/>
    <n v="0"/>
  </r>
  <r>
    <s v="US0162"/>
    <x v="7"/>
    <n v="2024"/>
    <n v="2033"/>
    <s v="Manuel Folsom"/>
    <n v="10131"/>
    <s v="Manuel Folsom"/>
    <s v="850-624-2222"/>
    <s v="Active"/>
    <s v="manuel.folsom@yahoo.com"/>
    <s v="4213 De Len Drive, Panama City, FL 32404"/>
    <s v="3821 Southwest County Road 534, Mayo, FL, USA"/>
    <x v="0"/>
    <s v="30.08279, -83.29082"/>
    <m/>
    <n v="17"/>
    <m/>
    <n v="1870"/>
    <n v="1870"/>
    <s v=""/>
    <m/>
    <n v="1"/>
    <n v="1870"/>
    <n v="1870"/>
    <m/>
    <m/>
    <m/>
    <m/>
    <n v="0"/>
    <m/>
    <m/>
    <n v="1870"/>
    <n v="1"/>
    <n v="1"/>
    <n v="0.3"/>
    <n v="561"/>
    <n v="561"/>
    <n v="0"/>
    <n v="0"/>
  </r>
  <r>
    <s v="US0163"/>
    <x v="9"/>
    <n v="2024"/>
    <n v="2033"/>
    <s v="Rick Griffis"/>
    <n v="10115"/>
    <s v="Martha and Rick Griffis"/>
    <s v="229-834-8941"/>
    <s v="Active"/>
    <s v="rickgriffis53@gmail.com"/>
    <s v="3272 GA Highway 135 N Lake Park GA 31636-6137"/>
    <s v="3272 GA Highway 135 N Lake Park GA 31636-6137"/>
    <x v="0"/>
    <s v="30.824649, -83.054345"/>
    <m/>
    <n v="10"/>
    <m/>
    <n v="1100"/>
    <n v="1100"/>
    <s v=""/>
    <m/>
    <n v="1"/>
    <n v="1100"/>
    <n v="1100"/>
    <m/>
    <m/>
    <m/>
    <m/>
    <n v="0"/>
    <m/>
    <m/>
    <n v="1100"/>
    <n v="1"/>
    <n v="1"/>
    <n v="1"/>
    <n v="1100"/>
    <n v="1100"/>
    <n v="0"/>
    <n v="0"/>
  </r>
  <r>
    <s v="US0164"/>
    <x v="8"/>
    <n v="2024"/>
    <n v="2033"/>
    <s v="Steve Carson"/>
    <n v="10125"/>
    <s v="Steve Carson"/>
    <s v="813-731-1266"/>
    <s v="Active"/>
    <s v="makanifl78@yahoo.com"/>
    <s v="9024 Breland Dr Tampa FL 33626-2974"/>
    <m/>
    <x v="0"/>
    <s v="31.00422383,-84.4464961"/>
    <m/>
    <n v="20"/>
    <m/>
    <n v="2310"/>
    <n v="2200"/>
    <n v="110"/>
    <n v="-110"/>
    <n v="1"/>
    <n v="2310"/>
    <n v="2200"/>
    <m/>
    <m/>
    <m/>
    <m/>
    <n v="0"/>
    <m/>
    <m/>
    <n v="2200"/>
    <n v="1"/>
    <n v="1"/>
    <n v="1"/>
    <n v="2200"/>
    <n v="2200"/>
    <n v="0"/>
    <n v="0"/>
  </r>
  <r>
    <s v="US0165"/>
    <x v="9"/>
    <n v="2024"/>
    <n v="2033"/>
    <s v="Steven Hunter"/>
    <n v="10104"/>
    <s v="Steven and_x000a_Christy Hunter"/>
    <s v="205-405-0233"/>
    <s v="Active"/>
    <s v="stevenhunter@protonmail.com"/>
    <s v="2645 State Highway 139, Maplesville, Alabama_x000a_36750, USA"/>
    <s v="AL HWY 139, Maplesville, AL"/>
    <x v="0"/>
    <s v="32.8212800, -86.8920200"/>
    <m/>
    <n v="20"/>
    <m/>
    <n v="2200"/>
    <n v="2200"/>
    <s v=""/>
    <m/>
    <n v="1"/>
    <n v="2200"/>
    <n v="2200"/>
    <m/>
    <m/>
    <m/>
    <m/>
    <n v="0"/>
    <m/>
    <m/>
    <n v="2200"/>
    <n v="1"/>
    <n v="1"/>
    <n v="1"/>
    <n v="2200"/>
    <n v="2200"/>
    <n v="0"/>
    <n v="0"/>
  </r>
  <r>
    <s v="MX0088"/>
    <x v="10"/>
    <n v="2024"/>
    <n v="2033"/>
    <m/>
    <n v="40082"/>
    <s v="Roberto Morales Domínguez"/>
    <s v="923 117 6486"/>
    <s v="Active"/>
    <m/>
    <m/>
    <s v="Ej. Benito Juárez S/N, Las Choapas, Veracruz."/>
    <x v="3"/>
    <s v="17.3262367,-93.7438911"/>
    <m/>
    <m/>
    <m/>
    <n v="2475"/>
    <n v="1000"/>
    <n v="1475"/>
    <m/>
    <n v="1"/>
    <n v="2475"/>
    <n v="1000"/>
    <m/>
    <m/>
    <m/>
    <m/>
    <m/>
    <m/>
    <m/>
    <m/>
    <m/>
    <m/>
    <m/>
    <n v="0"/>
    <n v="0"/>
    <m/>
    <m/>
  </r>
  <r>
    <s v="MX0087"/>
    <x v="10"/>
    <n v="2024"/>
    <n v="2033"/>
    <m/>
    <n v="40081"/>
    <s v="Samuel Domínguez Gómez"/>
    <m/>
    <s v="Active"/>
    <m/>
    <m/>
    <s v="Ej. Benito Juárez S/N, Las Choapas, Veracruz."/>
    <x v="3"/>
    <s v="17.3189185,-93.7432548"/>
    <m/>
    <m/>
    <m/>
    <n v="2200"/>
    <n v="1380"/>
    <n v="820"/>
    <m/>
    <n v="1"/>
    <n v="2200"/>
    <n v="1380"/>
    <m/>
    <m/>
    <m/>
    <m/>
    <m/>
    <m/>
    <m/>
    <n v="1380"/>
    <n v="1"/>
    <n v="1"/>
    <n v="1"/>
    <n v="1380"/>
    <n v="1380"/>
    <m/>
    <m/>
  </r>
  <r>
    <s v="MX0095"/>
    <x v="10"/>
    <n v="2024"/>
    <n v="2033"/>
    <m/>
    <n v="40089"/>
    <s v="Gelix Quirasco Sixteco"/>
    <m/>
    <s v="Active"/>
    <m/>
    <m/>
    <s v="Ejido N.C.P.A. Vicente Guerrero. Las Choapas, Veracruz."/>
    <x v="3"/>
    <s v="17.424491, -93.803707"/>
    <m/>
    <m/>
    <m/>
    <n v="550"/>
    <n v="550"/>
    <s v=""/>
    <m/>
    <n v="1"/>
    <n v="550"/>
    <n v="550"/>
    <m/>
    <m/>
    <m/>
    <m/>
    <m/>
    <m/>
    <m/>
    <n v="550"/>
    <n v="1"/>
    <n v="1"/>
    <n v="1"/>
    <n v="550"/>
    <n v="550"/>
    <m/>
    <m/>
  </r>
  <r>
    <s v="MX0094"/>
    <x v="10"/>
    <n v="2024"/>
    <n v="2033"/>
    <m/>
    <n v="40088"/>
    <s v="Gustavo David Zamora Utrera"/>
    <n v="529231208846"/>
    <s v="Active"/>
    <m/>
    <m/>
    <m/>
    <x v="3"/>
    <s v="17.39534167-93.77971765"/>
    <m/>
    <n v="6.7211789019678312"/>
    <m/>
    <n v="1100"/>
    <n v="1496"/>
    <n v="-396"/>
    <m/>
    <n v="1"/>
    <n v="1100"/>
    <n v="1496"/>
    <m/>
    <m/>
    <m/>
    <m/>
    <n v="0"/>
    <m/>
    <m/>
    <m/>
    <m/>
    <m/>
    <m/>
    <n v="0"/>
    <n v="0"/>
    <n v="0"/>
    <n v="0"/>
  </r>
  <r>
    <s v="MX0093"/>
    <x v="10"/>
    <n v="2024"/>
    <n v="2033"/>
    <m/>
    <n v="40087"/>
    <s v="Hugo Zamora Viveros"/>
    <m/>
    <s v="Active"/>
    <m/>
    <m/>
    <s v="Ejido Río Playas. Las Choapas, Veracruz."/>
    <x v="3"/>
    <s v="17.38856997 -93.77116978"/>
    <m/>
    <m/>
    <m/>
    <n v="1650"/>
    <n v="1260"/>
    <n v="390"/>
    <m/>
    <n v="1"/>
    <n v="1650"/>
    <n v="1260"/>
    <m/>
    <m/>
    <m/>
    <m/>
    <m/>
    <m/>
    <m/>
    <n v="1260"/>
    <n v="1"/>
    <n v="1"/>
    <n v="1"/>
    <n v="1260"/>
    <n v="1260"/>
    <m/>
    <m/>
  </r>
  <r>
    <s v="MX0092"/>
    <x v="10"/>
    <n v="2024"/>
    <n v="2033"/>
    <m/>
    <n v="40086"/>
    <s v="José Crecencio Zamora Viveros"/>
    <m/>
    <s v="Active"/>
    <m/>
    <m/>
    <s v="Ejido Pueblo Viejo. Las Choapas, Veracruz de la Llave. "/>
    <x v="3"/>
    <s v="17.39444359 -93.77239354"/>
    <m/>
    <m/>
    <m/>
    <n v="1650"/>
    <n v="1000"/>
    <n v="650"/>
    <m/>
    <n v="1"/>
    <n v="1650"/>
    <n v="1000"/>
    <m/>
    <m/>
    <m/>
    <m/>
    <m/>
    <m/>
    <m/>
    <n v="1000"/>
    <n v="1"/>
    <n v="1"/>
    <n v="1"/>
    <n v="1000"/>
    <n v="1000"/>
    <m/>
    <m/>
  </r>
  <r>
    <s v="MX0090"/>
    <x v="10"/>
    <n v="2024"/>
    <n v="2033"/>
    <m/>
    <n v="40084"/>
    <s v="Leopoldo Torales González"/>
    <m/>
    <s v="Active"/>
    <m/>
    <m/>
    <s v="Predio Rústico San Juan Camalotal del Municipio de Las Choapas, Veracruz."/>
    <x v="3"/>
    <s v="17.42363581 -93.7994805"/>
    <m/>
    <m/>
    <m/>
    <n v="1100"/>
    <n v="1100"/>
    <s v=""/>
    <m/>
    <n v="1"/>
    <n v="1100"/>
    <n v="1100"/>
    <m/>
    <m/>
    <m/>
    <m/>
    <m/>
    <m/>
    <m/>
    <n v="1100"/>
    <n v="1"/>
    <n v="1"/>
    <n v="1"/>
    <n v="1100"/>
    <n v="1100"/>
    <m/>
    <m/>
  </r>
  <r>
    <s v="MX0086"/>
    <x v="8"/>
    <n v="2024"/>
    <n v="2033"/>
    <m/>
    <n v="40080"/>
    <s v="Valente Zamora Utrera"/>
    <m/>
    <s v="Active"/>
    <m/>
    <m/>
    <s v="Ejido Pueblo Viejo. Las Choapas, Veracruz de la Llave. "/>
    <x v="3"/>
    <s v="17.38913629 -93.77397504"/>
    <m/>
    <m/>
    <m/>
    <n v="1100"/>
    <n v="1100"/>
    <s v=""/>
    <m/>
    <n v="1"/>
    <n v="1100"/>
    <n v="1100"/>
    <m/>
    <m/>
    <m/>
    <m/>
    <m/>
    <m/>
    <m/>
    <n v="1100"/>
    <n v="1"/>
    <n v="1"/>
    <n v="1"/>
    <n v="1100"/>
    <n v="1100"/>
    <m/>
    <m/>
  </r>
  <r>
    <s v="MX0083"/>
    <x v="7"/>
    <n v="2024"/>
    <n v="2033"/>
    <s v="Alberto Amezcua"/>
    <n v="40078"/>
    <s v="Alberto Amezcua Chávez"/>
    <n v="8162998970"/>
    <s v="Active"/>
    <s v="alberto-aac@hotmail.com"/>
    <m/>
    <s v="Colonia Agrícola y Ganadera Coahuila, del municipio de Playa Vicente, Veracruz."/>
    <x v="3"/>
    <s v="17.6995652-95.5325522"/>
    <m/>
    <m/>
    <m/>
    <n v="2750"/>
    <n v="2750"/>
    <s v=""/>
    <m/>
    <n v="1"/>
    <n v="2750"/>
    <n v="2750"/>
    <m/>
    <m/>
    <m/>
    <m/>
    <m/>
    <m/>
    <m/>
    <n v="2750"/>
    <n v="1"/>
    <n v="1"/>
    <n v="1"/>
    <n v="2750"/>
    <n v="2750"/>
    <m/>
    <m/>
  </r>
  <r>
    <s v="MX0080"/>
    <x v="7"/>
    <n v="2024"/>
    <n v="2033"/>
    <s v="María Álvarez Rivera"/>
    <n v="40075"/>
    <s v="Leonel Mendoza Moreno"/>
    <n v="524433374096"/>
    <s v="Active"/>
    <s v="mariaalvarezrivera321@gmail.com"/>
    <m/>
    <s v="Predio Rústico Santa Sofía, Tuxtepec, Oaxaca."/>
    <x v="3"/>
    <s v="17.8019092-95.8793005"/>
    <m/>
    <m/>
    <m/>
    <n v="2750"/>
    <n v="2750"/>
    <s v=""/>
    <m/>
    <n v="1"/>
    <n v="2750"/>
    <n v="2750"/>
    <m/>
    <m/>
    <m/>
    <m/>
    <m/>
    <m/>
    <m/>
    <n v="2750"/>
    <n v="1"/>
    <n v="1"/>
    <n v="1"/>
    <n v="2750"/>
    <n v="2750"/>
    <m/>
    <m/>
  </r>
  <r>
    <s v="MX0085"/>
    <x v="7"/>
    <n v="2024"/>
    <n v="2033"/>
    <s v="Delfino Cruz Mil"/>
    <n v="40079"/>
    <s v="Gonzalo Cruz Jiménez"/>
    <n v="524401684602"/>
    <s v="Active"/>
    <s v="trujillojuana798@gmail.com"/>
    <m/>
    <s v="Ejido Candido Aguilar, Municipio de Minatitlan, Veracruz, México, C.P. 96700"/>
    <x v="3"/>
    <s v="17.4902304-94.4526763"/>
    <m/>
    <m/>
    <m/>
    <n v="1100"/>
    <n v="1100"/>
    <s v=""/>
    <m/>
    <n v="1"/>
    <n v="1100"/>
    <n v="1100"/>
    <m/>
    <m/>
    <m/>
    <m/>
    <m/>
    <m/>
    <m/>
    <n v="1100"/>
    <n v="1"/>
    <n v="1"/>
    <n v="1"/>
    <n v="1100"/>
    <n v="1100"/>
    <m/>
    <m/>
  </r>
  <r>
    <s v="MX0096"/>
    <x v="7"/>
    <n v="2024"/>
    <n v="2033"/>
    <s v="Delfino Cruz Mil"/>
    <n v="40090"/>
    <s v="Delfino Cruz Mil"/>
    <n v="525608443532"/>
    <s v="Active"/>
    <s v="trujillojuana798@gmail.com"/>
    <m/>
    <s v="Ejido Cándido Aguilar, Municipio de Minatitlán, Veracruz, México, C.P. 96926"/>
    <x v="3"/>
    <s v="17.4952513-94.4474044"/>
    <m/>
    <m/>
    <m/>
    <n v="2750"/>
    <n v="2750"/>
    <s v=""/>
    <m/>
    <n v="1"/>
    <n v="2750"/>
    <n v="2750"/>
    <m/>
    <m/>
    <m/>
    <m/>
    <m/>
    <m/>
    <m/>
    <n v="2750"/>
    <n v="1"/>
    <n v="1"/>
    <n v="1"/>
    <n v="2750"/>
    <n v="2750"/>
    <m/>
    <m/>
  </r>
  <r>
    <s v="MX0078"/>
    <x v="7"/>
    <n v="2024"/>
    <n v="2033"/>
    <m/>
    <n v="40073"/>
    <s v="Rubén Fernández Méndez"/>
    <n v="522831003239"/>
    <s v="Active"/>
    <s v="bulbarela12345@gmail.com"/>
    <m/>
    <s v="Localidad La Soledad, Juan Rodríguez Clara, Veracruz, México. CP 95676."/>
    <x v="3"/>
    <s v="17.9506003-95.3010965"/>
    <m/>
    <m/>
    <m/>
    <n v="5500"/>
    <n v="5500"/>
    <s v=""/>
    <m/>
    <n v="1"/>
    <n v="5500"/>
    <n v="5500"/>
    <m/>
    <m/>
    <m/>
    <m/>
    <m/>
    <m/>
    <m/>
    <n v="5500"/>
    <n v="1"/>
    <n v="1"/>
    <n v="1"/>
    <n v="5500"/>
    <n v="5500"/>
    <m/>
    <m/>
  </r>
  <r>
    <s v="MX0097"/>
    <x v="8"/>
    <n v="2024"/>
    <n v="2033"/>
    <m/>
    <n v="40091"/>
    <s v="Concepción Rueda Díaz"/>
    <m/>
    <s v="Active"/>
    <m/>
    <m/>
    <m/>
    <x v="3"/>
    <s v="17.35488148-93.78831346"/>
    <m/>
    <m/>
    <m/>
    <n v="550"/>
    <n v="550"/>
    <s v=""/>
    <m/>
    <n v="1"/>
    <n v="550"/>
    <n v="550"/>
    <m/>
    <m/>
    <m/>
    <m/>
    <m/>
    <m/>
    <m/>
    <n v="550"/>
    <n v="1"/>
    <n v="1"/>
    <n v="1"/>
    <n v="550"/>
    <n v="550"/>
    <m/>
    <m/>
  </r>
  <r>
    <s v="MX0091"/>
    <x v="8"/>
    <n v="2024"/>
    <n v="2033"/>
    <m/>
    <n v="40085"/>
    <s v="José Enrique Lorenzo Solís"/>
    <m/>
    <s v="Active"/>
    <m/>
    <m/>
    <m/>
    <x v="3"/>
    <s v="17.34223477-93.7660538"/>
    <m/>
    <m/>
    <m/>
    <n v="1650"/>
    <n v="1650"/>
    <m/>
    <m/>
    <n v="1"/>
    <n v="1650"/>
    <n v="1650"/>
    <m/>
    <m/>
    <m/>
    <m/>
    <m/>
    <m/>
    <m/>
    <n v="1650"/>
    <n v="1"/>
    <n v="1"/>
    <n v="1"/>
    <n v="1650"/>
    <n v="1650"/>
    <m/>
    <m/>
  </r>
  <r>
    <s v="MX0089"/>
    <x v="8"/>
    <n v="2024"/>
    <n v="2033"/>
    <m/>
    <n v="40083"/>
    <s v="Milton Domínguez Morales"/>
    <m/>
    <s v="Active"/>
    <m/>
    <m/>
    <m/>
    <x v="3"/>
    <s v="17.3617901-93.78557324"/>
    <m/>
    <m/>
    <m/>
    <n v="550"/>
    <n v="550"/>
    <s v=""/>
    <m/>
    <n v="1"/>
    <n v="550"/>
    <n v="550"/>
    <m/>
    <m/>
    <m/>
    <m/>
    <m/>
    <m/>
    <m/>
    <n v="550"/>
    <n v="1"/>
    <n v="1"/>
    <n v="1"/>
    <n v="550"/>
    <n v="550"/>
    <m/>
    <m/>
  </r>
  <r>
    <m/>
    <x v="8"/>
    <n v="2024"/>
    <n v="2033"/>
    <m/>
    <m/>
    <s v="Inocente Zamora Utera"/>
    <n v="529231013383"/>
    <s v="Active"/>
    <m/>
    <m/>
    <m/>
    <x v="3"/>
    <s v="17.3916399-93.77523065"/>
    <m/>
    <m/>
    <m/>
    <n v="550"/>
    <n v="550"/>
    <s v=""/>
    <m/>
    <n v="1"/>
    <n v="550"/>
    <n v="550"/>
    <m/>
    <m/>
    <m/>
    <m/>
    <m/>
    <m/>
    <m/>
    <m/>
    <m/>
    <m/>
    <m/>
    <n v="0"/>
    <n v="0"/>
    <m/>
    <m/>
  </r>
  <r>
    <m/>
    <x v="8"/>
    <n v="2024"/>
    <n v="2033"/>
    <m/>
    <m/>
    <s v="Noel Zamora Viveros"/>
    <n v="529231013383"/>
    <s v="Active"/>
    <m/>
    <m/>
    <m/>
    <x v="3"/>
    <s v="17.38517395-93.77421711"/>
    <m/>
    <m/>
    <m/>
    <n v="1650"/>
    <n v="1650"/>
    <s v=""/>
    <m/>
    <n v="1"/>
    <n v="1650"/>
    <n v="1650"/>
    <m/>
    <m/>
    <m/>
    <m/>
    <m/>
    <m/>
    <m/>
    <m/>
    <m/>
    <m/>
    <m/>
    <n v="0"/>
    <n v="0"/>
    <m/>
    <m/>
  </r>
  <r>
    <s v="MX0079"/>
    <x v="7"/>
    <n v="2024"/>
    <n v="2033"/>
    <m/>
    <n v="40074"/>
    <s v="Marcelo Sánchez Miravete"/>
    <n v="522831245608"/>
    <s v="Active"/>
    <s v="30sanchez.12345@gmail.com"/>
    <m/>
    <m/>
    <x v="3"/>
    <s v="17.4764004478068953-95.60631006752998"/>
    <m/>
    <m/>
    <m/>
    <n v="2200"/>
    <n v="2200"/>
    <s v=""/>
    <m/>
    <n v="1"/>
    <n v="2200"/>
    <n v="2200"/>
    <m/>
    <m/>
    <m/>
    <m/>
    <m/>
    <m/>
    <m/>
    <n v="2200"/>
    <n v="1"/>
    <n v="1"/>
    <n v="1"/>
    <n v="2200"/>
    <n v="2200"/>
    <m/>
    <m/>
  </r>
  <r>
    <s v="MX0077"/>
    <x v="7"/>
    <n v="2024"/>
    <n v="2033"/>
    <s v="Rosario Sánchez"/>
    <n v="40072"/>
    <s v="Rosario Sánchez Miravete"/>
    <n v="522831245608"/>
    <s v="Active"/>
    <s v="chayo052574@gmail.com"/>
    <m/>
    <m/>
    <x v="3"/>
    <s v="17.484439223613975-95.5933437605206"/>
    <m/>
    <n v="7.4130649654056961"/>
    <m/>
    <n v="1650"/>
    <n v="1650"/>
    <m/>
    <m/>
    <n v="1"/>
    <n v="1650"/>
    <n v="1650"/>
    <m/>
    <m/>
    <m/>
    <m/>
    <n v="0"/>
    <m/>
    <m/>
    <n v="1650"/>
    <n v="1"/>
    <n v="1"/>
    <n v="1"/>
    <n v="1650"/>
    <n v="1650"/>
    <n v="0"/>
    <n v="0"/>
  </r>
  <r>
    <s v="MX0081"/>
    <x v="7"/>
    <n v="2024"/>
    <n v="2033"/>
    <m/>
    <n v="40076"/>
    <s v="Francisco Ramírez Zamorano"/>
    <n v="522881013093"/>
    <s v="Active"/>
    <s v="30sanchez.12345@gmail.com"/>
    <m/>
    <m/>
    <x v="3"/>
    <s v="18.00437184494997-95.63166565877397"/>
    <m/>
    <n v="9.8840866205409288"/>
    <m/>
    <n v="2200"/>
    <n v="2200"/>
    <s v=""/>
    <m/>
    <n v="1"/>
    <n v="2200"/>
    <n v="2200"/>
    <m/>
    <m/>
    <m/>
    <m/>
    <n v="0"/>
    <m/>
    <m/>
    <n v="2200"/>
    <n v="1"/>
    <n v="1"/>
    <n v="1"/>
    <n v="2200"/>
    <n v="2200"/>
    <n v="0"/>
    <n v="0"/>
  </r>
  <r>
    <s v="MX0084"/>
    <x v="7"/>
    <n v="2024"/>
    <n v="2033"/>
    <m/>
    <n v="40039"/>
    <s v="Angela Lopez Cruz"/>
    <m/>
    <s v="Active"/>
    <m/>
    <m/>
    <m/>
    <x v="3"/>
    <m/>
    <m/>
    <n v="2.4710216551352322"/>
    <m/>
    <n v="550"/>
    <n v="550"/>
    <m/>
    <m/>
    <n v="1"/>
    <n v="550"/>
    <n v="550"/>
    <m/>
    <m/>
    <m/>
    <m/>
    <n v="0"/>
    <m/>
    <m/>
    <n v="550"/>
    <n v="1"/>
    <n v="1"/>
    <n v="1"/>
    <n v="550"/>
    <n v="550"/>
    <n v="0"/>
    <n v="0"/>
  </r>
  <r>
    <s v="MX0082"/>
    <x v="7"/>
    <n v="2024"/>
    <n v="2033"/>
    <m/>
    <n v="40077"/>
    <s v="Angel Gomez Mendez"/>
    <m/>
    <s v="Active"/>
    <m/>
    <m/>
    <m/>
    <x v="3"/>
    <m/>
    <m/>
    <n v="4.9420433102704644"/>
    <m/>
    <n v="1100"/>
    <n v="1100"/>
    <m/>
    <m/>
    <n v="1"/>
    <n v="1100"/>
    <n v="1100"/>
    <m/>
    <m/>
    <m/>
    <m/>
    <n v="0"/>
    <m/>
    <m/>
    <n v="1100"/>
    <n v="1"/>
    <n v="1"/>
    <n v="1"/>
    <n v="1100"/>
    <n v="110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837C6F-C41D-4446-A3AC-96DBC4BC33D4}" name="PivotTable6"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Q3:AC9" firstHeaderRow="1" firstDataRow="2" firstDataCol="1"/>
  <pivotFields count="39">
    <pivotField compact="0" outline="0" showAll="0"/>
    <pivotField axis="axisCol" compact="0" outline="0" showAll="0">
      <items count="12">
        <item x="0"/>
        <item x="1"/>
        <item x="3"/>
        <item x="2"/>
        <item x="4"/>
        <item x="6"/>
        <item x="7"/>
        <item x="8"/>
        <item x="5"/>
        <item x="10"/>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1"/>
        <item x="2"/>
        <item x="3"/>
        <item x="0"/>
        <item m="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2"/>
  </rowFields>
  <rowItems count="5">
    <i>
      <x/>
    </i>
    <i>
      <x v="1"/>
    </i>
    <i>
      <x v="2"/>
    </i>
    <i>
      <x v="3"/>
    </i>
    <i t="grand">
      <x/>
    </i>
  </rowItems>
  <colFields count="1">
    <field x="1"/>
  </colFields>
  <colItems count="12">
    <i>
      <x/>
    </i>
    <i>
      <x v="1"/>
    </i>
    <i>
      <x v="2"/>
    </i>
    <i>
      <x v="3"/>
    </i>
    <i>
      <x v="4"/>
    </i>
    <i>
      <x v="5"/>
    </i>
    <i>
      <x v="6"/>
    </i>
    <i>
      <x v="7"/>
    </i>
    <i>
      <x v="8"/>
    </i>
    <i>
      <x v="9"/>
    </i>
    <i>
      <x v="10"/>
    </i>
    <i t="grand">
      <x/>
    </i>
  </colItems>
  <dataFields count="1">
    <dataField name="Sum of Canada Allocation-tree #'s" fld="25" baseField="0" baseItem="0"/>
  </dataFields>
  <formats count="2">
    <format dxfId="20">
      <pivotArea outline="0" fieldPosition="0">
        <references count="1">
          <reference field="1" count="3" selected="0">
            <x v="1"/>
            <x v="2"/>
            <x v="3"/>
          </reference>
        </references>
      </pivotArea>
    </format>
    <format dxfId="19">
      <pivotArea grandCol="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331DC2-798E-4066-97B8-2F801AC875BC}" name="PivotTable1"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Q42:AC48" firstHeaderRow="1" firstDataRow="2" firstDataCol="1"/>
  <pivotFields count="39">
    <pivotField compact="0" outline="0" showAll="0"/>
    <pivotField axis="axisCol" compact="0" outline="0" showAll="0">
      <items count="12">
        <item x="0"/>
        <item x="1"/>
        <item x="3"/>
        <item x="2"/>
        <item x="4"/>
        <item x="6"/>
        <item x="7"/>
        <item x="8"/>
        <item x="5"/>
        <item x="10"/>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1"/>
        <item x="2"/>
        <item x="3"/>
        <item x="0"/>
        <item n="Reported " m="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2"/>
  </rowFields>
  <rowItems count="5">
    <i>
      <x/>
    </i>
    <i>
      <x v="1"/>
    </i>
    <i>
      <x v="2"/>
    </i>
    <i>
      <x v="3"/>
    </i>
    <i t="grand">
      <x/>
    </i>
  </rowItems>
  <colFields count="1">
    <field x="1"/>
  </colFields>
  <colItems count="12">
    <i>
      <x/>
    </i>
    <i>
      <x v="1"/>
    </i>
    <i>
      <x v="2"/>
    </i>
    <i>
      <x v="3"/>
    </i>
    <i>
      <x v="4"/>
    </i>
    <i>
      <x v="5"/>
    </i>
    <i>
      <x v="6"/>
    </i>
    <i>
      <x v="7"/>
    </i>
    <i>
      <x v="8"/>
    </i>
    <i>
      <x v="9"/>
    </i>
    <i>
      <x v="10"/>
    </i>
    <i t="grand">
      <x/>
    </i>
  </colItems>
  <dataFields count="1">
    <dataField name="Sum of USA trees/Allocation/Planted" fld="23" baseField="0" baseItem="0"/>
  </dataFields>
  <formats count="8">
    <format dxfId="28">
      <pivotArea grandRow="1" grandCol="1" outline="0" collapsedLevelsAreSubtotals="1" fieldPosition="0"/>
    </format>
    <format dxfId="27">
      <pivotArea field="12" grandCol="1" outline="0" axis="axisRow" fieldPosition="0">
        <references count="1">
          <reference field="12" count="4" selected="0">
            <x v="0"/>
            <x v="1"/>
            <x v="2"/>
            <x v="3"/>
          </reference>
        </references>
      </pivotArea>
    </format>
    <format dxfId="26">
      <pivotArea outline="0" fieldPosition="0">
        <references count="2">
          <reference field="1" count="1" selected="0">
            <x v="1"/>
          </reference>
          <reference field="12" count="2" selected="0">
            <x v="3"/>
            <x v="4"/>
          </reference>
        </references>
      </pivotArea>
    </format>
    <format dxfId="25">
      <pivotArea field="1" grandRow="1" outline="0" axis="axisCol" fieldPosition="0">
        <references count="1">
          <reference field="1" count="1" selected="0">
            <x v="1"/>
          </reference>
        </references>
      </pivotArea>
    </format>
    <format dxfId="24">
      <pivotArea outline="0" fieldPosition="0">
        <references count="1">
          <reference field="1" count="1" selected="0">
            <x v="3"/>
          </reference>
        </references>
      </pivotArea>
    </format>
    <format dxfId="23">
      <pivotArea field="1" grandRow="1" outline="0" axis="axisCol" fieldPosition="0">
        <references count="1">
          <reference field="1" count="9" selected="0">
            <x v="1"/>
            <x v="2"/>
            <x v="3"/>
            <x v="4"/>
            <x v="5"/>
            <x v="6"/>
            <x v="7"/>
            <x v="8"/>
            <x v="9"/>
          </reference>
        </references>
      </pivotArea>
    </format>
    <format dxfId="22">
      <pivotArea grandRow="1" grandCol="1" outline="0" collapsedLevelsAreSubtotals="1" fieldPosition="0"/>
    </format>
    <format dxfId="21">
      <pivotArea outline="0" fieldPosition="0">
        <references count="1">
          <reference field="12" count="4" selected="0">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8E4377-FF68-4F2A-A5A2-DBF80EF0E601}" name="PivotTable2"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Q32:AC38" firstHeaderRow="1" firstDataRow="2" firstDataCol="1"/>
  <pivotFields count="39">
    <pivotField compact="0" outline="0" showAll="0"/>
    <pivotField axis="axisCol" compact="0" outline="0" showAll="0">
      <items count="12">
        <item x="0"/>
        <item x="1"/>
        <item x="3"/>
        <item x="2"/>
        <item x="4"/>
        <item x="6"/>
        <item x="7"/>
        <item x="8"/>
        <item x="5"/>
        <item x="10"/>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1"/>
        <item x="2"/>
        <item x="3"/>
        <item x="0"/>
        <item m="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s>
  <rowFields count="1">
    <field x="12"/>
  </rowFields>
  <rowItems count="5">
    <i>
      <x/>
    </i>
    <i>
      <x v="1"/>
    </i>
    <i>
      <x v="2"/>
    </i>
    <i>
      <x v="3"/>
    </i>
    <i t="grand">
      <x/>
    </i>
  </rowItems>
  <colFields count="1">
    <field x="1"/>
  </colFields>
  <colItems count="12">
    <i>
      <x/>
    </i>
    <i>
      <x v="1"/>
    </i>
    <i>
      <x v="2"/>
    </i>
    <i>
      <x v="3"/>
    </i>
    <i>
      <x v="4"/>
    </i>
    <i>
      <x v="5"/>
    </i>
    <i>
      <x v="6"/>
    </i>
    <i>
      <x v="7"/>
    </i>
    <i>
      <x v="8"/>
    </i>
    <i>
      <x v="9"/>
    </i>
    <i>
      <x v="10"/>
    </i>
    <i t="grand">
      <x/>
    </i>
  </colItems>
  <dataFields count="1">
    <dataField name="Sum of #Trees as of 2024/estimate -US allocation " fld="36" baseField="0" baseItem="0"/>
  </dataFields>
  <formats count="10">
    <format dxfId="38">
      <pivotArea outline="0" fieldPosition="0">
        <references count="2">
          <reference field="1" count="9" selected="0">
            <x v="1"/>
            <x v="2"/>
            <x v="3"/>
            <x v="4"/>
            <x v="5"/>
            <x v="6"/>
            <x v="7"/>
            <x v="8"/>
            <x v="9"/>
          </reference>
          <reference field="12" count="4" selected="0">
            <x v="0"/>
            <x v="1"/>
            <x v="2"/>
            <x v="3"/>
          </reference>
        </references>
      </pivotArea>
    </format>
    <format dxfId="37">
      <pivotArea field="12" grandCol="1" outline="0" axis="axisRow" fieldPosition="0">
        <references count="1">
          <reference field="12" count="4" selected="0">
            <x v="0"/>
            <x v="1"/>
            <x v="2"/>
            <x v="3"/>
          </reference>
        </references>
      </pivotArea>
    </format>
    <format dxfId="36">
      <pivotArea field="1" grandRow="1" outline="0" axis="axisCol" fieldPosition="0">
        <references count="1">
          <reference field="1" count="9" selected="0">
            <x v="1"/>
            <x v="2"/>
            <x v="3"/>
            <x v="4"/>
            <x v="5"/>
            <x v="6"/>
            <x v="7"/>
            <x v="8"/>
            <x v="9"/>
          </reference>
        </references>
      </pivotArea>
    </format>
    <format dxfId="35">
      <pivotArea grandRow="1" grandCol="1" outline="0" collapsedLevelsAreSubtotals="1" fieldPosition="0"/>
    </format>
    <format dxfId="34">
      <pivotArea field="1" grandRow="1" outline="0" axis="axisCol" fieldPosition="0">
        <references count="1">
          <reference field="1" count="9" selected="0">
            <x v="1"/>
            <x v="2"/>
            <x v="3"/>
            <x v="4"/>
            <x v="5"/>
            <x v="6"/>
            <x v="7"/>
            <x v="8"/>
            <x v="9"/>
          </reference>
        </references>
      </pivotArea>
    </format>
    <format dxfId="33">
      <pivotArea grandRow="1" grandCol="1" outline="0" collapsedLevelsAreSubtotals="1" fieldPosition="0"/>
    </format>
    <format dxfId="32">
      <pivotArea outline="0" fieldPosition="0">
        <references count="1">
          <reference field="12" count="0" selected="0"/>
        </references>
      </pivotArea>
    </format>
    <format dxfId="31">
      <pivotArea outline="0" fieldPosition="0">
        <references count="2">
          <reference field="1" count="1" selected="0">
            <x v="7"/>
          </reference>
          <reference field="12" count="1" selected="0">
            <x v="1"/>
          </reference>
        </references>
      </pivotArea>
    </format>
    <format dxfId="30">
      <pivotArea outline="0" fieldPosition="0">
        <references count="2">
          <reference field="1" count="1" selected="0">
            <x v="7"/>
          </reference>
          <reference field="12" count="1" selected="0">
            <x v="1"/>
          </reference>
        </references>
      </pivotArea>
    </format>
    <format dxfId="29">
      <pivotArea outline="0" fieldPosition="0">
        <references count="2">
          <reference field="1" count="1" selected="0">
            <x v="7"/>
          </reference>
          <reference field="12"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B36332-C69C-4557-8BC4-8A3CE3BE6127}" name="PivotTable7"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Q14:AC20" firstHeaderRow="1" firstDataRow="2" firstDataCol="1"/>
  <pivotFields count="39">
    <pivotField compact="0" outline="0" showAll="0"/>
    <pivotField axis="axisCol" compact="0" outline="0" showAll="0">
      <items count="12">
        <item x="0"/>
        <item x="1"/>
        <item x="3"/>
        <item x="2"/>
        <item x="4"/>
        <item x="6"/>
        <item x="7"/>
        <item x="8"/>
        <item x="5"/>
        <item x="10"/>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1"/>
        <item x="2"/>
        <item x="3"/>
        <item x="0"/>
        <item m="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s>
  <rowFields count="1">
    <field x="12"/>
  </rowFields>
  <rowItems count="5">
    <i>
      <x/>
    </i>
    <i>
      <x v="1"/>
    </i>
    <i>
      <x v="2"/>
    </i>
    <i>
      <x v="3"/>
    </i>
    <i t="grand">
      <x/>
    </i>
  </rowItems>
  <colFields count="1">
    <field x="1"/>
  </colFields>
  <colItems count="12">
    <i>
      <x/>
    </i>
    <i>
      <x v="1"/>
    </i>
    <i>
      <x v="2"/>
    </i>
    <i>
      <x v="3"/>
    </i>
    <i>
      <x v="4"/>
    </i>
    <i>
      <x v="5"/>
    </i>
    <i>
      <x v="6"/>
    </i>
    <i>
      <x v="7"/>
    </i>
    <i>
      <x v="8"/>
    </i>
    <i>
      <x v="9"/>
    </i>
    <i>
      <x v="10"/>
    </i>
    <i t="grand">
      <x/>
    </i>
  </colItems>
  <dataFields count="1">
    <dataField name="Sum of #Trees as of 2024/estimate-Can allocation" fld="37" baseField="0" baseItem="0"/>
  </dataFields>
  <formats count="8">
    <format dxfId="46">
      <pivotArea outline="0" fieldPosition="0">
        <references count="1">
          <reference field="1" count="1" selected="0">
            <x v="1"/>
          </reference>
        </references>
      </pivotArea>
    </format>
    <format dxfId="45">
      <pivotArea outline="0" fieldPosition="0">
        <references count="2">
          <reference field="1" count="1" selected="0">
            <x v="0"/>
          </reference>
          <reference field="12" count="2" selected="0">
            <x v="3"/>
            <x v="4"/>
          </reference>
        </references>
      </pivotArea>
    </format>
    <format dxfId="44">
      <pivotArea field="1" grandRow="1" outline="0" axis="axisCol" fieldPosition="0">
        <references count="1">
          <reference field="1" count="1" selected="0">
            <x v="0"/>
          </reference>
        </references>
      </pivotArea>
    </format>
    <format dxfId="43">
      <pivotArea outline="0" fieldPosition="0">
        <references count="1">
          <reference field="1" count="1" selected="0">
            <x v="3"/>
          </reference>
        </references>
      </pivotArea>
    </format>
    <format dxfId="42">
      <pivotArea grandCol="1" outline="0" collapsedLevelsAreSubtotals="1" fieldPosition="0"/>
    </format>
    <format dxfId="41">
      <pivotArea outline="0" collapsedLevelsAreSubtotals="1" fieldPosition="0"/>
    </format>
    <format dxfId="40">
      <pivotArea dataOnly="0" labelOnly="1" outline="0" fieldPosition="0">
        <references count="1">
          <reference field="12" count="0"/>
        </references>
      </pivotArea>
    </format>
    <format dxfId="3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5AFEBA-EC8B-42C9-8DE7-DD4D95F0ED5F}" name="PivotTable8"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D3:AP9" firstHeaderRow="1" firstDataRow="2" firstDataCol="1"/>
  <pivotFields count="39">
    <pivotField compact="0" outline="0" showAll="0"/>
    <pivotField axis="axisCol" compact="0" outline="0" showAll="0">
      <items count="12">
        <item x="0"/>
        <item x="1"/>
        <item x="3"/>
        <item x="2"/>
        <item x="4"/>
        <item x="6"/>
        <item x="7"/>
        <item x="8"/>
        <item x="5"/>
        <item x="10"/>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1"/>
        <item x="2"/>
        <item x="3"/>
        <item x="0"/>
        <item m="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2"/>
  </rowFields>
  <rowItems count="5">
    <i>
      <x/>
    </i>
    <i>
      <x v="1"/>
    </i>
    <i>
      <x v="2"/>
    </i>
    <i>
      <x v="3"/>
    </i>
    <i t="grand">
      <x/>
    </i>
  </rowItems>
  <colFields count="1">
    <field x="1"/>
  </colFields>
  <colItems count="12">
    <i>
      <x/>
    </i>
    <i>
      <x v="1"/>
    </i>
    <i>
      <x v="2"/>
    </i>
    <i>
      <x v="3"/>
    </i>
    <i>
      <x v="4"/>
    </i>
    <i>
      <x v="5"/>
    </i>
    <i>
      <x v="6"/>
    </i>
    <i>
      <x v="7"/>
    </i>
    <i>
      <x v="8"/>
    </i>
    <i>
      <x v="9"/>
    </i>
    <i>
      <x v="10"/>
    </i>
    <i t="grand">
      <x/>
    </i>
  </colItems>
  <dataFields count="1">
    <dataField name="Sum of Can trees/Allocation 2017" fld="2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026CAA-109D-4CF5-BAF4-B7AC8317B25E}"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J9" firstHeaderRow="1" firstDataRow="2" firstDataCol="1" rowPageCount="1" colPageCount="1"/>
  <pivotFields count="70">
    <pivotField dataField="1" showAll="0"/>
    <pivotField showAll="0"/>
    <pivotField axis="axisCol" showAll="0">
      <items count="13">
        <item x="0"/>
        <item x="1"/>
        <item x="2"/>
        <item x="3"/>
        <item x="4"/>
        <item x="5"/>
        <item x="6"/>
        <item x="7"/>
        <item x="8"/>
        <item x="10"/>
        <item x="9"/>
        <item m="1" x="11"/>
        <item t="default"/>
      </items>
    </pivotField>
    <pivotField showAll="0"/>
    <pivotField showAll="0"/>
    <pivotField showAll="0"/>
    <pivotField showAll="0"/>
    <pivotField showAll="0"/>
    <pivotField axis="axisPage" multipleItemSelectionAllowed="1" showAll="0">
      <items count="6">
        <item h="1" x="2"/>
        <item h="1" x="1"/>
        <item x="0"/>
        <item h="1" m="1" x="4"/>
        <item h="1" x="3"/>
        <item t="default"/>
      </items>
    </pivotField>
    <pivotField showAll="0"/>
    <pivotField showAll="0"/>
    <pivotField showAll="0"/>
    <pivotField axis="axisRow" showAll="0">
      <items count="7">
        <item x="1"/>
        <item x="2"/>
        <item x="3"/>
        <item x="0"/>
        <item m="1" x="5"/>
        <item x="4"/>
        <item t="default"/>
      </items>
    </pivotField>
    <pivotField showAll="0"/>
    <pivotField showAll="0"/>
    <pivotField showAll="0"/>
    <pivotField showAll="0"/>
    <pivotField showAll="0"/>
    <pivotField showAll="0"/>
    <pivotField showAll="0"/>
    <pivotField showAll="0"/>
    <pivotField showAll="0"/>
    <pivotField numFmtId="1" showAll="0"/>
    <pivotField numFmtId="1" showAll="0"/>
    <pivotField showAll="0"/>
    <pivotField showAll="0"/>
    <pivotField showAll="0"/>
    <pivotField showAll="0"/>
    <pivotField showAll="0"/>
    <pivotField showAll="0"/>
    <pivotField showAll="0"/>
    <pivotField showAll="0"/>
    <pivotField showAll="0"/>
    <pivotField showAll="0"/>
    <pivotField numFmtId="9" showAll="0"/>
    <pivotField showAll="0"/>
    <pivotField numFmtId="1" showAll="0"/>
    <pivotField numFmtId="1"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showAll="0"/>
    <pivotField numFmtId="9" showAll="0"/>
    <pivotField numFmtId="173" showAll="0"/>
    <pivotField numFmtId="173" showAll="0"/>
    <pivotField numFmtId="173" showAll="0"/>
    <pivotField numFmtId="173" showAll="0"/>
    <pivotField numFmtId="173" showAll="0"/>
    <pivotField numFmtId="173" showAll="0"/>
    <pivotField showAll="0"/>
    <pivotField numFmtId="173" showAll="0"/>
  </pivotFields>
  <rowFields count="1">
    <field x="12"/>
  </rowFields>
  <rowItems count="5">
    <i>
      <x/>
    </i>
    <i>
      <x v="1"/>
    </i>
    <i>
      <x v="2"/>
    </i>
    <i>
      <x v="3"/>
    </i>
    <i t="grand">
      <x/>
    </i>
  </rowItems>
  <colFields count="1">
    <field x="2"/>
  </colFields>
  <colItems count="9">
    <i>
      <x/>
    </i>
    <i>
      <x v="1"/>
    </i>
    <i>
      <x v="2"/>
    </i>
    <i>
      <x v="3"/>
    </i>
    <i>
      <x v="4"/>
    </i>
    <i>
      <x v="5"/>
    </i>
    <i>
      <x v="6"/>
    </i>
    <i>
      <x v="7"/>
    </i>
    <i t="grand">
      <x/>
    </i>
  </colItems>
  <pageFields count="1">
    <pageField fld="8" hier="-1"/>
  </pageFields>
  <dataFields count="1">
    <dataField name="Count of Contract Cod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69D206-F1A8-4DE3-A300-EC99DA9ED97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E14" firstHeaderRow="0" firstDataRow="1" firstDataCol="1"/>
  <pivotFields count="54">
    <pivotField dataField="1" showAll="0"/>
    <pivotField showAll="0"/>
    <pivotField axis="axisRow" showAll="0">
      <items count="13">
        <item x="0"/>
        <item sd="0" x="1"/>
        <item sd="0" x="2"/>
        <item sd="0" x="3"/>
        <item sd="0" x="4"/>
        <item sd="0" x="5"/>
        <item sd="0" x="6"/>
        <item sd="0" x="7"/>
        <item sd="0" x="8"/>
        <item sd="0" x="10"/>
        <item sd="0" x="9"/>
        <item m="1" x="11"/>
        <item t="default"/>
      </items>
    </pivotField>
    <pivotField showAll="0"/>
    <pivotField showAll="0"/>
    <pivotField showAll="0"/>
    <pivotField showAll="0"/>
    <pivotField showAll="0"/>
    <pivotField showAll="0"/>
    <pivotField showAll="0"/>
    <pivotField showAll="0"/>
    <pivotField showAll="0"/>
    <pivotField axis="axisRow" showAll="0">
      <items count="7">
        <item x="1"/>
        <item x="2"/>
        <item x="3"/>
        <item x="0"/>
        <item x="4"/>
        <item m="1" x="5"/>
        <item t="default"/>
      </items>
    </pivotField>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12"/>
  </rowFields>
  <rowItems count="13">
    <i>
      <x/>
    </i>
    <i r="1">
      <x v="3"/>
    </i>
    <i>
      <x v="1"/>
    </i>
    <i>
      <x v="2"/>
    </i>
    <i>
      <x v="3"/>
    </i>
    <i>
      <x v="4"/>
    </i>
    <i>
      <x v="5"/>
    </i>
    <i>
      <x v="6"/>
    </i>
    <i>
      <x v="7"/>
    </i>
    <i>
      <x v="8"/>
    </i>
    <i>
      <x v="9"/>
    </i>
    <i>
      <x v="10"/>
    </i>
    <i t="grand">
      <x/>
    </i>
  </rowItems>
  <colFields count="1">
    <field x="-2"/>
  </colFields>
  <colItems count="4">
    <i>
      <x/>
    </i>
    <i i="1">
      <x v="1"/>
    </i>
    <i i="2">
      <x v="2"/>
    </i>
    <i i="3">
      <x v="3"/>
    </i>
  </colItems>
  <dataFields count="4">
    <dataField name="Count of Contract Code" fld="0" subtotal="count" baseField="0" baseItem="0"/>
    <dataField name="Sum of #TreesContract" fld="17" baseField="0" baseItem="0" numFmtId="170"/>
    <dataField name="Sum of #Planted" fld="18" baseField="0" baseItem="0" numFmtId="170"/>
    <dataField name="Sum of Planting Obligation" fld="19" baseField="19" baseItem="0" numFmtId="170"/>
  </dataFields>
  <formats count="8">
    <format dxfId="18">
      <pivotArea outline="0" collapsedLevelsAreSubtotals="1" fieldPosition="0">
        <references count="1">
          <reference field="4294967294" count="1" selected="0">
            <x v="1"/>
          </reference>
        </references>
      </pivotArea>
    </format>
    <format dxfId="17">
      <pivotArea dataOnly="0" labelOnly="1" outline="0" fieldPosition="0">
        <references count="1">
          <reference field="4294967294" count="1">
            <x v="1"/>
          </reference>
        </references>
      </pivotArea>
    </format>
    <format dxfId="16">
      <pivotArea outline="0" collapsedLevelsAreSubtotals="1" fieldPosition="0">
        <references count="1">
          <reference field="4294967294" count="1" selected="0">
            <x v="2"/>
          </reference>
        </references>
      </pivotArea>
    </format>
    <format dxfId="15">
      <pivotArea dataOnly="0" labelOnly="1" outline="0" fieldPosition="0">
        <references count="1">
          <reference field="4294967294" count="1">
            <x v="2"/>
          </reference>
        </references>
      </pivotArea>
    </format>
    <format dxfId="14">
      <pivotArea outline="0" collapsedLevelsAreSubtotals="1" fieldPosition="0">
        <references count="1">
          <reference field="4294967294" count="1" selected="0">
            <x v="3"/>
          </reference>
        </references>
      </pivotArea>
    </format>
    <format dxfId="13">
      <pivotArea dataOnly="0" labelOnly="1" outline="0" fieldPosition="0">
        <references count="1">
          <reference field="4294967294" count="1">
            <x v="3"/>
          </reference>
        </references>
      </pivotArea>
    </format>
    <format dxfId="12">
      <pivotArea outline="0" collapsedLevelsAreSubtotals="1" fieldPosition="0">
        <references count="1">
          <reference field="4294967294" count="1" selected="0">
            <x v="3"/>
          </reference>
        </references>
      </pivotArea>
    </format>
    <format dxfId="11">
      <pivotArea dataOnly="0" labelOnly="1"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9506AF2-7B61-4393-84A0-9592956A276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34" firstHeaderRow="0" firstDataRow="1" firstDataCol="1" rowPageCount="1" colPageCount="1"/>
  <pivotFields count="54">
    <pivotField dataField="1" showAll="0"/>
    <pivotField axis="axisRow" showAll="0">
      <items count="11">
        <item x="0"/>
        <item x="1"/>
        <item x="3"/>
        <item x="2"/>
        <item x="4"/>
        <item x="6"/>
        <item x="7"/>
        <item x="8"/>
        <item x="9"/>
        <item x="5"/>
        <item t="default"/>
      </items>
    </pivotField>
    <pivotField showAll="0"/>
    <pivotField showAll="0"/>
    <pivotField showAll="0"/>
    <pivotField showAll="0"/>
    <pivotField showAll="0"/>
    <pivotField showAll="0"/>
    <pivotField axis="axisPage" multipleItemSelectionAllowed="1" showAll="0">
      <items count="6">
        <item x="2"/>
        <item h="1" x="1"/>
        <item h="1" m="1" x="4"/>
        <item h="1" x="0"/>
        <item h="1" x="3"/>
        <item t="default"/>
      </items>
    </pivotField>
    <pivotField showAll="0"/>
    <pivotField showAll="0"/>
    <pivotField showAll="0"/>
    <pivotField axis="axisRow" showAll="0">
      <items count="7">
        <item x="1"/>
        <item x="2"/>
        <item x="3"/>
        <item x="0"/>
        <item x="4"/>
        <item m="1" x="5"/>
        <item t="default"/>
      </items>
    </pivotField>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12"/>
  </rowFields>
  <rowItems count="31">
    <i>
      <x/>
    </i>
    <i r="1">
      <x v="3"/>
    </i>
    <i>
      <x v="1"/>
    </i>
    <i r="1">
      <x/>
    </i>
    <i r="1">
      <x v="3"/>
    </i>
    <i>
      <x v="2"/>
    </i>
    <i r="1">
      <x v="3"/>
    </i>
    <i>
      <x v="3"/>
    </i>
    <i r="1">
      <x/>
    </i>
    <i r="1">
      <x v="1"/>
    </i>
    <i r="1">
      <x v="3"/>
    </i>
    <i>
      <x v="4"/>
    </i>
    <i r="1">
      <x/>
    </i>
    <i r="1">
      <x v="1"/>
    </i>
    <i r="1">
      <x v="2"/>
    </i>
    <i r="1">
      <x v="3"/>
    </i>
    <i>
      <x v="5"/>
    </i>
    <i r="1">
      <x/>
    </i>
    <i r="1">
      <x v="1"/>
    </i>
    <i r="1">
      <x v="2"/>
    </i>
    <i r="1">
      <x v="3"/>
    </i>
    <i>
      <x v="6"/>
    </i>
    <i r="1">
      <x/>
    </i>
    <i r="1">
      <x v="1"/>
    </i>
    <i r="1">
      <x v="2"/>
    </i>
    <i r="1">
      <x v="3"/>
    </i>
    <i>
      <x v="8"/>
    </i>
    <i r="1">
      <x/>
    </i>
    <i r="1">
      <x v="2"/>
    </i>
    <i r="1">
      <x v="3"/>
    </i>
    <i t="grand">
      <x/>
    </i>
  </rowItems>
  <colFields count="1">
    <field x="-2"/>
  </colFields>
  <colItems count="4">
    <i>
      <x/>
    </i>
    <i i="1">
      <x v="1"/>
    </i>
    <i i="2">
      <x v="2"/>
    </i>
    <i i="3">
      <x v="3"/>
    </i>
  </colItems>
  <pageFields count="1">
    <pageField fld="8" hier="-1"/>
  </pageFields>
  <dataFields count="4">
    <dataField name="Count of Contract Code" fld="0" subtotal="count" baseField="0" baseItem="0"/>
    <dataField name="Sum of #TreesContract" fld="17" baseField="0" baseItem="0" numFmtId="170"/>
    <dataField name="Sum of #Planted" fld="18" baseField="0" baseItem="0" numFmtId="170"/>
    <dataField name="Sum of Planting Obligation" fld="19" baseField="18" baseItem="0" numFmtId="170"/>
  </dataFields>
  <formats count="4">
    <format dxfId="10">
      <pivotArea outline="0" collapsedLevelsAreSubtotals="1" fieldPosition="0">
        <references count="1">
          <reference field="4294967294" count="3" selected="0">
            <x v="1"/>
            <x v="2"/>
            <x v="3"/>
          </reference>
        </references>
      </pivotArea>
    </format>
    <format dxfId="9">
      <pivotArea dataOnly="0" labelOnly="1" outline="0" fieldPosition="0">
        <references count="1">
          <reference field="4294967294" count="3">
            <x v="1"/>
            <x v="2"/>
            <x v="3"/>
          </reference>
        </references>
      </pivotArea>
    </format>
    <format dxfId="8">
      <pivotArea outline="0" collapsedLevelsAreSubtotals="1" fieldPosition="0">
        <references count="1">
          <reference field="4294967294" count="1" selected="0">
            <x v="3"/>
          </reference>
        </references>
      </pivotArea>
    </format>
    <format dxfId="7">
      <pivotArea dataOnly="0" labelOnly="1"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BB3D01-080A-4796-AF48-691FB255CB32}" name="Table11" displayName="Table11" ref="A1:BU462" totalsRowShown="0" headerRowDxfId="247" headerRowBorderDxfId="246">
  <autoFilter ref="A1:BU462" xr:uid="{CFBB3D01-080A-4796-AF48-691FB255CB32}">
    <filterColumn colId="5">
      <filters>
        <filter val="20001"/>
        <filter val="20002"/>
        <filter val="20003"/>
        <filter val="20004"/>
        <filter val="20005"/>
        <filter val="20006"/>
        <filter val="20007"/>
        <filter val="20008"/>
        <filter val="20009"/>
        <filter val="20010"/>
        <filter val="20011"/>
        <filter val="20012"/>
        <filter val="20013"/>
        <filter val="20015"/>
        <filter val="20016"/>
        <filter val="20017"/>
        <filter val="20018"/>
        <filter val="20019"/>
        <filter val="20020"/>
        <filter val="20021"/>
        <filter val="20022"/>
        <filter val="20023"/>
        <filter val="20024"/>
        <filter val="20025"/>
        <filter val="20026"/>
        <filter val="20027"/>
        <filter val="20028"/>
        <filter val="20029"/>
        <filter val="20030"/>
        <filter val="20031"/>
        <filter val="20032"/>
        <filter val="20033"/>
        <filter val="20034"/>
        <filter val="20035"/>
        <filter val="20036"/>
        <filter val="20037"/>
        <filter val="20038"/>
        <filter val="20039"/>
        <filter val="20040"/>
        <filter val="20041"/>
        <filter val="20042"/>
        <filter val="20043"/>
        <filter val="20044"/>
        <filter val="20045"/>
        <filter val="20046"/>
        <filter val="20047"/>
        <filter val="20048"/>
        <filter val="20049"/>
        <filter val="20050"/>
        <filter val="20051"/>
        <filter val="20052"/>
        <filter val="20053"/>
        <filter val="20054"/>
        <filter val="20055"/>
        <filter val="20056"/>
        <filter val="20057"/>
        <filter val="20058"/>
        <filter val="20059"/>
        <filter val="20060"/>
        <filter val="20061"/>
        <filter val="20062"/>
        <filter val="20063"/>
        <filter val="20064"/>
        <filter val="20065"/>
        <filter val="20066"/>
        <filter val="20067"/>
        <filter val="20068"/>
        <filter val="20069"/>
        <filter val="20070"/>
        <filter val="20071"/>
        <filter val="20072"/>
        <filter val="20073"/>
        <filter val="20074"/>
        <filter val="20075"/>
        <filter val="20076"/>
        <filter val="20077"/>
        <filter val="20078"/>
        <filter val="20079"/>
        <filter val="20080"/>
        <filter val="20081"/>
        <filter val="20082"/>
        <filter val="20083"/>
        <filter val="20084"/>
        <filter val="20085"/>
        <filter val="20086"/>
        <filter val="20087"/>
        <filter val="20088"/>
        <filter val="20089"/>
        <filter val="20090"/>
        <filter val="20091"/>
        <filter val="20092"/>
        <filter val="20093"/>
        <filter val="20094"/>
        <filter val="20095"/>
        <filter val="20096"/>
        <filter val="20097"/>
        <filter val="20098"/>
        <filter val="20099"/>
        <filter val="20100"/>
        <filter val="20101"/>
        <filter val="20102"/>
      </filters>
    </filterColumn>
  </autoFilter>
  <tableColumns count="73">
    <tableColumn id="12" xr3:uid="{DB0D61E1-7414-4662-ACAE-5BF4D31D1350}" name="Contract Code" dataDxfId="245"/>
    <tableColumn id="16" xr3:uid="{C209DEE9-38E3-4BB0-88E8-F3BF741474AC}" name="ETP Year" dataDxfId="244"/>
    <tableColumn id="17" xr3:uid="{2B5F0D68-E20A-4AFF-83D6-96F077E48506}" name="Planting Year" dataDxfId="243"/>
    <tableColumn id="28" xr3:uid="{6B501146-E020-4ADE-B619-9364AF5D0656}" name="Harvest Year_x000a_(10 year)" dataDxfId="242"/>
    <tableColumn id="3" xr3:uid="{80F6F9FC-16B3-454A-84BE-7622277EA130}" name="Representative" dataDxfId="241"/>
    <tableColumn id="1" xr3:uid="{5AE564B3-7FE9-401D-8332-24AA0DFBE8E2}" name="Farmer#" dataDxfId="240"/>
    <tableColumn id="4" xr3:uid="{99FB03BA-4808-4C6D-BB9F-ED5FBBF49992}" name="Contract Name" dataDxfId="239"/>
    <tableColumn id="5" xr3:uid="{C4B89C62-EE17-4AAB-BC0E-DC081AFB036A}" name="Phone" dataDxfId="238"/>
    <tableColumn id="11" xr3:uid="{282CBE7D-9DE5-49E9-862C-B501664B77B7}" name="Status" dataDxfId="237"/>
    <tableColumn id="6" xr3:uid="{3D5BDD1A-05D6-4EB1-B121-448D69094A3F}" name="Email" dataDxfId="236"/>
    <tableColumn id="7" xr3:uid="{4B40F1CD-7783-4EF9-8A10-744800C8021C}" name="Address" dataDxfId="235"/>
    <tableColumn id="8" xr3:uid="{3C03A1AE-4427-4EB2-B984-2B5A73201879}" name="Shipping Address" dataDxfId="234"/>
    <tableColumn id="25" xr3:uid="{BDB6AB4A-AD2D-4E36-AF5B-BB8CC6C43C59}" name="Region" dataDxfId="233"/>
    <tableColumn id="9" xr3:uid="{51B15957-2928-495A-A792-E15338BA8809}" name="Land Location (GPS)"/>
    <tableColumn id="52" xr3:uid="{F4578E6E-81BD-4DD2-9A2F-19C181F0E669}" name="Latitude"/>
    <tableColumn id="53" xr3:uid="{5A61F8CA-EEE0-41C2-9053-366849C9CD01}" name="Longitude"/>
    <tableColumn id="10" xr3:uid="{13E20C59-FD2D-4F12-B805-BCCE37803EEC}" name="Column1" dataDxfId="232"/>
    <tableColumn id="23" xr3:uid="{4A63F937-C8C1-4110-AAF0-4E81197A13E5}" name="Column2" dataDxfId="231"/>
    <tableColumn id="21" xr3:uid="{84149D2F-FB9B-4478-AE4C-3B17D7459F95}" name="Column3" dataDxfId="230"/>
    <tableColumn id="13" xr3:uid="{955B12A7-A3A3-4904-8BE2-CB1758DF0068}" name="#TreesContract" dataDxfId="229"/>
    <tableColumn id="14" xr3:uid="{442C2F9C-E514-4181-9809-97A367B6FB80}" name="#Planted" dataDxfId="228"/>
    <tableColumn id="24" xr3:uid="{C026CAC4-3D92-41CB-B28E-D29EAB845B19}" name="Planting Obligation" dataDxfId="227"/>
    <tableColumn id="15" xr3:uid="{AC2BA96E-81E8-4FEB-AA93-C06685900973}" name="Contract Amendment" dataDxfId="226"/>
    <tableColumn id="18" xr3:uid="{B596078A-E3B7-4BE7-A256-E1AAA19C023D}" name="USA Allocation %" dataDxfId="225" dataCellStyle="Percent 2"/>
    <tableColumn id="27" xr3:uid="{06FBA598-503E-467E-B339-3A5415B46747}" name="USA trees/Allocation/Contracted" dataDxfId="224" dataCellStyle="Percent 2"/>
    <tableColumn id="51" xr3:uid="{CEA08200-1D6D-4F8E-AD5E-843358E5E710}" name="USA trees/Allocation/Planted" dataDxfId="223" dataCellStyle="Percent 2">
      <calculatedColumnFormula>Table11[[#This Row],['#Planted]]*Table11[[#This Row],[USA Allocation %]]</calculatedColumnFormula>
    </tableColumn>
    <tableColumn id="19" xr3:uid="{15BF221D-CF9F-458F-8BC5-79AA2EF3F38C}" name="Canada Allocation %" dataDxfId="222" dataCellStyle="Percent 2"/>
    <tableColumn id="30" xr3:uid="{57EB4755-D639-4476-8DF8-464F08C6F7D0}" name="Canada Allocation-tree #'s" dataDxfId="221" dataCellStyle="Percent 2"/>
    <tableColumn id="20" xr3:uid="{0E5A3468-1736-4DAB-B011-DDB72C914422}" name="Canada Allocation2017 %" dataDxfId="220" dataCellStyle="Percent 2"/>
    <tableColumn id="29" xr3:uid="{B48E819B-6EBD-43C4-B262-000EE7668B6C}" name="Can trees/Allocation 2017" dataDxfId="219" dataCellStyle="Percent 2"/>
    <tableColumn id="48" xr3:uid="{B58E6598-A343-4122-AB41-C744F71B34DA}" name="Total Can Allocation" dataDxfId="218" dataCellStyle="Percent 2">
      <calculatedColumnFormula>Table11[[#This Row],[Canada Allocation-tree '#''s]]+Table11[[#This Row],[Can trees/Allocation 2017]]</calculatedColumnFormula>
    </tableColumn>
    <tableColumn id="100" xr3:uid="{375D41E6-3DED-4E23-B4ED-6397922B82AF}" name="Survival% as of 12/31/23" dataDxfId="217" dataCellStyle="Percent 2"/>
    <tableColumn id="99" xr3:uid="{95C1A59E-3623-4304-B4D9-94B6D0FE693A}" name="#Trees as of 12/31/23" dataDxfId="216" dataCellStyle="Percent 2"/>
    <tableColumn id="54" xr3:uid="{EB105432-410C-46C1-B716-D1DA793CAB71}" name="Trees as of 12/31/23-US allocation" dataDxfId="215" dataCellStyle="Percent 2"/>
    <tableColumn id="26" xr3:uid="{0B69699E-1802-4976-B0ED-674AE5910095}" name="#Trees as of 12/31/24-master" dataDxfId="214" dataCellStyle="Percent 2"/>
    <tableColumn id="102" xr3:uid="{789735A1-434A-4B4C-B437-9E6CE95C3C71}" name="2024 Inventory Survival%-master" dataDxfId="213" dataCellStyle="Percent 2"/>
    <tableColumn id="103" xr3:uid="{92ADC804-1A50-4CB6-8058-6F39ACEFF8A6}" name="2024 Estimated Survival%" dataDxfId="212" dataCellStyle="Percent 2"/>
    <tableColumn id="104" xr3:uid="{024FEC46-8D6F-4F72-8EA1-803A0F029CF6}" name="2024 Survival% Inventory + Estimate" dataDxfId="211" dataCellStyle="Percent 2"/>
    <tableColumn id="105" xr3:uid="{F6A65D26-65F0-4C0A-B3EA-14D095F3D5E7}" name="2024 #Trees Inventory + Estimate" dataDxfId="210" dataCellStyle="Percent 2"/>
    <tableColumn id="36" xr3:uid="{A01183EC-BA69-4086-BDD5-C02C692385A5}" name="#Trees as of 2024/estimate -US allocation " dataDxfId="209" dataCellStyle="Percent 2"/>
    <tableColumn id="35" xr3:uid="{7A1898A5-1100-42EC-B5FC-2E24619449C7}" name="#Trees as of 2024/estimate-Can allocation" dataDxfId="208" dataCellStyle="Percent 2">
      <calculatedColumnFormula>Table11[[#This Row],[2024 '#Trees Inventory + Estimate]]*Table11[[#This Row],[Canada Allocation %]]</calculatedColumnFormula>
    </tableColumn>
    <tableColumn id="34" xr3:uid="{5AFF57F2-185B-4E14-A006-0E1D9A881748}" name="#Trees as of 2024/estimate-Can allocation 2017" dataDxfId="207" dataCellStyle="Percent 2">
      <calculatedColumnFormula>Table11[[#This Row],[2024 '#Trees Inventory + Estimate]]*Table11[[#This Row],[Canada Allocation2017 %]]</calculatedColumnFormula>
    </tableColumn>
    <tableColumn id="49" xr3:uid="{7FFCC077-4CBD-4221-B846-DF14F45865FF}" name="AL+AM" dataDxfId="206" dataCellStyle="Percent 2">
      <calculatedColumnFormula>Table11[[#This Row],['#Trees as of 2024/estimate-Can allocation]]+Table11[[#This Row],['#Trees as of 2024/estimate-Can allocation 2017]]</calculatedColumnFormula>
    </tableColumn>
    <tableColumn id="106" xr3:uid="{05222E33-8159-41D6-8FFE-AB1CEC74A47C}" name="Species" dataDxfId="205"/>
    <tableColumn id="107" xr3:uid="{1306C288-D28E-407D-ABBE-79E123501FF8}" name="Strain" dataDxfId="204"/>
    <tableColumn id="108" xr3:uid="{5D6B866B-1CA6-4293-9EFB-2B54AC507ACB}" name="% of Contract Replaced " dataDxfId="203" dataCellStyle="Percent 2"/>
    <tableColumn id="109" xr3:uid="{CCDB12B4-4D71-4D31-9E18-7B425216A6EA}" name="#Total Replacements" dataDxfId="202"/>
    <tableColumn id="50" xr3:uid="{8484001B-F2FD-4EA0-A5F8-578485795BAD}" name="#Replace 25" dataDxfId="201"/>
    <tableColumn id="22" xr3:uid="{B8D9CAA7-F66F-4CC1-973A-8675AE6A6264}" name="#Replace 24" dataDxfId="200"/>
    <tableColumn id="110" xr3:uid="{AC74816F-6D12-43F1-8971-3C0F2A0D00C2}" name="#Replace 23" dataDxfId="199"/>
    <tableColumn id="111" xr3:uid="{2CDA1F5D-84A3-498E-8E9B-528CF222F403}" name="#Replace 22" dataDxfId="198"/>
    <tableColumn id="112" xr3:uid="{FEE61315-31E9-4956-A419-9C36E9893BEA}" name="#Replace 21" dataDxfId="197"/>
    <tableColumn id="113" xr3:uid="{1C94BCD1-FE1B-43E4-8BDB-4A553DB9693C}" name="#Replace 20" dataDxfId="196"/>
    <tableColumn id="114" xr3:uid="{87A7C0AB-CEED-4F75-BF47-4043B740F251}" name="#Replace 19" dataDxfId="195"/>
    <tableColumn id="115" xr3:uid="{5C3ECE01-AF1D-4580-AEF0-ED11ED8B355B}" name="#Replace 18" dataDxfId="194"/>
    <tableColumn id="116" xr3:uid="{30EF02C9-7D9B-4CFE-82CF-7D02E5B8F9DF}" name="#Replace 17" dataDxfId="193"/>
    <tableColumn id="117" xr3:uid="{B7571569-DF17-4761-9EFA-7571ED8C9377}" name="#Replace 16" dataDxfId="192"/>
    <tableColumn id="207" xr3:uid="{F53746D5-C5B0-4448-9AC5-36099C613DE8}" name="ETP#s" dataDxfId="191"/>
    <tableColumn id="2" xr3:uid="{02566204-3AF1-4FD0-B76B-A1CEDB01D07B}" name="Audit#s" dataDxfId="190"/>
    <tableColumn id="31" xr3:uid="{3BBA031A-2CC8-4C75-91D7-607892A3B718}" name="Year of Inventory" dataDxfId="189"/>
    <tableColumn id="32" xr3:uid="{DEB10643-2C17-4E28-9E1F-D151AAEEA2CA}" name="Average THT_x000a_(Feet)" dataDxfId="188"/>
    <tableColumn id="33" xr3:uid="{0555A883-E185-47BA-B80B-1B20471DF951}" name="Average MHT_x000a_(Feet)" dataDxfId="187"/>
    <tableColumn id="46" xr3:uid="{5B3AAD6A-F5DD-45F5-9C65-83313AE603C0}" name=" MHT % of Target" dataDxfId="186" dataCellStyle="Percent">
      <calculatedColumnFormula>Table11[[#This Row],[Average MHT
(Feet)]]/16</calculatedColumnFormula>
    </tableColumn>
    <tableColumn id="37" xr3:uid="{90296C2F-94B1-4154-9038-FE8909260F12}" name="Average DBH_x000a_(inches)" dataDxfId="185"/>
    <tableColumn id="40" xr3:uid="{E3A549BB-8658-4597-A7F8-EB29C2C4577C}" name="DBH % of Target" dataDxfId="184" dataCellStyle="Percent">
      <calculatedColumnFormula>Table11[[#This Row],[Average DBH
(inches)]]/18</calculatedColumnFormula>
    </tableColumn>
    <tableColumn id="38" xr3:uid="{11A91ECF-2C76-412E-8452-FABCF8DF01D8}" name="Average BF" dataDxfId="183" dataCellStyle="Comma">
      <calculatedColumnFormula>((Table11[[#This Row],[Average DBH
(inches)]]-4)^2)*(Table11[[#This Row],[Average MHT
(Feet)]]/16)</calculatedColumnFormula>
    </tableColumn>
    <tableColumn id="39" xr3:uid="{858ABAA8-1541-4C68-A350-FB9ECDEBFC35}" name="Total BF" dataDxfId="182" dataCellStyle="Comma">
      <calculatedColumnFormula>Table11[[#This Row],[Average BF]]*Table11[[#This Row],[2024 '#Trees Inventory + Estimate]]</calculatedColumnFormula>
    </tableColumn>
    <tableColumn id="41" xr3:uid="{6864B0D6-FD52-4318-9F64-B87548CAE584}" name="Projected DBH_x000a_(Extrapolated Growth/Year)" dataDxfId="181" dataCellStyle="Comma">
      <calculatedColumnFormula>(Table11[[#This Row],[Harvest Year
(10 year)]]-Table11[[#This Row],[Year of Inventory]]+1)*(Table11[[#This Row],[Average DBH
(inches)]]/(Table11[[#This Row],[Harvest Year
(10 year)]]-Table11[[#This Row],[Year of Inventory]]+1))+Table11[[#This Row],[Average DBH
(inches)]]</calculatedColumnFormula>
    </tableColumn>
    <tableColumn id="42" xr3:uid="{1C08FA63-D842-4AC4-B816-6FCAB7EB855A}" name="Projected Average BF" dataDxfId="180" dataCellStyle="Comma">
      <calculatedColumnFormula>((Table11[[#This Row],[Projected DBH
(Extrapolated Growth/Year)]]-4)^2)*(Table11[[#This Row],[Average MHT
(Feet)]]/16)</calculatedColumnFormula>
    </tableColumn>
    <tableColumn id="43" xr3:uid="{06DC5D60-5781-428F-A27F-573420521D54}" name="Projected Total BF" dataDxfId="179" dataCellStyle="Comma">
      <calculatedColumnFormula>Table11[[#This Row],[Projected Average BF]]*Table11[[#This Row],[2024 '#Trees Inventory + Estimate]]</calculatedColumnFormula>
    </tableColumn>
    <tableColumn id="44" xr3:uid="{3DEEAC2E-EEEE-44F3-9EB3-FD80DE2739FD}" name="ETP Offering Expected BF" dataDxfId="178" dataCellStyle="Comma">
      <calculatedColumnFormula>196*Table11[[#This Row],[2024 '#Trees Inventory + Estimate]]</calculatedColumnFormula>
    </tableColumn>
    <tableColumn id="45" xr3:uid="{6B3F569A-C33B-4989-B960-8B45AA24BFEE}" name="BF Deviation from Expected" dataDxfId="177" dataCellStyle="Comma">
      <calculatedColumnFormula>Table11[[#This Row],[ETP Offering Expected BF]]-Table11[[#This Row],[Projected Total BF]]</calculatedColumnFormula>
    </tableColumn>
    <tableColumn id="47" xr3:uid="{2B29F855-CCFF-4D99-9BC3-D8BA0DAECD75}" name="Annual DBH Growth Required to Hit Target" dataDxfId="176" dataCellStyle="Comma">
      <calculatedColumnFormula>(18-Table11[[#This Row],[Average DBH
(inches)]])/(D2-Table11[[#This Row],[Year of Inventory]]+1)</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59030F-C235-468A-9E8E-7C83F8B30E93}" name="Table37" displayName="Table37" ref="A1:X361" totalsRowCount="1" headerRowDxfId="175" tableBorderDxfId="174">
  <autoFilter ref="A1:X360" xr:uid="{DE59030F-C235-468A-9E8E-7C83F8B30E93}"/>
  <sortState xmlns:xlrd2="http://schemas.microsoft.com/office/spreadsheetml/2017/richdata2" ref="A2:X359">
    <sortCondition ref="U1:U359"/>
  </sortState>
  <tableColumns count="24">
    <tableColumn id="1" xr3:uid="{330B7F2F-6FA5-4B74-BB36-082311797EA8}" name="Farmer Code" dataDxfId="173">
      <calculatedColumnFormula>Table11[[#This Row],[Farmer'#]]</calculatedColumnFormula>
    </tableColumn>
    <tableColumn id="4" xr3:uid="{E160B49E-E820-41FF-B798-F8ACF6F67B89}" name="Representative" dataDxfId="172">
      <calculatedColumnFormula>Table11[[#This Row],[Representative]]</calculatedColumnFormula>
    </tableColumn>
    <tableColumn id="3" xr3:uid="{F14B65B2-14DA-49A8-B989-77B67D820012}" name="Contract Name" dataDxfId="171">
      <calculatedColumnFormula>Table11[[#This Row],[Contract Name]]</calculatedColumnFormula>
    </tableColumn>
    <tableColumn id="5" xr3:uid="{5B87E6B5-95AF-4816-9027-D6EF97E4DA21}" name="Status" dataDxfId="170">
      <calculatedColumnFormula>Table11[[#This Row],[Status]]</calculatedColumnFormula>
    </tableColumn>
    <tableColumn id="6" xr3:uid="{F01FE578-82B2-42F1-87BF-BE0EA104195B}" name="Contract#" dataDxfId="169">
      <calculatedColumnFormula>Table11[[#This Row],[Contract Code]]</calculatedColumnFormula>
    </tableColumn>
    <tableColumn id="7" xr3:uid="{81F75D8D-39B1-4AB2-A39B-E9F135ADC365}" name="#TreesContract" totalsRowFunction="sum" dataDxfId="168" totalsRowDxfId="167">
      <calculatedColumnFormula>Table11[[#This Row],['#TreesContract]]</calculatedColumnFormula>
    </tableColumn>
    <tableColumn id="8" xr3:uid="{2A7AADD9-B7EA-4E52-93F7-5F56A4C00A93}" name="#Planted" totalsRowFunction="sum" dataDxfId="166" totalsRowDxfId="165">
      <calculatedColumnFormula>Table11[[#This Row],['#Planted]]</calculatedColumnFormula>
    </tableColumn>
    <tableColumn id="9" xr3:uid="{DB42D37E-53DF-4A3D-BA3E-B12BB6DA6566}" name="# Trees Allocated to US Series" totalsRowFunction="sum" dataDxfId="164" totalsRowDxfId="163">
      <calculatedColumnFormula>Table11[[#This Row],['#TreesContract]]*Table11[[#This Row],[USA Allocation %]]</calculatedColumnFormula>
    </tableColumn>
    <tableColumn id="10" xr3:uid="{30042B9F-2B48-454C-B051-156D4B0AE988}" name="# Planted for Allocated Portion" totalsRowFunction="sum" dataDxfId="162" totalsRowDxfId="161">
      <calculatedColumnFormula>Table11[[#This Row],['#Planted]]*Table11[[#This Row],[USA Allocation %]]</calculatedColumnFormula>
    </tableColumn>
    <tableColumn id="11" xr3:uid="{23E1444B-EF38-42F3-B1AC-93859E40442F}" name="Amendment" totalsRowFunction="sum" dataDxfId="160" totalsRowDxfId="159">
      <calculatedColumnFormula>Table11[[#This Row],[Contract Amendment]]*Table11[[#This Row],[USA Allocation %]]</calculatedColumnFormula>
    </tableColumn>
    <tableColumn id="12" xr3:uid="{58DEF358-EF31-4A0A-A6CD-B3F54CE956FB}" name="# Trees as of 12/31/23" totalsRowFunction="sum" dataDxfId="158" totalsRowDxfId="157">
      <calculatedColumnFormula>Table11[[#This Row],['#Trees as of 12/31/23]]*Table11[[#This Row],[USA Allocation %]]</calculatedColumnFormula>
    </tableColumn>
    <tableColumn id="13" xr3:uid="{9866BF38-5934-4BB9-8248-BD68EB3247FD}" name="# Replaced in 2024" totalsRowFunction="sum" dataDxfId="156" totalsRowDxfId="155">
      <calculatedColumnFormula>Table11[[#This Row],['#Replace 24]]*Table11[[#This Row],[USA Allocation %]]</calculatedColumnFormula>
    </tableColumn>
    <tableColumn id="14" xr3:uid="{A5DD3FD5-C9B8-4870-927F-37F14FD7FFE5}" name="New Trees/Planted in 2024" totalsRowFunction="sum" dataDxfId="154" totalsRowDxfId="153">
      <calculatedColumnFormula>IF(Table11[[#This Row],[Planting Year]]=2024,Table11['#Planted],0)</calculatedColumnFormula>
    </tableColumn>
    <tableColumn id="15" xr3:uid="{10CF7323-1AB3-49A1-965F-A3925C9CACA3}" name="2024 Tree Losses" totalsRowFunction="sum" dataDxfId="152" totalsRowDxfId="151">
      <calculatedColumnFormula>(Table11[[#This Row],[2024 '#Trees Inventory + Estimate]]*Table11[[#This Row],[USA Allocation %]])-SUM(Table37[[#This Row],['# Trees as of 12/31/23]:[New Trees/Planted in 2024]])</calculatedColumnFormula>
    </tableColumn>
    <tableColumn id="16" xr3:uid="{6B24D161-E4B3-4921-8A46-E1C0361E6B82}" name="Total Trees as of 12/31/24" totalsRowFunction="sum" dataDxfId="150" totalsRowDxfId="149">
      <calculatedColumnFormula>SUM(Table37[[#This Row],['# Trees as of 12/31/23]:[2024 Tree Losses]])</calculatedColumnFormula>
    </tableColumn>
    <tableColumn id="17" xr3:uid="{58F0A9FA-2365-441E-A94E-C7BB24BD3722}" name="Tree Change as of 12/31/24" totalsRowFunction="sum" dataDxfId="148" totalsRowDxfId="147">
      <calculatedColumnFormula>SUM(Table37[[#This Row],[Total Trees as of 12/31/24]]-Table37[[#This Row],['# Trees as of 12/31/23]])</calculatedColumnFormula>
    </tableColumn>
    <tableColumn id="18" xr3:uid="{492AA982-CDA5-4391-90B3-D422E4D7B3D5}" name="#Total Replaced All Years" totalsRowFunction="sum" dataDxfId="146" totalsRowDxfId="145">
      <calculatedColumnFormula>Table11[[#This Row],['#Total Replacements]]*Table11[[#This Row],[USA Allocation %]]</calculatedColumnFormula>
    </tableColumn>
    <tableColumn id="19" xr3:uid="{952197F5-B347-4403-8378-4066BDEE77F6}" name="Inventory/Smart Sheet count" totalsRowFunction="sum" dataDxfId="144" totalsRowDxfId="143">
      <calculatedColumnFormula>IF(Table37[[#This Row],['#Survival based on Inventory]]=0,Table37['#Survival based on Last Year Estimate],Table37['#Survival based on Inventory])</calculatedColumnFormula>
    </tableColumn>
    <tableColumn id="20" xr3:uid="{7487755F-739E-4570-A621-A181487E4DAD}" name="#Survival based on Inventory" totalsRowFunction="sum" dataDxfId="142" totalsRowDxfId="141">
      <calculatedColumnFormula>Table11[[#This Row],['#Planted]]*Table11[[#This Row],[USA Allocation %]]*Table11[[#This Row],[2024 Inventory Survival%-master]]</calculatedColumnFormula>
    </tableColumn>
    <tableColumn id="21" xr3:uid="{ED0BB6F6-B70E-4371-9B00-07ADC4A01A0B}" name="#Survival based on Last Year Estimate" totalsRowFunction="sum" dataDxfId="140" totalsRowDxfId="139">
      <calculatedColumnFormula>Table11[[#This Row],['#Planted]]*Table11[[#This Row],[USA Allocation %]]*Table11[[#This Row],[2024 Estimated Survival%]]</calculatedColumnFormula>
    </tableColumn>
    <tableColumn id="22" xr3:uid="{A17D4AD8-C12F-4123-AA6A-792C761E3F0A}" name="ETP Year" dataDxfId="138">
      <calculatedColumnFormula>Table11[[#This Row],[ETP Year]]</calculatedColumnFormula>
    </tableColumn>
    <tableColumn id="23" xr3:uid="{7E398A77-C1C6-49DC-9D7E-5241D9BEC33A}" name="Planting Year" dataDxfId="137">
      <calculatedColumnFormula>Table11[[#This Row],[Planting Year]]</calculatedColumnFormula>
    </tableColumn>
    <tableColumn id="25" xr3:uid="{6FD1D601-D2C8-4242-A630-C212D855DD30}" name="Survival % as of 12/31/21" dataDxfId="136" totalsRowDxfId="135">
      <calculatedColumnFormula>Table11[[#This Row],[Survival% as of 12/31/23]]</calculatedColumnFormula>
    </tableColumn>
    <tableColumn id="30" xr3:uid="{4E0E3C24-B293-4E46-BA18-77CE8A94564D}" name="Audit" dataDxfId="134">
      <calculatedColumnFormula>Table11[[#This Row],[ETP'#s]]</calculatedColumnFormula>
    </tableColum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D28517E-17DE-455F-AA25-C02ACC7E05AF}" name="Table378" displayName="Table378" ref="A1:X361" totalsRowCount="1" headerRowDxfId="133" dataDxfId="131" totalsRowDxfId="129" headerRowBorderDxfId="132" tableBorderDxfId="130">
  <autoFilter ref="A1:X360" xr:uid="{3D28517E-17DE-455F-AA25-C02ACC7E05AF}">
    <filterColumn colId="23">
      <customFilters>
        <customFilter operator="notEqual" val=" "/>
      </customFilters>
    </filterColumn>
  </autoFilter>
  <sortState xmlns:xlrd2="http://schemas.microsoft.com/office/spreadsheetml/2017/richdata2" ref="A2:X359">
    <sortCondition ref="U1:U359"/>
  </sortState>
  <tableColumns count="24">
    <tableColumn id="1" xr3:uid="{C5D9603C-6739-41F3-8184-677111F6977B}" name="Farmer Code" dataDxfId="128">
      <calculatedColumnFormula>Table11[[#This Row],[Farmer'#]]</calculatedColumnFormula>
    </tableColumn>
    <tableColumn id="4" xr3:uid="{3A5FCC07-E5AD-42C7-A5C3-3EC0C9777BB6}" name="Representative" totalsRowFunction="sum" dataDxfId="127">
      <calculatedColumnFormula>Table11[[#This Row],[Representative]]</calculatedColumnFormula>
    </tableColumn>
    <tableColumn id="3" xr3:uid="{95E687F0-576D-4241-BC2C-4E62F0A18362}" name="Contract Name" totalsRowFunction="sum" dataDxfId="126">
      <calculatedColumnFormula>Table11[[#This Row],[Contract Name]]</calculatedColumnFormula>
    </tableColumn>
    <tableColumn id="5" xr3:uid="{8717B046-10DD-4A16-9A73-D1D1F8ADD333}" name="Status" totalsRowFunction="sum" dataDxfId="125">
      <calculatedColumnFormula>Table11[[#This Row],[Status]]</calculatedColumnFormula>
    </tableColumn>
    <tableColumn id="6" xr3:uid="{D93313C8-1A6C-4162-8DC5-CD813555E8B3}" name="Contract#" totalsRowFunction="sum" dataDxfId="124">
      <calculatedColumnFormula>Table11[[#This Row],[Contract Code]]</calculatedColumnFormula>
    </tableColumn>
    <tableColumn id="7" xr3:uid="{F49DB8A5-5FC6-4D03-B165-9DD53DF7B8C4}" name="#TreesContract" totalsRowFunction="sum" dataDxfId="123" totalsRowDxfId="122">
      <calculatedColumnFormula>Table11[[#This Row],['#TreesContract]]</calculatedColumnFormula>
    </tableColumn>
    <tableColumn id="8" xr3:uid="{162D2912-5DDF-4532-8B51-B4E44A169A39}" name="#Planted" totalsRowFunction="sum" dataDxfId="121" totalsRowDxfId="120">
      <calculatedColumnFormula>Table11[[#This Row],['#Planted]]</calculatedColumnFormula>
    </tableColumn>
    <tableColumn id="9" xr3:uid="{CD0960C3-F5FC-488E-A325-277B86BB3810}" name="# Trees Allocated to US Series" totalsRowFunction="sum" dataDxfId="119" totalsRowDxfId="118">
      <calculatedColumnFormula>Table11[[#This Row],['#TreesContract]]*Table11[[#This Row],[Canada Allocation %]]</calculatedColumnFormula>
    </tableColumn>
    <tableColumn id="10" xr3:uid="{3AF99946-DC4F-4018-91B2-31665B6D592D}" name="# Planted for Allocated Portion" totalsRowFunction="sum" dataDxfId="117" totalsRowDxfId="116">
      <calculatedColumnFormula>Table11[[#This Row],['#Planted]]*Table11[[#This Row],[Canada Allocation %]]</calculatedColumnFormula>
    </tableColumn>
    <tableColumn id="11" xr3:uid="{E600AE15-1064-4315-9014-8396F508AF5B}" name="Amendment" totalsRowFunction="sum" dataDxfId="115" totalsRowDxfId="114">
      <calculatedColumnFormula>Table11[[#This Row],[Contract Amendment]]*Table11[[#This Row],[Canada Allocation %]]</calculatedColumnFormula>
    </tableColumn>
    <tableColumn id="12" xr3:uid="{431861C4-DCCC-4B67-8C92-FFE802E29E25}" name="# Trees as of 12/31/23" totalsRowFunction="sum" dataDxfId="113" totalsRowDxfId="112">
      <calculatedColumnFormula>Table11[[#This Row],['#Trees as of 12/31/23]]*Table11[[#This Row],[Canada Allocation %]]</calculatedColumnFormula>
    </tableColumn>
    <tableColumn id="13" xr3:uid="{EC681B61-935B-4163-8178-CE0ECB864C42}" name="# Replaced in 2024" totalsRowFunction="sum" dataDxfId="111" totalsRowDxfId="110">
      <calculatedColumnFormula>Table11[[#This Row],['#Replace 24]]*Table11[[#This Row],[Canada Allocation %]]</calculatedColumnFormula>
    </tableColumn>
    <tableColumn id="14" xr3:uid="{BF9C8C8F-C0F4-4A24-A04D-7CE7481E6071}" name="New Trees/Planted in 2024" totalsRowFunction="sum" dataDxfId="109" totalsRowDxfId="108"/>
    <tableColumn id="15" xr3:uid="{6F812FE0-69BD-4F94-BE39-DEE0A2806D60}" name="2024 Tree Losses" totalsRowFunction="sum" dataDxfId="107" totalsRowDxfId="106">
      <calculatedColumnFormula>(Table11[[#This Row],[2024 '#Trees Inventory + Estimate]]*Table11[[#This Row],[Canada Allocation %]])-SUM(Table378[[#This Row],['# Trees as of 12/31/23]:[New Trees/Planted in 2024]])</calculatedColumnFormula>
    </tableColumn>
    <tableColumn id="16" xr3:uid="{7D1A6DA9-9774-4E5A-80FC-14F87E1FF648}" name="Total Trees as of 12/31/24" totalsRowFunction="sum" dataDxfId="105" totalsRowDxfId="104" dataCellStyle="Comma 2">
      <calculatedColumnFormula>SUM(Table378[[#This Row],['# Trees as of 12/31/23]:[2024 Tree Losses]])</calculatedColumnFormula>
    </tableColumn>
    <tableColumn id="17" xr3:uid="{2E72FBCF-C6BD-4C0F-BD28-3A5491619AAF}" name="Tree Change as of 12/31/24" totalsRowFunction="sum" dataDxfId="103" totalsRowDxfId="102" dataCellStyle="Comma 2">
      <calculatedColumnFormula>SUM(Table378[[#This Row],[Total Trees as of 12/31/24]]-Table378[[#This Row],['# Trees as of 12/31/23]])</calculatedColumnFormula>
    </tableColumn>
    <tableColumn id="18" xr3:uid="{8AFB2413-D46C-49C8-94E7-A4591FAD7323}" name="#Total Replaced All Years" totalsRowFunction="sum" dataDxfId="101" totalsRowDxfId="100">
      <calculatedColumnFormula>Table11[[#This Row],['#Total Replacements]]*Table11[[#This Row],[Canada Allocation %]]</calculatedColumnFormula>
    </tableColumn>
    <tableColumn id="19" xr3:uid="{5F90F807-D0F1-42A6-8414-77DBCA196204}" name="Inventory/Smart Sheet count" totalsRowFunction="sum" dataDxfId="99" totalsRowDxfId="98" dataCellStyle="Comma 2">
      <calculatedColumnFormula>IF(Table378[[#This Row],['#Survival based on Inventory]]=0,Table378['#Survival based on Last Year Estimate],Table378['#Survival based on Inventory])</calculatedColumnFormula>
    </tableColumn>
    <tableColumn id="20" xr3:uid="{59B0E954-7E27-4F68-A47A-1FCDA71980B3}" name="#Survival based on Inventory" totalsRowFunction="sum" dataDxfId="97" totalsRowDxfId="96">
      <calculatedColumnFormula>Table11[[#This Row],['#Planted]]*Table11[[#This Row],[Canada Allocation %]]*Table11[[#This Row],[2024 Inventory Survival%-master]]</calculatedColumnFormula>
    </tableColumn>
    <tableColumn id="21" xr3:uid="{A8E7C185-6119-4BCC-A2C4-8F21A3A4CEB9}" name="#Survival based on Last Year Estimate" totalsRowFunction="sum" dataDxfId="95" totalsRowDxfId="94">
      <calculatedColumnFormula>Table11[[#This Row],['#Planted]]*Table11[[#This Row],[Canada Allocation %]]*Table11[[#This Row],[2024 Estimated Survival%]]</calculatedColumnFormula>
    </tableColumn>
    <tableColumn id="22" xr3:uid="{D64FEDF0-6CB8-4323-BED3-0DCA4002CFA8}" name="ETP Year" dataDxfId="93">
      <calculatedColumnFormula>Table11[[#This Row],[ETP Year]]</calculatedColumnFormula>
    </tableColumn>
    <tableColumn id="23" xr3:uid="{E97993E8-85C5-4115-B837-7C7A43B3F8AC}" name="Planting Year" dataDxfId="92">
      <calculatedColumnFormula>Table11[[#This Row],[Planting Year]]</calculatedColumnFormula>
    </tableColumn>
    <tableColumn id="25" xr3:uid="{82C9ECBD-89DB-4327-AA87-FB055FA6FB35}" name="Survival % as of 12/31/21" dataDxfId="91" totalsRowDxfId="90">
      <calculatedColumnFormula>Table11[[#This Row],[Survival% as of 12/31/23]]</calculatedColumnFormula>
    </tableColumn>
    <tableColumn id="2" xr3:uid="{660AAE62-8A29-4B6F-9C80-D44890D5E12D}" name="Audit" dataDxfId="89" totalsRowDxfId="88">
      <calculatedColumnFormula>Table11[[#This Row],[ETP'#s]]</calculatedColumnFormula>
    </tableColumn>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F3554F4-4C8C-4DF8-8145-3B178DE0413B}" name="Table3789" displayName="Table3789" ref="A1:X361" totalsRowCount="1" headerRowDxfId="87" dataDxfId="85" headerRowBorderDxfId="86" tableBorderDxfId="84">
  <autoFilter ref="A1:X360" xr:uid="{7F3554F4-4C8C-4DF8-8145-3B178DE0413B}">
    <filterColumn colId="20">
      <filters>
        <filter val="2016"/>
        <filter val="2017"/>
      </filters>
    </filterColumn>
    <filterColumn colId="21">
      <filters>
        <filter val="2018"/>
        <filter val="2019"/>
      </filters>
    </filterColumn>
  </autoFilter>
  <tableColumns count="24">
    <tableColumn id="1" xr3:uid="{BF2C2EFB-4E58-4C62-9434-CE4181E077CE}" name="Farmer Code" dataDxfId="83">
      <calculatedColumnFormula>Table11[[#This Row],[Farmer'#]]</calculatedColumnFormula>
    </tableColumn>
    <tableColumn id="6" xr3:uid="{9915A71D-379C-4402-9DF4-EF0387769C5E}" name="Representative" totalsRowFunction="sum" dataDxfId="82">
      <calculatedColumnFormula>Table11[[#This Row],[Representative]]</calculatedColumnFormula>
    </tableColumn>
    <tableColumn id="3" xr3:uid="{CC4EA44A-E4D8-4F67-A092-506963E36689}" name="Contract Name" totalsRowFunction="sum" dataDxfId="81">
      <calculatedColumnFormula>Table11[[#This Row],[Contract Name]]</calculatedColumnFormula>
    </tableColumn>
    <tableColumn id="7" xr3:uid="{FB1DBD68-DAAB-4D3A-9074-34E63491FEE9}" name="Status" totalsRowFunction="sum" dataDxfId="80">
      <calculatedColumnFormula>Table11[[#This Row],[Status]]</calculatedColumnFormula>
    </tableColumn>
    <tableColumn id="8" xr3:uid="{08472A36-7A41-4999-8FA5-162B72DD48EF}" name="Contract#" totalsRowFunction="sum" dataDxfId="79">
      <calculatedColumnFormula>Table11[[#This Row],[Contract Code]]</calculatedColumnFormula>
    </tableColumn>
    <tableColumn id="9" xr3:uid="{1EB1B904-B797-4785-9684-8038124E9780}" name="#TreesContract" totalsRowFunction="sum" dataDxfId="78">
      <calculatedColumnFormula>Table11[[#This Row],['#TreesContract]]</calculatedColumnFormula>
    </tableColumn>
    <tableColumn id="10" xr3:uid="{B4DA060C-A526-4473-AEE0-133449AFB683}" name="#Planted" totalsRowFunction="sum" dataDxfId="77">
      <calculatedColumnFormula>Table11[[#This Row],['#Planted]]</calculatedColumnFormula>
    </tableColumn>
    <tableColumn id="11" xr3:uid="{A001E942-5907-4AC5-A510-AB97477FB145}" name="# Trees Allocated to US Series" totalsRowFunction="sum" dataDxfId="76" totalsRowDxfId="75">
      <calculatedColumnFormula>Table11[[#This Row],['#TreesContract]]*Table11[[#This Row],[Canada Allocation2017 %]]</calculatedColumnFormula>
    </tableColumn>
    <tableColumn id="12" xr3:uid="{F76362E6-7D19-486F-9C49-A6ED99244C37}" name="# Planted for Allocated Portion" totalsRowFunction="sum" dataDxfId="74" totalsRowDxfId="73">
      <calculatedColumnFormula>Table11[[#This Row],['#Planted]]*Table11[[#This Row],[Canada Allocation2017 %]]</calculatedColumnFormula>
    </tableColumn>
    <tableColumn id="13" xr3:uid="{E634AA32-4EE2-4B9D-974C-844F3465B378}" name="Amendment" totalsRowFunction="sum" dataDxfId="72" totalsRowDxfId="71">
      <calculatedColumnFormula>Table11[[#This Row],[Contract Amendment]]*Table11[[#This Row],[Canada Allocation2017 %]]</calculatedColumnFormula>
    </tableColumn>
    <tableColumn id="14" xr3:uid="{0D8E7750-5658-4215-9713-2D176A80E2F6}" name="# Trees as of 12/31/23" totalsRowFunction="sum" dataDxfId="70" totalsRowDxfId="69">
      <calculatedColumnFormula>Table11[[#This Row],['#Trees as of 12/31/23]]*Table11[[#This Row],[Canada Allocation2017 %]]</calculatedColumnFormula>
    </tableColumn>
    <tableColumn id="15" xr3:uid="{EB1816F8-1EEF-4C3C-A0CC-C1564BEC12A8}" name="# Replaced in 2024" totalsRowFunction="sum" dataDxfId="68" totalsRowDxfId="67">
      <calculatedColumnFormula>Table11[[#This Row],['#Replace 24]]*Table11[[#This Row],[Canada Allocation2017 %]]</calculatedColumnFormula>
    </tableColumn>
    <tableColumn id="16" xr3:uid="{A286B356-9215-4B7A-BFA9-4876AC7C6A26}" name="New Trees/Planted in 2024" totalsRowFunction="sum" dataDxfId="66" totalsRowDxfId="65"/>
    <tableColumn id="17" xr3:uid="{76C0D98E-D258-4B05-9857-27DD85EE70FF}" name="2024 Tree Losses" totalsRowFunction="sum" dataDxfId="64" totalsRowDxfId="63">
      <calculatedColumnFormula>(Table11[[#This Row],[2024 '#Trees Inventory + Estimate]]*Table11[[#This Row],[Canada Allocation2017 %]])-SUM(Table3789[[#This Row],['# Trees as of 12/31/23]:[New Trees/Planted in 2024]])</calculatedColumnFormula>
    </tableColumn>
    <tableColumn id="18" xr3:uid="{2DD4EA62-04B5-49CD-AC91-968C22EECF89}" name="Total Trees as of 12/31/24" totalsRowFunction="sum" dataDxfId="62" totalsRowDxfId="61">
      <calculatedColumnFormula>SUM(Table3789[[#This Row],['# Trees as of 12/31/23]:[2024 Tree Losses]])</calculatedColumnFormula>
    </tableColumn>
    <tableColumn id="19" xr3:uid="{C5BC3523-9FDB-449E-B72B-8CD4760AC179}" name="Tree Change as of 12/31/24" totalsRowFunction="sum" dataDxfId="60" totalsRowDxfId="59">
      <calculatedColumnFormula>SUM(Table3789[[#This Row],[Total Trees as of 12/31/24]]-Table3789[[#This Row],['# Trees as of 12/31/23]])</calculatedColumnFormula>
    </tableColumn>
    <tableColumn id="20" xr3:uid="{F1751F9A-B918-42A5-986A-CC1B38A0D95C}" name="#Total Replaced All Years" totalsRowFunction="sum" dataDxfId="58" totalsRowDxfId="57">
      <calculatedColumnFormula>Table11[[#This Row],['#Total Replacements]]*Table11[[#This Row],[Canada Allocation2017 %]]</calculatedColumnFormula>
    </tableColumn>
    <tableColumn id="21" xr3:uid="{81D0E182-CDA6-4A06-A454-04FCB0A61E51}" name="Inventory/Smart Sheet count" totalsRowFunction="sum" dataDxfId="56" totalsRowDxfId="55">
      <calculatedColumnFormula>IF(Table3789[[#This Row],['#Survival based on Inventory]]=0,Table3789['#Survival based on Last Year Estimate],Table3789['#Survival based on Inventory])</calculatedColumnFormula>
    </tableColumn>
    <tableColumn id="22" xr3:uid="{10E3E69F-1312-4390-AA89-A4900AA460F4}" name="#Survival based on Inventory" totalsRowFunction="sum" dataDxfId="54" totalsRowDxfId="53">
      <calculatedColumnFormula>Table11[[#This Row],['#Planted]]*Table11[[#This Row],[Canada Allocation2017 %]]*Table11[[#This Row],[2024 Inventory Survival%-master]]</calculatedColumnFormula>
    </tableColumn>
    <tableColumn id="23" xr3:uid="{D29724D8-A70C-43D1-9918-46F0F6A11C8C}" name="#Survival based on Last Year Estimate" totalsRowFunction="sum" dataDxfId="52" totalsRowDxfId="51">
      <calculatedColumnFormula>Table11[[#This Row],['#Planted]]*Table11[[#This Row],[Canada Allocation2017 %]]*Table11[[#This Row],[2024 Estimated Survival%]]</calculatedColumnFormula>
    </tableColumn>
    <tableColumn id="24" xr3:uid="{C460D7AF-C765-4727-AEEB-5D5C6B95C625}" name="ETP Year" dataDxfId="50">
      <calculatedColumnFormula>Table11[[#This Row],[ETP Year]]</calculatedColumnFormula>
    </tableColumn>
    <tableColumn id="25" xr3:uid="{C02A53E4-5E83-4863-9D86-44E15DEBC037}" name="Planting Year" dataDxfId="49">
      <calculatedColumnFormula>Table11[[#This Row],[Planting Year]]</calculatedColumnFormula>
    </tableColumn>
    <tableColumn id="27" xr3:uid="{3AC176C3-C38C-4183-8453-4C39F787BECA}" name="Survival % as of 12/31/21" dataDxfId="48">
      <calculatedColumnFormula>Table11[[#This Row],[Survival% as of 12/31/23]]</calculatedColumnFormula>
    </tableColumn>
    <tableColumn id="2" xr3:uid="{6C59E189-6D36-4E65-865E-1B243A2FE4C4}" name="Audit" dataDxfId="47">
      <calculatedColumnFormula>Table11[[#This Row],[ETP'#s]]</calculatedColumnFormula>
    </tableColumn>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92DC3F-17DE-495B-9B2F-8FFFA29C8F23}" name="Table8" displayName="Table8" ref="A3:AM5" totalsRowShown="0">
  <autoFilter ref="A3:AM5" xr:uid="{0292DC3F-17DE-495B-9B2F-8FFFA29C8F23}"/>
  <sortState xmlns:xlrd2="http://schemas.microsoft.com/office/spreadsheetml/2017/richdata2" ref="A4:AM5">
    <sortCondition ref="X3:X5"/>
  </sortState>
  <tableColumns count="39">
    <tableColumn id="1" xr3:uid="{42C925B9-430F-459C-8DBA-3B144A894EE2}" name="Contract Code"/>
    <tableColumn id="2" xr3:uid="{841D52D7-D855-4D1E-9269-6618CAD84D44}" name="ETP Year"/>
    <tableColumn id="3" xr3:uid="{2B8AA0C9-3633-448C-A7D1-12D3561EB4D8}" name="Planting Year"/>
    <tableColumn id="4" xr3:uid="{10CE52AE-A998-498E-97A6-4F27C1D0DB99}" name="Harvest Year_x000a_(10 year)"/>
    <tableColumn id="5" xr3:uid="{355207FC-E231-4B23-AB67-338AD9E72B9A}" name="Representative"/>
    <tableColumn id="6" xr3:uid="{43B20511-A64D-4641-ABCD-C308E6130D4D}" name="Farmer#"/>
    <tableColumn id="7" xr3:uid="{EF9D305E-D26D-44D6-A4F5-F389960585A7}" name="Contract Name"/>
    <tableColumn id="8" xr3:uid="{E3285844-3AFF-4311-8ED3-CD59203ABB55}" name="Phone"/>
    <tableColumn id="9" xr3:uid="{74F95086-41C4-4A89-AAE4-548E1D4F40FC}" name="Status"/>
    <tableColumn id="10" xr3:uid="{A8952AD1-1B47-46D9-BD5F-78D27AB14948}" name="Email"/>
    <tableColumn id="11" xr3:uid="{27A5D267-34CC-487A-A078-F93511E0A756}" name="Address"/>
    <tableColumn id="12" xr3:uid="{CF8872A6-053E-499E-B411-6EBB885E4E29}" name="Shipping Address"/>
    <tableColumn id="13" xr3:uid="{0D82E431-C982-4D06-BEE7-D2E355CBAD04}" name="Region"/>
    <tableColumn id="14" xr3:uid="{D1E96726-750B-4F27-99E5-1301301A6A0E}" name="Land Location (GPS)"/>
    <tableColumn id="15" xr3:uid="{8C1DD12F-5DD7-4DF6-91BA-513875092838}" name="Actual Area (In Acres)"/>
    <tableColumn id="16" xr3:uid="{BD90FF8A-8303-4E9D-84D8-7C91A27B21CA}" name="Estimated Area (In Acres)"/>
    <tableColumn id="17" xr3:uid="{58B0F591-A0A4-4709-89B6-3350005F31E4}" name="Polygon"/>
    <tableColumn id="18" xr3:uid="{1B7D462A-51F2-4E30-B3DF-9E4002659765}" name="#TreesContract"/>
    <tableColumn id="19" xr3:uid="{A26A63AA-E2F7-4C50-9AAA-28CF7C748BA6}" name="#Planted"/>
    <tableColumn id="20" xr3:uid="{6ABF4609-8AB8-4821-8922-5FC12B6957DC}" name="Planting Obligation"/>
    <tableColumn id="21" xr3:uid="{C1B8E4C7-779A-41F1-82CB-BA25387B5DEA}" name="Contract Amendment"/>
    <tableColumn id="22" xr3:uid="{37C11C6A-5EDA-4BC4-A506-FF20FD27A9CA}" name="USA Allocation %"/>
    <tableColumn id="23" xr3:uid="{87AA7EC7-1169-4D92-A6E4-9ACF806F7BDC}" name="USA trees/Allocation/Contracted"/>
    <tableColumn id="24" xr3:uid="{BB9DEE4E-D0A0-456B-AD3A-6AD11FC23E63}" name="USA trees/Allocation/Planted"/>
    <tableColumn id="25" xr3:uid="{12FE72AC-2E2D-4EBC-8A86-5B37D7242B7B}" name="Canada Allocation %"/>
    <tableColumn id="26" xr3:uid="{21A41FEB-ECAF-4DFA-B5DE-80F0FAC750DE}" name="Canada Allocation-tree #'s"/>
    <tableColumn id="27" xr3:uid="{4A9BF170-D476-4084-B379-FD0220C6C1DD}" name="Canada Allocation2017 %"/>
    <tableColumn id="28" xr3:uid="{E0DE1665-AD59-4CEB-8958-803F2310DC84}" name="Can trees/Allocation 2017"/>
    <tableColumn id="29" xr3:uid="{E558B76B-9EFD-4B89-B917-0E6E887EA6D0}" name="Z +AB"/>
    <tableColumn id="30" xr3:uid="{E4561F65-3659-4014-94A6-E331AA445C3C}" name="Survival% as of 12/31/23"/>
    <tableColumn id="31" xr3:uid="{CEEB2D26-9EB2-44FF-A3C4-1814CACBD70B}" name="#Trees as of 12/31/23"/>
    <tableColumn id="32" xr3:uid="{055426DB-5892-4036-AB8F-3563DF6ACDF5}" name="#Trees as of 12/31/24-master"/>
    <tableColumn id="33" xr3:uid="{6CB9F442-6336-4D81-B13F-62BC33F75F2E}" name="2024 Inventory Survival%-master"/>
    <tableColumn id="34" xr3:uid="{5F8DB833-66E0-4048-BEB6-908971CCE7CF}" name="2024 Estimated Survival%"/>
    <tableColumn id="35" xr3:uid="{9D0E546D-7415-42E2-A8E7-CEC325B02938}" name="2024 Survival% Inventory + Estimate"/>
    <tableColumn id="36" xr3:uid="{91085190-0D28-4C4A-BBCE-F75A41CC9333}" name="2024 #Trees Inventory + Estimate"/>
    <tableColumn id="37" xr3:uid="{549702AE-3321-4012-A180-C869052EE235}" name="#Trees as of 2024/estimate -US allocation "/>
    <tableColumn id="38" xr3:uid="{0B452E70-86CB-4881-A000-1C1DDF9E6E2C}" name="#Trees as of 2024/estimate-Can allocation"/>
    <tableColumn id="39" xr3:uid="{6F96664A-A531-4E95-B442-A78FF0554DEF}" name="#Trees as of 2024/estimate-Can allocation 2017"/>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L1" dT="2024-08-07T18:05:03.10" personId="{018FD09B-37D5-42D6-B5B4-68C6A4D5D327}" id="{017E51A1-3155-4557-9ED9-56F98F096125}">
    <text>% based on observations and are estimates.</text>
  </threadedComment>
  <threadedComment ref="AL1" dT="2024-10-02T19:39:53.79" personId="{65026856-C605-4A31-B9D0-DFB2288EFFFE}" id="{D6A03639-C58F-4702-B6B9-33315AE013DC}" parentId="{017E51A1-3155-4557-9ED9-56F98F096125}">
    <text>These Columns should stay as the master survival %/tree count columns. When we add future data, it should flow into these columns.</text>
  </threadedComment>
  <threadedComment ref="AM1" dT="2024-08-07T18:05:27.55" personId="{018FD09B-37D5-42D6-B5B4-68C6A4D5D327}" id="{1B2FBE5B-B7C7-4716-BD58-FAC263438495}">
    <text xml:space="preserve">#Trees based on observations and are estimates
</text>
  </threadedComment>
  <threadedComment ref="AM1" dT="2024-10-02T19:39:57.76" personId="{65026856-C605-4A31-B9D0-DFB2288EFFFE}" id="{3B83CACC-C10A-4199-BB9E-C3B50A672A94}" parentId="{1B2FBE5B-B7C7-4716-BD58-FAC263438495}">
    <text>These Columns should stay as the master survival %/tree count columns. When we add future data, it should flow into these columns.</text>
  </threadedComment>
  <threadedComment ref="AK283" dT="2024-08-16T16:20:53.85" personId="{018FD09B-37D5-42D6-B5B4-68C6A4D5D327}" id="{7BCD410C-7817-4A6E-8CD1-C1858159F00B}">
    <text>as per regional meeting 8/16. Farmer is no longer communicating. Hugo will try to set up a visit</text>
  </threadedComment>
  <threadedComment ref="AL300" dT="2024-08-14T17:20:42.50" personId="{018FD09B-37D5-42D6-B5B4-68C6A4D5D327}" id="{CCC650C7-7C25-441D-B4D1-CAF948429223}">
    <text>Heather's trees are not growing well. Ashley D already explained the trees aren't growing as intended and we don't recommend spending more time and money on the project.​</text>
  </threadedComment>
</ThreadedComments>
</file>

<file path=xl/threadedComments/threadedComment2.xml><?xml version="1.0" encoding="utf-8"?>
<ThreadedComments xmlns="http://schemas.microsoft.com/office/spreadsheetml/2018/threadedcomments" xmlns:x="http://schemas.openxmlformats.org/spreadsheetml/2006/main">
  <threadedComment ref="F18" dT="2024-10-21T20:21:05.17" personId="{65026856-C605-4A31-B9D0-DFB2288EFFFE}" id="{7121CDF3-CA0B-4834-B0CF-D1E2F89DD978}">
    <text>@Gescina Richardsen Are these accurate? I think I saw something about it being low</text>
    <mentions>
      <mention mentionpersonId="{692C0AD4-B982-4446-BD69-CA08C5D6989E}" mentionId="{F89F9F46-7926-45EE-8070-063C50ED32DE}" startIndex="0" length="19"/>
    </mentions>
  </threadedComment>
  <threadedComment ref="F18" dT="2024-10-21T20:26:16.70" personId="{018FD09B-37D5-42D6-B5B4-68C6A4D5D327}" id="{69C8C2B1-0CB0-48D9-99C4-9CF9B1248587}" parentId="{7121CDF3-CA0B-4834-B0CF-D1E2F89DD978}">
    <text>They are accurate. It appears low because the contract for 9420 trees with the Hermans was not planted</text>
  </threadedComment>
  <threadedComment ref="J56" dT="2024-10-29T16:22:30.16" personId="{65026856-C605-4A31-B9D0-DFB2288EFFFE}" id="{65332D0D-7C79-42D5-9652-2E8929C56B86}">
    <text>@Gescina Richardsen Let’s discuss the planting year. Because Cathy’s “contracted” number is significantly different we may need to change.</text>
    <mentions>
      <mention mentionpersonId="{692C0AD4-B982-4446-BD69-CA08C5D6989E}" mentionId="{28401D05-71AB-477E-87E9-5A1AD2D8D15C}" startIndex="0" length="19"/>
    </mentions>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3" Type="http://schemas.openxmlformats.org/officeDocument/2006/relationships/hyperlink" Target="mailto:&#8206;soriapereztito@gmail.com" TargetMode="External"/><Relationship Id="rId18" Type="http://schemas.openxmlformats.org/officeDocument/2006/relationships/hyperlink" Target="mailto:hvargasforestal@hotmail.com" TargetMode="External"/><Relationship Id="rId26" Type="http://schemas.openxmlformats.org/officeDocument/2006/relationships/hyperlink" Target="mailto:roalmoa@gmail.com" TargetMode="External"/><Relationship Id="rId39" Type="http://schemas.openxmlformats.org/officeDocument/2006/relationships/hyperlink" Target="mailto:30sanchez.12345@gmail.com" TargetMode="External"/><Relationship Id="rId21" Type="http://schemas.openxmlformats.org/officeDocument/2006/relationships/hyperlink" Target="mailto:ugperez@hotmail.com;memosum56@outlook.com" TargetMode="External"/><Relationship Id="rId34" Type="http://schemas.openxmlformats.org/officeDocument/2006/relationships/hyperlink" Target="mailto:delacruz5castro@gmail.com" TargetMode="External"/><Relationship Id="rId42" Type="http://schemas.openxmlformats.org/officeDocument/2006/relationships/hyperlink" Target="mailto:eraulangulo@gmail.com;fedemais2000@gmail.com" TargetMode="External"/><Relationship Id="rId47" Type="http://schemas.openxmlformats.org/officeDocument/2006/relationships/vmlDrawing" Target="../drawings/vmlDrawing2.vml"/><Relationship Id="rId50" Type="http://schemas.microsoft.com/office/2017/10/relationships/threadedComment" Target="../threadedComments/threadedComment1.xml"/><Relationship Id="rId7" Type="http://schemas.openxmlformats.org/officeDocument/2006/relationships/hyperlink" Target="mailto:Joseayalavazquez911@gmail.com" TargetMode="External"/><Relationship Id="rId2" Type="http://schemas.openxmlformats.org/officeDocument/2006/relationships/hyperlink" Target="https://worldtree.pipedrive.com/person/17000" TargetMode="External"/><Relationship Id="rId16" Type="http://schemas.openxmlformats.org/officeDocument/2006/relationships/hyperlink" Target="mailto:heradiohernandes@gmail.com;%20rubendhj@hotmail.com" TargetMode="External"/><Relationship Id="rId29" Type="http://schemas.openxmlformats.org/officeDocument/2006/relationships/hyperlink" Target="mailto:mariaalvarezrivera321@gmail.com" TargetMode="External"/><Relationship Id="rId11" Type="http://schemas.openxmlformats.org/officeDocument/2006/relationships/hyperlink" Target="mailto:molina_2155@hotmail.com" TargetMode="External"/><Relationship Id="rId24" Type="http://schemas.openxmlformats.org/officeDocument/2006/relationships/hyperlink" Target="mailto:hvargasforestal@hotmail.com" TargetMode="External"/><Relationship Id="rId32" Type="http://schemas.openxmlformats.org/officeDocument/2006/relationships/hyperlink" Target="mailto:delacruz5castro@gmail.com" TargetMode="External"/><Relationship Id="rId37" Type="http://schemas.openxmlformats.org/officeDocument/2006/relationships/hyperlink" Target="mailto:delacruz5castro@gmail.com" TargetMode="External"/><Relationship Id="rId40" Type="http://schemas.openxmlformats.org/officeDocument/2006/relationships/hyperlink" Target="mailto:chayo052574@gmail.com" TargetMode="External"/><Relationship Id="rId45" Type="http://schemas.openxmlformats.org/officeDocument/2006/relationships/hyperlink" Target="mailto:bulbarela12345@gmail.com" TargetMode="External"/><Relationship Id="rId5" Type="http://schemas.openxmlformats.org/officeDocument/2006/relationships/hyperlink" Target="mailto:ofeliagamboa12345@gmail.com" TargetMode="External"/><Relationship Id="rId15" Type="http://schemas.openxmlformats.org/officeDocument/2006/relationships/hyperlink" Target="mailto:anthonylearph@gmail.com?bcc=worldtree%40pipedrivemail.com" TargetMode="External"/><Relationship Id="rId23" Type="http://schemas.openxmlformats.org/officeDocument/2006/relationships/hyperlink" Target="mailto:proye.spazios@gmail.com" TargetMode="External"/><Relationship Id="rId28" Type="http://schemas.openxmlformats.org/officeDocument/2006/relationships/hyperlink" Target="mailto:alberto-aac@hotmail.com" TargetMode="External"/><Relationship Id="rId36" Type="http://schemas.openxmlformats.org/officeDocument/2006/relationships/hyperlink" Target="mailto:delacruz5castro@gmail.com" TargetMode="External"/><Relationship Id="rId49" Type="http://schemas.openxmlformats.org/officeDocument/2006/relationships/comments" Target="../comments2.xml"/><Relationship Id="rId10" Type="http://schemas.openxmlformats.org/officeDocument/2006/relationships/hyperlink" Target="mailto:jacintofelipemoises16@gmail.com" TargetMode="External"/><Relationship Id="rId19" Type="http://schemas.openxmlformats.org/officeDocument/2006/relationships/hyperlink" Target="mailto:taizonhernandez181@gmail.com" TargetMode="External"/><Relationship Id="rId31" Type="http://schemas.openxmlformats.org/officeDocument/2006/relationships/hyperlink" Target="mailto:trujillojuana798@gmail.com" TargetMode="External"/><Relationship Id="rId44" Type="http://schemas.openxmlformats.org/officeDocument/2006/relationships/hyperlink" Target="mailto:provial.ro@gmail.com" TargetMode="External"/><Relationship Id="rId4" Type="http://schemas.openxmlformats.org/officeDocument/2006/relationships/hyperlink" Target="mailto:carvajalcirilo37@gmail.com" TargetMode="External"/><Relationship Id="rId9" Type="http://schemas.openxmlformats.org/officeDocument/2006/relationships/hyperlink" Target="mailto:hvargasforestal@hotmail.com" TargetMode="External"/><Relationship Id="rId14" Type="http://schemas.openxmlformats.org/officeDocument/2006/relationships/hyperlink" Target="mailto:Victoricoortegacohetero@gmail.com" TargetMode="External"/><Relationship Id="rId22" Type="http://schemas.openxmlformats.org/officeDocument/2006/relationships/hyperlink" Target="mailto:dalarconb@hotmail.com" TargetMode="External"/><Relationship Id="rId27" Type="http://schemas.openxmlformats.org/officeDocument/2006/relationships/hyperlink" Target="mailto:serviciosvillalobos94@gmail,com" TargetMode="External"/><Relationship Id="rId30" Type="http://schemas.openxmlformats.org/officeDocument/2006/relationships/hyperlink" Target="mailto:trujillojuana798@gmail.com" TargetMode="External"/><Relationship Id="rId35" Type="http://schemas.openxmlformats.org/officeDocument/2006/relationships/hyperlink" Target="mailto:delacruz5castro@gmail.com" TargetMode="External"/><Relationship Id="rId43" Type="http://schemas.openxmlformats.org/officeDocument/2006/relationships/hyperlink" Target="mailto:cgarcia.rodriguez.75@gmail.com;marlenyrodcam@gmail.com" TargetMode="External"/><Relationship Id="rId48" Type="http://schemas.openxmlformats.org/officeDocument/2006/relationships/table" Target="../tables/table1.xml"/><Relationship Id="rId8" Type="http://schemas.openxmlformats.org/officeDocument/2006/relationships/hyperlink" Target="mailto:cruzambrosio370@gmail.com" TargetMode="External"/><Relationship Id="rId51" Type="http://schemas.microsoft.com/office/2019/04/relationships/namedSheetView" Target="../namedSheetViews/namedSheetView1.xml"/><Relationship Id="rId3" Type="http://schemas.openxmlformats.org/officeDocument/2006/relationships/hyperlink" Target="mailto:brucegamblefarms@gmail.com" TargetMode="External"/><Relationship Id="rId12" Type="http://schemas.openxmlformats.org/officeDocument/2006/relationships/hyperlink" Target="mailto:jacintofelipemoises16@gmail.com" TargetMode="External"/><Relationship Id="rId17" Type="http://schemas.openxmlformats.org/officeDocument/2006/relationships/hyperlink" Target="mailto:brd1392@outlook.com" TargetMode="External"/><Relationship Id="rId25" Type="http://schemas.openxmlformats.org/officeDocument/2006/relationships/hyperlink" Target="mailto:jcarbajal.g@hotmail.com" TargetMode="External"/><Relationship Id="rId33" Type="http://schemas.openxmlformats.org/officeDocument/2006/relationships/hyperlink" Target="mailto:eddiel279@hotmail.com" TargetMode="External"/><Relationship Id="rId38" Type="http://schemas.openxmlformats.org/officeDocument/2006/relationships/hyperlink" Target="mailto:greenway.stonemasonry@gmail.com" TargetMode="External"/><Relationship Id="rId46" Type="http://schemas.openxmlformats.org/officeDocument/2006/relationships/printerSettings" Target="../printerSettings/printerSettings3.bin"/><Relationship Id="rId20" Type="http://schemas.openxmlformats.org/officeDocument/2006/relationships/hyperlink" Target="mailto:&#8206;soriapereztito@gmail.com" TargetMode="External"/><Relationship Id="rId41" Type="http://schemas.openxmlformats.org/officeDocument/2006/relationships/hyperlink" Target="mailto:30sanchez.12345@gmail.com" TargetMode="External"/><Relationship Id="rId1" Type="http://schemas.openxmlformats.org/officeDocument/2006/relationships/hyperlink" Target="mailto:eduardotrejosobando@gmail.com%3E?bcc=worldtree%40pipedrivemail.com" TargetMode="External"/><Relationship Id="rId6" Type="http://schemas.openxmlformats.org/officeDocument/2006/relationships/hyperlink" Target="mailto:banchearreola@hotmail.com" TargetMode="Externa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3.xml"/><Relationship Id="rId1" Type="http://schemas.openxmlformats.org/officeDocument/2006/relationships/vmlDrawing" Target="../drawings/vmlDrawing3.vml"/><Relationship Id="rId4" Type="http://schemas.microsoft.com/office/2019/04/relationships/documenttask" Target="../documenttasks/documenttask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pivotTable" Target="../pivotTables/pivotTable3.xml"/><Relationship Id="rId7" Type="http://schemas.openxmlformats.org/officeDocument/2006/relationships/vmlDrawing" Target="../drawings/vmlDrawing5.v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3EDD7-A1F5-4A70-89C0-49DF486262D0}">
  <sheetPr>
    <tabColor theme="7" tint="0.79998168889431442"/>
    <pageSetUpPr fitToPage="1"/>
  </sheetPr>
  <dimension ref="A1:R75"/>
  <sheetViews>
    <sheetView zoomScale="85" zoomScaleNormal="85" workbookViewId="0">
      <selection activeCell="N22" sqref="N22"/>
    </sheetView>
  </sheetViews>
  <sheetFormatPr defaultColWidth="8.85546875" defaultRowHeight="15" outlineLevelRow="1" x14ac:dyDescent="0.25"/>
  <cols>
    <col min="1" max="1" width="19.42578125" customWidth="1"/>
    <col min="2" max="2" width="17.140625" customWidth="1"/>
    <col min="3" max="3" width="13" customWidth="1"/>
    <col min="4" max="14" width="17.140625" customWidth="1"/>
    <col min="15" max="17" width="8.85546875" customWidth="1"/>
  </cols>
  <sheetData>
    <row r="1" spans="1:18" ht="21" customHeight="1" x14ac:dyDescent="0.25">
      <c r="A1" s="485" t="s">
        <v>0</v>
      </c>
      <c r="B1" s="485"/>
      <c r="C1" s="485"/>
      <c r="D1" s="485"/>
      <c r="E1" s="485"/>
      <c r="F1" s="485"/>
      <c r="G1" s="485"/>
      <c r="H1" s="485"/>
      <c r="I1" s="485"/>
      <c r="J1" s="485"/>
      <c r="K1" s="485"/>
      <c r="L1" s="485"/>
      <c r="M1" s="485"/>
      <c r="N1" s="485"/>
    </row>
    <row r="2" spans="1:18" ht="16.5" customHeight="1" x14ac:dyDescent="0.25">
      <c r="A2" s="333"/>
      <c r="B2" s="333"/>
      <c r="C2" s="333"/>
      <c r="D2" s="333"/>
      <c r="E2" s="333"/>
      <c r="F2" s="333"/>
      <c r="G2" s="333"/>
      <c r="H2" s="333"/>
      <c r="I2" s="333"/>
      <c r="J2" s="333"/>
      <c r="K2" s="333"/>
      <c r="L2" s="333"/>
      <c r="M2" s="333"/>
      <c r="N2" s="333"/>
    </row>
    <row r="3" spans="1:18" ht="18" customHeight="1" x14ac:dyDescent="0.25">
      <c r="A3" s="334"/>
      <c r="B3" s="334"/>
      <c r="C3" s="334"/>
      <c r="D3" s="334"/>
      <c r="E3" s="334"/>
      <c r="F3" s="334"/>
      <c r="G3" s="334"/>
      <c r="H3" s="334"/>
      <c r="I3" s="334"/>
      <c r="J3" s="334"/>
      <c r="K3" s="334"/>
      <c r="L3" s="334"/>
      <c r="M3" s="334"/>
      <c r="N3" s="334"/>
    </row>
    <row r="4" spans="1:18" ht="49.9" customHeight="1" thickBot="1" x14ac:dyDescent="0.3">
      <c r="A4" s="48" t="s">
        <v>1</v>
      </c>
      <c r="B4" s="51" t="s">
        <v>2</v>
      </c>
      <c r="C4" s="51" t="s">
        <v>3</v>
      </c>
      <c r="D4" s="51" t="s">
        <v>4</v>
      </c>
      <c r="E4" s="51" t="s">
        <v>5</v>
      </c>
      <c r="F4" s="51" t="s">
        <v>6</v>
      </c>
      <c r="G4" s="51" t="s">
        <v>7</v>
      </c>
      <c r="H4" s="51" t="s">
        <v>8</v>
      </c>
      <c r="I4" s="51" t="s">
        <v>9</v>
      </c>
      <c r="J4" s="51" t="s">
        <v>10</v>
      </c>
      <c r="K4" s="51" t="s">
        <v>11</v>
      </c>
      <c r="L4" s="51" t="s">
        <v>12</v>
      </c>
      <c r="M4" s="51" t="s">
        <v>13</v>
      </c>
      <c r="N4" s="48" t="s">
        <v>14</v>
      </c>
    </row>
    <row r="5" spans="1:18" ht="17.25" hidden="1" customHeight="1" outlineLevel="1" thickBot="1" x14ac:dyDescent="0.3">
      <c r="A5" s="41" t="s">
        <v>15</v>
      </c>
      <c r="B5" s="53"/>
      <c r="C5" s="52">
        <f>COUNTIFS(Table11[ETP Year],2016,Table11[USA Allocation %],"&lt;&gt;",Table11[ETP'#s],1,Table11[Contract Code],"*CR*")</f>
        <v>27</v>
      </c>
      <c r="D5" s="53">
        <f>SUMIFS(Table37['# Trees Allocated to US Series],Table37[ETP Year],2016,Table37[Audit],1,Table37[Contract'#],"*CR*")</f>
        <v>7177</v>
      </c>
      <c r="E5" s="53"/>
      <c r="F5" s="53">
        <f>SUMIFS(Table37['# Planted for Allocated Portion],Table37[ETP Year],2016,Table37[Audit],1,Table37[Contract'#],"*CR*")</f>
        <v>7177</v>
      </c>
      <c r="G5" s="53">
        <f>F5-D5</f>
        <v>0</v>
      </c>
      <c r="H5" s="53">
        <f>COUNTIFS(Table11[ETP Year],"2016",Table11[Status],"Out of program",Table11[USA Allocation %],"&lt;&gt;",Table11[ETP'#s],1,Table11[Contract Code],"*CR*")</f>
        <v>23</v>
      </c>
      <c r="I5" s="53">
        <f>SUMIFS(Table37['# Trees Allocated to US Series],Table37[ETP Year],"2016",Table37[Status],"Out of program",Table37[Audit],1,Table37[Contract'#],"*CR*")</f>
        <v>6541</v>
      </c>
      <c r="J5" s="53">
        <f t="shared" ref="J5:J38" si="0">C5-H5</f>
        <v>4</v>
      </c>
      <c r="K5" s="53">
        <f t="shared" ref="K5:K38" si="1">D5-I5</f>
        <v>636</v>
      </c>
      <c r="L5" s="53">
        <f>SUMIFS(Table37[Inventory/Smart Sheet count],Table37[Status],"Active",Table37[ETP Year],"2016",Table37[Contract'#],"*CR*")+SUMIFS(Table37[Inventory/Smart Sheet count],Table37[ETP Year],"2016",Table37[Status],"RFT",Table37[Audit],1,Table37[Contract'#],"*CR*")</f>
        <v>437.36</v>
      </c>
      <c r="M5" s="53">
        <f>K5-L5</f>
        <v>198.64</v>
      </c>
      <c r="N5" s="19">
        <f t="shared" ref="N5:N39" si="2">IFERROR(L5/D5,0)</f>
        <v>6.0939111049184896E-2</v>
      </c>
    </row>
    <row r="6" spans="1:18" ht="17.25" hidden="1" customHeight="1" outlineLevel="1" x14ac:dyDescent="0.25">
      <c r="A6" s="41" t="s">
        <v>16</v>
      </c>
      <c r="B6" s="56"/>
      <c r="C6" s="54">
        <f>COUNTIFS(Table11[ETP Year],2016,Table11[USA Allocation %],"&lt;&gt;",Table11[ETP'#s],1,Table11[Contract Code],"*US*")</f>
        <v>18</v>
      </c>
      <c r="D6" s="55">
        <f>SUMIFS(Table37['# Trees Allocated to US Series],Table37[ETP Year],2016,Table37[Audit],1,Table37[Contract'#],"*US*")</f>
        <v>3688.9678800000002</v>
      </c>
      <c r="E6" s="56"/>
      <c r="F6" s="55">
        <f>SUMIFS(Table37['# Planted for Allocated Portion],Table37[ETP Year],2016,Table37[Audit],1,Table37[Contract'#],"*US*")</f>
        <v>3688.9678800000002</v>
      </c>
      <c r="G6" s="56">
        <f>F6-D6</f>
        <v>0</v>
      </c>
      <c r="H6" s="55">
        <f>COUNTIFS(Table11[ETP Year],"2016",Table11[Status],"Out of program",Table11[USA Allocation %],"&lt;&gt;",Table11[ETP'#s],1,Table11[Contract Code],"*US*")</f>
        <v>8</v>
      </c>
      <c r="I6" s="55">
        <f>SUMIFS(Table37['# Trees Allocated to US Series],Table37[ETP Year],"2016",Table37[Status],"Out of program",Table37[Audit],1,Table37[Contract'#],"*US*")</f>
        <v>2289</v>
      </c>
      <c r="J6" s="55">
        <f t="shared" si="0"/>
        <v>10</v>
      </c>
      <c r="K6" s="55">
        <f t="shared" si="1"/>
        <v>1399.9678800000002</v>
      </c>
      <c r="L6" s="55">
        <f>SUMIFS(Table37[Inventory/Smart Sheet count],Table37[Status],"Active",Table37[ETP Year],"2016",Table37[Contract'#],"*US*")+SUMIFS(Table37[Inventory/Smart Sheet count],Table37[ETP Year],"2016",Table37[Status],"RFT",Table37[Audit],1,Table37[Contract'#],"*US*")</f>
        <v>1051.9139759871023</v>
      </c>
      <c r="M6" s="56">
        <f>K6-L6</f>
        <v>348.05390401289787</v>
      </c>
      <c r="N6" s="49">
        <f t="shared" si="2"/>
        <v>0.28515129711216197</v>
      </c>
    </row>
    <row r="7" spans="1:18" ht="17.25" customHeight="1" collapsed="1" thickBot="1" x14ac:dyDescent="0.3">
      <c r="A7" s="74" t="s">
        <v>17</v>
      </c>
      <c r="B7" s="142">
        <v>11000</v>
      </c>
      <c r="C7" s="335"/>
      <c r="D7" s="58">
        <f>SUMIFS(Table11[USA trees/Allocation/Contracted],Table11[ETP Year],2016)</f>
        <v>10865.96788</v>
      </c>
      <c r="E7" s="100">
        <f>D7-B7</f>
        <v>-134.03211999999985</v>
      </c>
      <c r="F7" s="58">
        <f>SUMIFS(Table11[USA trees/Allocation/Planted],Table11[ETP Year],2016)</f>
        <v>10865.96788</v>
      </c>
      <c r="G7" s="107">
        <f>F7-D7</f>
        <v>0</v>
      </c>
      <c r="H7" s="58">
        <f>COUNTIFS(Table11[ETP Year],"2016",Table11[Status],"Out of program",Table11[USA Allocation %],"&lt;&gt;",Table11[ETP'#s],1)</f>
        <v>31</v>
      </c>
      <c r="I7" s="58">
        <f>SUMIFS(Table11[USA trees/Allocation/Contracted],Table11[ETP Year],2016,Table11[Status],"Out of program")</f>
        <v>8830</v>
      </c>
      <c r="J7" s="58">
        <f>C7-H7</f>
        <v>-31</v>
      </c>
      <c r="K7" s="58">
        <f t="shared" si="1"/>
        <v>2035.9678800000002</v>
      </c>
      <c r="L7" s="58">
        <f>SUMIFS(Table11['#Trees as of 2024/estimate -US allocation ],Table11[ETP Year],2016,Table11[Status],"Active")</f>
        <v>1131.7206772858037</v>
      </c>
      <c r="M7" s="57">
        <f>K7-L7</f>
        <v>904.24720271419642</v>
      </c>
      <c r="N7" s="42">
        <f t="shared" si="2"/>
        <v>0.1041527721951819</v>
      </c>
    </row>
    <row r="8" spans="1:18" ht="17.25" hidden="1" customHeight="1" outlineLevel="1" thickBot="1" x14ac:dyDescent="0.3">
      <c r="A8" s="41" t="s">
        <v>18</v>
      </c>
      <c r="B8" s="143"/>
      <c r="C8" s="336"/>
      <c r="D8" s="53">
        <f>SUMIFS(Table37['# Trees Allocated to US Series],Table37[ETP Year],2018,Table37[Audit],1,Table37[Contract'#],"*CR*")</f>
        <v>14582.4</v>
      </c>
      <c r="E8" s="53"/>
      <c r="F8" s="53">
        <f>SUMIFS(Table37['# Planted for Allocated Portion],Table37[ETP Year],2018,Table37[Audit],1,Table37[Contract'#],"*CR*")</f>
        <v>14582.4</v>
      </c>
      <c r="G8" s="101">
        <f t="shared" ref="G8:G39" si="3">F8-D8</f>
        <v>0</v>
      </c>
      <c r="H8" s="53">
        <f>COUNTIFS(Table11[ETP Year],"2018",Table11[Status],"Out of program",Table11[USA Allocation %],"&lt;&gt;",Table11[ETP'#s],1,Table11[Contract Code],"*CR*")</f>
        <v>6</v>
      </c>
      <c r="I8" s="53">
        <f>SUMIFS(Table37['# Trees Allocated to US Series],Table37[ETP Year],"2018",Table37[Status],"Out of program",Table37[Audit],1,Table37[Contract'#],"*CR*")</f>
        <v>4022.4</v>
      </c>
      <c r="J8" s="53">
        <f t="shared" si="0"/>
        <v>-6</v>
      </c>
      <c r="K8" s="53">
        <f t="shared" si="1"/>
        <v>10560</v>
      </c>
      <c r="L8" s="53">
        <f>SUMIFS(Table37[Inventory/Smart Sheet count],Table37[Status],"Active",Table37[ETP Year],"2018",Table37[Contract'#],"*CR*")+SUMIFS(Table37[Inventory/Smart Sheet count],Table37[ETP Year],"2018",Table37[Status],"RFT",Table37[Audit],1,Table37[Contract'#],"*CR*")</f>
        <v>4607.1503460628701</v>
      </c>
      <c r="M8" s="53">
        <f t="shared" ref="M8:M39" si="4">K8-L8</f>
        <v>5952.8496539371299</v>
      </c>
      <c r="N8" s="19">
        <f t="shared" si="2"/>
        <v>0.31593910097534494</v>
      </c>
      <c r="R8" s="68"/>
    </row>
    <row r="9" spans="1:18" ht="17.25" hidden="1" customHeight="1" outlineLevel="1" thickBot="1" x14ac:dyDescent="0.3">
      <c r="A9" s="41" t="s">
        <v>19</v>
      </c>
      <c r="B9" s="143"/>
      <c r="C9" s="336"/>
      <c r="D9" s="53">
        <f>SUMIFS(Table37['# Trees Allocated to US Series],Table37[ETP Year],2018,Table37[Audit],1,Table37[Contract'#],"*GT*")</f>
        <v>14660</v>
      </c>
      <c r="E9" s="53"/>
      <c r="F9" s="53">
        <f>SUMIFS(Table37['# Planted for Allocated Portion],Table37[ETP Year],2018,Table37[Audit],1,Table37[Contract'#],"*GT*")</f>
        <v>14660</v>
      </c>
      <c r="G9" s="101">
        <f t="shared" si="3"/>
        <v>0</v>
      </c>
      <c r="H9" s="53">
        <f>COUNTIFS(Table11[ETP Year],"2018",Table11[Status],"Out of program",Table11[USA Allocation %],"&lt;&gt;",Table11[ETP'#s],1,Table11[Contract Code],"*GT*")</f>
        <v>5</v>
      </c>
      <c r="I9" s="53">
        <f>SUMIFS(Table37['# Trees Allocated to US Series],Table37[ETP Year],"2018",Table37[Status],"Out of program",Table37[Audit],1,Table37[Contract'#],"*GT*")</f>
        <v>3236</v>
      </c>
      <c r="J9" s="53">
        <f t="shared" si="0"/>
        <v>-5</v>
      </c>
      <c r="K9" s="53">
        <f t="shared" si="1"/>
        <v>11424</v>
      </c>
      <c r="L9" s="53">
        <f>SUMIFS(Table37[Inventory/Smart Sheet count],Table37[Status],"Active",Table37[ETP Year],"2018",Table37[Contract'#],"*GT*")+SUMIFS(Table37[Inventory/Smart Sheet count],Table37[ETP Year],"2018",Table37[Status],"RFT",Table37[Audit],1,Table37[Contract'#],"*GT*")</f>
        <v>5861.0748776585315</v>
      </c>
      <c r="M9" s="53">
        <f t="shared" si="4"/>
        <v>5562.9251223414685</v>
      </c>
      <c r="N9" s="19">
        <f t="shared" si="2"/>
        <v>0.39980046914451101</v>
      </c>
      <c r="R9" s="68"/>
    </row>
    <row r="10" spans="1:18" ht="17.25" hidden="1" customHeight="1" outlineLevel="1" thickBot="1" x14ac:dyDescent="0.3">
      <c r="A10" s="41" t="s">
        <v>20</v>
      </c>
      <c r="B10" s="143"/>
      <c r="C10" s="336"/>
      <c r="D10" s="53">
        <f>SUMIFS(Table37['# Trees Allocated to US Series],Table37[ETP Year],2018,Table37[Audit],1,Table37[Contract'#],"*MX*")</f>
        <v>15936</v>
      </c>
      <c r="E10" s="53"/>
      <c r="F10" s="53">
        <f>SUMIFS(Table37['# Planted for Allocated Portion],Table37[ETP Year],2018,Table37[Audit],1,Table37[Contract'#],"*MX*")</f>
        <v>15936</v>
      </c>
      <c r="G10" s="101">
        <f t="shared" si="3"/>
        <v>0</v>
      </c>
      <c r="H10" s="53">
        <f>COUNTIFS(Table11[ETP Year],"2018",Table11[Status],"Out of program",Table11[USA Allocation %],"&lt;&gt;",Table11[ETP'#s],1,Table11[Contract Code],"*MX*")</f>
        <v>4</v>
      </c>
      <c r="I10" s="53">
        <f>SUMIFS(Table37['# Trees Allocated to US Series],Table37[ETP Year],"2018",Table37[Status],"Out of program",Table37[Audit],1,Table37[Contract'#],"*MX*")</f>
        <v>9408</v>
      </c>
      <c r="J10" s="53">
        <f t="shared" si="0"/>
        <v>-4</v>
      </c>
      <c r="K10" s="53">
        <f t="shared" si="1"/>
        <v>6528</v>
      </c>
      <c r="L10" s="53">
        <f>SUMIFS(Table37[Inventory/Smart Sheet count],Table37[Status],"Active",Table37[ETP Year],"2018",Table37[Contract'#],"*MX*")+SUMIFS(Table37[Inventory/Smart Sheet count],Table37[ETP Year],"2018",Table37[Status],"RFT",Table37[Audit],1,Table37[Contract'#],"*MX*")</f>
        <v>5222.4000000000005</v>
      </c>
      <c r="M10" s="53">
        <f t="shared" si="4"/>
        <v>1305.5999999999995</v>
      </c>
      <c r="N10" s="19">
        <f t="shared" si="2"/>
        <v>0.32771084337349399</v>
      </c>
      <c r="R10" s="68"/>
    </row>
    <row r="11" spans="1:18" ht="17.25" hidden="1" customHeight="1" outlineLevel="1" x14ac:dyDescent="0.25">
      <c r="A11" s="41" t="s">
        <v>21</v>
      </c>
      <c r="B11" s="144"/>
      <c r="C11" s="337"/>
      <c r="D11" s="56">
        <f>SUMIFS(Table37['# Trees Allocated to US Series],Table37[ETP Year],2018,Table37[Audit],1,Table37[Contract'#],"*US*")</f>
        <v>18619.2</v>
      </c>
      <c r="E11" s="56"/>
      <c r="F11" s="56">
        <f>SUMIFS(Table37['# Planted for Allocated Portion],Table37[ETP Year],2018,Table37[Audit],1,Table37[Contract'#],"*US*")</f>
        <v>18619.2</v>
      </c>
      <c r="G11" s="102">
        <f t="shared" si="3"/>
        <v>0</v>
      </c>
      <c r="H11" s="56">
        <f>COUNTIFS(Table11[ETP Year],"2018",Table11[Status],"Out of program",Table11[USA Allocation %],"&lt;&gt;",Table11[ETP'#s],1,Table11[Contract Code],"*US*")</f>
        <v>6</v>
      </c>
      <c r="I11" s="56">
        <f>SUMIFS(Table37['# Trees Allocated to US Series],Table37[ETP Year],"2018",Table37[Status],"Out of program",Table37[Audit],1,Table37[Contract'#],"*US*")</f>
        <v>6112</v>
      </c>
      <c r="J11" s="56">
        <f t="shared" si="0"/>
        <v>-6</v>
      </c>
      <c r="K11" s="56">
        <f t="shared" si="1"/>
        <v>12507.2</v>
      </c>
      <c r="L11" s="56">
        <f>SUMIFS(Table37[Inventory/Smart Sheet count],Table37[Status],"Active",Table37[ETP Year],"2018",Table37[Contract'#],"*US*")+SUMIFS(Table37[Inventory/Smart Sheet count],Table37[ETP Year],"2018",Table37[Status],"RFT",Table37[Audit],1,Table37[Contract'#],"*US*")</f>
        <v>9796.4589991696594</v>
      </c>
      <c r="M11" s="56">
        <f t="shared" si="4"/>
        <v>2710.7410008303414</v>
      </c>
      <c r="N11" s="20">
        <f t="shared" si="2"/>
        <v>0.52614822329475264</v>
      </c>
      <c r="R11" s="68"/>
    </row>
    <row r="12" spans="1:18" ht="16.5" customHeight="1" collapsed="1" thickBot="1" x14ac:dyDescent="0.3">
      <c r="A12" s="74" t="s">
        <v>22</v>
      </c>
      <c r="B12" s="142">
        <v>65293</v>
      </c>
      <c r="C12" s="335"/>
      <c r="D12" s="58">
        <f>SUMIFS(Table11[USA trees/Allocation/Contracted],Table11[ETP Year],2018)</f>
        <v>64797.600000000006</v>
      </c>
      <c r="E12" s="100">
        <f>D12-B12</f>
        <v>-495.39999999999418</v>
      </c>
      <c r="F12" s="58">
        <f>SUMIFS(Table11[USA trees/Allocation/Planted],Table11[ETP Year],2018)</f>
        <v>63797.600000000006</v>
      </c>
      <c r="G12" s="107">
        <f t="shared" si="3"/>
        <v>-1000</v>
      </c>
      <c r="H12" s="58">
        <f>COUNTIFS(Table11[ETP Year],"2018",Table11[Status],"Out of program",Table11[USA Allocation %],"&lt;&gt;",Table11[ETP'#s],1)</f>
        <v>21</v>
      </c>
      <c r="I12" s="58">
        <f>SUMIFS(Table11[USA trees/Allocation/Contracted],Table11[ETP Year],2018,Table11[Status],"Out of program")</f>
        <v>23778.400000000001</v>
      </c>
      <c r="J12" s="59">
        <f t="shared" si="0"/>
        <v>-21</v>
      </c>
      <c r="K12" s="59">
        <f t="shared" si="1"/>
        <v>41019.200000000004</v>
      </c>
      <c r="L12" s="58">
        <f>SUMIFS(Table11['#Trees as of 2024/estimate -US allocation ],Table11[ETP Year],2018,Table11[Status],"Active")</f>
        <v>16443.017518850658</v>
      </c>
      <c r="M12" s="57">
        <f t="shared" si="4"/>
        <v>24576.182481149346</v>
      </c>
      <c r="N12" s="42">
        <f t="shared" si="2"/>
        <v>0.25375966885888762</v>
      </c>
    </row>
    <row r="13" spans="1:18" ht="16.5" hidden="1" customHeight="1" outlineLevel="1" thickBot="1" x14ac:dyDescent="0.3">
      <c r="A13" s="41" t="s">
        <v>23</v>
      </c>
      <c r="B13" s="143"/>
      <c r="C13" s="52">
        <f>COUNTIFS(Table11[ETP Year],2020,Table11[USA Allocation %],"&lt;&gt;",Table11[ETP'#s],1,Table11[Contract Code],"*CR*")</f>
        <v>35</v>
      </c>
      <c r="D13" s="53">
        <f>SUMIFS(Table37['# Trees Allocated to US Series],Table37[ETP Year],2020,Table37[Audit],1,Table37[Contract'#],"*CR*")</f>
        <v>64850</v>
      </c>
      <c r="E13" s="101"/>
      <c r="F13" s="89">
        <f>SUMIFS(Table37['# Planted for Allocated Portion],Table37[ETP Year],2020,Table37[Audit],1,Table37[Contract'#],"*CR*")</f>
        <v>64850</v>
      </c>
      <c r="G13" s="101">
        <f t="shared" si="3"/>
        <v>0</v>
      </c>
      <c r="H13" s="53">
        <f>COUNTIFS(Table11[ETP Year],"2020",Table11[Status],"Out of program",Table11[USA Allocation %],"&lt;&gt;",Table11[ETP'#s],1,Table11[Contract Code],"*CR*")</f>
        <v>6</v>
      </c>
      <c r="I13" s="53">
        <f>SUMIFS(Table37['# Trees Allocated to US Series],Table37[ETP Year],"2020",Table37[Status],"Out of program",Table37[Audit],1,Table37[Contract'#],"*CR*")</f>
        <v>12240</v>
      </c>
      <c r="J13" s="53">
        <f t="shared" si="0"/>
        <v>29</v>
      </c>
      <c r="K13" s="53">
        <f t="shared" si="1"/>
        <v>52610</v>
      </c>
      <c r="L13" s="53">
        <f>SUMIFS(Table37[Inventory/Smart Sheet count],Table37[Status],"Active",Table37[ETP Year],"2020",Table37[Contract'#],"*CR*")+SUMIFS(Table37[Inventory/Smart Sheet count],Table37[ETP Year],"2020",Table37[Status],"RFT",Table37[Audit],1,Table37[Contract'#],"*CR*")</f>
        <v>41206.46</v>
      </c>
      <c r="M13" s="53">
        <f t="shared" si="4"/>
        <v>11403.54</v>
      </c>
      <c r="N13" s="19">
        <f t="shared" si="2"/>
        <v>0.63541187355435624</v>
      </c>
    </row>
    <row r="14" spans="1:18" ht="16.5" hidden="1" customHeight="1" outlineLevel="1" thickBot="1" x14ac:dyDescent="0.3">
      <c r="A14" s="41" t="s">
        <v>24</v>
      </c>
      <c r="B14" s="143"/>
      <c r="C14" s="52">
        <f>COUNTIFS(Table11[ETP Year],2020,Table11[USA Allocation %],"&lt;&gt;",Table11[ETP'#s],1,Table11[Contract Code],"*gt*")</f>
        <v>23</v>
      </c>
      <c r="D14" s="53">
        <f>SUMIFS(Table37['# Trees Allocated to US Series],Table37[ETP Year],2020,Table37[Audit],1,Table37[Contract'#],"*GT*")</f>
        <v>58509</v>
      </c>
      <c r="E14" s="101"/>
      <c r="F14" s="89">
        <f>SUMIFS(Table37['# Planted for Allocated Portion],Table37[ETP Year],2020,Table37[Audit],1,Table37[Contract'#],"*GT*")</f>
        <v>58509</v>
      </c>
      <c r="G14" s="101">
        <f t="shared" si="3"/>
        <v>0</v>
      </c>
      <c r="H14" s="53">
        <f>COUNTIFS(Table11[ETP Year],"2020",Table11[Status],"Out of program",Table11[USA Allocation %],"&lt;&gt;",Table11[ETP'#s],1,Table11[Contract Code],"*GT*")</f>
        <v>7</v>
      </c>
      <c r="I14" s="53">
        <f>SUMIFS(Table37['# Trees Allocated to US Series],Table37[ETP Year],"2020",Table37[Status],"Out of program",Table37[Audit],1,Table37[Contract'#],"*GT*")</f>
        <v>8678</v>
      </c>
      <c r="J14" s="53">
        <f>C14-H14</f>
        <v>16</v>
      </c>
      <c r="K14" s="53">
        <f>D14-I14</f>
        <v>49831</v>
      </c>
      <c r="L14" s="53">
        <f>SUMIFS(Table37[Inventory/Smart Sheet count],Table37[Status],"Active",Table37[ETP Year],"2020",Table37[Contract'#],"*GT*")+SUMIFS(Table37[Inventory/Smart Sheet count],Table37[ETP Year],"2020",Table37[Status],"RFT",Table37[Audit],1,Table37[Contract'#],"*GT*")</f>
        <v>38161.012816949646</v>
      </c>
      <c r="M14" s="53">
        <f t="shared" si="4"/>
        <v>11669.987183050354</v>
      </c>
      <c r="N14" s="19">
        <f t="shared" si="2"/>
        <v>0.65222466316207162</v>
      </c>
      <c r="P14" s="71" t="s">
        <v>25</v>
      </c>
      <c r="Q14" s="69" t="s">
        <v>26</v>
      </c>
    </row>
    <row r="15" spans="1:18" ht="16.5" hidden="1" customHeight="1" outlineLevel="1" thickBot="1" x14ac:dyDescent="0.3">
      <c r="A15" s="41" t="s">
        <v>27</v>
      </c>
      <c r="B15" s="143"/>
      <c r="C15" s="52">
        <f>COUNTIFS(Table11[ETP Year],2020,Table11[USA Allocation %],"&lt;&gt;",Table11[ETP'#s],1,Table11[Contract Code],"*MX*")</f>
        <v>7</v>
      </c>
      <c r="D15" s="53">
        <f>SUMIFS(Table37['# Trees Allocated to US Series],Table37[ETP Year],2020,Table37[Audit],1,Table37[Contract'#],"*MX*")</f>
        <v>31350</v>
      </c>
      <c r="E15" s="101"/>
      <c r="F15" s="89">
        <f>SUMIFS(Table37['# Planted for Allocated Portion],Table37[ETP Year],2020,Table37[Audit],1,Table37[Contract'#],"*MX*")</f>
        <v>31350</v>
      </c>
      <c r="G15" s="101">
        <f t="shared" si="3"/>
        <v>0</v>
      </c>
      <c r="H15" s="53">
        <f>COUNTIFS(Table11[ETP Year],"2020",Table11[Status],"Out of program",Table11[USA Allocation %],"&lt;&gt;",Table11[ETP'#s],1,Table11[Contract Code],"*MX*")</f>
        <v>3</v>
      </c>
      <c r="I15" s="53">
        <f>SUMIFS(Table37['# Trees Allocated to US Series],Table37[ETP Year],"2020",Table37[Status],"Out of program",Table37[Audit],1,Table37[Contract'#],"*MX*")</f>
        <v>23100</v>
      </c>
      <c r="J15" s="53">
        <f t="shared" si="0"/>
        <v>4</v>
      </c>
      <c r="K15" s="53">
        <f t="shared" si="1"/>
        <v>8250</v>
      </c>
      <c r="L15" s="53">
        <f>SUMIFS(Table37[Inventory/Smart Sheet count],Table37[Status],"Active",Table37[ETP Year],"2020",Table37[Contract'#],"*MX*")+SUMIFS(Table37[Inventory/Smart Sheet count],Table37[ETP Year],"2020",Table37[Status],"RFT",Table37[Audit],1,Table37[Contract'#],"*MX*")</f>
        <v>6061</v>
      </c>
      <c r="M15" s="53">
        <f t="shared" si="4"/>
        <v>2189</v>
      </c>
      <c r="N15" s="19">
        <f t="shared" si="2"/>
        <v>0.19333333333333333</v>
      </c>
      <c r="P15" s="72">
        <f>COUNTIFS(Table11[ETP Year],2020,Table11[USA Allocation %],"&lt;&gt;",Table11[ETP'#s],1)</f>
        <v>126</v>
      </c>
      <c r="Q15" s="70">
        <f>SUMIFS(Table37['# Trees Allocated to US Series],Table37[ETP Year],2020,Table37[Audit],1)</f>
        <v>243023</v>
      </c>
    </row>
    <row r="16" spans="1:18" ht="16.5" hidden="1" customHeight="1" outlineLevel="1" x14ac:dyDescent="0.25">
      <c r="A16" s="41" t="s">
        <v>28</v>
      </c>
      <c r="B16" s="144"/>
      <c r="C16" s="54">
        <f>COUNTIFS(Table11[ETP Year],2020,Table11[USA Allocation %],"&lt;&gt;",Table11[ETP'#s],1,Table11[Contract Code],"*US*")</f>
        <v>61</v>
      </c>
      <c r="D16" s="56">
        <f>SUMIFS(Table37['# Trees Allocated to US Series],Table37[ETP Year],2020,Table37[Audit],1,Table37[Contract'#],"*US*")</f>
        <v>88314</v>
      </c>
      <c r="E16" s="102"/>
      <c r="F16" s="91">
        <f>SUMIFS(Table37['# Planted for Allocated Portion],Table37[ETP Year],2020,Table37[Audit],1,Table37[Contract'#],"*US*")</f>
        <v>88314</v>
      </c>
      <c r="G16" s="102">
        <f t="shared" si="3"/>
        <v>0</v>
      </c>
      <c r="H16" s="56">
        <f>COUNTIFS(Table11[ETP Year],"2020",Table11[Status],"Out of program",Table11[USA Allocation %],"&lt;&gt;",Table11[ETP'#s],1,Table11[Contract Code],"*US*")</f>
        <v>8</v>
      </c>
      <c r="I16" s="56">
        <f>SUMIFS(Table37['# Trees Allocated to US Series],Table37[ETP Year],"2020",Table37[Status],"Out of program",Table37[Audit],1,Table37[Contract'#],"*US*")</f>
        <v>14030</v>
      </c>
      <c r="J16" s="56">
        <f t="shared" si="0"/>
        <v>53</v>
      </c>
      <c r="K16" s="56">
        <f t="shared" si="1"/>
        <v>74284</v>
      </c>
      <c r="L16" s="56">
        <f>SUMIFS(Table37[Inventory/Smart Sheet count],Table37[Status],"Active",Table37[ETP Year],"2020",Table37[Contract'#],"*US*")+SUMIFS(Table37[Inventory/Smart Sheet count],Table37[ETP Year],"2020",Table37[Status],"RFT",Table37[Audit],1,Table37[Contract'#],"*US*")</f>
        <v>60458.280022538427</v>
      </c>
      <c r="M16" s="56">
        <f t="shared" si="4"/>
        <v>13825.719977461573</v>
      </c>
      <c r="N16" s="20">
        <f t="shared" si="2"/>
        <v>0.68458319204812856</v>
      </c>
      <c r="P16" s="7"/>
      <c r="Q16" s="7"/>
    </row>
    <row r="17" spans="1:15" ht="16.5" collapsed="1" thickBot="1" x14ac:dyDescent="0.3">
      <c r="A17" s="74" t="s">
        <v>29</v>
      </c>
      <c r="B17" s="142">
        <v>241916</v>
      </c>
      <c r="C17" s="335">
        <f>COUNTIF(Table11[ETP Year],2022)</f>
        <v>41</v>
      </c>
      <c r="D17" s="58">
        <f>SUMIFS(Table11[USA trees/Allocation/Contracted],Table11[ETP Year],2020)</f>
        <v>243023</v>
      </c>
      <c r="E17" s="100">
        <f>D17-B17</f>
        <v>1107</v>
      </c>
      <c r="F17" s="58">
        <f>SUMIFS(Table11[USA trees/Allocation/Planted],Table11[ETP Year],2020)</f>
        <v>243023</v>
      </c>
      <c r="G17" s="107">
        <f>F17-D17</f>
        <v>0</v>
      </c>
      <c r="H17" s="58">
        <f>COUNTIFS(Table11[ETP Year],"2020",Table11[Status],"Out of program",Table11[USA Allocation %],"&lt;&gt;",Table11[ETP'#s],1)</f>
        <v>24</v>
      </c>
      <c r="I17" s="58">
        <f>SUMIFS(Table11[USA trees/Allocation/Contracted],Table11[ETP Year],2020,Table11[Status],"Out of program")</f>
        <v>58048</v>
      </c>
      <c r="J17" s="59">
        <f t="shared" si="0"/>
        <v>17</v>
      </c>
      <c r="K17" s="59">
        <f t="shared" si="1"/>
        <v>184975</v>
      </c>
      <c r="L17" s="58">
        <f>SUMIFS(Table11['#Trees as of 2024/estimate -US allocation ],Table11[ETP Year],2021,Table11[Status],"Active")</f>
        <v>140327.90031911409</v>
      </c>
      <c r="M17" s="57">
        <f t="shared" si="4"/>
        <v>44647.099680885905</v>
      </c>
      <c r="N17" s="42">
        <f t="shared" si="2"/>
        <v>0.57742641774282311</v>
      </c>
      <c r="O17" s="68"/>
    </row>
    <row r="18" spans="1:15" ht="16.5" hidden="1" outlineLevel="1" thickBot="1" x14ac:dyDescent="0.3">
      <c r="A18" s="41" t="s">
        <v>30</v>
      </c>
      <c r="B18" s="145"/>
      <c r="C18" s="336">
        <f>COUNTIFS(Table11[ETP Year],2021,Table11[USA Allocation %],"&lt;&gt;",Table11[ETP'#s],1,Table11[Contract Code],"*CR*")</f>
        <v>16</v>
      </c>
      <c r="D18" s="53">
        <f>SUMIFS(Table37['# Trees Allocated to US Series],Table37[ETP Year],2021,Table37[Audit],1,Table37[Contract'#],"*CR*")</f>
        <v>22355</v>
      </c>
      <c r="E18" s="89"/>
      <c r="F18" s="89">
        <f>SUMIFS(Table37['# Planted for Allocated Portion],Table37[ETP Year],2021,Table37[Audit],1,Table37[Contract'#],"*CR*")</f>
        <v>22355</v>
      </c>
      <c r="G18" s="89">
        <f t="shared" si="3"/>
        <v>0</v>
      </c>
      <c r="H18" s="89">
        <f>COUNTIFS(Table11[ETP Year],"2021",Table11[Status],"Out of program",Table11[USA Allocation %],"&lt;&gt;",Table11[ETP'#s],1,Table11[Contract Code],"*CR*")</f>
        <v>1</v>
      </c>
      <c r="I18" s="89">
        <f>SUMIFS(Table37['# Trees Allocated to US Series],Table37[ETP Year],"2021",Table37[Status],"Out of program",Table37[Audit],1,Table37[Contract'#],"*CR*")</f>
        <v>1800</v>
      </c>
      <c r="J18" s="89">
        <f t="shared" si="0"/>
        <v>15</v>
      </c>
      <c r="K18" s="89">
        <f t="shared" si="1"/>
        <v>20555</v>
      </c>
      <c r="L18" s="89">
        <f>SUMIFS(Table37[Inventory/Smart Sheet count],Table37[Status],"Active",Table37[ETP Year],"2021",Table37[Contract'#],"*CR*")+SUMIFS(Table37[Inventory/Smart Sheet count],Table37[ETP Year],"2021",Table37[Status],"RFT",Table37[Audit],1,Table37[Contract'#],"*CR*")</f>
        <v>18459.26172839506</v>
      </c>
      <c r="M18" s="89">
        <f t="shared" si="4"/>
        <v>2095.7382716049397</v>
      </c>
      <c r="N18" s="90">
        <f t="shared" si="2"/>
        <v>0.82573302296555851</v>
      </c>
    </row>
    <row r="19" spans="1:15" ht="16.5" hidden="1" outlineLevel="1" thickBot="1" x14ac:dyDescent="0.3">
      <c r="A19" s="41" t="s">
        <v>31</v>
      </c>
      <c r="B19" s="145"/>
      <c r="C19" s="336">
        <f>COUNTIFS(Table11[ETP Year],2021,Table11[USA Allocation %],"&lt;&gt;",Table11[ETP'#s],1,Table11[Contract Code],"*gt*")</f>
        <v>10</v>
      </c>
      <c r="D19" s="53">
        <f>SUMIFS(Table37['# Trees Allocated to US Series],Table37[ETP Year],2021,Table37[Audit],1,Table37[Contract'#],"*GT*")</f>
        <v>57702</v>
      </c>
      <c r="E19" s="89"/>
      <c r="F19" s="89">
        <f>SUMIFS(Table37['# Planted for Allocated Portion],Table37[ETP Year],2021,Table37[Audit],1,Table37[Contract'#],"*GT*")</f>
        <v>57691</v>
      </c>
      <c r="G19" s="89">
        <f>F19-D19</f>
        <v>-11</v>
      </c>
      <c r="H19" s="89">
        <f>COUNTIFS(Table11[ETP Year],"2021",Table11[Status],"Out of program",Table11[USA Allocation %],"&lt;&gt;",Table11[ETP'#s],1,Table11[Contract Code],"*GT*")</f>
        <v>0</v>
      </c>
      <c r="I19" s="89">
        <f>SUMIFS(Table37['# Trees Allocated to US Series],Table37[ETP Year],"2021",Table37[Status],"Out of program",Table37[Audit],1,Table37[Contract'#],"*GT*")</f>
        <v>0</v>
      </c>
      <c r="J19" s="89">
        <f t="shared" si="0"/>
        <v>10</v>
      </c>
      <c r="K19" s="89">
        <f t="shared" si="1"/>
        <v>57702</v>
      </c>
      <c r="L19" s="89">
        <f>SUMIFS(Table37[Inventory/Smart Sheet count],Table37[Status],"Active",Table37[ETP Year],"2021",Table37[Contract'#],"*GT*")+SUMIFS(Table37[Inventory/Smart Sheet count],Table37[ETP Year],"2021",Table37[Status],"RFT",Table37[Audit],1,Table37[Contract'#],"*GT*")</f>
        <v>38002.920852015748</v>
      </c>
      <c r="M19" s="89">
        <f t="shared" si="4"/>
        <v>19699.079147984252</v>
      </c>
      <c r="N19" s="90">
        <f t="shared" si="2"/>
        <v>0.65860664885126596</v>
      </c>
      <c r="O19" s="8"/>
    </row>
    <row r="20" spans="1:15" ht="16.5" hidden="1" outlineLevel="1" thickBot="1" x14ac:dyDescent="0.3">
      <c r="A20" s="41" t="s">
        <v>32</v>
      </c>
      <c r="B20" s="145"/>
      <c r="C20" s="336">
        <f>COUNTIFS(Table11[ETP Year],2021,Table11[USA Allocation %],"&lt;&gt;",Table11[ETP'#s],1,Table11[Contract Code],"*MX*")</f>
        <v>24</v>
      </c>
      <c r="D20" s="53">
        <f>SUMIFS(Table37['# Trees Allocated to US Series],Table37[ETP Year],2021,Table37[Audit],1,Table37[Contract'#],"*MX*")</f>
        <v>67516</v>
      </c>
      <c r="E20" s="89"/>
      <c r="F20" s="89">
        <f>SUMIFS(Table37['# Planted for Allocated Portion],Table37[ETP Year],2021,Table37[Audit],1,Table37[Contract'#],"*MX*")</f>
        <v>67516</v>
      </c>
      <c r="G20" s="89">
        <f t="shared" si="3"/>
        <v>0</v>
      </c>
      <c r="H20" s="89">
        <f>COUNTIFS(Table11[ETP Year],"2021",Table11[Status],"Out of program",Table11[USA Allocation %],"&lt;&gt;",Table11[ETP'#s],1,Table11[Contract Code],"*MX*")</f>
        <v>0</v>
      </c>
      <c r="I20" s="89">
        <f>SUMIFS(Table37['# Trees Allocated to US Series],Table37[ETP Year],"2021",Table37[Status],"Out of program",Table37[Audit],1,Table37[Contract'#],"*MX*")</f>
        <v>0</v>
      </c>
      <c r="J20" s="89">
        <f t="shared" si="0"/>
        <v>24</v>
      </c>
      <c r="K20" s="89">
        <f t="shared" si="1"/>
        <v>67516</v>
      </c>
      <c r="L20" s="89">
        <f>SUMIFS(Table37[Inventory/Smart Sheet count],Table37[Status],"Active",Table37[ETP Year],"2021",Table37[Contract'#],"*MX*")+SUMIFS(Table37[Inventory/Smart Sheet count],Table37[ETP Year],"2021",Table37[Status],"RFT",Table37[Audit],1,Table37[Contract'#],"*MX*")</f>
        <v>50824.227774082407</v>
      </c>
      <c r="M20" s="89">
        <f t="shared" si="4"/>
        <v>16691.772225917593</v>
      </c>
      <c r="N20" s="90">
        <f t="shared" si="2"/>
        <v>0.75277308747678184</v>
      </c>
      <c r="O20" s="8"/>
    </row>
    <row r="21" spans="1:15" ht="15.75" hidden="1" outlineLevel="1" x14ac:dyDescent="0.25">
      <c r="A21" s="41" t="s">
        <v>33</v>
      </c>
      <c r="B21" s="146"/>
      <c r="C21" s="337">
        <f>COUNTIFS(Table11[ETP Year],2021,Table11[USA Allocation %],"&lt;&gt;",Table11[ETP'#s],1,Table11[Contract Code],"*US*")</f>
        <v>39</v>
      </c>
      <c r="D21" s="56">
        <f>SUMIFS(Table37['# Trees Allocated to US Series],Table37[ETP Year],2021,Table37[Audit],1,Table37[Contract'#],"*US*")</f>
        <v>54045</v>
      </c>
      <c r="E21" s="91"/>
      <c r="F21" s="91">
        <f>SUMIFS(Table37['# Planted for Allocated Portion],Table37[ETP Year],2021,Table37[Audit],1,Table37[Contract'#],"*US*")</f>
        <v>54045</v>
      </c>
      <c r="G21" s="91">
        <f t="shared" si="3"/>
        <v>0</v>
      </c>
      <c r="H21" s="91">
        <f>COUNTIFS(Table11[ETP Year],"2021",Table11[Status],"Out of program",Table11[USA Allocation %],"&lt;&gt;",Table11[ETP'#s],1,Table11[Contract Code],"*US*")</f>
        <v>2</v>
      </c>
      <c r="I21" s="91">
        <f>SUMIFS(Table37['# Trees Allocated to US Series],Table37[ETP Year],"2021",Table37[Status],"Out of program",Table37[Audit],1,Table37[Contract'#],"*US*")</f>
        <v>1430</v>
      </c>
      <c r="J21" s="91">
        <f t="shared" si="0"/>
        <v>37</v>
      </c>
      <c r="K21" s="91">
        <f t="shared" si="1"/>
        <v>52615</v>
      </c>
      <c r="L21" s="91">
        <f>SUMIFS(Table37[Inventory/Smart Sheet count],Table37[Status],"Active",Table37[ETP Year],"2021",Table37[Contract'#],"*US*")+SUMIFS(Table37[Inventory/Smart Sheet count],Table37[ETP Year],"2021",Table37[Status],"RFT",Table37[Audit],1,Table37[Contract'#],"*US*")</f>
        <v>41801.730486543762</v>
      </c>
      <c r="M21" s="91">
        <f t="shared" si="4"/>
        <v>10813.269513456238</v>
      </c>
      <c r="N21" s="92">
        <f t="shared" si="2"/>
        <v>0.77346156881383588</v>
      </c>
    </row>
    <row r="22" spans="1:15" ht="16.5" collapsed="1" thickBot="1" x14ac:dyDescent="0.3">
      <c r="A22" s="74" t="s">
        <v>34</v>
      </c>
      <c r="B22" s="147">
        <v>201583</v>
      </c>
      <c r="C22" s="335">
        <f>COUNTIF(Table11[ETP Year],2021)</f>
        <v>89</v>
      </c>
      <c r="D22" s="58">
        <f>SUMIFS(Table11[USA trees/Allocation/Contracted],Table11[ETP Year],2021)</f>
        <v>201618</v>
      </c>
      <c r="E22" s="123">
        <f>D22-B22</f>
        <v>35</v>
      </c>
      <c r="F22" s="58">
        <f>SUMIFS(Table11[USA trees/Allocation/Planted],Table11[ETP Year],2021)</f>
        <v>201607</v>
      </c>
      <c r="G22" s="108">
        <f t="shared" si="3"/>
        <v>-11</v>
      </c>
      <c r="H22" s="93">
        <f>COUNTIFS(Table11[ETP Year],"2021",Table11[Status],"Out of program",Table11[USA Allocation %],"&lt;&gt;",Table11[ETP'#s],1)</f>
        <v>3</v>
      </c>
      <c r="I22" s="58">
        <f>SUMIFS(Table11[USA trees/Allocation/Contracted],Table11[ETP Year],2021,Table11[Status],"Out of program")</f>
        <v>3230</v>
      </c>
      <c r="J22" s="93">
        <f t="shared" si="0"/>
        <v>86</v>
      </c>
      <c r="K22" s="93">
        <f t="shared" si="1"/>
        <v>198388</v>
      </c>
      <c r="L22" s="58">
        <f>SUMIFS(Table11['#Trees as of 2024/estimate -US allocation ],Table11[ETP Year],2022,Table11[Status],"Active")</f>
        <v>81566</v>
      </c>
      <c r="M22" s="94">
        <f t="shared" si="4"/>
        <v>116822</v>
      </c>
      <c r="N22" s="95">
        <f t="shared" si="2"/>
        <v>0.40455713279568295</v>
      </c>
    </row>
    <row r="23" spans="1:15" ht="16.5" hidden="1" outlineLevel="1" thickBot="1" x14ac:dyDescent="0.3">
      <c r="A23" s="41" t="s">
        <v>35</v>
      </c>
      <c r="B23" s="145"/>
      <c r="C23" s="336">
        <f>COUNTIFS(Table11[ETP Year],2022,Table11[USA Allocation %],"&lt;&gt;",Table11[ETP'#s],1,Table11[Contract Code],"*CR*")</f>
        <v>3</v>
      </c>
      <c r="D23" s="53">
        <f>SUMIFS(Table37['# Trees Allocated to US Series],Table37[ETP Year],2022,Table37[Audit],1,Table37[Contract'#],"*CR*")</f>
        <v>5200</v>
      </c>
      <c r="E23" s="89"/>
      <c r="F23" s="89">
        <f>SUMIFS(Table37['# Planted for Allocated Portion],Table37[ETP Year],2022,Table37[Audit],1,Table37[Contract'#],"*CR*")</f>
        <v>5200</v>
      </c>
      <c r="G23" s="109">
        <f t="shared" si="3"/>
        <v>0</v>
      </c>
      <c r="H23" s="89">
        <f>COUNTIFS(Table11[ETP Year],"2022",Table11[Status],"Out of program",Table11[USA Allocation %],"&lt;&gt;",Table11[ETP'#s],1,Table11[Contract Code],"*CR*")</f>
        <v>0</v>
      </c>
      <c r="I23" s="89">
        <f>SUMIFS(Table37['# Trees Allocated to US Series],Table37[ETP Year],"2022",Table37[Status],"Out of program",Table37[Audit],1,Table37[Contract'#],"*CR*")</f>
        <v>0</v>
      </c>
      <c r="J23" s="89">
        <f t="shared" si="0"/>
        <v>3</v>
      </c>
      <c r="K23" s="89">
        <f t="shared" si="1"/>
        <v>5200</v>
      </c>
      <c r="L23" s="89">
        <f>SUMIFS(Table37[Inventory/Smart Sheet count],Table37[Status],"Active",Table37[ETP Year],"2022",Table37[Contract'#],"*CR*")+SUMIFS(Table37[Inventory/Smart Sheet count],Table37[ETP Year],"2022",Table37[Status],"RFT",Table37[Audit],1,Table37[Contract'#],"*CR*")</f>
        <v>5005.6000000000004</v>
      </c>
      <c r="M23" s="89">
        <f t="shared" si="4"/>
        <v>194.39999999999964</v>
      </c>
      <c r="N23" s="90">
        <f t="shared" si="2"/>
        <v>0.96261538461538465</v>
      </c>
    </row>
    <row r="24" spans="1:15" ht="16.5" hidden="1" outlineLevel="1" thickBot="1" x14ac:dyDescent="0.3">
      <c r="A24" s="41" t="s">
        <v>36</v>
      </c>
      <c r="B24" s="145"/>
      <c r="C24" s="336">
        <f>COUNTIFS(Table11[ETP Year],2022,Table11[USA Allocation %],"&lt;&gt;",Table11[ETP'#s],1,Table11[Contract Code],"*gt*")</f>
        <v>3</v>
      </c>
      <c r="D24" s="53">
        <f>SUMIFS(Table37['# Trees Allocated to US Series],Table37[ETP Year],2022,Table37[Audit],1,Table37[Contract'#],"*GT*")</f>
        <v>12060</v>
      </c>
      <c r="E24" s="89"/>
      <c r="F24" s="89">
        <f>SUMIFS(Table37['# Planted for Allocated Portion],Table37[ETP Year],2022,Table37[Audit],1,Table37[Contract'#],"*GT*")</f>
        <v>12060</v>
      </c>
      <c r="G24" s="109">
        <f t="shared" si="3"/>
        <v>0</v>
      </c>
      <c r="H24" s="89">
        <f>COUNTIFS(Table11[ETP Year],"2022",Table11[Status],"Out of program",Table11[USA Allocation %],"&lt;&gt;",Table11[ETP'#s],1,Table11[Contract Code],"*GT*")</f>
        <v>0</v>
      </c>
      <c r="I24" s="89">
        <f>SUMIFS(Table37['# Trees Allocated to US Series],Table37[ETP Year],"2022",Table37[Status],"Out of program",Table37[Audit],1,Table37[Contract'#],"*GT*")</f>
        <v>0</v>
      </c>
      <c r="J24" s="89">
        <f t="shared" si="0"/>
        <v>3</v>
      </c>
      <c r="K24" s="89">
        <f t="shared" si="1"/>
        <v>12060</v>
      </c>
      <c r="L24" s="89">
        <f>SUMIFS(Table37[Inventory/Smart Sheet count],Table37[Status],"Active",Table37[ETP Year],"2022",Table37[Contract'#],"*GT*")+SUMIFS(Table37[Inventory/Smart Sheet count],Table37[ETP Year],"2022",Table37[Status],"RFT",Table37[Audit],1,Table37[Contract'#],"*GT*")</f>
        <v>11468.92</v>
      </c>
      <c r="M24" s="89">
        <f t="shared" si="4"/>
        <v>591.07999999999993</v>
      </c>
      <c r="N24" s="90">
        <f t="shared" si="2"/>
        <v>0.95098839137645108</v>
      </c>
    </row>
    <row r="25" spans="1:15" ht="16.5" hidden="1" outlineLevel="1" thickBot="1" x14ac:dyDescent="0.3">
      <c r="A25" s="41" t="s">
        <v>37</v>
      </c>
      <c r="B25" s="145"/>
      <c r="C25" s="336">
        <f>COUNTIFS(Table11[ETP Year],2022,Table11[USA Allocation %],"&lt;&gt;",Table11[ETP'#s],1,Table11[Contract Code],"*MX*")</f>
        <v>7</v>
      </c>
      <c r="D25" s="53">
        <f>SUMIFS(Table37['# Trees Allocated to US Series],Table37[ETP Year],2022,Table37[Audit],1,Table37[Contract'#],"*MX*")</f>
        <v>25542</v>
      </c>
      <c r="E25" s="89"/>
      <c r="F25" s="89">
        <f>SUMIFS(Table37['# Planted for Allocated Portion],Table37[ETP Year],2022,Table37[Audit],1,Table37[Contract'#],"*MX*")</f>
        <v>21950</v>
      </c>
      <c r="G25" s="109">
        <f t="shared" si="3"/>
        <v>-3592</v>
      </c>
      <c r="H25" s="89">
        <f>COUNTIFS(Table11[ETP Year],"2022",Table11[Status],"Out of program",Table11[USA Allocation %],"&lt;&gt;",Table11[ETP'#s],1,Table11[Contract Code],"*MX*")</f>
        <v>0</v>
      </c>
      <c r="I25" s="89">
        <f>SUMIFS(Table37['# Trees Allocated to US Series],Table37[ETP Year],"2022",Table37[Status],"Out of program",Table37[Audit],1,Table37[Contract'#],"*MX*")</f>
        <v>0</v>
      </c>
      <c r="J25" s="89">
        <f t="shared" si="0"/>
        <v>7</v>
      </c>
      <c r="K25" s="89">
        <f t="shared" si="1"/>
        <v>25542</v>
      </c>
      <c r="L25" s="89">
        <f>SUMIFS(Table37[Inventory/Smart Sheet count],Table37[Status],"Active",Table37[ETP Year],"2022",Table37[Contract'#],"*MX*")+SUMIFS(Table37[Inventory/Smart Sheet count],Table37[ETP Year],"2022",Table37[Status],"RFT",Table37[Audit],1,Table37[Contract'#],"*MX*")</f>
        <v>21950</v>
      </c>
      <c r="M25" s="89">
        <f t="shared" si="4"/>
        <v>3592</v>
      </c>
      <c r="N25" s="90">
        <f t="shared" si="2"/>
        <v>0.85936888262469657</v>
      </c>
    </row>
    <row r="26" spans="1:15" ht="15.75" hidden="1" outlineLevel="1" x14ac:dyDescent="0.25">
      <c r="A26" s="41" t="s">
        <v>38</v>
      </c>
      <c r="B26" s="146"/>
      <c r="C26" s="337">
        <f>COUNTIFS(Table11[ETP Year],2022,Table11[USA Allocation %],"&lt;&gt;",Table11[ETP'#s],1,Table11[Contract Code],"*US*")</f>
        <v>6</v>
      </c>
      <c r="D26" s="56">
        <f>SUMIFS(Table37['# Trees Allocated to US Series],Table37[ETP Year],2022,Table37[Audit],1,Table37[Contract'#],"*US*")</f>
        <v>4180</v>
      </c>
      <c r="E26" s="91"/>
      <c r="F26" s="91">
        <f>SUMIFS(Table37['# Planted for Allocated Portion],Table37[ETP Year],2022,Table37[Audit],1,Table37[Contract'#],"*US*")</f>
        <v>4180</v>
      </c>
      <c r="G26" s="110">
        <f t="shared" si="3"/>
        <v>0</v>
      </c>
      <c r="H26" s="91">
        <f>COUNTIFS(Table11[ETP Year],"2022",Table11[Status],"Out of program",Table11[USA Allocation %],"&lt;&gt;",Table11[ETP'#s],1,Table11[Contract Code],"*US*")</f>
        <v>0</v>
      </c>
      <c r="I26" s="91">
        <f>SUMIFS(Table37['# Trees Allocated to US Series],Table37[ETP Year],"2022",Table37[Status],"Out of program",Table37[Audit],1,Table37[Contract'#],"*US*")</f>
        <v>0</v>
      </c>
      <c r="J26" s="91">
        <f t="shared" si="0"/>
        <v>6</v>
      </c>
      <c r="K26" s="91">
        <f t="shared" si="1"/>
        <v>4180</v>
      </c>
      <c r="L26" s="91">
        <f>SUMIFS(Table37[Inventory/Smart Sheet count],Table37[Status],"Active",Table37[ETP Year],"2022",Table37[Contract'#],"*US*")+SUMIFS(Table37[Inventory/Smart Sheet count],Table37[ETP Year],"2022",Table37[Status],"RFT",Table37[Audit],1,Table37[Contract'#],"*US*")</f>
        <v>4180</v>
      </c>
      <c r="M26" s="91">
        <f t="shared" si="4"/>
        <v>0</v>
      </c>
      <c r="N26" s="92">
        <f t="shared" si="2"/>
        <v>1</v>
      </c>
    </row>
    <row r="27" spans="1:15" ht="16.5" collapsed="1" thickBot="1" x14ac:dyDescent="0.3">
      <c r="A27" s="74" t="s">
        <v>39</v>
      </c>
      <c r="B27" s="147">
        <v>87603</v>
      </c>
      <c r="C27" s="335">
        <f>COUNTIF(Table11[ETP Year],2022)</f>
        <v>41</v>
      </c>
      <c r="D27" s="58">
        <f>SUMIFS(Table11[USA trees/Allocation/Contracted],Table11[ETP Year],2022)</f>
        <v>90552</v>
      </c>
      <c r="E27" s="123">
        <f>D27-B27</f>
        <v>2949</v>
      </c>
      <c r="F27" s="58">
        <f>SUMIFS(Table11[USA trees/Allocation/Planted],Table11[ETP Year],2022)</f>
        <v>84280</v>
      </c>
      <c r="G27" s="108">
        <f t="shared" si="3"/>
        <v>-6272</v>
      </c>
      <c r="H27" s="93">
        <f>COUNTIFS(Table11[ETP Year],"2022",Table11[Status],"Out of program")</f>
        <v>2</v>
      </c>
      <c r="I27" s="58">
        <f>SUMIFS(Table11[USA trees/Allocation/Contracted],Table11[ETP Year],2022,Table11[Status],"Out of program")</f>
        <v>3300</v>
      </c>
      <c r="J27" s="93">
        <f t="shared" si="0"/>
        <v>39</v>
      </c>
      <c r="K27" s="93">
        <f t="shared" si="1"/>
        <v>87252</v>
      </c>
      <c r="L27" s="58">
        <f>SUMIFS(Table11['#Trees as of 2024/estimate -US allocation ],Table11[ETP Year],2022,Table11[Status],"Active")</f>
        <v>81566</v>
      </c>
      <c r="M27" s="94">
        <f t="shared" si="4"/>
        <v>5686</v>
      </c>
      <c r="N27" s="95">
        <f>IFERROR(L27/D27,0)</f>
        <v>0.90076420178460992</v>
      </c>
    </row>
    <row r="28" spans="1:15" ht="16.5" hidden="1" outlineLevel="1" thickBot="1" x14ac:dyDescent="0.3">
      <c r="A28" s="41" t="s">
        <v>40</v>
      </c>
      <c r="B28" s="143"/>
      <c r="C28" s="336">
        <f>COUNTIFS(Table11[ETP Year],2023,Table11[USA Allocation %],"&lt;&gt;",Table11[ETP'#s],1,Table11[Contract Code],"*CR*")</f>
        <v>0</v>
      </c>
      <c r="D28" s="53">
        <f>SUMIFS(Table37['# Trees Allocated to US Series],Table37[ETP Year],2023,Table37[Audit],1,Table37[Contract'#],"*CR*")</f>
        <v>0</v>
      </c>
      <c r="E28" s="104"/>
      <c r="F28" s="53">
        <f>SUMIFS(Table37['# Planted for Allocated Portion],Table37[ETP Year],2023,Table37[Audit],1,Table37[Contract'#],"*CR*")</f>
        <v>0</v>
      </c>
      <c r="G28" s="104">
        <f t="shared" si="3"/>
        <v>0</v>
      </c>
      <c r="H28" s="53">
        <f>COUNTIFS(Table11[ETP Year],"2023",Table11[Status],"Out of program",Table11[USA Allocation %],"&lt;&gt;",Table11[ETP'#s],1,Table11[Contract Code],"*CR*")</f>
        <v>0</v>
      </c>
      <c r="I28" s="53">
        <f>SUMIFS(Table37['# Trees Allocated to US Series],Table37[ETP Year],"2023",Table37[Status],"Out of program",Table37[Audit],1,Table37[Contract'#],"*CR*")</f>
        <v>0</v>
      </c>
      <c r="J28" s="53">
        <f t="shared" si="0"/>
        <v>0</v>
      </c>
      <c r="K28" s="53">
        <f t="shared" si="1"/>
        <v>0</v>
      </c>
      <c r="L28" s="53">
        <f>SUMIFS(Table37[Inventory/Smart Sheet count],Table37[Status],"Active",Table37[ETP Year],"2023",Table37[Contract'#],"*CR*")+SUMIFS(Table37[Inventory/Smart Sheet count],Table37[ETP Year],"2023",Table37[Status],"RFT",Table37[Audit],1,Table37[Contract'#],"*CR*")</f>
        <v>0</v>
      </c>
      <c r="M28" s="53">
        <f t="shared" si="4"/>
        <v>0</v>
      </c>
      <c r="N28" s="19">
        <f t="shared" si="2"/>
        <v>0</v>
      </c>
    </row>
    <row r="29" spans="1:15" ht="16.5" hidden="1" outlineLevel="1" thickBot="1" x14ac:dyDescent="0.3">
      <c r="A29" s="41" t="s">
        <v>41</v>
      </c>
      <c r="B29" s="143"/>
      <c r="C29" s="336">
        <f>COUNTIFS(Table11[ETP Year],2023,Table11[USA Allocation %],"&lt;&gt;",Table11[ETP'#s],1,Table11[Contract Code],"*gt*")</f>
        <v>0</v>
      </c>
      <c r="D29" s="53">
        <f>SUMIFS(Table37['# Trees Allocated to US Series],Table37[ETP Year],2023,Table37[Audit],1,Table37[Contract'#],"*GT*")</f>
        <v>0</v>
      </c>
      <c r="E29" s="104"/>
      <c r="F29" s="53">
        <f>SUMIFS(Table37['# Planted for Allocated Portion],Table37[ETP Year],2023,Table37[Audit],1,Table37[Contract'#],"*GT*")</f>
        <v>0</v>
      </c>
      <c r="G29" s="104">
        <f t="shared" si="3"/>
        <v>0</v>
      </c>
      <c r="H29" s="53">
        <f>COUNTIFS(Table11[ETP Year],"2023",Table11[Status],"Out of program",Table11[USA Allocation %],"&lt;&gt;",Table11[ETP'#s],1,Table11[Contract Code],"*GT*")</f>
        <v>0</v>
      </c>
      <c r="I29" s="53">
        <f>SUMIFS(Table37['# Trees Allocated to US Series],Table37[ETP Year],"2023",Table37[Status],"Out of program",Table37[Audit],1,Table37[Contract'#],"*GT*")</f>
        <v>0</v>
      </c>
      <c r="J29" s="53">
        <f t="shared" si="0"/>
        <v>0</v>
      </c>
      <c r="K29" s="53">
        <f t="shared" si="1"/>
        <v>0</v>
      </c>
      <c r="L29" s="53">
        <f>SUMIFS(Table37[Inventory/Smart Sheet count],Table37[Status],"Active",Table37[ETP Year],"2023",Table37[Contract'#],"*GT*")+SUMIFS(Table37[Inventory/Smart Sheet count],Table37[ETP Year],"2023",Table37[Status],"RFT",Table37[Audit],1,Table37[Contract'#],"*GT*")</f>
        <v>0</v>
      </c>
      <c r="M29" s="53">
        <f t="shared" si="4"/>
        <v>0</v>
      </c>
      <c r="N29" s="19">
        <f t="shared" si="2"/>
        <v>0</v>
      </c>
    </row>
    <row r="30" spans="1:15" ht="16.5" hidden="1" outlineLevel="1" thickBot="1" x14ac:dyDescent="0.3">
      <c r="A30" s="41" t="s">
        <v>42</v>
      </c>
      <c r="B30" s="143"/>
      <c r="C30" s="336">
        <f>COUNTIFS(Table11[ETP Year],2023,Table11[USA Allocation %],"&lt;&gt;",Table11[ETP'#s],1,Table11[Contract Code],"*MX*")</f>
        <v>0</v>
      </c>
      <c r="D30" s="53">
        <f>SUMIFS(Table37['# Trees Allocated to US Series],Table37[ETP Year],2023,Table37[Audit],1,Table37[Contract'#],"*MX*")</f>
        <v>0</v>
      </c>
      <c r="E30" s="104"/>
      <c r="F30" s="53">
        <f>SUMIFS(Table37['# Planted for Allocated Portion],Table37[ETP Year],2023,Table37[Audit],1,Table37[Contract'#],"*MX*")</f>
        <v>0</v>
      </c>
      <c r="G30" s="104">
        <f t="shared" si="3"/>
        <v>0</v>
      </c>
      <c r="H30" s="53">
        <f>COUNTIFS(Table11[ETP Year],"2023",Table11[Status],"Out of program",Table11[USA Allocation %],"&lt;&gt;",Table11[ETP'#s],1,Table11[Contract Code],"*MX*")</f>
        <v>0</v>
      </c>
      <c r="I30" s="53">
        <f>SUMIFS(Table37['# Trees Allocated to US Series],Table37[ETP Year],"2023",Table37[Status],"Out of program",Table37[Audit],1,Table37[Contract'#],"*MX*")</f>
        <v>0</v>
      </c>
      <c r="J30" s="53">
        <f t="shared" si="0"/>
        <v>0</v>
      </c>
      <c r="K30" s="53">
        <f t="shared" si="1"/>
        <v>0</v>
      </c>
      <c r="L30" s="53">
        <f>SUMIFS(Table37[Inventory/Smart Sheet count],Table37[Status],"Active",Table37[ETP Year],"2023",Table37[Contract'#],"*MX*")+SUMIFS(Table37[Inventory/Smart Sheet count],Table37[ETP Year],"2023",Table37[Status],"RFT",Table37[Audit],1,Table37[Contract'#],"*MX*")</f>
        <v>0</v>
      </c>
      <c r="M30" s="53">
        <f t="shared" si="4"/>
        <v>0</v>
      </c>
      <c r="N30" s="19">
        <f t="shared" si="2"/>
        <v>0</v>
      </c>
    </row>
    <row r="31" spans="1:15" ht="15.75" hidden="1" outlineLevel="1" x14ac:dyDescent="0.25">
      <c r="A31" s="41" t="s">
        <v>43</v>
      </c>
      <c r="B31" s="144"/>
      <c r="C31" s="337">
        <f>COUNTIFS(Table11[ETP Year],2023,Table11[USA Allocation %],"&lt;&gt;",Table11[ETP'#s],1,Table11[Contract Code],"*US*")</f>
        <v>5</v>
      </c>
      <c r="D31" s="56">
        <f>SUMIFS(Table37['# Trees Allocated to US Series],Table37[ETP Year],2023,Table37[Audit],1,Table37[Contract'#],"*US*")</f>
        <v>0</v>
      </c>
      <c r="E31" s="105"/>
      <c r="F31" s="56">
        <f>SUMIFS(Table37['# Planted for Allocated Portion],Table37[ETP Year],2023,Table37[Audit],1,Table37[Contract'#],"*US*")</f>
        <v>0</v>
      </c>
      <c r="G31" s="105">
        <f t="shared" si="3"/>
        <v>0</v>
      </c>
      <c r="H31" s="56">
        <f>COUNTIFS(Table11[ETP Year],"2023",Table11[Status],"Out of program",Table11[USA Allocation %],"&lt;&gt;",Table11[ETP'#s],1,Table11[Contract Code],"*US*")</f>
        <v>0</v>
      </c>
      <c r="I31" s="56">
        <f>SUMIFS(Table37['# Trees Allocated to US Series],Table37[ETP Year],"2023",Table37[Status],"Out of program",Table37[Audit],1,Table37[Contract'#],"*US*")</f>
        <v>0</v>
      </c>
      <c r="J31" s="56">
        <f t="shared" si="0"/>
        <v>5</v>
      </c>
      <c r="K31" s="56">
        <f t="shared" si="1"/>
        <v>0</v>
      </c>
      <c r="L31" s="56">
        <f>SUMIFS(Table37[Inventory/Smart Sheet count],Table37[Status],"Active",Table37[ETP Year],"2023",Table37[Contract'#],"*US*")+SUMIFS(Table37[Inventory/Smart Sheet count],Table37[ETP Year],"2023",Table37[Status],"RFT",Table37[Audit],1,Table37[Contract'#],"*US*")</f>
        <v>0</v>
      </c>
      <c r="M31" s="56">
        <f t="shared" si="4"/>
        <v>0</v>
      </c>
      <c r="N31" s="20">
        <f t="shared" si="2"/>
        <v>0</v>
      </c>
    </row>
    <row r="32" spans="1:15" ht="16.5" collapsed="1" thickBot="1" x14ac:dyDescent="0.3">
      <c r="A32" s="74" t="s">
        <v>44</v>
      </c>
      <c r="B32" s="276">
        <v>33285</v>
      </c>
      <c r="C32" s="335">
        <f>COUNTIF(Table11[ETP Year],2023)</f>
        <v>31</v>
      </c>
      <c r="D32" s="58">
        <f>SUMIFS(Table11[USA trees/Allocation/Contracted],Table11[ETP Year],2023)</f>
        <v>33285</v>
      </c>
      <c r="E32" s="106">
        <f>D32-B32</f>
        <v>0</v>
      </c>
      <c r="F32" s="58">
        <f>SUMIFS(Table11[USA trees/Allocation/Planted],Table11[ETP Year],2023)</f>
        <v>31250</v>
      </c>
      <c r="G32" s="111">
        <f t="shared" si="3"/>
        <v>-2035</v>
      </c>
      <c r="H32" s="58">
        <f>COUNTIFS(Table11[ETP Year],"2023",Table11[Status],"Out of program",Table11[USA Allocation %],"&lt;&gt;",Table11[ETP'#s],1)</f>
        <v>0</v>
      </c>
      <c r="I32" s="58">
        <f>SUMIFS(Table11[USA trees/Allocation/Contracted],Table11[ETP Year],2023,Table11[Status],"Out of program")</f>
        <v>0</v>
      </c>
      <c r="J32" s="59">
        <f t="shared" si="0"/>
        <v>31</v>
      </c>
      <c r="K32" s="59">
        <f t="shared" si="1"/>
        <v>33285</v>
      </c>
      <c r="L32" s="58">
        <f>SUMIFS(Table11['#Trees as of 2024/estimate -US allocation ],Table11[ETP Year],2023,Table11[Status],"Active")</f>
        <v>30040</v>
      </c>
      <c r="M32" s="57">
        <f t="shared" si="4"/>
        <v>3245</v>
      </c>
      <c r="N32" s="42">
        <f t="shared" si="2"/>
        <v>0.90250863752441035</v>
      </c>
    </row>
    <row r="33" spans="1:14" ht="16.5" hidden="1" outlineLevel="1" thickBot="1" x14ac:dyDescent="0.3">
      <c r="A33" s="41" t="s">
        <v>45</v>
      </c>
      <c r="B33" s="143"/>
      <c r="C33" s="336">
        <f>COUNTIFS(Table11[ETP Year],"Unallocated",Table11[USA Allocation %],"&lt;&gt;",Table11[ETP'#s],1,Table11[Contract Code],"*CR*")</f>
        <v>0</v>
      </c>
      <c r="D33" s="53">
        <f>SUMIFS(Table37['# Trees Allocated to US Series],Table37[ETP Year],"Unallocated",Table37[Audit],1,Table37[Contract'#],"*CR*")</f>
        <v>0</v>
      </c>
      <c r="E33" s="104"/>
      <c r="F33" s="53">
        <f>SUMIFS(Table37['# Planted for Allocated Portion],Table37[ETP Year],"Unallocated",Table37[Audit],1,Table37[Contract'#],"*CR*")</f>
        <v>0</v>
      </c>
      <c r="G33" s="104">
        <f t="shared" si="3"/>
        <v>0</v>
      </c>
      <c r="H33" s="53">
        <f>COUNTIFS(Table11[ETP Year],"Unallocated",Table11[Status],"Out of program",Table11[USA Allocation %],"&lt;&gt;",Table11[ETP'#s],1,Table11[Contract Code],"*CR*")</f>
        <v>0</v>
      </c>
      <c r="I33" s="53">
        <f>SUMIFS(Table37['# Trees Allocated to US Series],Table37[ETP Year],"Unallocated",Table37[Status],"Out of program",Table37[Audit],1,Table37[Contract'#],"*CR*")</f>
        <v>0</v>
      </c>
      <c r="J33" s="53">
        <f t="shared" si="0"/>
        <v>0</v>
      </c>
      <c r="K33" s="53">
        <f t="shared" si="1"/>
        <v>0</v>
      </c>
      <c r="L33" s="53">
        <f>SUMIFS(Table37[Inventory/Smart Sheet count],Table37[Status],"Active",Table37[ETP Year],"Unallocated",Table37[Contract'#],"*CR*")+SUMIFS(Table37[Inventory/Smart Sheet count],Table37[ETP Year],"Unallocated",Table37[Status],"RFT",Table37[Audit],1,Table37[Contract'#],"*CR*")</f>
        <v>0</v>
      </c>
      <c r="M33" s="53">
        <f t="shared" si="4"/>
        <v>0</v>
      </c>
      <c r="N33" s="19">
        <f t="shared" si="2"/>
        <v>0</v>
      </c>
    </row>
    <row r="34" spans="1:14" ht="16.5" hidden="1" outlineLevel="1" thickBot="1" x14ac:dyDescent="0.3">
      <c r="A34" s="41" t="s">
        <v>46</v>
      </c>
      <c r="B34" s="143"/>
      <c r="C34" s="336">
        <f>COUNTIFS(Table11[ETP Year],"Unallocated",Table11[USA Allocation %],"&lt;&gt;",Table11[ETP'#s],1,Table11[Contract Code],"*gt*")</f>
        <v>0</v>
      </c>
      <c r="D34" s="53">
        <f>SUMIFS(Table37['# Trees Allocated to US Series],Table37[ETP Year],"Unallocated",Table37[Audit],1,Table37[Contract'#],"*GT*")</f>
        <v>0</v>
      </c>
      <c r="E34" s="104"/>
      <c r="F34" s="53">
        <f>SUMIFS(Table37['# Planted for Allocated Portion],Table37[ETP Year],"Unallocated",Table37[Audit],1,Table37[Contract'#],"*GT*")</f>
        <v>0</v>
      </c>
      <c r="G34" s="104">
        <f t="shared" si="3"/>
        <v>0</v>
      </c>
      <c r="H34" s="53">
        <f>COUNTIFS(Table11[ETP Year],"Unallocated",Table11[Status],"Out of program",Table11[USA Allocation %],"&lt;&gt;",Table11[ETP'#s],1,Table11[Contract Code],"*GT*")</f>
        <v>0</v>
      </c>
      <c r="I34" s="53">
        <f>SUMIFS(Table37['# Trees Allocated to US Series],Table37[ETP Year],"Unallocated",Table37[Status],"Out of program",Table37[Audit],1,Table37[Contract'#],"*GT*")</f>
        <v>0</v>
      </c>
      <c r="J34" s="53">
        <f t="shared" si="0"/>
        <v>0</v>
      </c>
      <c r="K34" s="53">
        <f t="shared" si="1"/>
        <v>0</v>
      </c>
      <c r="L34" s="53">
        <f>SUMIFS(Table37[Inventory/Smart Sheet count],Table37[Status],"Active",Table37[ETP Year],"Unallocated",Table37[Contract'#],"*GT*")+SUMIFS(Table37[Inventory/Smart Sheet count],Table37[ETP Year],"Unallocated",Table37[Status],"RFT",Table37[Audit],1,Table37[Contract'#],"*GT*")</f>
        <v>0</v>
      </c>
      <c r="M34" s="53">
        <f t="shared" si="4"/>
        <v>0</v>
      </c>
      <c r="N34" s="19">
        <f t="shared" si="2"/>
        <v>0</v>
      </c>
    </row>
    <row r="35" spans="1:14" ht="16.5" hidden="1" outlineLevel="1" thickBot="1" x14ac:dyDescent="0.3">
      <c r="A35" s="41" t="s">
        <v>47</v>
      </c>
      <c r="B35" s="143"/>
      <c r="C35" s="336">
        <f>COUNTIFS(Table11[ETP Year],"Unallocated",Table11[USA Allocation %],"&lt;&gt;",Table11[ETP'#s],1,Table11[Contract Code],"*MX*")</f>
        <v>0</v>
      </c>
      <c r="D35" s="53">
        <f>SUMIFS(Table37['# Trees Allocated to US Series],Table37[ETP Year],"Unallocated",Table37[Audit],1,Table37[Contract'#],"*MX*")</f>
        <v>0</v>
      </c>
      <c r="E35" s="104"/>
      <c r="F35" s="53">
        <f>SUMIFS(Table37['# Planted for Allocated Portion],Table37[ETP Year],"Unallocated",Table37[Audit],1,Table37[Contract'#],"*MX*")</f>
        <v>0</v>
      </c>
      <c r="G35" s="104">
        <f t="shared" si="3"/>
        <v>0</v>
      </c>
      <c r="H35" s="53">
        <f>COUNTIFS(Table11[ETP Year],"Unallocated",Table11[Status],"Out of program",Table11[USA Allocation %],"&lt;&gt;",Table11[ETP'#s],1,Table11[Contract Code],"*MX*")</f>
        <v>0</v>
      </c>
      <c r="I35" s="53">
        <f>SUMIFS(Table37['# Trees Allocated to US Series],Table37[ETP Year],"Unallocated",Table37[Status],"Out of program",Table37[Audit],1,Table37[Contract'#],"*MX*")</f>
        <v>0</v>
      </c>
      <c r="J35" s="53">
        <f t="shared" si="0"/>
        <v>0</v>
      </c>
      <c r="K35" s="53">
        <f t="shared" si="1"/>
        <v>0</v>
      </c>
      <c r="L35" s="53">
        <f>SUMIFS(Table37[Inventory/Smart Sheet count],Table37[Status],"Active",Table37[ETP Year],"Unallocated",Table37[Contract'#],"*MX*")+SUMIFS(Table37[Inventory/Smart Sheet count],Table37[ETP Year],"Unallocated",Table37[Status],"RFT",Table37[Audit],1,Table37[Contract'#],"*MX*")</f>
        <v>0</v>
      </c>
      <c r="M35" s="53">
        <f t="shared" si="4"/>
        <v>0</v>
      </c>
      <c r="N35" s="19">
        <f t="shared" si="2"/>
        <v>0</v>
      </c>
    </row>
    <row r="36" spans="1:14" ht="15.75" hidden="1" outlineLevel="1" x14ac:dyDescent="0.25">
      <c r="A36" s="41" t="s">
        <v>48</v>
      </c>
      <c r="B36" s="144"/>
      <c r="C36" s="337">
        <f>COUNTIFS(Table11[ETP Year],"Unallocated",Table11[USA Allocation %],"&lt;&gt;",Table11[ETP'#s],1,Table11[Contract Code],"*US*")</f>
        <v>0</v>
      </c>
      <c r="D36" s="56">
        <f>SUMIFS(Table37['# Trees Allocated to US Series],Table37[ETP Year],"Unallocated",Table37[Audit],1,Table37[Contract'#],"*US*")</f>
        <v>0</v>
      </c>
      <c r="E36" s="105"/>
      <c r="F36" s="56">
        <f>SUMIFS(Table37['# Planted for Allocated Portion],Table37[ETP Year],"Unallocated",Table37[Audit],1,Table37[Contract'#],"*US*")</f>
        <v>0</v>
      </c>
      <c r="G36" s="105">
        <f t="shared" si="3"/>
        <v>0</v>
      </c>
      <c r="H36" s="56">
        <f>COUNTIFS(Table11[ETP Year],"Unallocated",Table11[Status],"Out of program",Table11[USA Allocation %],"&lt;&gt;",Table11[ETP'#s],1,Table11[Contract Code],"*US*")</f>
        <v>0</v>
      </c>
      <c r="I36" s="56">
        <f>SUMIFS(Table37['# Trees Allocated to US Series],Table37[ETP Year],"Unallocated",Table37[Status],"Out of program",Table37[Audit],1,Table37[Contract'#],"*US*")</f>
        <v>0</v>
      </c>
      <c r="J36" s="56">
        <f t="shared" si="0"/>
        <v>0</v>
      </c>
      <c r="K36" s="56">
        <f t="shared" si="1"/>
        <v>0</v>
      </c>
      <c r="L36" s="56">
        <f>SUMIFS(Table37[Inventory/Smart Sheet count],Table37[Status],"Active",Table37[ETP Year],"Unallocated",Table37[Contract'#],"*US*")+SUMIFS(Table37[Inventory/Smart Sheet count],Table37[ETP Year],"Unallocated",Table37[Status],"RFT",Table37[Audit],1,Table37[Contract'#],"*US*")</f>
        <v>0</v>
      </c>
      <c r="M36" s="56">
        <f t="shared" si="4"/>
        <v>0</v>
      </c>
      <c r="N36" s="20">
        <f t="shared" si="2"/>
        <v>0</v>
      </c>
    </row>
    <row r="37" spans="1:14" ht="16.5" collapsed="1" thickBot="1" x14ac:dyDescent="0.3">
      <c r="A37" s="74" t="s">
        <v>49</v>
      </c>
      <c r="B37" s="142">
        <v>78592</v>
      </c>
      <c r="C37" s="335">
        <f>COUNTIFS(Table11[ETP Year],2024,Table11[USA Allocation %],"&lt;&gt;",Table11[ETP'#s],1)</f>
        <v>2</v>
      </c>
      <c r="D37" s="58">
        <f>SUMIFS(Table11[USA trees/Allocation/Contracted],Table11[ETP Year],2024)</f>
        <v>14575</v>
      </c>
      <c r="E37" s="106">
        <f>D37-B37</f>
        <v>-64017</v>
      </c>
      <c r="F37" s="93">
        <f>SUMIFS(Table11['#Planted],Table11[ETP Year],2024)</f>
        <v>11086</v>
      </c>
      <c r="G37" s="111">
        <f t="shared" ref="G37" si="5">F37-D37</f>
        <v>-3489</v>
      </c>
      <c r="H37" s="58">
        <f>COUNTIFS(Table11[ETP Year],"2024",Table11[Status],"Out of program",Table11[USA Allocation %],"&lt;&gt;",Table11[ETP'#s],1)</f>
        <v>0</v>
      </c>
      <c r="I37" s="58">
        <f>SUMIFS(Table11[USA trees/Allocation/Contracted],Table11[ETP Year],2024,Table11[Status],"Out of program")</f>
        <v>0</v>
      </c>
      <c r="J37" s="59">
        <f t="shared" ref="J37" si="6">C37-H37</f>
        <v>2</v>
      </c>
      <c r="K37" s="59">
        <f t="shared" ref="K37" si="7">D37-I37</f>
        <v>14575</v>
      </c>
      <c r="L37" s="58">
        <f>SUMIFS(Table11['#Trees as of 2024/estimate -US allocation ],Table11[ETP Year],2024,Table11[Status],"Active")</f>
        <v>9590</v>
      </c>
      <c r="M37" s="57">
        <f t="shared" ref="M37" si="8">K37-L37</f>
        <v>4985</v>
      </c>
      <c r="N37" s="42">
        <f t="shared" ref="N37" si="9">IFERROR(L37/D37,0)</f>
        <v>0.65797598627787302</v>
      </c>
    </row>
    <row r="38" spans="1:14" ht="16.5" thickBot="1" x14ac:dyDescent="0.3">
      <c r="A38" s="74" t="s">
        <v>50</v>
      </c>
      <c r="B38" s="142">
        <v>0</v>
      </c>
      <c r="C38" s="335">
        <f>COUNTIFS(Table11[ETP Year],"Unallocated",Table11[USA Allocation %],"&lt;&gt;",Table11[ETP'#s],1)</f>
        <v>0</v>
      </c>
      <c r="D38" s="58">
        <f>SUMIFS(Table37['# Trees Allocated to US Series],Table37[ETP Year],"Unallocated",Table37[Audit],1)</f>
        <v>0</v>
      </c>
      <c r="E38" s="106">
        <v>0</v>
      </c>
      <c r="F38" s="93"/>
      <c r="G38" s="111">
        <f t="shared" si="3"/>
        <v>0</v>
      </c>
      <c r="H38" s="58">
        <f>COUNTIFS(Table11[ETP Year],"2024",Table11[Status],"Out of program",Table11[USA Allocation %],"&lt;&gt;",Table11[ETP'#s],1)</f>
        <v>0</v>
      </c>
      <c r="I38" s="369"/>
      <c r="J38" s="59">
        <f t="shared" si="0"/>
        <v>0</v>
      </c>
      <c r="K38" s="59">
        <f t="shared" si="1"/>
        <v>0</v>
      </c>
      <c r="L38" s="58">
        <f>SUMIFS(Table37[Inventory/Smart Sheet count],Table37[Status],"Active",Table37[ETP Year],"Unallocated",Table37[Audit],1)+SUMIFS(Table37[Inventory/Smart Sheet count],Table37[ETP Year],"Unallocated",Table37[Status],"RFT",Table37[Audit],1)</f>
        <v>0</v>
      </c>
      <c r="M38" s="57">
        <f t="shared" si="4"/>
        <v>0</v>
      </c>
      <c r="N38" s="42">
        <f t="shared" si="2"/>
        <v>0</v>
      </c>
    </row>
    <row r="39" spans="1:14" s="65" customFormat="1" ht="16.5" thickBot="1" x14ac:dyDescent="0.3">
      <c r="A39" s="75" t="s">
        <v>51</v>
      </c>
      <c r="B39" s="63">
        <f>SUM(B7:B38)</f>
        <v>719272</v>
      </c>
      <c r="C39" s="339">
        <f>SUM(C7+C12+C17+C22+C27+C32+C38)</f>
        <v>202</v>
      </c>
      <c r="D39" s="62">
        <f t="shared" ref="D39:L39" si="10">SUM(D7+D12+D17+D22+D27+D32+D38)</f>
        <v>644141.56787999999</v>
      </c>
      <c r="E39" s="112">
        <f>D39-B39</f>
        <v>-75130.432120000012</v>
      </c>
      <c r="F39" s="62">
        <f t="shared" si="10"/>
        <v>634823.56787999999</v>
      </c>
      <c r="G39" s="112">
        <f t="shared" si="3"/>
        <v>-9318</v>
      </c>
      <c r="H39" s="62">
        <f t="shared" si="10"/>
        <v>81</v>
      </c>
      <c r="I39" s="62">
        <f t="shared" si="10"/>
        <v>97186.4</v>
      </c>
      <c r="J39" s="62">
        <f t="shared" si="10"/>
        <v>121</v>
      </c>
      <c r="K39" s="62">
        <f>SUM(K7+K12+K17+K22+K27+K32+K38)</f>
        <v>546955.16788000008</v>
      </c>
      <c r="L39" s="62">
        <f t="shared" si="10"/>
        <v>351074.63851525052</v>
      </c>
      <c r="M39" s="63">
        <f t="shared" si="4"/>
        <v>195880.52936474956</v>
      </c>
      <c r="N39" s="64">
        <f t="shared" si="2"/>
        <v>0.54502714313362521</v>
      </c>
    </row>
    <row r="40" spans="1:14" ht="16.5" thickTop="1" x14ac:dyDescent="0.25">
      <c r="A40" s="26"/>
      <c r="B40" s="50"/>
      <c r="C40" s="50"/>
      <c r="D40" s="50"/>
      <c r="E40" s="50"/>
      <c r="F40" s="50"/>
      <c r="G40" s="50"/>
      <c r="H40" s="50"/>
      <c r="I40" s="50"/>
      <c r="J40" s="50"/>
      <c r="K40" s="50"/>
      <c r="L40" s="50"/>
      <c r="M40" s="50"/>
      <c r="N40" s="21"/>
    </row>
    <row r="41" spans="1:14" ht="48" thickBot="1" x14ac:dyDescent="0.3">
      <c r="A41" s="48" t="s">
        <v>52</v>
      </c>
      <c r="B41" s="51" t="s">
        <v>2</v>
      </c>
      <c r="C41" s="51" t="s">
        <v>3</v>
      </c>
      <c r="D41" s="51" t="s">
        <v>4</v>
      </c>
      <c r="E41" s="51" t="s">
        <v>5</v>
      </c>
      <c r="F41" s="51" t="s">
        <v>6</v>
      </c>
      <c r="G41" s="51" t="s">
        <v>53</v>
      </c>
      <c r="H41" s="51" t="s">
        <v>8</v>
      </c>
      <c r="I41" s="51" t="s">
        <v>9</v>
      </c>
      <c r="J41" s="51" t="s">
        <v>10</v>
      </c>
      <c r="K41" s="51" t="s">
        <v>11</v>
      </c>
      <c r="L41" s="51" t="s">
        <v>12</v>
      </c>
      <c r="M41" s="51" t="s">
        <v>13</v>
      </c>
      <c r="N41" s="48" t="s">
        <v>14</v>
      </c>
    </row>
    <row r="42" spans="1:14" ht="16.5" hidden="1" outlineLevel="1" thickBot="1" x14ac:dyDescent="0.3">
      <c r="A42" s="41" t="s">
        <v>54</v>
      </c>
      <c r="B42" s="53"/>
      <c r="C42" s="52">
        <f>COUNTIFS(Table11[ETP Year],2015,Table11[Canada Allocation %],"&lt;&gt;",Table11[ETP'#s],1,Table11[Contract Code],"*CR*")</f>
        <v>12</v>
      </c>
      <c r="D42" s="53">
        <f>SUMIFS(Table378['# Trees Allocated to US Series],Table378[ETP Year],2015,Table378[Audit],1,Table378[Contract'#],"*CR*")</f>
        <v>7925</v>
      </c>
      <c r="E42" s="53"/>
      <c r="F42" s="53">
        <f>SUMIFS(Table378['# Planted for Allocated Portion],Table378[ETP Year],2015,Table378[Audit],1,Table378[Contract'#],"*CR*")</f>
        <v>7925</v>
      </c>
      <c r="G42" s="53">
        <f>D42-F42</f>
        <v>0</v>
      </c>
      <c r="H42" s="53">
        <f>COUNTIFS(Table11[ETP Year],"2015",Table11[Status],"Out of program",Table11[Canada Allocation %],"&lt;&gt;",Table11[ETP'#s],1,Table11[Contract Code],"*CR*")</f>
        <v>12</v>
      </c>
      <c r="I42" s="53">
        <f>SUMIFS(Table378['# Trees Allocated to US Series],Table378[ETP Year],"2015",Table378[Status],"Out of program",Table378[Audit],1,Table378[Contract'#],"*CR*")</f>
        <v>7925</v>
      </c>
      <c r="J42" s="53">
        <f t="shared" ref="J42:J55" si="11">C42-H42</f>
        <v>0</v>
      </c>
      <c r="K42" s="53">
        <f t="shared" ref="K42:K55" si="12">D42-I42</f>
        <v>0</v>
      </c>
      <c r="L42" s="53">
        <f>SUMIFS(Table378[Inventory/Smart Sheet count],Table378[Status],"Active",Table378[ETP Year],"2015",Table378[Contract'#],"*CR*")+SUMIFS(Table378[Inventory/Smart Sheet count],Table378[ETP Year],"2015",Table378[Status],"RFT",Table378[Audit],1,Table378[Contract'#],"*CR*")</f>
        <v>0</v>
      </c>
      <c r="M42" s="53">
        <f>K42-L42</f>
        <v>0</v>
      </c>
      <c r="N42" s="19">
        <f t="shared" ref="N42:N56" si="13">IFERROR(L42/D42,0)</f>
        <v>0</v>
      </c>
    </row>
    <row r="43" spans="1:14" ht="15.75" hidden="1" outlineLevel="1" x14ac:dyDescent="0.25">
      <c r="A43" s="41" t="s">
        <v>55</v>
      </c>
      <c r="B43" s="56"/>
      <c r="C43" s="54">
        <f>COUNTIFS(Table11[ETP Year],2015,Table11[Canada Allocation %],"&lt;&gt;",Table11[ETP'#s],1,Table11[Contract Code],"*US*")</f>
        <v>13</v>
      </c>
      <c r="D43" s="56">
        <f>SUMIFS(Table378['# Trees Allocated to US Series],Table378[ETP Year],2015,Table378[Audit],1,Table378[Contract'#],"*US*")</f>
        <v>17705</v>
      </c>
      <c r="E43" s="56"/>
      <c r="F43" s="56">
        <f>SUMIFS(Table378['# Planted for Allocated Portion],Table378[ETP Year],2015,Table378[Audit],1,Table378[Contract'#],"*US*")</f>
        <v>17705</v>
      </c>
      <c r="G43" s="56">
        <f t="shared" ref="G43:G56" si="14">D43-F43</f>
        <v>0</v>
      </c>
      <c r="H43" s="56">
        <f>COUNTIFS(Table11[ETP Year],"2015",Table11[Status],"Out of program",Table11[Canada Allocation %],"&lt;&gt;",Table11[ETP'#s],1,Table11[Contract Code],"*US*")</f>
        <v>6</v>
      </c>
      <c r="I43" s="56">
        <f>SUMIFS(Table378['# Trees Allocated to US Series],Table378[ETP Year],"2015",Table378[Status],"Out of program",Table378[Audit],1,Table378[Contract'#],"*US*")</f>
        <v>6700</v>
      </c>
      <c r="J43" s="56">
        <f t="shared" si="11"/>
        <v>7</v>
      </c>
      <c r="K43" s="56">
        <f t="shared" si="12"/>
        <v>11005</v>
      </c>
      <c r="L43" s="56">
        <f>SUMIFS(Table378[Inventory/Smart Sheet count],Table378[Status],"Active",Table378[ETP Year],"2015",Table378[Contract'#],"*US*")+SUMIFS(Table378[Inventory/Smart Sheet count],Table378[ETP Year],"2015",Table378[Status],"RFT",Table378[Audit],1,Table378[Contract'#],"*US*")</f>
        <v>5204.9951123072833</v>
      </c>
      <c r="M43" s="56">
        <f t="shared" ref="M43:M56" si="15">K43-L43</f>
        <v>5800.0048876927167</v>
      </c>
      <c r="N43" s="20">
        <f t="shared" si="13"/>
        <v>0.2939844740077539</v>
      </c>
    </row>
    <row r="44" spans="1:14" ht="16.5" collapsed="1" thickBot="1" x14ac:dyDescent="0.3">
      <c r="A44" s="74" t="s">
        <v>56</v>
      </c>
      <c r="B44" s="58">
        <v>45650</v>
      </c>
      <c r="C44" s="335">
        <v>25</v>
      </c>
      <c r="D44" s="58">
        <f>SUMIFS(Table11[Total Can Allocation],Table11[ETP Year],2015)</f>
        <v>25630</v>
      </c>
      <c r="E44" s="100">
        <f>D44-B44</f>
        <v>-20020</v>
      </c>
      <c r="F44" s="58">
        <f>SUMIFS(Table11[Total Can Allocation],Table11[ETP Year],2015)</f>
        <v>25630</v>
      </c>
      <c r="G44" s="57">
        <f t="shared" si="14"/>
        <v>0</v>
      </c>
      <c r="H44" s="58">
        <f>COUNTIFS(Table11[ETP Year],"2015",Table11[Status],"Out of program",Table11[Canada Allocation %],"&lt;&gt;")</f>
        <v>18</v>
      </c>
      <c r="I44" s="58">
        <f>SUMIFS(Table11[Total Can Allocation],Table11[ETP Year],2015,Table11[Status],"Out of Program")</f>
        <v>14625</v>
      </c>
      <c r="J44" s="59">
        <f t="shared" si="11"/>
        <v>7</v>
      </c>
      <c r="K44" s="59">
        <f>D44-I44</f>
        <v>11005</v>
      </c>
      <c r="L44" s="58">
        <f>SUMIFS(Table11[AL+AM],Table11[Status],"Active",Table11[ETP Year],2015)</f>
        <v>4746.8132941254653</v>
      </c>
      <c r="M44" s="57">
        <f t="shared" si="15"/>
        <v>6258.1867058745347</v>
      </c>
      <c r="N44" s="42">
        <f t="shared" si="13"/>
        <v>0.18520535677430611</v>
      </c>
    </row>
    <row r="45" spans="1:14" ht="16.5" hidden="1" outlineLevel="1" thickBot="1" x14ac:dyDescent="0.3">
      <c r="A45" s="41" t="s">
        <v>15</v>
      </c>
      <c r="B45" s="53"/>
      <c r="C45" s="336"/>
      <c r="D45" s="53">
        <f>SUMIFS(Table378['# Trees Allocated to US Series],Table378[ETP Year],2016,Table378[Audit],1,Table378[Contract'#],"*CR*")</f>
        <v>22397</v>
      </c>
      <c r="E45" s="101"/>
      <c r="F45" s="53">
        <f>SUMIFS(Table378['# Planted for Allocated Portion],Table378[ETP Year],2016,Table378[Audit],1,Table378[Contract'#],"*CR*")</f>
        <v>22397</v>
      </c>
      <c r="G45" s="53">
        <f t="shared" si="14"/>
        <v>0</v>
      </c>
      <c r="H45" s="53">
        <f>COUNTIFS(Table11[ETP Year],2016,Table11[Status],"Out of program",Table11[Canada Allocation %],"&lt;&gt;",Table11[ETP'#s],1,Table11[Contract Code],"*CR*")</f>
        <v>23</v>
      </c>
      <c r="I45" s="53">
        <f>SUMIFS(Table378['# Trees Allocated to US Series],Table378[ETP Year],2016,Table378[Status],"Out of program",Table378[Audit],1,Table378[Contract'#],"*CR*")</f>
        <v>20475</v>
      </c>
      <c r="J45" s="53">
        <f t="shared" si="11"/>
        <v>-23</v>
      </c>
      <c r="K45" s="53">
        <f t="shared" si="12"/>
        <v>1922</v>
      </c>
      <c r="L45" s="53">
        <f>SUMIFS(Table378[Inventory/Smart Sheet count],Table378[Status],"Active",Table378[ETP Year],2016,Table378[Contract'#],"*CR*")+SUMIFS(Table378[Inventory/Smart Sheet count],Table378[ETP Year],2016,Table378[Status],"RFT",Table378[Audit],1,Table378[Contract'#],"*CR*")</f>
        <v>1331.8400000000001</v>
      </c>
      <c r="M45" s="53">
        <f t="shared" si="15"/>
        <v>590.15999999999985</v>
      </c>
      <c r="N45" s="19">
        <f t="shared" si="13"/>
        <v>5.9465106933964375E-2</v>
      </c>
    </row>
    <row r="46" spans="1:14" ht="15.75" hidden="1" outlineLevel="1" x14ac:dyDescent="0.25">
      <c r="A46" s="41" t="s">
        <v>16</v>
      </c>
      <c r="B46" s="56"/>
      <c r="C46" s="337"/>
      <c r="D46" s="56">
        <f>SUMIFS(Table378['# Trees Allocated to US Series],Table378[ETP Year],2016,Table378[Audit],1,Table378[Contract'#],"*US*")</f>
        <v>13491.8788</v>
      </c>
      <c r="E46" s="102"/>
      <c r="F46" s="56">
        <f>SUMIFS(Table378['# Planted for Allocated Portion],Table378[ETP Year],2016,Table378[Audit],1,Table378[Contract'#],"*US*")</f>
        <v>13491.8788</v>
      </c>
      <c r="G46" s="56">
        <f t="shared" si="14"/>
        <v>0</v>
      </c>
      <c r="H46" s="56">
        <f>COUNTIFS(Table11[ETP Year],2016,Table11[Status],"Out of program",Table11[Canada Allocation %],"&lt;&gt;",Table11[ETP'#s],1,Table11[Contract Code],"*US*")</f>
        <v>8</v>
      </c>
      <c r="I46" s="56">
        <f>SUMIFS(Table378['# Trees Allocated to US Series],Table378[ETP Year],2016,Table378[Status],"Out of program",Table378[Audit],1,Table378[Contract'#],"*US*")</f>
        <v>7180</v>
      </c>
      <c r="J46" s="56">
        <f t="shared" si="11"/>
        <v>-8</v>
      </c>
      <c r="K46" s="56">
        <f t="shared" si="12"/>
        <v>6311.8788000000004</v>
      </c>
      <c r="L46" s="56">
        <f>SUMIFS(Table378[Inventory/Smart Sheet count],Table378[Status],"Active",Table378[ETP Year],2016,Table378[Contract'#],"*US*")+SUMIFS(Table378[Inventory/Smart Sheet count],Table378[ETP Year],2016,Table378[Status],"RFT",Table378[Audit],1,Table378[Contract'#],"*US*")</f>
        <v>4265.1859540702408</v>
      </c>
      <c r="M46" s="56">
        <f t="shared" si="15"/>
        <v>2046.6928459297596</v>
      </c>
      <c r="N46" s="20">
        <f t="shared" si="13"/>
        <v>0.31612987466728804</v>
      </c>
    </row>
    <row r="47" spans="1:14" ht="16.5" collapsed="1" thickBot="1" x14ac:dyDescent="0.3">
      <c r="A47" s="74" t="s">
        <v>17</v>
      </c>
      <c r="B47" s="58">
        <v>35640</v>
      </c>
      <c r="C47" s="335"/>
      <c r="D47" s="58">
        <f>SUMIFS(Table11[Total Can Allocation],Table11[ETP Year],2016)</f>
        <v>51052.350000000006</v>
      </c>
      <c r="E47" s="100">
        <f>D47-B47</f>
        <v>15412.350000000006</v>
      </c>
      <c r="F47" s="58">
        <f>SUMIFS(Table11[Total Can Allocation],Table11[ETP Year],2016)</f>
        <v>51052.350000000006</v>
      </c>
      <c r="G47" s="57">
        <f t="shared" si="14"/>
        <v>0</v>
      </c>
      <c r="H47" s="58">
        <f>COUNTIFS(Table11[ETP Year],"2016",Table11[Status],"Out of program",Table11[Canada Allocation %],"&lt;&gt;")</f>
        <v>31</v>
      </c>
      <c r="I47" s="58">
        <f>SUMIFS(Table11[Total Can Allocation],Table11[ETP Year],2016,Table11[Status],"Out of Program")</f>
        <v>34022.01</v>
      </c>
      <c r="J47" s="59">
        <f t="shared" si="11"/>
        <v>-31</v>
      </c>
      <c r="K47" s="59">
        <f t="shared" si="12"/>
        <v>17030.340000000004</v>
      </c>
      <c r="L47" s="58">
        <f>SUMIFS(Table11[AL+AM],Table11[Status],"Active",Table11[ETP Year],2016)</f>
        <v>8875.1684523605873</v>
      </c>
      <c r="M47" s="57">
        <f t="shared" si="15"/>
        <v>8155.1715476394165</v>
      </c>
      <c r="N47" s="42">
        <f t="shared" si="13"/>
        <v>0.17384446460075953</v>
      </c>
    </row>
    <row r="48" spans="1:14" ht="16.5" hidden="1" outlineLevel="1" thickBot="1" x14ac:dyDescent="0.3">
      <c r="A48" s="41" t="s">
        <v>57</v>
      </c>
      <c r="B48" s="53"/>
      <c r="C48" s="336"/>
      <c r="D48" s="53">
        <f>SUMIFS(Table3789['# Trees Allocated to US Series],Table3789[ETP Year],2016,Table3789[Planting Year],2018,Table3789[Audit],1,Table3789[Contract'#],"*CR*")+SUMIFS(Table3789['# Trees Allocated to US Series],Table3789[ETP Year],2017,Table3789[Planting Year],2019,Table3789[Audit],1,Table3789[Contract'#],"*CR*")</f>
        <v>6830</v>
      </c>
      <c r="E48" s="101"/>
      <c r="F48" s="53">
        <f>SUMIFS(Table3789['# Planted for Allocated Portion],Table3789[ETP Year],2016,Table3789[Planting Year],2018,Table3789[Audit],1,Table3789[Contract'#],"*CR*")+SUMIFS(Table3789['# Planted for Allocated Portion],Table3789[ETP Year],2017,Table3789[Planting Year],2019,Table3789[Audit],1,Table3789[Contract'#],"*CR*")</f>
        <v>6830</v>
      </c>
      <c r="G48" s="53">
        <f t="shared" si="14"/>
        <v>0</v>
      </c>
      <c r="H48" s="53">
        <f>COUNTIFS(Table11[ETP Year],"2016",Table11[Planting Year],"2018",Table11[Status],"Out of program",Table11[Canada Allocation %],"&lt;&gt;",Table11[ETP'#s],1,Table11[Contract Code],"*CR*")+COUNTIFS(Table11[ETP Year],"2017",Table11[Planting Year],"2019",Table11[Status],"Out of program",Table11[Canada Allocation %],"&lt;&gt;",Table11[ETP'#s],1,Table11[Contract Code],"*CR*")</f>
        <v>9</v>
      </c>
      <c r="I48" s="53">
        <f>SUMIFS(Table3789['# Trees Allocated to US Series],Table3789[ETP Year],"2016",Table3789[Planting Year],2018,Table3789[Status],"Out of Program",Table3789[Audit],1,Table3789[Contract'#],"*CR*")+SUMIFS(Table3789['# Trees Allocated to US Series],Table3789[ETP Year],"2017",Table3789[Planting Year],2019,Table3789[Status],"Out of Program",Table3789[Audit],1,Table3789[Contract'#],"*CR*")</f>
        <v>4887</v>
      </c>
      <c r="J48" s="60">
        <f t="shared" si="11"/>
        <v>-9</v>
      </c>
      <c r="K48" s="60">
        <f t="shared" si="12"/>
        <v>1943</v>
      </c>
      <c r="L48" s="53">
        <f>(SUMIFS(Table3789[Inventory/Smart Sheet count],Table3789[Status],"Active",Table3789[ETP Year],"2016",Table3789[Planting Year],"2018",Table3789[Audit],1,Table3789[Contract'#],"*CR*")+SUMIFS(Table3789[Inventory/Smart Sheet count],Table3789[ETP Year],"2016",Table3789[Planting Year],"2018",Table3789[Status],"RFT",Table3789[Audit],1,Table3789[Contract'#],"*CR*"))+(SUMIFS(Table3789[Inventory/Smart Sheet count],Table3789[Status],"Active",Table3789[ETP Year],"2017",Table3789[Planting Year],"2019",Table3789[Audit],1,Table3789[Contract'#],"*CR*")+SUMIFS(Table3789[Total Trees as of 12/31/24],Table3789[ETP Year],"2017",Table3789[Planting Year],"2019",Table3789[Status],"RFT",Table3789[Audit],1,Table3789[Contract'#],"*CR*"))</f>
        <v>1121.4000000000001</v>
      </c>
      <c r="M48" s="53">
        <f t="shared" si="15"/>
        <v>821.59999999999991</v>
      </c>
      <c r="N48" s="19">
        <f t="shared" si="13"/>
        <v>0.1641874084919473</v>
      </c>
    </row>
    <row r="49" spans="1:14" ht="15.75" hidden="1" outlineLevel="1" x14ac:dyDescent="0.25">
      <c r="A49" s="41" t="s">
        <v>58</v>
      </c>
      <c r="B49" s="56"/>
      <c r="C49" s="337"/>
      <c r="D49" s="56">
        <f>SUMIFS(Table3789['# Trees Allocated to US Series],Table3789[ETP Year],2016,Table3789[Planting Year],2018,Table3789[Audit],1,Table3789[Contract'#],"*US*")+SUMIFS(Table3789['# Trees Allocated to US Series],Table3789[ETP Year],2017,Table3789[Planting Year],2019,Table3789[Audit],1,Table3789[Contract'#],"*US*")</f>
        <v>23951.13</v>
      </c>
      <c r="E49" s="102"/>
      <c r="F49" s="56">
        <f>SUMIFS(Table3789['# Planted for Allocated Portion],Table3789[ETP Year],2016,Table3789[Planting Year],2018,Table3789[Audit],1,Table3789[Contract'#],"*US*")+SUMIFS(Table3789['# Planted for Allocated Portion],Table3789[ETP Year],2017,Table3789[Planting Year],2019,Table3789[Audit],1,Table3789[Contract'#],"*US*")</f>
        <v>23951.13</v>
      </c>
      <c r="G49" s="56">
        <f t="shared" si="14"/>
        <v>0</v>
      </c>
      <c r="H49" s="56">
        <f>COUNTIFS(Table11[ETP Year],"2016",Table11[Planting Year],"2018",Table11[Status],"Out of program",Table11[Canada Allocation %],"&lt;&gt;",Table11[ETP'#s],1,Table11[Contract Code],"*US*")+COUNTIFS(Table11[ETP Year],"2017",Table11[Planting Year],"2019",Table11[Status],"Out of program",Table11[Canada Allocation %],"&lt;&gt;",Table11[ETP'#s],1,Table11[Contract Code],"*US*")</f>
        <v>2</v>
      </c>
      <c r="I49" s="56">
        <f>SUMIFS(Table3789['# Trees Allocated to US Series],Table3789[ETP Year],"2016",Table3789[Planting Year],2018,Table3789[Status],"Out of Program",Table3789[Audit],1,Table3789[Contract'#],"*US*")+SUMIFS(Table3789['# Trees Allocated to US Series],Table3789[ETP Year],"2017",Table3789[Planting Year],2019,Table3789[Status],"Out of Program",Table3789[Audit],1,Table3789[Contract'#],"*US*")</f>
        <v>1457</v>
      </c>
      <c r="J49" s="61">
        <f t="shared" si="11"/>
        <v>-2</v>
      </c>
      <c r="K49" s="61">
        <f t="shared" si="12"/>
        <v>22494.13</v>
      </c>
      <c r="L49" s="56">
        <f>(SUMIFS(Table3789[Inventory/Smart Sheet count],Table3789[Status],"Active",Table3789[ETP Year],"2016",Table3789[Planting Year],"2018",Table3789[Audit],1,Table3789[Contract'#],"*US*")+SUMIFS(Table3789[Inventory/Smart Sheet count],Table3789[ETP Year],"2016",Table3789[Planting Year],"2018",Table3789[Status],"RFT",Table3789[Audit],1,Table3789[Contract'#],"*US*"))+(SUMIFS(Table3789[Inventory/Smart Sheet count],Table3789[Status],"Active",Table3789[ETP Year],"2017",Table3789[Planting Year],"2019",Table3789[Audit],1,Table3789[Contract'#],"*US*")+SUMIFS(Table3789[Total Trees as of 12/31/24],Table3789[ETP Year],"2017",Table3789[Planting Year],"2019",Table3789[Status],"RFT",Table3789[Audit],1,Table3789[Contract'#],"*US*"))</f>
        <v>11650.462607478443</v>
      </c>
      <c r="M49" s="56">
        <f t="shared" si="15"/>
        <v>10843.667392521558</v>
      </c>
      <c r="N49" s="20">
        <f t="shared" si="13"/>
        <v>0.48642642779185963</v>
      </c>
    </row>
    <row r="50" spans="1:14" ht="16.5" collapsed="1" thickBot="1" x14ac:dyDescent="0.3">
      <c r="A50" s="74" t="s">
        <v>59</v>
      </c>
      <c r="B50" s="58">
        <v>28490</v>
      </c>
      <c r="C50" s="335"/>
      <c r="D50" s="58">
        <f>SUMIFS(Table11[Total Can Allocation],Table11[ETP Year],2017)</f>
        <v>15620</v>
      </c>
      <c r="E50" s="100">
        <f>D50-B50</f>
        <v>-12870</v>
      </c>
      <c r="F50" s="58">
        <f>SUMIFS(Table11[Total Can Allocation],Table11[ETP Year],2017)</f>
        <v>15620</v>
      </c>
      <c r="G50" s="57">
        <f t="shared" si="14"/>
        <v>0</v>
      </c>
      <c r="H50" s="58">
        <f>COUNTIFS(Table11[ETP Year],"2017",Table11[Status],"Out of program",Table11[Canada Allocation %],"&lt;&gt;")</f>
        <v>0</v>
      </c>
      <c r="I50" s="58">
        <f>SUMIFS(Table11[Total Can Allocation],Table11[ETP Year],2017,Table11[Status],"Out of Program")</f>
        <v>0</v>
      </c>
      <c r="J50" s="59">
        <f t="shared" si="11"/>
        <v>0</v>
      </c>
      <c r="K50" s="59">
        <f t="shared" si="12"/>
        <v>15620</v>
      </c>
      <c r="L50" s="58">
        <f>SUMIFS(Table11[AL+AM],Table11[Status],"Active",Table11[ETP Year],2017)</f>
        <v>6485.9745762711864</v>
      </c>
      <c r="M50" s="57">
        <f t="shared" si="15"/>
        <v>9134.0254237288136</v>
      </c>
      <c r="N50" s="42">
        <f t="shared" si="13"/>
        <v>0.4152352481607674</v>
      </c>
    </row>
    <row r="51" spans="1:14" ht="16.5" hidden="1" outlineLevel="1" thickBot="1" x14ac:dyDescent="0.3">
      <c r="A51" s="41" t="s">
        <v>18</v>
      </c>
      <c r="B51" s="53"/>
      <c r="C51" s="336"/>
      <c r="D51" s="53">
        <f>SUMIFS(Table378['# Trees Allocated to US Series],Table378[ETP Year],2018,Table378[Audit],1,Table378[Contract'#],"*CR*")</f>
        <v>8202.6</v>
      </c>
      <c r="E51" s="101"/>
      <c r="F51" s="53">
        <f>SUMIFS(Table378['# Planted for Allocated Portion],Table378[ETP Year],2018,Table378[Audit],1,Table378[Contract'#],"*CR*")</f>
        <v>8202.6</v>
      </c>
      <c r="G51" s="53">
        <f t="shared" si="14"/>
        <v>0</v>
      </c>
      <c r="H51" s="53">
        <f>COUNTIFS(Table11[ETP Year],2018,Table11[Status],"Out of program",Table11[Canada Allocation %],"&lt;&gt;",Table11[ETP'#s],1,Table11[Contract Code],"*CR*")</f>
        <v>6</v>
      </c>
      <c r="I51" s="53">
        <f>SUMIFS(Table378['# Trees Allocated to US Series],Table378[ETP Year],2018,Table378[Status],"Out of program",Table378[Audit],1,Table378[Contract'#],"*CR*")</f>
        <v>2262.6</v>
      </c>
      <c r="J51" s="53">
        <f t="shared" si="11"/>
        <v>-6</v>
      </c>
      <c r="K51" s="53">
        <f t="shared" si="12"/>
        <v>5940</v>
      </c>
      <c r="L51" s="53">
        <f>SUMIFS(Table378[Inventory/Smart Sheet count],Table378[Status],"Active",Table378[ETP Year],2018,Table378[Contract'#],"*CR*")+SUMIFS(Table378[Inventory/Smart Sheet count],Table378[ETP Year],2018,Table378[Status],"RFT",Table378[Audit],1,Table378[Contract'#],"*CR*")</f>
        <v>2591.5220696603642</v>
      </c>
      <c r="M51" s="53">
        <f t="shared" si="15"/>
        <v>3348.4779303396358</v>
      </c>
      <c r="N51" s="19">
        <f t="shared" si="13"/>
        <v>0.31593910097534489</v>
      </c>
    </row>
    <row r="52" spans="1:14" ht="16.5" hidden="1" outlineLevel="1" thickBot="1" x14ac:dyDescent="0.3">
      <c r="A52" s="41" t="s">
        <v>19</v>
      </c>
      <c r="B52" s="53"/>
      <c r="C52" s="336"/>
      <c r="D52" s="53">
        <f>SUMIFS(Table378['# Trees Allocated to US Series],Table378[ETP Year],2018,Table378[Audit],1,Table378[Contract'#],"*GT*")</f>
        <v>8246</v>
      </c>
      <c r="E52" s="101"/>
      <c r="F52" s="53">
        <f>SUMIFS(Table378['# Planted for Allocated Portion],Table378[ETP Year],2018,Table378[Audit],1,Table378[Contract'#],"*GT*")</f>
        <v>8246</v>
      </c>
      <c r="G52" s="53">
        <f t="shared" si="14"/>
        <v>0</v>
      </c>
      <c r="H52" s="53">
        <f>COUNTIFS(Table11[ETP Year],2018,Table11[Status],"Out of program",Table11[Canada Allocation %],"&lt;&gt;",Table11[ETP'#s],1,Table11[Contract Code],"*GT*")</f>
        <v>5</v>
      </c>
      <c r="I52" s="53">
        <f>SUMIFS(Table378['# Trees Allocated to US Series],Table378[ETP Year],2018,Table378[Status],"Out of program",Table378[Audit],1,Table378[Contract'#],"*GT*")</f>
        <v>1820</v>
      </c>
      <c r="J52" s="53">
        <f t="shared" si="11"/>
        <v>-5</v>
      </c>
      <c r="K52" s="53">
        <f t="shared" si="12"/>
        <v>6426</v>
      </c>
      <c r="L52" s="53">
        <f>SUMIFS(Table378[Inventory/Smart Sheet count],Table378[Status],"Active",Table378[ETP Year],2018,Table378[Contract'#],"*GT*")+SUMIFS(Table378[Inventory/Smart Sheet count],Table378[ETP Year],2018,Table378[Status],"RFT",Table378[Audit],1,Table378[Contract'#],"*GT*")</f>
        <v>3296.854618682924</v>
      </c>
      <c r="M52" s="53">
        <f t="shared" si="15"/>
        <v>3129.145381317076</v>
      </c>
      <c r="N52" s="19">
        <f t="shared" si="13"/>
        <v>0.39981259018711179</v>
      </c>
    </row>
    <row r="53" spans="1:14" ht="16.5" hidden="1" outlineLevel="1" thickBot="1" x14ac:dyDescent="0.3">
      <c r="A53" s="41" t="s">
        <v>20</v>
      </c>
      <c r="B53" s="53"/>
      <c r="C53" s="336"/>
      <c r="D53" s="53">
        <f>SUMIFS(Table378['# Trees Allocated to US Series],Table378[ETP Year],2018,Table378[Audit],1,Table378[Contract'#],"*MX*")</f>
        <v>8964</v>
      </c>
      <c r="E53" s="101"/>
      <c r="F53" s="53">
        <f>SUMIFS(Table378['# Planted for Allocated Portion],Table378[ETP Year],2018,Table378[Audit],1,Table378[Contract'#],"*MX*")</f>
        <v>8964</v>
      </c>
      <c r="G53" s="53">
        <f t="shared" si="14"/>
        <v>0</v>
      </c>
      <c r="H53" s="53">
        <f>COUNTIFS(Table11[ETP Year],2018,Table11[Status],"Out of program",Table11[Canada Allocation %],"&lt;&gt;",Table11[ETP'#s],1,Table11[Contract Code],"*MX*")</f>
        <v>4</v>
      </c>
      <c r="I53" s="53">
        <f>SUMIFS(Table378['# Trees Allocated to US Series],Table378[ETP Year],2018,Table378[Status],"Out of program",Table378[Audit],1,Table378[Contract'#],"*MX*")</f>
        <v>5292</v>
      </c>
      <c r="J53" s="53">
        <f t="shared" si="11"/>
        <v>-4</v>
      </c>
      <c r="K53" s="53">
        <f t="shared" si="12"/>
        <v>3672</v>
      </c>
      <c r="L53" s="53">
        <f>SUMIFS(Table378[Inventory/Smart Sheet count],Table378[Status],"Active",Table378[ETP Year],2018,Table378[Contract'#],"*MX*")+SUMIFS(Table378[Inventory/Smart Sheet count],Table378[ETP Year],2018,Table378[Status],"RFT",Table378[Audit],1,Table378[Contract'#],"*MX*")</f>
        <v>2937.6</v>
      </c>
      <c r="M53" s="53">
        <f t="shared" si="15"/>
        <v>734.40000000000009</v>
      </c>
      <c r="N53" s="19">
        <f t="shared" si="13"/>
        <v>0.32771084337349399</v>
      </c>
    </row>
    <row r="54" spans="1:14" ht="15.75" hidden="1" outlineLevel="1" x14ac:dyDescent="0.25">
      <c r="A54" s="41" t="s">
        <v>21</v>
      </c>
      <c r="B54" s="56"/>
      <c r="C54" s="337"/>
      <c r="D54" s="56">
        <f>SUMIFS(Table378['# Trees Allocated to US Series],Table378[ETP Year],2018,Table378[Audit],1,Table378[Contract'#],"*US*")</f>
        <v>9730.4</v>
      </c>
      <c r="E54" s="102"/>
      <c r="F54" s="56">
        <f>SUMIFS(Table378['# Planted for Allocated Portion],Table378[ETP Year],2018,Table378[Audit],1,Table378[Contract'#],"*US*")</f>
        <v>9730.4</v>
      </c>
      <c r="G54" s="56">
        <f t="shared" si="14"/>
        <v>0</v>
      </c>
      <c r="H54" s="56">
        <f>COUNTIFS(Table11[ETP Year],2018,Table11[Status],"Out of program",Table11[Canada Allocation %],"&lt;&gt;",Table11[ETP'#s],1,Table11[Contract Code],"*US*")</f>
        <v>6</v>
      </c>
      <c r="I54" s="56">
        <f>SUMIFS(Table378['# Trees Allocated to US Series],Table378[ETP Year],2018,Table378[Status],"Out of program",Table378[Audit],1,Table378[Contract'#],"*US*")</f>
        <v>3438</v>
      </c>
      <c r="J54" s="56">
        <f t="shared" si="11"/>
        <v>-6</v>
      </c>
      <c r="K54" s="56">
        <f t="shared" si="12"/>
        <v>6292.4</v>
      </c>
      <c r="L54" s="56">
        <f>SUMIFS(Table378[Inventory/Smart Sheet count],Table378[Status],"Active",Table378[ETP Year],2018,Table378[Contract'#],"*US*")+SUMIFS(Table378[Inventory/Smart Sheet count],Table378[ETP Year],2018,Table378[Status],"RFT",Table378[Audit],1,Table378[Contract'#],"*US*")</f>
        <v>4796.4017464799972</v>
      </c>
      <c r="M54" s="56">
        <f t="shared" si="15"/>
        <v>1495.9982535200024</v>
      </c>
      <c r="N54" s="20">
        <f t="shared" si="13"/>
        <v>0.49292955546329004</v>
      </c>
    </row>
    <row r="55" spans="1:14" ht="16.5" collapsed="1" thickBot="1" x14ac:dyDescent="0.3">
      <c r="A55" s="74" t="s">
        <v>22</v>
      </c>
      <c r="B55" s="58">
        <v>35970</v>
      </c>
      <c r="C55" s="335"/>
      <c r="D55" s="58">
        <f>SUMIFS(Table11[Total Can Allocation],Table11[ETP Year],2018)</f>
        <v>35143.56</v>
      </c>
      <c r="E55" s="100">
        <f>D55-B55</f>
        <v>-826.44000000000233</v>
      </c>
      <c r="F55" s="58">
        <f>SUMIFS(Table11[Total Can Allocation],Table11[ETP Year],2018)</f>
        <v>35143.56</v>
      </c>
      <c r="G55" s="57">
        <f t="shared" si="14"/>
        <v>0</v>
      </c>
      <c r="H55" s="58">
        <f>COUNTIFS(Table11[ETP Year],"2018",Table11[Status],"Out of program",Table11[Canada Allocation %],"&lt;&gt;")</f>
        <v>21</v>
      </c>
      <c r="I55" s="58">
        <f>SUMIFS(Table11[Total Can Allocation],Table11[ETP Year],2018,Table11[Status],"Out of Program")</f>
        <v>12812.76</v>
      </c>
      <c r="J55" s="59">
        <f t="shared" si="11"/>
        <v>-21</v>
      </c>
      <c r="K55" s="59">
        <f t="shared" si="12"/>
        <v>22330.799999999996</v>
      </c>
      <c r="L55" s="58">
        <f>SUMIFS(Table11[AL+AM],Table11[Status],"Active",Table11[ETP Year],2018)</f>
        <v>8534.8209138005586</v>
      </c>
      <c r="M55" s="57">
        <f t="shared" si="15"/>
        <v>13795.979086199437</v>
      </c>
      <c r="N55" s="42">
        <f t="shared" si="13"/>
        <v>0.24285590059176018</v>
      </c>
    </row>
    <row r="56" spans="1:14" s="65" customFormat="1" ht="16.5" thickBot="1" x14ac:dyDescent="0.3">
      <c r="A56" s="75" t="s">
        <v>51</v>
      </c>
      <c r="B56" s="63">
        <f>SUM(B44:B55)</f>
        <v>145750</v>
      </c>
      <c r="C56" s="338"/>
      <c r="D56" s="63">
        <f t="shared" ref="D56:L56" si="16">SUM(D44+D47+D50+D55)</f>
        <v>127445.91</v>
      </c>
      <c r="E56" s="103">
        <f>D56-B56</f>
        <v>-18304.089999999997</v>
      </c>
      <c r="F56" s="63">
        <f t="shared" si="16"/>
        <v>127445.91</v>
      </c>
      <c r="G56" s="63">
        <f t="shared" si="14"/>
        <v>0</v>
      </c>
      <c r="H56" s="63">
        <f t="shared" si="16"/>
        <v>70</v>
      </c>
      <c r="I56" s="63">
        <f t="shared" si="16"/>
        <v>61459.770000000004</v>
      </c>
      <c r="J56" s="63">
        <f t="shared" si="16"/>
        <v>-45</v>
      </c>
      <c r="K56" s="63">
        <f t="shared" si="16"/>
        <v>65986.14</v>
      </c>
      <c r="L56" s="63">
        <f t="shared" si="16"/>
        <v>28642.777236557798</v>
      </c>
      <c r="M56" s="63">
        <f t="shared" si="15"/>
        <v>37343.362763442201</v>
      </c>
      <c r="N56" s="64">
        <f t="shared" si="13"/>
        <v>0.22474457780997287</v>
      </c>
    </row>
    <row r="57" spans="1:14" ht="16.5" thickTop="1" x14ac:dyDescent="0.25">
      <c r="A57" s="26"/>
      <c r="B57" s="50"/>
      <c r="C57" s="50"/>
      <c r="D57" s="50"/>
      <c r="E57" s="50"/>
      <c r="F57" s="50"/>
      <c r="G57" s="50"/>
      <c r="H57" s="50"/>
      <c r="I57" s="50"/>
      <c r="J57" s="50"/>
      <c r="K57" s="50"/>
      <c r="L57" s="50"/>
      <c r="M57" s="50"/>
      <c r="N57" s="21"/>
    </row>
    <row r="58" spans="1:14" ht="32.25" customHeight="1" x14ac:dyDescent="0.25">
      <c r="A58" s="46" t="s">
        <v>60</v>
      </c>
      <c r="B58" s="47" t="s">
        <v>1</v>
      </c>
      <c r="C58" s="47" t="s">
        <v>52</v>
      </c>
      <c r="E58" s="67"/>
      <c r="F58" s="21"/>
      <c r="H58" s="66"/>
      <c r="J58" s="21"/>
      <c r="K58" s="21"/>
      <c r="L58" s="21"/>
      <c r="M58" s="21"/>
      <c r="N58" s="21"/>
    </row>
    <row r="59" spans="1:14" ht="15.75" x14ac:dyDescent="0.25">
      <c r="A59" s="26" t="s">
        <v>61</v>
      </c>
      <c r="B59" s="22">
        <f>COUNTIFS(Table11[Status],"RFT",Table11[USA trees/Allocation/Contracted],"&gt;0")</f>
        <v>49</v>
      </c>
      <c r="C59" s="22">
        <f>COUNTIFS(Table11[Status],"RFT",Table11[Total Can Allocation],"&gt;0")</f>
        <v>15</v>
      </c>
      <c r="E59" s="21"/>
      <c r="F59" s="21"/>
      <c r="G59" s="138"/>
      <c r="H59" s="138"/>
      <c r="I59" s="21"/>
      <c r="J59" s="21"/>
      <c r="K59" s="21"/>
      <c r="L59" s="21"/>
      <c r="M59" s="21"/>
      <c r="N59" s="21"/>
    </row>
    <row r="60" spans="1:14" ht="15.75" x14ac:dyDescent="0.25">
      <c r="A60" s="26" t="s">
        <v>62</v>
      </c>
      <c r="B60" s="23">
        <f>$B$59/$J$39</f>
        <v>0.4049586776859504</v>
      </c>
      <c r="C60" s="23"/>
      <c r="E60" s="21"/>
      <c r="F60" s="21"/>
      <c r="G60" s="21"/>
      <c r="H60" s="21"/>
      <c r="I60" s="21"/>
      <c r="J60" s="21"/>
      <c r="K60" s="21"/>
      <c r="L60" s="21"/>
      <c r="M60" s="21"/>
      <c r="N60" s="21"/>
    </row>
    <row r="61" spans="1:14" ht="15.75" x14ac:dyDescent="0.25">
      <c r="A61" s="26" t="s">
        <v>63</v>
      </c>
      <c r="B61" s="24">
        <f>SUMIFS(Table11[USA trees/Allocation/Contracted],Table11[Status],"RFT")</f>
        <v>103220</v>
      </c>
      <c r="C61" s="24">
        <f>SUMIFS(Table11[Total Can Allocation],Table11[Status],"RFT")</f>
        <v>18416</v>
      </c>
      <c r="E61" s="21"/>
      <c r="F61" s="21"/>
      <c r="G61" s="21"/>
      <c r="H61" s="21"/>
      <c r="I61" s="21"/>
      <c r="J61" s="21"/>
      <c r="K61" s="21"/>
      <c r="L61" s="21"/>
      <c r="M61" s="21"/>
      <c r="N61" s="21"/>
    </row>
    <row r="62" spans="1:14" ht="15.75" x14ac:dyDescent="0.25">
      <c r="A62" s="26" t="s">
        <v>64</v>
      </c>
      <c r="B62" s="23">
        <f>$B$61/$K$39</f>
        <v>0.18871747825343901</v>
      </c>
      <c r="C62" s="23">
        <f>$C$61/$K$56</f>
        <v>0.27908891170176042</v>
      </c>
      <c r="E62" s="21"/>
      <c r="F62" s="21"/>
      <c r="G62" s="21"/>
      <c r="H62" s="21"/>
      <c r="I62" s="21"/>
      <c r="J62" s="21"/>
      <c r="K62" s="21"/>
      <c r="L62" s="21"/>
      <c r="M62" s="21"/>
      <c r="N62" s="21"/>
    </row>
    <row r="64" spans="1:14" ht="15.75" x14ac:dyDescent="0.25">
      <c r="C64" s="24"/>
    </row>
    <row r="65" spans="2:14" x14ac:dyDescent="0.25">
      <c r="B65" s="121" t="s">
        <v>65</v>
      </c>
      <c r="C65" s="122">
        <v>45609</v>
      </c>
      <c r="F65" s="65"/>
    </row>
    <row r="66" spans="2:14" x14ac:dyDescent="0.25">
      <c r="K66" s="98"/>
      <c r="M66" s="98"/>
      <c r="N66" s="8"/>
    </row>
    <row r="67" spans="2:14" x14ac:dyDescent="0.25">
      <c r="K67" s="98"/>
      <c r="M67" s="98"/>
      <c r="N67" s="8"/>
    </row>
    <row r="68" spans="2:14" x14ac:dyDescent="0.25">
      <c r="K68" s="98"/>
      <c r="M68" s="98"/>
      <c r="N68" s="8"/>
    </row>
    <row r="69" spans="2:14" x14ac:dyDescent="0.25">
      <c r="K69" s="98"/>
      <c r="M69" s="98"/>
      <c r="N69" s="8"/>
    </row>
    <row r="70" spans="2:14" x14ac:dyDescent="0.25">
      <c r="K70" s="98"/>
    </row>
    <row r="74" spans="2:14" x14ac:dyDescent="0.25">
      <c r="G74">
        <f>58/50</f>
        <v>1.1599999999999999</v>
      </c>
    </row>
    <row r="75" spans="2:14" x14ac:dyDescent="0.25">
      <c r="G75">
        <f>62/50</f>
        <v>1.24</v>
      </c>
    </row>
  </sheetData>
  <mergeCells count="1">
    <mergeCell ref="A1:N1"/>
  </mergeCells>
  <pageMargins left="0.7" right="0.7" top="0.75" bottom="0.75" header="0.3" footer="0.3"/>
  <pageSetup fitToHeight="0" orientation="landscape"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18BD5-283D-42A4-888F-13FA0660D8BE}">
  <sheetPr>
    <tabColor theme="7" tint="0.79998168889431442"/>
    <pageSetUpPr fitToPage="1"/>
  </sheetPr>
  <dimension ref="A1:P59"/>
  <sheetViews>
    <sheetView zoomScale="85" zoomScaleNormal="85" workbookViewId="0">
      <pane ySplit="4" topLeftCell="A25" activePane="bottomLeft" state="frozen"/>
      <selection pane="bottomLeft" activeCell="C30" sqref="C30"/>
    </sheetView>
  </sheetViews>
  <sheetFormatPr defaultColWidth="8.85546875" defaultRowHeight="15" outlineLevelRow="1" x14ac:dyDescent="0.25"/>
  <cols>
    <col min="1" max="1" width="19.42578125" customWidth="1"/>
    <col min="2" max="4" width="17.140625" customWidth="1"/>
    <col min="5" max="12" width="17.140625" hidden="1" customWidth="1"/>
    <col min="13" max="15" width="8.85546875" customWidth="1"/>
  </cols>
  <sheetData>
    <row r="1" spans="1:16" ht="21" customHeight="1" x14ac:dyDescent="0.25">
      <c r="A1" s="485" t="s">
        <v>0</v>
      </c>
      <c r="B1" s="485"/>
      <c r="C1" s="485"/>
      <c r="D1" s="485"/>
      <c r="E1" s="485"/>
      <c r="F1" s="99"/>
      <c r="G1" s="99"/>
      <c r="H1" s="99"/>
      <c r="I1" s="99"/>
      <c r="J1" s="99"/>
      <c r="K1" s="99"/>
      <c r="L1" s="99"/>
    </row>
    <row r="2" spans="1:16" ht="16.5" customHeight="1" x14ac:dyDescent="0.25">
      <c r="A2" s="25"/>
      <c r="B2" s="25"/>
      <c r="C2" s="25"/>
      <c r="D2" s="25"/>
      <c r="E2" s="25"/>
      <c r="F2" s="25"/>
      <c r="G2" s="25"/>
      <c r="H2" s="25"/>
      <c r="I2" s="25"/>
      <c r="J2" s="25"/>
      <c r="K2" s="25"/>
      <c r="L2" s="25"/>
    </row>
    <row r="3" spans="1:16" ht="18" customHeight="1" x14ac:dyDescent="0.25">
      <c r="A3" s="21"/>
      <c r="B3" s="21"/>
      <c r="C3" s="21"/>
      <c r="D3" s="21"/>
      <c r="E3" s="21"/>
      <c r="F3" s="21"/>
      <c r="G3" s="21"/>
      <c r="H3" s="21"/>
      <c r="I3" s="21"/>
      <c r="J3" s="21"/>
      <c r="K3" s="21"/>
      <c r="L3" s="21"/>
    </row>
    <row r="4" spans="1:16" ht="49.9" customHeight="1" thickBot="1" x14ac:dyDescent="0.3">
      <c r="A4" s="48" t="s">
        <v>66</v>
      </c>
      <c r="B4" s="51" t="s">
        <v>3</v>
      </c>
      <c r="C4" s="51" t="s">
        <v>4</v>
      </c>
      <c r="D4" s="51" t="s">
        <v>6</v>
      </c>
      <c r="E4" s="51" t="s">
        <v>7</v>
      </c>
      <c r="F4" s="51" t="s">
        <v>8</v>
      </c>
      <c r="G4" s="51" t="s">
        <v>9</v>
      </c>
      <c r="H4" s="51" t="s">
        <v>10</v>
      </c>
      <c r="I4" s="51" t="s">
        <v>11</v>
      </c>
      <c r="J4" s="51" t="s">
        <v>12</v>
      </c>
      <c r="K4" s="51" t="s">
        <v>67</v>
      </c>
      <c r="L4" s="48" t="s">
        <v>14</v>
      </c>
    </row>
    <row r="5" spans="1:16" ht="17.25" hidden="1" customHeight="1" outlineLevel="1" x14ac:dyDescent="0.25">
      <c r="A5" s="41" t="s">
        <v>55</v>
      </c>
      <c r="B5" s="54">
        <f>COUNTIFS(Table11[Planting Year],2015,Table11[ETP'#s],1,Table11[Contract Code],"*US*")</f>
        <v>1</v>
      </c>
      <c r="C5" s="55">
        <f>SUMIFS(Table11['#TreesContract],Table11[Planting Year],2015,Table11[ETP'#s],1,Table11[Contract Code],"*US*")</f>
        <v>2200</v>
      </c>
      <c r="D5" s="55">
        <f>SUMIFS(Table11['#Planted],Table11[Planting Year],2015,Table11[ETP'#s],1,Table11[Contract Code],"*US*")</f>
        <v>2200</v>
      </c>
      <c r="E5" s="56">
        <f t="shared" ref="E5:E30" si="0">D5-C5</f>
        <v>0</v>
      </c>
      <c r="F5" s="55">
        <f>COUNTIFS(Table11[ETP Year],"2016",Table11[Status],"Out of program",Table11[USA Allocation %],"&lt;&gt;",Table11[ETP'#s],1,Table11[Contract Code],"*US*")</f>
        <v>8</v>
      </c>
      <c r="G5" s="55">
        <f>SUMIFS(Table37['# Trees Allocated to US Series],Table37[ETP Year],"2016",Table37[Status],"Out of program",Table37[Audit],1,Table37[Contract'#],"*US*")</f>
        <v>2289</v>
      </c>
      <c r="H5" s="55">
        <f t="shared" ref="H5:H45" si="1">B5-F5</f>
        <v>-7</v>
      </c>
      <c r="I5" s="55">
        <f t="shared" ref="I5:I45" si="2">C5-G5</f>
        <v>-89</v>
      </c>
      <c r="J5" s="55">
        <f>SUMIFS(Table37[Total Trees as of 12/31/24],Table37[Status],"Active",Table37[ETP Year],"2016",Table37[Contract'#],"*US*")+SUMIFS(Table37[Total Trees as of 12/31/24],Table37[ETP Year],"2016",Table37[Status],"RFT",Table37[Audit],1,Table37[Contract'#],"*US*")</f>
        <v>1051.9139759871023</v>
      </c>
      <c r="K5" s="56">
        <f>I5-J5</f>
        <v>-1140.9139759871023</v>
      </c>
      <c r="L5" s="49">
        <f t="shared" ref="L5:L46" si="3">IFERROR(J5/C5,0)</f>
        <v>0.47814271635777378</v>
      </c>
    </row>
    <row r="6" spans="1:16" ht="17.25" customHeight="1" collapsed="1" thickBot="1" x14ac:dyDescent="0.3">
      <c r="A6" s="74">
        <v>2015</v>
      </c>
      <c r="B6" s="57">
        <f>COUNTIFS(Table11[Planting Year],2015,Table11[ETP'#s],1)</f>
        <v>1</v>
      </c>
      <c r="C6" s="58">
        <f>SUMIFS(Table11['#TreesContract],Table11[Planting Year],2015,Table11[ETP'#s],1)</f>
        <v>2200</v>
      </c>
      <c r="D6" s="58">
        <f>SUMIFS(Table11['#Planted],Table11[Planting Year],2015,Table11[ETP'#s],1)</f>
        <v>2200</v>
      </c>
      <c r="E6" s="107">
        <f t="shared" si="0"/>
        <v>0</v>
      </c>
      <c r="F6" s="58">
        <f>COUNTIFS(Table11[ETP Year],"2016",Table11[Status],"Out of program",Table11[USA Allocation %],"&lt;&gt;",Table11[ETP'#s],1)</f>
        <v>31</v>
      </c>
      <c r="G6" s="58">
        <f>SUMIFS(Table37['# Trees Allocated to US Series],Table37[ETP Year],"2016",Table37[Status],"Out of program",Table37[Audit],1)</f>
        <v>8830</v>
      </c>
      <c r="H6" s="58">
        <f t="shared" si="1"/>
        <v>-30</v>
      </c>
      <c r="I6" s="58">
        <f t="shared" si="2"/>
        <v>-6630</v>
      </c>
      <c r="J6" s="58">
        <f>SUMIFS(Table37[Total Trees as of 12/31/24],Table37[Status],"Active",Table37[ETP Year],"2016",Table37[Audit],1)+SUMIFS(Table37[Total Trees as of 12/31/24],Table37[ETP Year],"2016",Table37[Status],"RFT",Table37[Audit],1)</f>
        <v>1489.2739759871024</v>
      </c>
      <c r="K6" s="57">
        <f>I6-J6</f>
        <v>-8119.2739759871019</v>
      </c>
      <c r="L6" s="42">
        <f t="shared" si="3"/>
        <v>0.67694271635777381</v>
      </c>
    </row>
    <row r="7" spans="1:16" ht="17.25" hidden="1" customHeight="1" outlineLevel="1" thickBot="1" x14ac:dyDescent="0.3">
      <c r="A7" s="41" t="s">
        <v>15</v>
      </c>
      <c r="B7" s="54">
        <f>COUNTIFS(Table11[Planting Year],2016,Table11[ETP'#s],1,Table11[Contract Code],"*CR*")</f>
        <v>12</v>
      </c>
      <c r="C7" s="55">
        <f>SUMIFS(Table11['#TreesContract],Table11[Planting Year],2016,Table11[ETP'#s],1,Table11[Contract Code],"*CR*")</f>
        <v>7925</v>
      </c>
      <c r="D7" s="55">
        <f>SUMIFS(Table11['#Planted],Table11[Planting Year],2016,Table11[ETP'#s],1,Table11[Contract Code],"*CR*")</f>
        <v>7925</v>
      </c>
      <c r="E7" s="101">
        <f t="shared" si="0"/>
        <v>0</v>
      </c>
      <c r="F7" s="53">
        <f>COUNTIFS(Table11[ETP Year],"2018",Table11[Status],"Out of program",Table11[USA Allocation %],"&lt;&gt;",Table11[ETP'#s],1,Table11[Contract Code],"*CR*")</f>
        <v>6</v>
      </c>
      <c r="G7" s="53">
        <f>SUMIFS(Table37['# Trees Allocated to US Series],Table37[ETP Year],"2018",Table37[Status],"Out of program",Table37[Audit],1,Table37[Contract'#],"*CR*")</f>
        <v>4022.4</v>
      </c>
      <c r="H7" s="53">
        <f t="shared" si="1"/>
        <v>6</v>
      </c>
      <c r="I7" s="53">
        <f t="shared" si="2"/>
        <v>3902.6</v>
      </c>
      <c r="J7" s="53">
        <f>SUMIFS(Table37[Total Trees as of 12/31/24],Table37[Status],"Active",Table37[ETP Year],"2018",Table37[Contract'#],"*CR*")+SUMIFS(Table37[Total Trees as of 12/31/24],Table37[ETP Year],"2018",Table37[Status],"RFT",Table37[Audit],1,Table37[Contract'#],"*CR*")</f>
        <v>4607.1503460628692</v>
      </c>
      <c r="K7" s="53">
        <f t="shared" ref="K7:K30" si="4">I7-J7</f>
        <v>-704.55034606286927</v>
      </c>
      <c r="L7" s="19">
        <f t="shared" si="3"/>
        <v>0.58134389224768068</v>
      </c>
      <c r="P7" s="68"/>
    </row>
    <row r="8" spans="1:16" ht="17.25" hidden="1" customHeight="1" outlineLevel="1" x14ac:dyDescent="0.25">
      <c r="A8" s="41" t="s">
        <v>16</v>
      </c>
      <c r="B8" s="54">
        <f>COUNTIFS(Table11[Planting Year],2016,Table11[ETP'#s],1,Table11[Contract Code],"*US*")</f>
        <v>13</v>
      </c>
      <c r="C8" s="55">
        <f>SUMIFS(Table11['#TreesContract],Table11[Planting Year],2016,Table11[ETP'#s],1,Table11[Contract Code],"*US*")</f>
        <v>17705</v>
      </c>
      <c r="D8" s="55">
        <f>SUMIFS(Table11['#Planted],Table11[Planting Year],2016,Table11[ETP'#s],1,Table11[Contract Code],"*US*")</f>
        <v>17705</v>
      </c>
      <c r="E8" s="102">
        <f t="shared" si="0"/>
        <v>0</v>
      </c>
      <c r="F8" s="56">
        <f>COUNTIFS(Table11[ETP Year],"2018",Table11[Status],"Out of program",Table11[USA Allocation %],"&lt;&gt;",Table11[ETP'#s],1,Table11[Contract Code],"*US*")</f>
        <v>6</v>
      </c>
      <c r="G8" s="56">
        <f>SUMIFS(Table37['# Trees Allocated to US Series],Table37[ETP Year],"2018",Table37[Status],"Out of program",Table37[Audit],1,Table37[Contract'#],"*US*")</f>
        <v>6112</v>
      </c>
      <c r="H8" s="56">
        <f t="shared" si="1"/>
        <v>7</v>
      </c>
      <c r="I8" s="56">
        <f t="shared" si="2"/>
        <v>11593</v>
      </c>
      <c r="J8" s="56">
        <f>SUMIFS(Table37[Total Trees as of 12/31/24],Table37[Status],"Active",Table37[ETP Year],"2018",Table37[Contract'#],"*US*")+SUMIFS(Table37[Total Trees as of 12/31/24],Table37[ETP Year],"2018",Table37[Status],"RFT",Table37[Audit],1,Table37[Contract'#],"*US*")</f>
        <v>9796.9389991696589</v>
      </c>
      <c r="K8" s="56">
        <f t="shared" si="4"/>
        <v>1796.0610008303411</v>
      </c>
      <c r="L8" s="20">
        <f t="shared" si="3"/>
        <v>0.553343066883347</v>
      </c>
      <c r="P8" s="68"/>
    </row>
    <row r="9" spans="1:16" ht="16.5" customHeight="1" collapsed="1" thickBot="1" x14ac:dyDescent="0.3">
      <c r="A9" s="74">
        <v>2016</v>
      </c>
      <c r="B9" s="57">
        <f>COUNTIFS(Table11[Planting Year],2016,Table11[ETP'#s],1)</f>
        <v>25</v>
      </c>
      <c r="C9" s="58">
        <f>SUMIFS(Table11['#TreesContract],Table11[Planting Year],2016,Table11[ETP'#s],1)</f>
        <v>25630</v>
      </c>
      <c r="D9" s="58">
        <f>SUMIFS(Table11['#Planted],Table11[Planting Year],2016,Table11[ETP'#s],1)</f>
        <v>25630</v>
      </c>
      <c r="E9" s="107">
        <f t="shared" si="0"/>
        <v>0</v>
      </c>
      <c r="F9" s="58">
        <f>COUNTIFS(Table11[ETP Year],"2018",Table11[Status],"Out of program",Table11[USA Allocation %],"&lt;&gt;",Table11[ETP'#s],1)</f>
        <v>21</v>
      </c>
      <c r="G9" s="58">
        <f>SUMIFS(Table37['# Trees Allocated to US Series],Table37[ETP Year],"2018",Table37[Status],"Out of program",Table37[Audit],1)</f>
        <v>22778.400000000001</v>
      </c>
      <c r="H9" s="59">
        <f t="shared" si="1"/>
        <v>4</v>
      </c>
      <c r="I9" s="59">
        <f t="shared" si="2"/>
        <v>2851.5999999999985</v>
      </c>
      <c r="J9" s="58">
        <f>SUMIFS(Table37[Total Trees as of 12/31/24],Table37[Status],"Active",Table37[ETP Year],"2018",Table37[Audit],1)+SUMIFS(Table37[Total Trees as of 12/31/24],Table37[ETP Year],"2018",Table37[Status],"RFT",Table37[Audit],1)</f>
        <v>25487.564222891062</v>
      </c>
      <c r="K9" s="57">
        <f t="shared" si="4"/>
        <v>-22635.964222891063</v>
      </c>
      <c r="L9" s="42">
        <f t="shared" si="3"/>
        <v>0.99444261501720876</v>
      </c>
    </row>
    <row r="10" spans="1:16" ht="16.5" hidden="1" customHeight="1" outlineLevel="1" thickBot="1" x14ac:dyDescent="0.3">
      <c r="A10" s="41" t="s">
        <v>57</v>
      </c>
      <c r="B10" s="54">
        <f>COUNTIFS(Table11[Planting Year],2017,Table11[ETP'#s],1,Table11[Contract Code],"*CR*")</f>
        <v>15</v>
      </c>
      <c r="C10" s="55">
        <f>SUMIFS(Table11['#TreesContract],Table11[Planting Year],2017,Table11[ETP'#s],1,Table11[Contract Code],"*CR*")</f>
        <v>24100</v>
      </c>
      <c r="D10" s="55">
        <f>SUMIFS(Table11['#Planted],Table11[Planting Year],2017,Table11[ETP'#s],1,Table11[Contract Code],"*CR*")</f>
        <v>24100</v>
      </c>
      <c r="E10" s="101">
        <f t="shared" si="0"/>
        <v>0</v>
      </c>
      <c r="F10" s="53">
        <f>COUNTIFS(Table11[ETP Year],"2020",Table11[Status],"Out of program",Table11[USA Allocation %],"&lt;&gt;",Table11[ETP'#s],1,Table11[Contract Code],"*CR*")</f>
        <v>6</v>
      </c>
      <c r="G10" s="53">
        <f>SUMIFS(Table37['# Trees Allocated to US Series],Table37[ETP Year],"2020",Table37[Status],"Out of program",Table37[Audit],1,Table37[Contract'#],"*CR*")</f>
        <v>12240</v>
      </c>
      <c r="H10" s="53">
        <f t="shared" si="1"/>
        <v>9</v>
      </c>
      <c r="I10" s="53">
        <f t="shared" si="2"/>
        <v>11860</v>
      </c>
      <c r="J10" s="53">
        <f>SUMIFS(Table37[Total Trees as of 12/31/24],Table37[Status],"Active",Table37[ETP Year],"2020",Table37[Contract'#],"*CR*")+SUMIFS(Table37[Total Trees as of 12/31/24],Table37[ETP Year],"2020",Table37[Status],"RFT",Table37[Audit],1,Table37[Contract'#],"*CR*")</f>
        <v>40589.300000000003</v>
      </c>
      <c r="K10" s="53">
        <f t="shared" si="4"/>
        <v>-28729.300000000003</v>
      </c>
      <c r="L10" s="19">
        <f t="shared" si="3"/>
        <v>1.6842033195020749</v>
      </c>
    </row>
    <row r="11" spans="1:16" ht="16.5" hidden="1" customHeight="1" outlineLevel="1" x14ac:dyDescent="0.25">
      <c r="A11" s="41" t="s">
        <v>58</v>
      </c>
      <c r="B11" s="54">
        <f>COUNTIFS(Table11[Planting Year],2017,Table11[ETP'#s],1,Table11[Contract Code],"*US*")</f>
        <v>6</v>
      </c>
      <c r="C11" s="55">
        <f>SUMIFS(Table11['#TreesContract],Table11[Planting Year],2017,Table11[ETP'#s],1,Table11[Contract Code],"*US*")</f>
        <v>8301</v>
      </c>
      <c r="D11" s="55">
        <f>SUMIFS(Table11['#Planted],Table11[Planting Year],2017,Table11[ETP'#s],1,Table11[Contract Code],"*US*")</f>
        <v>8301</v>
      </c>
      <c r="E11" s="102">
        <f t="shared" si="0"/>
        <v>0</v>
      </c>
      <c r="F11" s="56">
        <f>COUNTIFS(Table11[ETP Year],"2020",Table11[Status],"Out of program",Table11[USA Allocation %],"&lt;&gt;",Table11[ETP'#s],1,Table11[Contract Code],"*US*")</f>
        <v>8</v>
      </c>
      <c r="G11" s="56">
        <f>SUMIFS(Table37['# Trees Allocated to US Series],Table37[ETP Year],"2020",Table37[Status],"Out of program",Table37[Audit],1,Table37[Contract'#],"*US*")</f>
        <v>14030</v>
      </c>
      <c r="H11" s="56">
        <f t="shared" si="1"/>
        <v>-2</v>
      </c>
      <c r="I11" s="56">
        <f t="shared" si="2"/>
        <v>-5729</v>
      </c>
      <c r="J11" s="56">
        <f>SUMIFS(Table37[Total Trees as of 12/31/24],Table37[Status],"Active",Table37[ETP Year],"2020",Table37[Contract'#],"*US*")+SUMIFS(Table37[Total Trees as of 12/31/24],Table37[ETP Year],"2020",Table37[Status],"RFT",Table37[Audit],1,Table37[Contract'#],"*US*")</f>
        <v>58669.866916477826</v>
      </c>
      <c r="K11" s="56">
        <f t="shared" si="4"/>
        <v>-64398.866916477826</v>
      </c>
      <c r="L11" s="20">
        <f t="shared" si="3"/>
        <v>7.0678071216091825</v>
      </c>
      <c r="N11" s="7"/>
      <c r="O11" s="7"/>
    </row>
    <row r="12" spans="1:16" ht="16.5" collapsed="1" thickBot="1" x14ac:dyDescent="0.3">
      <c r="A12" s="74">
        <v>2017</v>
      </c>
      <c r="B12" s="57">
        <f>COUNTIFS(Table11[Planting Year],2017,Table11[ETP'#s],1)</f>
        <v>21</v>
      </c>
      <c r="C12" s="58">
        <f>SUMIFS(Table11['#TreesContract],Table11[Planting Year],2017,Table11[ETP'#s],1)</f>
        <v>32401</v>
      </c>
      <c r="D12" s="58">
        <f>SUMIFS(Table11['#Planted],Table11[Planting Year],2017,Table11[ETP'#s],1)</f>
        <v>32401</v>
      </c>
      <c r="E12" s="107">
        <f t="shared" si="0"/>
        <v>0</v>
      </c>
      <c r="F12" s="58">
        <f>COUNTIFS(Table11[ETP Year],"2020",Table11[Status],"Out of program",Table11[USA Allocation %],"&lt;&gt;",Table11[ETP'#s],1)</f>
        <v>24</v>
      </c>
      <c r="G12" s="58">
        <f>SUMIFS(Table37['# Trees Allocated to US Series],Table37[ETP Year],"2020",Table37[Status],"Out of program",Table37[Audit],1)</f>
        <v>58048</v>
      </c>
      <c r="H12" s="59">
        <f t="shared" si="1"/>
        <v>-3</v>
      </c>
      <c r="I12" s="59">
        <f t="shared" si="2"/>
        <v>-25647</v>
      </c>
      <c r="J12" s="58">
        <f>SUMIFS(Table37[Total Trees as of 12/31/24],Table37[Status],"Active",Table37[ETP Year],"2020",Table37[Audit],1)+SUMIFS(Table37[Total Trees as of 12/31/24],Table37[ETP Year],"2020",Table37[Status],"RFT",Table37[Audit],1)</f>
        <v>143505.17973342745</v>
      </c>
      <c r="K12" s="57">
        <f t="shared" si="4"/>
        <v>-169152.17973342745</v>
      </c>
      <c r="L12" s="42">
        <f t="shared" si="3"/>
        <v>4.4290355153676568</v>
      </c>
      <c r="M12" s="68"/>
    </row>
    <row r="13" spans="1:16" ht="16.5" hidden="1" outlineLevel="1" thickBot="1" x14ac:dyDescent="0.3">
      <c r="A13" s="41" t="s">
        <v>18</v>
      </c>
      <c r="B13" s="54">
        <f>COUNTIFS(Table11[Planting Year],2018,Table11[ETP'#s],1,Table11[Contract Code],"*CR*")</f>
        <v>12</v>
      </c>
      <c r="C13" s="55">
        <f>SUMIFS(Table11['#TreesContract],Table11[Planting Year],2018,Table11[ETP'#s],1,Table11[Contract Code],"*CR*")</f>
        <v>12300</v>
      </c>
      <c r="D13" s="55">
        <f>SUMIFS(Table11['#Planted],Table11[Planting Year],2018,Table11[ETP'#s],1,Table11[Contract Code],"*CR*")</f>
        <v>12300</v>
      </c>
      <c r="E13" s="89">
        <f t="shared" si="0"/>
        <v>0</v>
      </c>
      <c r="F13" s="89">
        <f>COUNTIFS(Table11[ETP Year],"2021",Table11[Status],"Out of program",Table11[USA Allocation %],"&lt;&gt;",Table11[ETP'#s],1,Table11[Contract Code],"*CR*")</f>
        <v>1</v>
      </c>
      <c r="G13" s="89">
        <f>SUMIFS(Table37['# Trees Allocated to US Series],Table37[ETP Year],"2021",Table37[Status],"Out of program",Table37[Audit],1,Table37[Contract'#],"*CR*")</f>
        <v>1800</v>
      </c>
      <c r="H13" s="89">
        <f t="shared" si="1"/>
        <v>11</v>
      </c>
      <c r="I13" s="89">
        <f t="shared" si="2"/>
        <v>10500</v>
      </c>
      <c r="J13" s="89">
        <f>SUMIFS(Table37[Total Trees as of 12/31/24],Table37[Status],"Active",Table37[ETP Year],"2021",Table37[Contract'#],"*CR*")+SUMIFS(Table37[Total Trees as of 12/31/24],Table37[ETP Year],"2021",Table37[Status],"RFT",Table37[Audit],1,Table37[Contract'#],"*CR*")</f>
        <v>18459.841728395062</v>
      </c>
      <c r="K13" s="89">
        <f t="shared" si="4"/>
        <v>-7959.8417283950621</v>
      </c>
      <c r="L13" s="90">
        <f t="shared" si="3"/>
        <v>1.5008001405199238</v>
      </c>
    </row>
    <row r="14" spans="1:16" ht="15.75" hidden="1" outlineLevel="1" x14ac:dyDescent="0.25">
      <c r="A14" s="41" t="s">
        <v>21</v>
      </c>
      <c r="B14" s="54">
        <f>COUNTIFS(Table11[Planting Year],2018,Table11[ETP'#s],1,Table11[Contract Code],"*US*")</f>
        <v>12</v>
      </c>
      <c r="C14" s="55">
        <f>SUMIFS(Table11['#TreesContract],Table11[Planting Year],2018,Table11[ETP'#s],1,Table11[Contract Code],"*US*")</f>
        <v>15561</v>
      </c>
      <c r="D14" s="55">
        <f>SUMIFS(Table11['#Planted],Table11[Planting Year],2018,Table11[ETP'#s],1,Table11[Contract Code],"*US*")</f>
        <v>15561</v>
      </c>
      <c r="E14" s="91">
        <f t="shared" si="0"/>
        <v>0</v>
      </c>
      <c r="F14" s="91">
        <f>COUNTIFS(Table11[ETP Year],"2021",Table11[Status],"Out of program",Table11[USA Allocation %],"&lt;&gt;",Table11[ETP'#s],1,Table11[Contract Code],"*US*")</f>
        <v>2</v>
      </c>
      <c r="G14" s="91">
        <f>SUMIFS(Table37['# Trees Allocated to US Series],Table37[ETP Year],"2021",Table37[Status],"Out of program",Table37[Audit],1,Table37[Contract'#],"*US*")</f>
        <v>1430</v>
      </c>
      <c r="H14" s="91">
        <f t="shared" si="1"/>
        <v>10</v>
      </c>
      <c r="I14" s="91">
        <f t="shared" si="2"/>
        <v>14131</v>
      </c>
      <c r="J14" s="91">
        <f>SUMIFS(Table37[Total Trees as of 12/31/24],Table37[Status],"Active",Table37[ETP Year],"2021",Table37[Contract'#],"*US*")+SUMIFS(Table37[Total Trees as of 12/31/24],Table37[ETP Year],"2021",Table37[Status],"RFT",Table37[Audit],1,Table37[Contract'#],"*US*")</f>
        <v>40911.811101928375</v>
      </c>
      <c r="K14" s="91">
        <f t="shared" si="4"/>
        <v>-26780.811101928375</v>
      </c>
      <c r="L14" s="92">
        <f t="shared" si="3"/>
        <v>2.6291248057276766</v>
      </c>
    </row>
    <row r="15" spans="1:16" ht="16.5" collapsed="1" thickBot="1" x14ac:dyDescent="0.3">
      <c r="A15" s="74">
        <v>2018</v>
      </c>
      <c r="B15" s="57">
        <f>COUNTIFS(Table11[Planting Year],2018,Table11[ETP'#s],1)</f>
        <v>24</v>
      </c>
      <c r="C15" s="58">
        <f>SUMIFS(Table11['#TreesContract],Table11[Planting Year],2018,Table11[ETP'#s],1)</f>
        <v>27861</v>
      </c>
      <c r="D15" s="58">
        <f>SUMIFS(Table11['#Planted],Table11[Planting Year],2018,Table11[ETP'#s],1)</f>
        <v>27861</v>
      </c>
      <c r="E15" s="113">
        <f t="shared" si="0"/>
        <v>0</v>
      </c>
      <c r="F15" s="93">
        <f>COUNTIFS(Table11[ETP Year],"2021",Table11[Status],"Out of program",Table11[USA Allocation %],"&lt;&gt;",Table11[ETP'#s],1)</f>
        <v>3</v>
      </c>
      <c r="G15" s="93">
        <f>SUMIFS(Table37['# Trees Allocated to US Series],Table37[ETP Year],"2021",Table37[Status],"Out of program",Table37[Audit],1)</f>
        <v>3230</v>
      </c>
      <c r="H15" s="93">
        <f t="shared" si="1"/>
        <v>21</v>
      </c>
      <c r="I15" s="93">
        <f t="shared" si="2"/>
        <v>24631</v>
      </c>
      <c r="J15" s="93">
        <f>SUMIFS(Table37[Total Trees as of 12/31/24],Table37[Status],"Active",Table37[ETP Year],"2021",Table37[Audit],1)+SUMIFS(Table37[Total Trees as of 12/31/24],Table37[ETP Year],"2021",Table37[Status],"RFT",Table37[Audit],1)</f>
        <v>148093.00823513369</v>
      </c>
      <c r="K15" s="94">
        <f t="shared" si="4"/>
        <v>-123462.00823513369</v>
      </c>
      <c r="L15" s="95">
        <f t="shared" si="3"/>
        <v>5.3154232882930863</v>
      </c>
    </row>
    <row r="16" spans="1:16" ht="16.5" hidden="1" outlineLevel="1" thickBot="1" x14ac:dyDescent="0.3">
      <c r="A16" s="41" t="s">
        <v>68</v>
      </c>
      <c r="B16" s="54">
        <f>COUNTIFS(Table11[Planting Year],2019,Table11[ETP'#s],1,Table11[Contract Code],"*CR*")</f>
        <v>12</v>
      </c>
      <c r="C16" s="55">
        <f>SUMIFS(Table11['#TreesContract],Table11[Planting Year],2019,Table11[ETP'#s],1,Table11[Contract Code],"*CR*")</f>
        <v>22785</v>
      </c>
      <c r="D16" s="55">
        <f>SUMIFS(Table11['#Planted],Table11[Planting Year],2019,Table11[ETP'#s],1,Table11[Contract Code],"*CR*")</f>
        <v>22785</v>
      </c>
      <c r="E16" s="114">
        <f t="shared" si="0"/>
        <v>0</v>
      </c>
      <c r="F16" s="89">
        <f>COUNTIFS(Table11[ETP Year],"2022",Table11[Status],"Out of program",Table11[USA Allocation %],"&lt;&gt;",Table11[ETP'#s],1,Table11[Contract Code],"*CR*")</f>
        <v>0</v>
      </c>
      <c r="G16" s="89">
        <f>SUMIFS(Table37['# Trees Allocated to US Series],Table37[ETP Year],"2022",Table37[Status],"Out of program",Table37[Audit],1,Table37[Contract'#],"*CR*")</f>
        <v>0</v>
      </c>
      <c r="H16" s="89">
        <f t="shared" si="1"/>
        <v>12</v>
      </c>
      <c r="I16" s="89">
        <f t="shared" si="2"/>
        <v>22785</v>
      </c>
      <c r="J16" s="89">
        <f>SUMIFS(Table37[Total Trees as of 12/31/24],Table37[Status],"Active",Table37[ETP Year],"2022",Table37[Contract'#],"*CR*")+SUMIFS(Table37[Total Trees as of 12/31/24],Table37[ETP Year],"2022",Table37[Status],"RFT",Table37[Audit],1,Table37[Contract'#],"*CR*")</f>
        <v>5006</v>
      </c>
      <c r="K16" s="89">
        <f t="shared" si="4"/>
        <v>17779</v>
      </c>
      <c r="L16" s="90">
        <f t="shared" si="3"/>
        <v>0.21970594689488698</v>
      </c>
    </row>
    <row r="17" spans="1:12" ht="16.5" hidden="1" outlineLevel="1" thickBot="1" x14ac:dyDescent="0.3">
      <c r="A17" s="41" t="s">
        <v>69</v>
      </c>
      <c r="B17" s="54">
        <f>COUNTIFS(Table11[Planting Year],2019,Table11[ETP'#s],1,Table11[Contract Code],"*GT*")</f>
        <v>10</v>
      </c>
      <c r="C17" s="55">
        <f>SUMIFS(Table11['#TreesContract],Table11[Planting Year],2019,Table11[ETP'#s],1,Table11[Contract Code],"*GT*")</f>
        <v>22906</v>
      </c>
      <c r="D17" s="55">
        <f>SUMIFS(Table11['#Planted],Table11[Planting Year],2019,Table11[ETP'#s],1,Table11[Contract Code],"*GT*")</f>
        <v>22906</v>
      </c>
      <c r="E17" s="114">
        <f t="shared" si="0"/>
        <v>0</v>
      </c>
      <c r="F17" s="89">
        <f>COUNTIFS(Table11[ETP Year],"2022",Table11[Status],"Out of program",Table11[USA Allocation %],"&lt;&gt;",Table11[ETP'#s],1,Table11[Contract Code],"*GT*")</f>
        <v>0</v>
      </c>
      <c r="G17" s="89">
        <f>SUMIFS(Table37['# Trees Allocated to US Series],Table37[ETP Year],"2022",Table37[Status],"Out of program",Table37[Audit],1,Table37[Contract'#],"*GT*")</f>
        <v>0</v>
      </c>
      <c r="H17" s="89">
        <f t="shared" si="1"/>
        <v>10</v>
      </c>
      <c r="I17" s="89">
        <f t="shared" si="2"/>
        <v>22906</v>
      </c>
      <c r="J17" s="89">
        <f>SUMIFS(Table37[Total Trees as of 12/31/24],Table37[Status],"Active",Table37[ETP Year],"2022",Table37[Contract'#],"*GT*")+SUMIFS(Table37[Total Trees as of 12/31/24],Table37[ETP Year],"2022",Table37[Status],"RFT",Table37[Audit],1,Table37[Contract'#],"*GT*")</f>
        <v>11469</v>
      </c>
      <c r="K17" s="89">
        <f t="shared" si="4"/>
        <v>11437</v>
      </c>
      <c r="L17" s="90">
        <f t="shared" si="3"/>
        <v>0.50069850694141271</v>
      </c>
    </row>
    <row r="18" spans="1:12" ht="16.5" hidden="1" outlineLevel="1" thickBot="1" x14ac:dyDescent="0.3">
      <c r="A18" s="41" t="s">
        <v>70</v>
      </c>
      <c r="B18" s="54">
        <f>COUNTIFS(Table11[Planting Year],2019,Table11[ETP'#s],1,Table11[Contract Code],"*MX*")</f>
        <v>2</v>
      </c>
      <c r="C18" s="55">
        <f>SUMIFS(Table11['#TreesContract],Table11[Planting Year],2019,Table11[ETP'#s],1,Table11[Contract Code],"*MX*")</f>
        <v>7000</v>
      </c>
      <c r="D18" s="55">
        <f>SUMIFS(Table11['#Planted],Table11[Planting Year],2019,Table11[ETP'#s],1,Table11[Contract Code],"*MX*")</f>
        <v>7000</v>
      </c>
      <c r="E18" s="114">
        <f t="shared" si="0"/>
        <v>0</v>
      </c>
      <c r="F18" s="89">
        <f>COUNTIFS(Table11[ETP Year],"2022",Table11[Status],"Out of program",Table11[USA Allocation %],"&lt;&gt;",Table11[ETP'#s],1,Table11[Contract Code],"*MX*")</f>
        <v>0</v>
      </c>
      <c r="G18" s="89">
        <f>SUMIFS(Table37['# Trees Allocated to US Series],Table37[ETP Year],"2022",Table37[Status],"Out of program",Table37[Audit],1,Table37[Contract'#],"*MX*")</f>
        <v>0</v>
      </c>
      <c r="H18" s="89">
        <f t="shared" si="1"/>
        <v>2</v>
      </c>
      <c r="I18" s="89">
        <f t="shared" si="2"/>
        <v>7000</v>
      </c>
      <c r="J18" s="89">
        <f>SUMIFS(Table37[Total Trees as of 12/31/24],Table37[Status],"Active",Table37[ETP Year],"2022",Table37[Contract'#],"*MX*")+SUMIFS(Table37[Total Trees as of 12/31/24],Table37[ETP Year],"2022",Table37[Status],"RFT",Table37[Audit],1,Table37[Contract'#],"*MX*")</f>
        <v>21950</v>
      </c>
      <c r="K18" s="89">
        <f t="shared" si="4"/>
        <v>-14950</v>
      </c>
      <c r="L18" s="90">
        <f t="shared" si="3"/>
        <v>3.1357142857142857</v>
      </c>
    </row>
    <row r="19" spans="1:12" ht="15.75" hidden="1" outlineLevel="1" x14ac:dyDescent="0.25">
      <c r="A19" s="41" t="s">
        <v>71</v>
      </c>
      <c r="B19" s="54">
        <f>COUNTIFS(Table11[Planting Year],2019,Table11[ETP'#s],1,Table11[Contract Code],"*US*")</f>
        <v>19</v>
      </c>
      <c r="C19" s="55">
        <f>SUMIFS(Table11['#TreesContract],Table11[Planting Year],2019,Table11[ETP'#s],1,Table11[Contract Code],"*US*")</f>
        <v>42100</v>
      </c>
      <c r="D19" s="55">
        <f>SUMIFS(Table11['#Planted],Table11[Planting Year],2019,Table11[ETP'#s],1,Table11[Contract Code],"*US*")</f>
        <v>42100</v>
      </c>
      <c r="E19" s="115">
        <f t="shared" si="0"/>
        <v>0</v>
      </c>
      <c r="F19" s="91">
        <f>COUNTIFS(Table11[ETP Year],"2022",Table11[Status],"Out of program",Table11[USA Allocation %],"&lt;&gt;",Table11[ETP'#s],1,Table11[Contract Code],"*US*")</f>
        <v>0</v>
      </c>
      <c r="G19" s="91">
        <f>SUMIFS(Table37['# Trees Allocated to US Series],Table37[ETP Year],"2022",Table37[Status],"Out of program",Table37[Audit],1,Table37[Contract'#],"*US*")</f>
        <v>0</v>
      </c>
      <c r="H19" s="91">
        <f t="shared" si="1"/>
        <v>19</v>
      </c>
      <c r="I19" s="91">
        <f t="shared" si="2"/>
        <v>42100</v>
      </c>
      <c r="J19" s="91">
        <f>SUMIFS(Table37[Total Trees as of 12/31/24],Table37[Status],"Active",Table37[ETP Year],"2022",Table37[Contract'#],"*US*")+SUMIFS(Table37[Total Trees as of 12/31/24],Table37[ETP Year],"2022",Table37[Status],"RFT",Table37[Audit],1,Table37[Contract'#],"*US*")</f>
        <v>4180</v>
      </c>
      <c r="K19" s="91">
        <f t="shared" si="4"/>
        <v>37920</v>
      </c>
      <c r="L19" s="92">
        <f t="shared" si="3"/>
        <v>9.9287410926365796E-2</v>
      </c>
    </row>
    <row r="20" spans="1:12" ht="16.5" collapsed="1" thickBot="1" x14ac:dyDescent="0.3">
      <c r="A20" s="74">
        <v>2019</v>
      </c>
      <c r="B20" s="57">
        <f>COUNTIFS(Table11[Planting Year],2019,Table11[ETP'#s],1)</f>
        <v>43</v>
      </c>
      <c r="C20" s="58">
        <f>SUMIFS(Table11['#TreesContract],Table11[Planting Year],2019,Table11[ETP'#s],1)</f>
        <v>94791</v>
      </c>
      <c r="D20" s="58">
        <f>SUMIFS(Table11['#Planted],Table11[Planting Year],2019,Table11[ETP'#s],1)</f>
        <v>94791</v>
      </c>
      <c r="E20" s="113">
        <f t="shared" si="0"/>
        <v>0</v>
      </c>
      <c r="F20" s="93">
        <f>COUNTIFS(Table11[ETP Year],"2022",Table11[Status],"Out of program",Table11[USA Allocation %],"&lt;&gt;",Table11[ETP'#s],1)</f>
        <v>0</v>
      </c>
      <c r="G20" s="93">
        <f>SUMIFS(Table37['# Trees Allocated to US Series],Table37[ETP Year],"2022",Table37[Status],"Out of program",Table37[Audit],1)</f>
        <v>0</v>
      </c>
      <c r="H20" s="93">
        <f t="shared" si="1"/>
        <v>43</v>
      </c>
      <c r="I20" s="93">
        <f t="shared" si="2"/>
        <v>94791</v>
      </c>
      <c r="J20" s="93">
        <f>SUMIFS(Table37[Total Trees as of 12/31/24],Table37[Status],"Active",Table37[ETP Year],"2022",Table37[Audit],1)+SUMIFS(Table37[Total Trees as of 12/31/24],Table37[ETP Year],"2022",Table37[Status],"RFT",Table37[Audit],1)</f>
        <v>42605</v>
      </c>
      <c r="K20" s="94">
        <f t="shared" si="4"/>
        <v>52186</v>
      </c>
      <c r="L20" s="95">
        <f t="shared" si="3"/>
        <v>0.44946250171429775</v>
      </c>
    </row>
    <row r="21" spans="1:12" ht="16.5" hidden="1" outlineLevel="1" thickBot="1" x14ac:dyDescent="0.3">
      <c r="A21" s="41" t="s">
        <v>23</v>
      </c>
      <c r="B21" s="54">
        <f>COUNTIFS(Table11[Planting Year],2020,Table11[ETP'#s],1,Table11[Contract Code],"*CR*")</f>
        <v>35</v>
      </c>
      <c r="C21" s="55">
        <f>SUMIFS(Table11['#TreesContract],Table11[Planting Year],2020,Table11[ETP'#s],1,Table11[Contract Code],"*CR*")</f>
        <v>64850</v>
      </c>
      <c r="D21" s="55">
        <f>SUMIFS(Table11['#Planted],Table11[Planting Year],2020,Table11[ETP'#s],1,Table11[Contract Code],"*CR*")</f>
        <v>64850</v>
      </c>
      <c r="E21" s="116">
        <f t="shared" si="0"/>
        <v>0</v>
      </c>
      <c r="F21" s="53">
        <f>COUNTIFS(Table11[ETP Year],"2023",Table11[Status],"Out of program",Table11[USA Allocation %],"&lt;&gt;",Table11[ETP'#s],1,Table11[Contract Code],"*CR*")</f>
        <v>0</v>
      </c>
      <c r="G21" s="53">
        <f>SUMIFS(Table37['# Trees Allocated to US Series],Table37[ETP Year],"2023",Table37[Status],"Out of program",Table37[Audit],1,Table37[Contract'#],"*CR*")</f>
        <v>0</v>
      </c>
      <c r="H21" s="53">
        <f t="shared" si="1"/>
        <v>35</v>
      </c>
      <c r="I21" s="53">
        <f t="shared" si="2"/>
        <v>64850</v>
      </c>
      <c r="J21" s="53">
        <f>SUMIFS(Table37[Total Trees as of 12/31/24],Table37[Status],"Active",Table37[ETP Year],"2023",Table37[Contract'#],"*CR*")+SUMIFS(Table37[Total Trees as of 12/31/24],Table37[ETP Year],"2023",Table37[Status],"RFT",Table37[Audit],1,Table37[Contract'#],"*CR*")</f>
        <v>0</v>
      </c>
      <c r="K21" s="53">
        <f t="shared" si="4"/>
        <v>64850</v>
      </c>
      <c r="L21" s="19">
        <f t="shared" si="3"/>
        <v>0</v>
      </c>
    </row>
    <row r="22" spans="1:12" ht="16.5" hidden="1" outlineLevel="1" thickBot="1" x14ac:dyDescent="0.3">
      <c r="A22" s="41" t="s">
        <v>24</v>
      </c>
      <c r="B22" s="54">
        <f>COUNTIFS(Table11[Planting Year],2020,Table11[ETP'#s],1,Table11[Contract Code],"*GT*")</f>
        <v>16</v>
      </c>
      <c r="C22" s="55">
        <f>SUMIFS(Table11['#TreesContract],Table11[Planting Year],2020,Table11[ETP'#s],1,Table11[Contract Code],"*GT*")</f>
        <v>45336</v>
      </c>
      <c r="D22" s="55">
        <f>SUMIFS(Table11['#Planted],Table11[Planting Year],2020,Table11[ETP'#s],1,Table11[Contract Code],"*GT*")</f>
        <v>45336</v>
      </c>
      <c r="E22" s="116">
        <f t="shared" si="0"/>
        <v>0</v>
      </c>
      <c r="F22" s="53">
        <f>COUNTIFS(Table11[ETP Year],"2023",Table11[Status],"Out of program",Table11[USA Allocation %],"&lt;&gt;",Table11[ETP'#s],1,Table11[Contract Code],"*GT*")</f>
        <v>0</v>
      </c>
      <c r="G22" s="53">
        <f>SUMIFS(Table37['# Trees Allocated to US Series],Table37[ETP Year],"2023",Table37[Status],"Out of program",Table37[Audit],1,Table37[Contract'#],"*GT*")</f>
        <v>0</v>
      </c>
      <c r="H22" s="53">
        <f t="shared" si="1"/>
        <v>16</v>
      </c>
      <c r="I22" s="53">
        <f t="shared" si="2"/>
        <v>45336</v>
      </c>
      <c r="J22" s="53">
        <f>SUMIFS(Table37[Total Trees as of 12/31/24],Table37[Status],"Active",Table37[ETP Year],"2023",Table37[Contract'#],"*GT*")+SUMIFS(Table37[Total Trees as of 12/31/24],Table37[ETP Year],"2023",Table37[Status],"RFT",Table37[Audit],1,Table37[Contract'#],"*GT*")</f>
        <v>0</v>
      </c>
      <c r="K22" s="53">
        <f t="shared" si="4"/>
        <v>45336</v>
      </c>
      <c r="L22" s="19">
        <f t="shared" si="3"/>
        <v>0</v>
      </c>
    </row>
    <row r="23" spans="1:12" ht="16.5" hidden="1" outlineLevel="1" thickBot="1" x14ac:dyDescent="0.3">
      <c r="A23" s="41" t="s">
        <v>27</v>
      </c>
      <c r="B23" s="54">
        <f>COUNTIFS(Table11[Planting Year],2020,Table11[ETP'#s],1,Table11[Contract Code],"*MX*")</f>
        <v>15</v>
      </c>
      <c r="C23" s="55">
        <f>SUMIFS(Table11['#TreesContract],Table11[Planting Year],2020,Table11[ETP'#s],1,Table11[Contract Code],"*MX*")</f>
        <v>94250</v>
      </c>
      <c r="D23" s="55">
        <f>SUMIFS(Table11['#Planted],Table11[Planting Year],2020,Table11[ETP'#s],1,Table11[Contract Code],"*MX*")</f>
        <v>94250</v>
      </c>
      <c r="E23" s="116">
        <f t="shared" si="0"/>
        <v>0</v>
      </c>
      <c r="F23" s="53">
        <f>COUNTIFS(Table11[ETP Year],"2023",Table11[Status],"Out of program",Table11[USA Allocation %],"&lt;&gt;",Table11[ETP'#s],1,Table11[Contract Code],"*MX*")</f>
        <v>0</v>
      </c>
      <c r="G23" s="53">
        <f>SUMIFS(Table37['# Trees Allocated to US Series],Table37[ETP Year],"2023",Table37[Status],"Out of program",Table37[Audit],1,Table37[Contract'#],"*MX*")</f>
        <v>0</v>
      </c>
      <c r="H23" s="53">
        <f t="shared" si="1"/>
        <v>15</v>
      </c>
      <c r="I23" s="53">
        <f t="shared" si="2"/>
        <v>94250</v>
      </c>
      <c r="J23" s="53">
        <f>SUMIFS(Table37[Total Trees as of 12/31/24],Table37[Status],"Active",Table37[ETP Year],"2023",Table37[Contract'#],"*MX*")+SUMIFS(Table37[Total Trees as of 12/31/24],Table37[ETP Year],"2023",Table37[Status],"RFT",Table37[Audit],1,Table37[Contract'#],"*MX*")</f>
        <v>0</v>
      </c>
      <c r="K23" s="53">
        <f t="shared" si="4"/>
        <v>94250</v>
      </c>
      <c r="L23" s="19">
        <f t="shared" si="3"/>
        <v>0</v>
      </c>
    </row>
    <row r="24" spans="1:12" ht="15.75" hidden="1" outlineLevel="1" x14ac:dyDescent="0.25">
      <c r="A24" s="41" t="s">
        <v>28</v>
      </c>
      <c r="B24" s="54">
        <f>COUNTIFS(Table11[Planting Year],2020,Table11[ETP'#s],1,Table11[Contract Code],"*US*")</f>
        <v>37</v>
      </c>
      <c r="C24" s="55">
        <f>SUMIFS(Table11['#TreesContract],Table11[Planting Year],2020,Table11[ETP'#s],1,Table11[Contract Code],"*US*")</f>
        <v>57459</v>
      </c>
      <c r="D24" s="55">
        <f>SUMIFS(Table11['#Planted],Table11[Planting Year],2020,Table11[ETP'#s],1,Table11[Contract Code],"*US*")</f>
        <v>57459</v>
      </c>
      <c r="E24" s="117">
        <f t="shared" si="0"/>
        <v>0</v>
      </c>
      <c r="F24" s="56">
        <f>COUNTIFS(Table11[ETP Year],"2023",Table11[Status],"Out of program",Table11[USA Allocation %],"&lt;&gt;",Table11[ETP'#s],1,Table11[Contract Code],"*US*")</f>
        <v>0</v>
      </c>
      <c r="G24" s="56">
        <f>SUMIFS(Table37['# Trees Allocated to US Series],Table37[ETP Year],"2023",Table37[Status],"Out of program",Table37[Audit],1,Table37[Contract'#],"*US*")</f>
        <v>0</v>
      </c>
      <c r="H24" s="56">
        <f t="shared" si="1"/>
        <v>37</v>
      </c>
      <c r="I24" s="56">
        <f t="shared" si="2"/>
        <v>57459</v>
      </c>
      <c r="J24" s="56">
        <f>SUMIFS(Table37[Total Trees as of 12/31/24],Table37[Status],"Active",Table37[ETP Year],"2023",Table37[Contract'#],"*US*")+SUMIFS(Table37[Total Trees as of 12/31/24],Table37[ETP Year],"2023",Table37[Status],"RFT",Table37[Audit],1,Table37[Contract'#],"*US*")</f>
        <v>0</v>
      </c>
      <c r="K24" s="56">
        <f t="shared" si="4"/>
        <v>57459</v>
      </c>
      <c r="L24" s="20">
        <f t="shared" si="3"/>
        <v>0</v>
      </c>
    </row>
    <row r="25" spans="1:12" ht="16.5" collapsed="1" thickBot="1" x14ac:dyDescent="0.3">
      <c r="A25" s="74">
        <v>2020</v>
      </c>
      <c r="B25" s="57">
        <f>COUNTIFS(Table11[Planting Year],2020,Table11[ETP'#s],1)</f>
        <v>103</v>
      </c>
      <c r="C25" s="58">
        <f>SUMIFS(Table11['#TreesContract],Table11[Planting Year],2020,Table11[ETP'#s],1)</f>
        <v>261895</v>
      </c>
      <c r="D25" s="58">
        <f>SUMIFS(Table11['#Planted],Table11[Planting Year],2020,Table11[ETP'#s],1)</f>
        <v>261895</v>
      </c>
      <c r="E25" s="118">
        <f t="shared" si="0"/>
        <v>0</v>
      </c>
      <c r="F25" s="58">
        <f>COUNTIFS(Table11[ETP Year],"2023",Table11[Status],"Out of program",Table11[USA Allocation %],"&lt;&gt;",Table11[ETP'#s],1)</f>
        <v>0</v>
      </c>
      <c r="G25" s="58">
        <f>SUMIFS(Table37['# Trees Allocated to US Series],Table37[ETP Year],"2023",Table37[Status],"Out of program",Table37[Audit],1)</f>
        <v>0</v>
      </c>
      <c r="H25" s="59">
        <f t="shared" si="1"/>
        <v>103</v>
      </c>
      <c r="I25" s="59">
        <f t="shared" si="2"/>
        <v>261895</v>
      </c>
      <c r="J25" s="58">
        <f>SUMIFS(Table37[Total Trees as of 12/31/24],Table37[Status],"Active",Table37[ETP Year],"2023",Table37[Audit],1)+SUMIFS(Table37[Total Trees as of 12/31/24],Table37[ETP Year],"2023",Table37[Status],"RFT",Table37[Audit],1)</f>
        <v>0</v>
      </c>
      <c r="K25" s="57">
        <f t="shared" si="4"/>
        <v>261895</v>
      </c>
      <c r="L25" s="42">
        <f t="shared" si="3"/>
        <v>0</v>
      </c>
    </row>
    <row r="26" spans="1:12" ht="16.5" hidden="1" outlineLevel="1" thickBot="1" x14ac:dyDescent="0.3">
      <c r="A26" s="41" t="s">
        <v>30</v>
      </c>
      <c r="B26" s="54">
        <f>COUNTIFS(Table11[Planting Year],2021,Table11[ETP'#s],1,Table11[Contract Code],"*CR*")</f>
        <v>10</v>
      </c>
      <c r="C26" s="55">
        <f>SUMIFS(Table11['#TreesContract],Table11[Planting Year],2021,Table11[ETP'#s],1,Table11[Contract Code],"*CR*")</f>
        <v>13055</v>
      </c>
      <c r="D26" s="55">
        <f>SUMIFS(Table11['#Planted],Table11[Planting Year],2021,Table11[ETP'#s],1,Table11[Contract Code],"*CR*")</f>
        <v>13055</v>
      </c>
      <c r="E26" s="116">
        <f t="shared" si="0"/>
        <v>0</v>
      </c>
      <c r="F26" s="53">
        <f>COUNTIFS(Table11[ETP Year],"Unallocated",Table11[Status],"Out of program",Table11[USA Allocation %],"&lt;&gt;",Table11[ETP'#s],1,Table11[Contract Code],"*CR*")</f>
        <v>0</v>
      </c>
      <c r="G26" s="53">
        <f>SUMIFS(Table37['# Trees Allocated to US Series],Table37[ETP Year],"Unallocated",Table37[Status],"Out of program",Table37[Audit],1,Table37[Contract'#],"*CR*")</f>
        <v>0</v>
      </c>
      <c r="H26" s="53">
        <f t="shared" si="1"/>
        <v>10</v>
      </c>
      <c r="I26" s="53">
        <f t="shared" si="2"/>
        <v>13055</v>
      </c>
      <c r="J26" s="53">
        <f>SUMIFS(Table37[Total Trees as of 12/31/24],Table37[Status],"Active",Table37[ETP Year],"Unallocated",Table37[Contract'#],"*CR*")+SUMIFS(Table37[Total Trees as of 12/31/24],Table37[ETP Year],"Unallocated",Table37[Status],"RFT",Table37[Audit],1,Table37[Contract'#],"*CR*")</f>
        <v>0</v>
      </c>
      <c r="K26" s="53">
        <f t="shared" si="4"/>
        <v>13055</v>
      </c>
      <c r="L26" s="19">
        <f t="shared" si="3"/>
        <v>0</v>
      </c>
    </row>
    <row r="27" spans="1:12" ht="16.5" hidden="1" outlineLevel="1" thickBot="1" x14ac:dyDescent="0.3">
      <c r="A27" s="41" t="s">
        <v>31</v>
      </c>
      <c r="B27" s="54">
        <f>COUNTIFS(Table11[Planting Year],2021,Table11[ETP'#s],1,Table11[Contract Code],"*GT*")</f>
        <v>13</v>
      </c>
      <c r="C27" s="55">
        <f>SUMIFS(Table11['#TreesContract],Table11[Planting Year],2021,Table11[ETP'#s],1,Table11[Contract Code],"*GT*")</f>
        <v>43375</v>
      </c>
      <c r="D27" s="55">
        <f>SUMIFS(Table11['#Planted],Table11[Planting Year],2021,Table11[ETP'#s],1,Table11[Contract Code],"*GT*")</f>
        <v>43375</v>
      </c>
      <c r="E27" s="116">
        <f t="shared" si="0"/>
        <v>0</v>
      </c>
      <c r="F27" s="53">
        <f>COUNTIFS(Table11[ETP Year],"Unallocated",Table11[Status],"Out of program",Table11[USA Allocation %],"&lt;&gt;",Table11[ETP'#s],1,Table11[Contract Code],"*GT*")</f>
        <v>0</v>
      </c>
      <c r="G27" s="53">
        <f>SUMIFS(Table37['# Trees Allocated to US Series],Table37[ETP Year],"Unallocated",Table37[Status],"Out of program",Table37[Audit],1,Table37[Contract'#],"*GT*")</f>
        <v>0</v>
      </c>
      <c r="H27" s="53">
        <f t="shared" si="1"/>
        <v>13</v>
      </c>
      <c r="I27" s="53">
        <f t="shared" si="2"/>
        <v>43375</v>
      </c>
      <c r="J27" s="53">
        <f>SUMIFS(Table37[Total Trees as of 12/31/24],Table37[Status],"Active",Table37[ETP Year],"Unallocated",Table37[Contract'#],"*GT*")+SUMIFS(Table37[Total Trees as of 12/31/24],Table37[ETP Year],"Unallocated",Table37[Status],"RFT",Table37[Audit],1,Table37[Contract'#],"*GT*")</f>
        <v>0</v>
      </c>
      <c r="K27" s="53">
        <f t="shared" si="4"/>
        <v>43375</v>
      </c>
      <c r="L27" s="19">
        <f t="shared" si="3"/>
        <v>0</v>
      </c>
    </row>
    <row r="28" spans="1:12" ht="16.5" hidden="1" outlineLevel="1" thickBot="1" x14ac:dyDescent="0.3">
      <c r="A28" s="41" t="s">
        <v>32</v>
      </c>
      <c r="B28" s="54">
        <f>COUNTIFS(Table11[Planting Year],2021,Table11[ETP'#s],1,Table11[Contract Code],"*MX*")</f>
        <v>7</v>
      </c>
      <c r="C28" s="55">
        <f>SUMIFS(Table11['#TreesContract],Table11[Planting Year],2021,Table11[ETP'#s],1,Table11[Contract Code],"*MX*")</f>
        <v>15400</v>
      </c>
      <c r="D28" s="55">
        <f>SUMIFS(Table11['#Planted],Table11[Planting Year],2021,Table11[ETP'#s],1,Table11[Contract Code],"*MX*")</f>
        <v>15400</v>
      </c>
      <c r="E28" s="116">
        <f t="shared" si="0"/>
        <v>0</v>
      </c>
      <c r="F28" s="53">
        <f>COUNTIFS(Table11[ETP Year],"Unallocated",Table11[Status],"Out of program",Table11[USA Allocation %],"&lt;&gt;",Table11[ETP'#s],1,Table11[Contract Code],"*MX*")</f>
        <v>0</v>
      </c>
      <c r="G28" s="53">
        <f>SUMIFS(Table37['# Trees Allocated to US Series],Table37[ETP Year],"Unallocated",Table37[Status],"Out of program",Table37[Audit],1,Table37[Contract'#],"*MX*")</f>
        <v>0</v>
      </c>
      <c r="H28" s="53">
        <f t="shared" si="1"/>
        <v>7</v>
      </c>
      <c r="I28" s="53">
        <f t="shared" si="2"/>
        <v>15400</v>
      </c>
      <c r="J28" s="53">
        <f>SUMIFS(Table37[Total Trees as of 12/31/24],Table37[Status],"Active",Table37[ETP Year],"Unallocated",Table37[Contract'#],"*MX*")+SUMIFS(Table37[Total Trees as of 12/31/24],Table37[ETP Year],"Unallocated",Table37[Status],"RFT",Table37[Audit],1,Table37[Contract'#],"*MX*")</f>
        <v>0</v>
      </c>
      <c r="K28" s="53">
        <f t="shared" si="4"/>
        <v>15400</v>
      </c>
      <c r="L28" s="19">
        <f t="shared" si="3"/>
        <v>0</v>
      </c>
    </row>
    <row r="29" spans="1:12" ht="15.75" hidden="1" outlineLevel="1" x14ac:dyDescent="0.25">
      <c r="A29" s="41" t="s">
        <v>33</v>
      </c>
      <c r="B29" s="54">
        <f>COUNTIFS(Table11[Planting Year],2021,Table11[ETP'#s],1,Table11[Contract Code],"*US*")</f>
        <v>39</v>
      </c>
      <c r="C29" s="55">
        <f>SUMIFS(Table11['#TreesContract],Table11[Planting Year],2021,Table11[ETP'#s],1,Table11[Contract Code],"*US*")</f>
        <v>46740</v>
      </c>
      <c r="D29" s="55">
        <f>SUMIFS(Table11['#Planted],Table11[Planting Year],2021,Table11[ETP'#s],1,Table11[Contract Code],"*US*")</f>
        <v>46740</v>
      </c>
      <c r="E29" s="117">
        <f t="shared" si="0"/>
        <v>0</v>
      </c>
      <c r="F29" s="56">
        <f>COUNTIFS(Table11[ETP Year],"Unallocated",Table11[Status],"Out of program",Table11[USA Allocation %],"&lt;&gt;",Table11[ETP'#s],1,Table11[Contract Code],"*US*")</f>
        <v>0</v>
      </c>
      <c r="G29" s="56">
        <f>SUMIFS(Table37['# Trees Allocated to US Series],Table37[ETP Year],"Unallocated",Table37[Status],"Out of program",Table37[Audit],1,Table37[Contract'#],"*US*")</f>
        <v>0</v>
      </c>
      <c r="H29" s="56">
        <f t="shared" si="1"/>
        <v>39</v>
      </c>
      <c r="I29" s="56">
        <f t="shared" si="2"/>
        <v>46740</v>
      </c>
      <c r="J29" s="56">
        <f>SUMIFS(Table37[Total Trees as of 12/31/24],Table37[Status],"Active",Table37[ETP Year],"Unallocated",Table37[Contract'#],"*US*")+SUMIFS(Table37[Total Trees as of 12/31/24],Table37[ETP Year],"Unallocated",Table37[Status],"RFT",Table37[Audit],1,Table37[Contract'#],"*US*")</f>
        <v>0</v>
      </c>
      <c r="K29" s="56">
        <f t="shared" si="4"/>
        <v>46740</v>
      </c>
      <c r="L29" s="20">
        <f t="shared" si="3"/>
        <v>0</v>
      </c>
    </row>
    <row r="30" spans="1:12" ht="16.5" collapsed="1" thickBot="1" x14ac:dyDescent="0.3">
      <c r="A30" s="74">
        <v>2021</v>
      </c>
      <c r="B30" s="57">
        <f>COUNTIFS(Table11[Planting Year],2021,Table11[ETP'#s],1)</f>
        <v>69</v>
      </c>
      <c r="C30" s="58">
        <f>SUMIFS(Table11['#TreesContract],Table11[Planting Year],2021,Table11[ETP'#s],1)</f>
        <v>118570</v>
      </c>
      <c r="D30" s="58">
        <f>SUMIFS(Table11['#Planted],Table11[Planting Year],2021,Table11[ETP'#s],1)</f>
        <v>118570</v>
      </c>
      <c r="E30" s="118">
        <f t="shared" si="0"/>
        <v>0</v>
      </c>
      <c r="F30" s="58">
        <f>COUNTIFS(Table11[ETP Year],"2024",Table11[Status],"Out of program",Table11[USA Allocation %],"&lt;&gt;",Table11[ETP'#s],1)</f>
        <v>0</v>
      </c>
      <c r="G30" s="58">
        <f>SUMIFS(Table37['# Trees Allocated to US Series],Table37[ETP Year],"Unallocated",Table37[Status],"Out of program",Table37[Audit],1)</f>
        <v>0</v>
      </c>
      <c r="H30" s="59">
        <f t="shared" si="1"/>
        <v>69</v>
      </c>
      <c r="I30" s="59">
        <f t="shared" si="2"/>
        <v>118570</v>
      </c>
      <c r="J30" s="58">
        <f>SUMIFS(Table37[Total Trees as of 12/31/24],Table37[Status],"Active",Table37[ETP Year],"Unallocated",Table37[Audit],1)+SUMIFS(Table37[Total Trees as of 12/31/24],Table37[ETP Year],"Unallocated",Table37[Status],"RFT",Table37[Audit],1)</f>
        <v>0</v>
      </c>
      <c r="K30" s="57">
        <f t="shared" si="4"/>
        <v>118570</v>
      </c>
      <c r="L30" s="42">
        <f t="shared" si="3"/>
        <v>0</v>
      </c>
    </row>
    <row r="31" spans="1:12" ht="16.5" hidden="1" outlineLevel="1" thickBot="1" x14ac:dyDescent="0.3">
      <c r="A31" s="41" t="s">
        <v>35</v>
      </c>
      <c r="B31" s="54">
        <f>COUNTIFS(Table11[Planting Year],2022,Table11[ETP'#s],1,Table11[Contract Code],"*CR*")</f>
        <v>3</v>
      </c>
      <c r="C31" s="55">
        <f>SUMIFS(Table11['#TreesContract],Table11[Planting Year],2022,Table11[ETP'#s],1,Table11[Contract Code],"*CR*")</f>
        <v>4200</v>
      </c>
      <c r="D31" s="55">
        <f>SUMIFS(Table11['#Planted],Table11[Planting Year],2022,Table11[ETP'#s],1,Table11[Contract Code],"*CR*")</f>
        <v>4200</v>
      </c>
      <c r="E31" s="114">
        <f t="shared" ref="E31:E45" si="5">D31-C31</f>
        <v>0</v>
      </c>
      <c r="F31" s="53">
        <f>COUNTIFS(Table11[ETP Year],2018,Table11[Status],"Out of program",Table11[Canada Allocation %],"&lt;&gt;",Table11[ETP'#s],1,Table11[Contract Code],"*CR*")</f>
        <v>6</v>
      </c>
      <c r="G31" s="53">
        <f>SUMIFS(Table378['# Trees Allocated to US Series],Table378[ETP Year],2018,Table378[Status],"Out of program",Table378[Audit],1,Table378[Contract'#],"*CR*")</f>
        <v>2262.6</v>
      </c>
      <c r="H31" s="53">
        <f t="shared" si="1"/>
        <v>-3</v>
      </c>
      <c r="I31" s="53">
        <f t="shared" si="2"/>
        <v>1937.4</v>
      </c>
      <c r="J31" s="53">
        <f>SUMIFS(Table378[Total Trees as of 12/31/24],Table378[Status],"Active",Table378[ETP Year],2018,Table378[Contract'#],"*CR*")+SUMIFS(Table378[Total Trees as of 12/31/24],Table378[ETP Year],2018,Table378[Status],"RFT",Table378[Audit],1,Table378[Contract'#],"*CR*")</f>
        <v>2591.5220696603642</v>
      </c>
      <c r="K31" s="53">
        <f t="shared" ref="K31:K46" si="6">I31-J31</f>
        <v>-654.1220696603641</v>
      </c>
      <c r="L31" s="19">
        <f t="shared" si="3"/>
        <v>0.6170290642048486</v>
      </c>
    </row>
    <row r="32" spans="1:12" ht="16.5" hidden="1" outlineLevel="1" thickBot="1" x14ac:dyDescent="0.3">
      <c r="A32" s="41" t="s">
        <v>36</v>
      </c>
      <c r="B32" s="54">
        <f>COUNTIFS(Table11[Planting Year],2022,Table11[ETP'#s],1,Table11[Contract Code],"*GT*")</f>
        <v>4</v>
      </c>
      <c r="C32" s="55">
        <f>SUMIFS(Table11['#TreesContract],Table11[Planting Year],2022,Table11[ETP'#s],1,Table11[Contract Code],"*GT*")</f>
        <v>27500</v>
      </c>
      <c r="D32" s="55">
        <f>SUMIFS(Table11['#Planted],Table11[Planting Year],2022,Table11[ETP'#s],1,Table11[Contract Code],"*GT*")</f>
        <v>27489</v>
      </c>
      <c r="E32" s="114">
        <f t="shared" si="5"/>
        <v>-11</v>
      </c>
      <c r="F32" s="53">
        <f>COUNTIFS(Table11[ETP Year],2018,Table11[Status],"Out of program",Table11[Canada Allocation %],"&lt;&gt;",Table11[ETP'#s],1,Table11[Contract Code],"*GT*")</f>
        <v>5</v>
      </c>
      <c r="G32" s="53">
        <f>SUMIFS(Table378['# Trees Allocated to US Series],Table378[ETP Year],2018,Table378[Status],"Out of program",Table378[Audit],1,Table378[Contract'#],"*GT*")</f>
        <v>1820</v>
      </c>
      <c r="H32" s="53">
        <f t="shared" si="1"/>
        <v>-1</v>
      </c>
      <c r="I32" s="53">
        <f t="shared" si="2"/>
        <v>25680</v>
      </c>
      <c r="J32" s="53">
        <f>SUMIFS(Table378[Total Trees as of 12/31/24],Table378[Status],"Active",Table378[ETP Year],2018,Table378[Contract'#],"*GT*")+SUMIFS(Table378[Total Trees as of 12/31/24],Table378[ETP Year],2018,Table378[Status],"RFT",Table378[Audit],1,Table378[Contract'#],"*GT*")</f>
        <v>3296.854618682924</v>
      </c>
      <c r="K32" s="53">
        <f t="shared" si="6"/>
        <v>22383.145381317077</v>
      </c>
      <c r="L32" s="19">
        <f t="shared" si="3"/>
        <v>0.11988562249756086</v>
      </c>
    </row>
    <row r="33" spans="1:12" ht="16.5" hidden="1" outlineLevel="1" thickBot="1" x14ac:dyDescent="0.3">
      <c r="A33" s="41" t="s">
        <v>37</v>
      </c>
      <c r="B33" s="54">
        <f>COUNTIFS(Table11[Planting Year],2022,Table11[ETP'#s],1,Table11[Contract Code],"*MX*")</f>
        <v>12</v>
      </c>
      <c r="C33" s="55">
        <f>SUMIFS(Table11['#TreesContract],Table11[Planting Year],2022,Table11[ETP'#s],1,Table11[Contract Code],"*MX*")</f>
        <v>38366</v>
      </c>
      <c r="D33" s="55">
        <f>SUMIFS(Table11['#Planted],Table11[Planting Year],2022,Table11[ETP'#s],1,Table11[Contract Code],"*MX*")</f>
        <v>38366</v>
      </c>
      <c r="E33" s="114">
        <f t="shared" si="5"/>
        <v>0</v>
      </c>
      <c r="F33" s="53">
        <f>COUNTIFS(Table11[ETP Year],2018,Table11[Status],"Out of program",Table11[Canada Allocation %],"&lt;&gt;",Table11[ETP'#s],1,Table11[Contract Code],"*MX*")</f>
        <v>4</v>
      </c>
      <c r="G33" s="53">
        <f>SUMIFS(Table378['# Trees Allocated to US Series],Table378[ETP Year],2018,Table378[Status],"Out of program",Table378[Audit],1,Table378[Contract'#],"*MX*")</f>
        <v>5292</v>
      </c>
      <c r="H33" s="53">
        <f t="shared" si="1"/>
        <v>8</v>
      </c>
      <c r="I33" s="53">
        <f t="shared" si="2"/>
        <v>33074</v>
      </c>
      <c r="J33" s="53">
        <f>SUMIFS(Table378[Total Trees as of 12/31/24],Table378[Status],"Active",Table378[ETP Year],2018,Table378[Contract'#],"*MX*")+SUMIFS(Table378[Total Trees as of 12/31/24],Table378[ETP Year],2018,Table378[Status],"RFT",Table378[Audit],1,Table378[Contract'#],"*MX*")</f>
        <v>2937.6</v>
      </c>
      <c r="K33" s="53">
        <f t="shared" si="6"/>
        <v>30136.400000000001</v>
      </c>
      <c r="L33" s="19">
        <f t="shared" si="3"/>
        <v>7.6567794401292813E-2</v>
      </c>
    </row>
    <row r="34" spans="1:12" ht="15.75" hidden="1" outlineLevel="1" x14ac:dyDescent="0.25">
      <c r="A34" s="41" t="s">
        <v>38</v>
      </c>
      <c r="B34" s="54">
        <f>COUNTIFS(Table11[Planting Year],2022,Table11[ETP'#s],1,Table11[Contract Code],"*US*")</f>
        <v>17</v>
      </c>
      <c r="C34" s="55">
        <f>SUMIFS(Table11['#TreesContract],Table11[Planting Year],2022,Table11[ETP'#s],1,Table11[Contract Code],"*US*")</f>
        <v>26114</v>
      </c>
      <c r="D34" s="55">
        <f>SUMIFS(Table11['#Planted],Table11[Planting Year],2022,Table11[ETP'#s],1,Table11[Contract Code],"*US*")</f>
        <v>26114</v>
      </c>
      <c r="E34" s="115">
        <f t="shared" si="5"/>
        <v>0</v>
      </c>
      <c r="F34" s="56">
        <f>COUNTIFS(Table11[ETP Year],2018,Table11[Status],"Out of program",Table11[Canada Allocation %],"&lt;&gt;",Table11[ETP'#s],1,Table11[Contract Code],"*US*")</f>
        <v>6</v>
      </c>
      <c r="G34" s="56">
        <f>SUMIFS(Table378['# Trees Allocated to US Series],Table378[ETP Year],2018,Table378[Status],"Out of program",Table378[Audit],1,Table378[Contract'#],"*US*")</f>
        <v>3438</v>
      </c>
      <c r="H34" s="56">
        <f t="shared" si="1"/>
        <v>11</v>
      </c>
      <c r="I34" s="56">
        <f t="shared" si="2"/>
        <v>22676</v>
      </c>
      <c r="J34" s="56">
        <f>SUMIFS(Table378[Total Trees as of 12/31/24],Table378[Status],"Active",Table378[ETP Year],2018,Table378[Contract'#],"*US*")+SUMIFS(Table378[Total Trees as of 12/31/24],Table378[ETP Year],2018,Table378[Status],"RFT",Table378[Audit],1,Table378[Contract'#],"*US*")</f>
        <v>4796.4017464799972</v>
      </c>
      <c r="K34" s="56">
        <f t="shared" si="6"/>
        <v>17879.598253520002</v>
      </c>
      <c r="L34" s="20">
        <f t="shared" si="3"/>
        <v>0.18367166066018217</v>
      </c>
    </row>
    <row r="35" spans="1:12" ht="16.5" collapsed="1" thickBot="1" x14ac:dyDescent="0.3">
      <c r="A35" s="74">
        <v>2022</v>
      </c>
      <c r="B35" s="57">
        <f>COUNTIFS(Table11[Planting Year],2022,Table11[ETP'#s],1)</f>
        <v>36</v>
      </c>
      <c r="C35" s="58">
        <f>SUMIFS(Table11['#TreesContract],Table11[Planting Year],2022,Table11[ETP'#s],1)</f>
        <v>96180</v>
      </c>
      <c r="D35" s="58">
        <f>SUMIFS(Table11['#Planted],Table11[Planting Year],2022,Table11[ETP'#s],1)</f>
        <v>96169</v>
      </c>
      <c r="E35" s="113">
        <f t="shared" si="5"/>
        <v>-11</v>
      </c>
      <c r="F35" s="58">
        <f>COUNTIFS(Table11[ETP Year],2018,Table11[Status],"Out of program",Table11[Canada Allocation %],"&lt;&gt;",Table11[ETP'#s],1)</f>
        <v>21</v>
      </c>
      <c r="G35" s="58">
        <f>SUMIFS(Table378['# Trees Allocated to US Series],Table378[ETP Year],2018,Table378[Status],"Out of Program",Table378[Audit],1)</f>
        <v>12812.6</v>
      </c>
      <c r="H35" s="59">
        <f t="shared" si="1"/>
        <v>15</v>
      </c>
      <c r="I35" s="59">
        <f t="shared" si="2"/>
        <v>83367.399999999994</v>
      </c>
      <c r="J35" s="58">
        <f>SUMIFS(Table378[Total Trees as of 12/31/24],Table378[Status],"Active",Table378[ETP Year],2018,Table378[Audit],1)+SUMIFS(Table378[Total Trees as of 12/31/24],Table378[ETP Year],2018,Table378[Status],"RFT",Table378[Audit],1)</f>
        <v>13622.378434823286</v>
      </c>
      <c r="K35" s="57">
        <f t="shared" si="6"/>
        <v>69745.021565176707</v>
      </c>
      <c r="L35" s="42">
        <f t="shared" si="3"/>
        <v>0.14163421121671121</v>
      </c>
    </row>
    <row r="36" spans="1:12" ht="16.5" hidden="1" outlineLevel="1" thickBot="1" x14ac:dyDescent="0.3">
      <c r="A36" s="41" t="s">
        <v>40</v>
      </c>
      <c r="B36" s="54">
        <f>COUNTIFS(Table11[Planting Year],2023,Table11[ETP'#s],1,Table11[Contract Code],"*CR*")</f>
        <v>6</v>
      </c>
      <c r="C36" s="55">
        <f>SUMIFS(Table11['#TreesContract],Table11[Planting Year],2023,Table11[ETP'#s],1,Table11[Contract Code],"*CR*")</f>
        <v>10300</v>
      </c>
      <c r="D36" s="55">
        <f>SUMIFS(Table11['#Planted],Table11[Planting Year],2023,Table11[ETP'#s],1,Table11[Contract Code],"*CR*")</f>
        <v>10300</v>
      </c>
      <c r="E36" s="116">
        <f t="shared" si="5"/>
        <v>0</v>
      </c>
      <c r="F36" s="53">
        <f>COUNTIFS(Table11[ETP Year],2018,Table11[Status],"Out of program",Table11[Canada Allocation %],"&lt;&gt;",Table11[ETP'#s],1,Table11[Contract Code],"*CR*")</f>
        <v>6</v>
      </c>
      <c r="G36" s="53">
        <f>SUMIFS(Table378['# Trees Allocated to US Series],Table378[ETP Year],2018,Table378[Status],"Out of program",Table378[Audit],1,Table378[Contract'#],"*CR*")</f>
        <v>2262.6</v>
      </c>
      <c r="H36" s="53">
        <f t="shared" si="1"/>
        <v>0</v>
      </c>
      <c r="I36" s="53">
        <f t="shared" si="2"/>
        <v>8037.4</v>
      </c>
      <c r="J36" s="53">
        <f>SUMIFS(Table378[Total Trees as of 12/31/24],Table378[Status],"Active",Table378[ETP Year],2018,Table378[Contract'#],"*CR*")+SUMIFS(Table378[Total Trees as of 12/31/24],Table378[ETP Year],2018,Table378[Status],"RFT",Table378[Audit],1,Table378[Contract'#],"*CR*")</f>
        <v>2591.5220696603642</v>
      </c>
      <c r="K36" s="53">
        <f t="shared" ref="K36:K40" si="7">I36-J36</f>
        <v>5445.877930339635</v>
      </c>
      <c r="L36" s="19">
        <f t="shared" si="3"/>
        <v>0.25160408443304505</v>
      </c>
    </row>
    <row r="37" spans="1:12" ht="16.5" hidden="1" outlineLevel="1" thickBot="1" x14ac:dyDescent="0.3">
      <c r="A37" s="41" t="s">
        <v>41</v>
      </c>
      <c r="B37" s="54">
        <f>COUNTIFS(Table11[Planting Year],2023,Table11[ETP'#s],1,Table11[Contract Code],"*GT*")</f>
        <v>3</v>
      </c>
      <c r="C37" s="55">
        <f>SUMIFS(Table11['#TreesContract],Table11[Planting Year],2023,Table11[ETP'#s],1,Table11[Contract Code],"*GT*")</f>
        <v>12060</v>
      </c>
      <c r="D37" s="55">
        <f>SUMIFS(Table11['#Planted],Table11[Planting Year],2023,Table11[ETP'#s],1,Table11[Contract Code],"*GT*")</f>
        <v>12060</v>
      </c>
      <c r="E37" s="116">
        <f t="shared" si="5"/>
        <v>0</v>
      </c>
      <c r="F37" s="53">
        <f>COUNTIFS(Table11[ETP Year],2018,Table11[Status],"Out of program",Table11[Canada Allocation %],"&lt;&gt;",Table11[ETP'#s],1,Table11[Contract Code],"*GT*")</f>
        <v>5</v>
      </c>
      <c r="G37" s="53">
        <f>SUMIFS(Table378['# Trees Allocated to US Series],Table378[ETP Year],2018,Table378[Status],"Out of program",Table378[Audit],1,Table378[Contract'#],"*GT*")</f>
        <v>1820</v>
      </c>
      <c r="H37" s="53">
        <f t="shared" si="1"/>
        <v>-2</v>
      </c>
      <c r="I37" s="53">
        <f t="shared" si="2"/>
        <v>10240</v>
      </c>
      <c r="J37" s="53">
        <f>SUMIFS(Table378[Total Trees as of 12/31/24],Table378[Status],"Active",Table378[ETP Year],2018,Table378[Contract'#],"*GT*")+SUMIFS(Table378[Total Trees as of 12/31/24],Table378[ETP Year],2018,Table378[Status],"RFT",Table378[Audit],1,Table378[Contract'#],"*GT*")</f>
        <v>3296.854618682924</v>
      </c>
      <c r="K37" s="53">
        <f t="shared" si="7"/>
        <v>6943.1453813170756</v>
      </c>
      <c r="L37" s="19">
        <f t="shared" si="3"/>
        <v>0.27337102974153599</v>
      </c>
    </row>
    <row r="38" spans="1:12" ht="16.5" hidden="1" outlineLevel="1" thickBot="1" x14ac:dyDescent="0.3">
      <c r="A38" s="41" t="s">
        <v>42</v>
      </c>
      <c r="B38" s="54">
        <f>COUNTIFS(Table11[Planting Year],2023,Table11[ETP'#s],1,Table11[Contract Code],"*MX*")</f>
        <v>13</v>
      </c>
      <c r="C38" s="55">
        <f>SUMIFS(Table11['#TreesContract],Table11[Planting Year],2023,Table11[ETP'#s],1,Table11[Contract Code],"*MX*")</f>
        <v>40392</v>
      </c>
      <c r="D38" s="55">
        <f>SUMIFS(Table11['#Planted],Table11[Planting Year],2023,Table11[ETP'#s],1,Table11[Contract Code],"*MX*")</f>
        <v>36800</v>
      </c>
      <c r="E38" s="116">
        <f t="shared" si="5"/>
        <v>-3592</v>
      </c>
      <c r="F38" s="53">
        <f>COUNTIFS(Table11[ETP Year],2018,Table11[Status],"Out of program",Table11[Canada Allocation %],"&lt;&gt;",Table11[ETP'#s],1,Table11[Contract Code],"*MX*")</f>
        <v>4</v>
      </c>
      <c r="G38" s="53">
        <f>SUMIFS(Table378['# Trees Allocated to US Series],Table378[ETP Year],2018,Table378[Status],"Out of program",Table378[Audit],1,Table378[Contract'#],"*MX*")</f>
        <v>5292</v>
      </c>
      <c r="H38" s="53">
        <f t="shared" si="1"/>
        <v>9</v>
      </c>
      <c r="I38" s="53">
        <f t="shared" si="2"/>
        <v>35100</v>
      </c>
      <c r="J38" s="53">
        <f>SUMIFS(Table378[Total Trees as of 12/31/24],Table378[Status],"Active",Table378[ETP Year],2018,Table378[Contract'#],"*MX*")+SUMIFS(Table378[Total Trees as of 12/31/24],Table378[ETP Year],2018,Table378[Status],"RFT",Table378[Audit],1,Table378[Contract'#],"*MX*")</f>
        <v>2937.6</v>
      </c>
      <c r="K38" s="53">
        <f t="shared" si="7"/>
        <v>32162.400000000001</v>
      </c>
      <c r="L38" s="19">
        <f t="shared" si="3"/>
        <v>7.2727272727272724E-2</v>
      </c>
    </row>
    <row r="39" spans="1:12" ht="15.75" hidden="1" outlineLevel="1" x14ac:dyDescent="0.25">
      <c r="A39" s="41" t="s">
        <v>43</v>
      </c>
      <c r="B39" s="54">
        <f>COUNTIFS(Table11[Planting Year],2023,Table11[ETP'#s],1,Table11[Contract Code],"*US*")</f>
        <v>10</v>
      </c>
      <c r="C39" s="55">
        <f>SUMIFS(Table11['#TreesContract],Table11[Planting Year],2023,Table11[ETP'#s],1,Table11[Contract Code],"*US*")</f>
        <v>17546</v>
      </c>
      <c r="D39" s="55">
        <f>SUMIFS(Table11['#Planted],Table11[Planting Year],2023,Table11[ETP'#s],1,Table11[Contract Code],"*US*")</f>
        <v>17546</v>
      </c>
      <c r="E39" s="117">
        <f t="shared" si="5"/>
        <v>0</v>
      </c>
      <c r="F39" s="56">
        <f>COUNTIFS(Table11[ETP Year],2018,Table11[Status],"Out of program",Table11[Canada Allocation %],"&lt;&gt;",Table11[ETP'#s],1,Table11[Contract Code],"*US*")</f>
        <v>6</v>
      </c>
      <c r="G39" s="56">
        <f>SUMIFS(Table378['# Trees Allocated to US Series],Table378[ETP Year],2018,Table378[Status],"Out of program",Table378[Audit],1,Table378[Contract'#],"*US*")</f>
        <v>3438</v>
      </c>
      <c r="H39" s="56">
        <f t="shared" si="1"/>
        <v>4</v>
      </c>
      <c r="I39" s="56">
        <f t="shared" si="2"/>
        <v>14108</v>
      </c>
      <c r="J39" s="56">
        <f>SUMIFS(Table378[Total Trees as of 12/31/24],Table378[Status],"Active",Table378[ETP Year],2018,Table378[Contract'#],"*US*")+SUMIFS(Table378[Total Trees as of 12/31/24],Table378[ETP Year],2018,Table378[Status],"RFT",Table378[Audit],1,Table378[Contract'#],"*US*")</f>
        <v>4796.4017464799972</v>
      </c>
      <c r="K39" s="56">
        <f t="shared" si="7"/>
        <v>9311.5982535200019</v>
      </c>
      <c r="L39" s="20">
        <f t="shared" si="3"/>
        <v>0.27336154944032814</v>
      </c>
    </row>
    <row r="40" spans="1:12" ht="16.5" collapsed="1" thickBot="1" x14ac:dyDescent="0.3">
      <c r="A40" s="74">
        <v>2023</v>
      </c>
      <c r="B40" s="57">
        <f>COUNTIFS(Table11[Planting Year],2023,Table11[ETP'#s],1)</f>
        <v>32</v>
      </c>
      <c r="C40" s="58">
        <f>SUMIFS(Table11['#TreesContract],Table11[Planting Year],2023,Table11[ETP'#s],1)</f>
        <v>80298</v>
      </c>
      <c r="D40" s="58">
        <f>SUMIFS(Table11['#Planted],Table11[Planting Year],2023,Table11[ETP'#s],1)</f>
        <v>76706</v>
      </c>
      <c r="E40" s="118">
        <f t="shared" si="5"/>
        <v>-3592</v>
      </c>
      <c r="F40" s="58">
        <f>COUNTIFS(Table11[ETP Year],2018,Table11[Status],"Out of program",Table11[Canada Allocation %],"&lt;&gt;",Table11[ETP'#s],1)</f>
        <v>21</v>
      </c>
      <c r="G40" s="58">
        <f>SUMIFS(Table378['# Trees Allocated to US Series],Table378[ETP Year],2018,Table378[Status],"Out of Program",Table378[Audit],1)</f>
        <v>12812.6</v>
      </c>
      <c r="H40" s="59">
        <f t="shared" si="1"/>
        <v>11</v>
      </c>
      <c r="I40" s="59">
        <f t="shared" si="2"/>
        <v>67485.399999999994</v>
      </c>
      <c r="J40" s="58">
        <f>SUMIFS(Table378[Total Trees as of 12/31/24],Table378[Status],"Active",Table378[ETP Year],2018,Table378[Audit],1)+SUMIFS(Table378[Total Trees as of 12/31/24],Table378[ETP Year],2018,Table378[Status],"RFT",Table378[Audit],1)</f>
        <v>13622.378434823286</v>
      </c>
      <c r="K40" s="57">
        <f t="shared" si="7"/>
        <v>53863.021565176707</v>
      </c>
      <c r="L40" s="42">
        <f t="shared" si="3"/>
        <v>0.16964779240856914</v>
      </c>
    </row>
    <row r="41" spans="1:12" ht="16.5" hidden="1" outlineLevel="1" thickBot="1" x14ac:dyDescent="0.3">
      <c r="A41" s="41" t="s">
        <v>45</v>
      </c>
      <c r="B41" s="54">
        <f>COUNTIFS(Table11[Planting Year],2024,Table11[ETP'#s],1,Table11[Contract Code],"*CR*")</f>
        <v>0</v>
      </c>
      <c r="C41" s="55">
        <f>SUMIFS(Table11['#TreesContract],Table11[Planting Year],2024,Table11[ETP'#s],1,Table11[Contract Code],"*CR*")</f>
        <v>0</v>
      </c>
      <c r="D41" s="55">
        <f>SUMIFS(Table11['#Planted],Table11[Planting Year],2024,Table11[ETP'#s],1,Table11[Contract Code],"*CR*")</f>
        <v>0</v>
      </c>
      <c r="E41" s="116">
        <f t="shared" si="5"/>
        <v>0</v>
      </c>
      <c r="F41" s="53">
        <f>COUNTIFS(Table11[ETP Year],2018,Table11[Status],"Out of program",Table11[Canada Allocation %],"&lt;&gt;",Table11[ETP'#s],1,Table11[Contract Code],"*CR*")</f>
        <v>6</v>
      </c>
      <c r="G41" s="53">
        <f>SUMIFS(Table378['# Trees Allocated to US Series],Table378[ETP Year],2018,Table378[Status],"Out of program",Table378[Audit],1,Table378[Contract'#],"*CR*")</f>
        <v>2262.6</v>
      </c>
      <c r="H41" s="53">
        <f t="shared" si="1"/>
        <v>-6</v>
      </c>
      <c r="I41" s="53">
        <f t="shared" si="2"/>
        <v>-2262.6</v>
      </c>
      <c r="J41" s="53">
        <f>SUMIFS(Table378[Total Trees as of 12/31/24],Table378[Status],"Active",Table378[ETP Year],2018,Table378[Contract'#],"*CR*")+SUMIFS(Table378[Total Trees as of 12/31/24],Table378[ETP Year],2018,Table378[Status],"RFT",Table378[Audit],1,Table378[Contract'#],"*CR*")</f>
        <v>2591.5220696603642</v>
      </c>
      <c r="K41" s="53">
        <f t="shared" ref="K41:K45" si="8">I41-J41</f>
        <v>-4854.1220696603641</v>
      </c>
      <c r="L41" s="19">
        <f t="shared" si="3"/>
        <v>0</v>
      </c>
    </row>
    <row r="42" spans="1:12" ht="16.5" hidden="1" outlineLevel="1" thickBot="1" x14ac:dyDescent="0.3">
      <c r="A42" s="41" t="s">
        <v>46</v>
      </c>
      <c r="B42" s="54">
        <f>COUNTIFS(Table11[Planting Year],2024,Table11[ETP'#s],1,Table11[Contract Code],"*GT*")</f>
        <v>0</v>
      </c>
      <c r="C42" s="55">
        <f>SUMIFS(Table11['#TreesContract],Table11[Planting Year],2024,Table11[ETP'#s],1,Table11[Contract Code],"*GT*")</f>
        <v>0</v>
      </c>
      <c r="D42" s="55">
        <f>SUMIFS(Table11['#Planted],Table11[Planting Year],2024,Table11[ETP'#s],1,Table11[Contract Code],"*GT*")</f>
        <v>0</v>
      </c>
      <c r="E42" s="116">
        <f t="shared" si="5"/>
        <v>0</v>
      </c>
      <c r="F42" s="53">
        <f>COUNTIFS(Table11[ETP Year],2018,Table11[Status],"Out of program",Table11[Canada Allocation %],"&lt;&gt;",Table11[ETP'#s],1,Table11[Contract Code],"*GT*")</f>
        <v>5</v>
      </c>
      <c r="G42" s="53">
        <f>SUMIFS(Table378['# Trees Allocated to US Series],Table378[ETP Year],2018,Table378[Status],"Out of program",Table378[Audit],1,Table378[Contract'#],"*GT*")</f>
        <v>1820</v>
      </c>
      <c r="H42" s="53">
        <f t="shared" si="1"/>
        <v>-5</v>
      </c>
      <c r="I42" s="53">
        <f t="shared" si="2"/>
        <v>-1820</v>
      </c>
      <c r="J42" s="53">
        <f>SUMIFS(Table378[Total Trees as of 12/31/24],Table378[Status],"Active",Table378[ETP Year],2018,Table378[Contract'#],"*GT*")+SUMIFS(Table378[Total Trees as of 12/31/24],Table378[ETP Year],2018,Table378[Status],"RFT",Table378[Audit],1,Table378[Contract'#],"*GT*")</f>
        <v>3296.854618682924</v>
      </c>
      <c r="K42" s="53">
        <f t="shared" si="8"/>
        <v>-5116.8546186829244</v>
      </c>
      <c r="L42" s="19">
        <f t="shared" si="3"/>
        <v>0</v>
      </c>
    </row>
    <row r="43" spans="1:12" ht="16.5" hidden="1" outlineLevel="1" thickBot="1" x14ac:dyDescent="0.3">
      <c r="A43" s="41" t="s">
        <v>47</v>
      </c>
      <c r="B43" s="54">
        <f>COUNTIFS(Table11[Planting Year],2024,Table11[ETP'#s],1,Table11[Contract Code],"*MX*")</f>
        <v>0</v>
      </c>
      <c r="C43" s="55">
        <f>SUMIFS(Table11['#TreesContract],Table11[Planting Year],2024,Table11[ETP'#s],1,Table11[Contract Code],"*MX*")</f>
        <v>0</v>
      </c>
      <c r="D43" s="55">
        <f>SUMIFS(Table11['#Planted],Table11[Planting Year],2024,Table11[ETP'#s],1,Table11[Contract Code],"*MX*")</f>
        <v>0</v>
      </c>
      <c r="E43" s="116">
        <f t="shared" si="5"/>
        <v>0</v>
      </c>
      <c r="F43" s="53">
        <f>COUNTIFS(Table11[ETP Year],2018,Table11[Status],"Out of program",Table11[Canada Allocation %],"&lt;&gt;",Table11[ETP'#s],1,Table11[Contract Code],"*MX*")</f>
        <v>4</v>
      </c>
      <c r="G43" s="53">
        <f>SUMIFS(Table378['# Trees Allocated to US Series],Table378[ETP Year],2018,Table378[Status],"Out of program",Table378[Audit],1,Table378[Contract'#],"*MX*")</f>
        <v>5292</v>
      </c>
      <c r="H43" s="53">
        <f t="shared" si="1"/>
        <v>-4</v>
      </c>
      <c r="I43" s="53">
        <f t="shared" si="2"/>
        <v>-5292</v>
      </c>
      <c r="J43" s="53">
        <f>SUMIFS(Table378[Total Trees as of 12/31/24],Table378[Status],"Active",Table378[ETP Year],2018,Table378[Contract'#],"*MX*")+SUMIFS(Table378[Total Trees as of 12/31/24],Table378[ETP Year],2018,Table378[Status],"RFT",Table378[Audit],1,Table378[Contract'#],"*MX*")</f>
        <v>2937.6</v>
      </c>
      <c r="K43" s="53">
        <f t="shared" si="8"/>
        <v>-8229.6</v>
      </c>
      <c r="L43" s="19">
        <f t="shared" si="3"/>
        <v>0</v>
      </c>
    </row>
    <row r="44" spans="1:12" ht="15.75" hidden="1" outlineLevel="1" x14ac:dyDescent="0.25">
      <c r="A44" s="41" t="s">
        <v>48</v>
      </c>
      <c r="B44" s="54">
        <f>COUNTIFS(Table11[Planting Year],2024,Table11[ETP'#s],1,Table11[Contract Code],"*US*")</f>
        <v>11</v>
      </c>
      <c r="C44" s="55">
        <f>SUMIFS(Table11['#TreesContract],Table11[Planting Year],2024,Table11[ETP'#s],1,Table11[Contract Code],"*US*")</f>
        <v>18860</v>
      </c>
      <c r="D44" s="55">
        <f>SUMIFS(Table11['#Planted],Table11[Planting Year],2024,Table11[ETP'#s],1,Table11[Contract Code],"*US*")</f>
        <v>18750</v>
      </c>
      <c r="E44" s="117">
        <f t="shared" si="5"/>
        <v>-110</v>
      </c>
      <c r="F44" s="56">
        <f>COUNTIFS(Table11[ETP Year],2018,Table11[Status],"Out of program",Table11[Canada Allocation %],"&lt;&gt;",Table11[ETP'#s],1,Table11[Contract Code],"*US*")</f>
        <v>6</v>
      </c>
      <c r="G44" s="56">
        <f>SUMIFS(Table378['# Trees Allocated to US Series],Table378[ETP Year],2018,Table378[Status],"Out of program",Table378[Audit],1,Table378[Contract'#],"*US*")</f>
        <v>3438</v>
      </c>
      <c r="H44" s="56">
        <f t="shared" si="1"/>
        <v>5</v>
      </c>
      <c r="I44" s="56">
        <f t="shared" si="2"/>
        <v>15422</v>
      </c>
      <c r="J44" s="56">
        <f>SUMIFS(Table378[Total Trees as of 12/31/24],Table378[Status],"Active",Table378[ETP Year],2018,Table378[Contract'#],"*US*")+SUMIFS(Table378[Total Trees as of 12/31/24],Table378[ETP Year],2018,Table378[Status],"RFT",Table378[Audit],1,Table378[Contract'#],"*US*")</f>
        <v>4796.4017464799972</v>
      </c>
      <c r="K44" s="56">
        <f t="shared" si="8"/>
        <v>10625.598253520002</v>
      </c>
      <c r="L44" s="20">
        <f t="shared" si="3"/>
        <v>0.25431610532767746</v>
      </c>
    </row>
    <row r="45" spans="1:12" ht="16.5" collapsed="1" thickBot="1" x14ac:dyDescent="0.3">
      <c r="A45" s="74">
        <v>2024</v>
      </c>
      <c r="B45" s="57">
        <f>COUNTIFS(Table11[Planting Year],2024,Table11[ETP'#s],1)</f>
        <v>11</v>
      </c>
      <c r="C45" s="58">
        <f>SUMIFS(Table11['#TreesContract],Table11[Planting Year],2024,Table11[ETP'#s],1)</f>
        <v>18860</v>
      </c>
      <c r="D45" s="58">
        <f>SUMIFS(Table11['#Planted],Table11[Planting Year],2024,Table11[ETP'#s],1)</f>
        <v>18750</v>
      </c>
      <c r="E45" s="118">
        <f t="shared" si="5"/>
        <v>-110</v>
      </c>
      <c r="F45" s="58">
        <f>COUNTIFS(Table11[ETP Year],2018,Table11[Status],"Out of program",Table11[Canada Allocation %],"&lt;&gt;",Table11[ETP'#s],1)</f>
        <v>21</v>
      </c>
      <c r="G45" s="58">
        <f>SUMIFS(Table378['# Trees Allocated to US Series],Table378[ETP Year],2018,Table378[Status],"Out of Program",Table378[Audit],1)</f>
        <v>12812.6</v>
      </c>
      <c r="H45" s="59">
        <f t="shared" si="1"/>
        <v>-10</v>
      </c>
      <c r="I45" s="59">
        <f t="shared" si="2"/>
        <v>6047.4</v>
      </c>
      <c r="J45" s="58">
        <f>SUMIFS(Table378[Total Trees as of 12/31/24],Table378[Status],"Active",Table378[ETP Year],2018,Table378[Audit],1)+SUMIFS(Table378[Total Trees as of 12/31/24],Table378[ETP Year],2018,Table378[Status],"RFT",Table378[Audit],1)</f>
        <v>13622.378434823286</v>
      </c>
      <c r="K45" s="57">
        <f t="shared" si="8"/>
        <v>-7574.9784348232861</v>
      </c>
      <c r="L45" s="42">
        <f t="shared" si="3"/>
        <v>0.7222894186014468</v>
      </c>
    </row>
    <row r="46" spans="1:12" s="65" customFormat="1" ht="16.5" thickBot="1" x14ac:dyDescent="0.3">
      <c r="A46" s="75" t="s">
        <v>51</v>
      </c>
      <c r="B46" s="63">
        <f>SUM(B6+B9+B12+B15+B20+B25+B30+B35+B40+B45)</f>
        <v>365</v>
      </c>
      <c r="C46" s="63">
        <f t="shared" ref="C46:E46" si="9">SUM(C6+C9+C12+C15+C20+C25+C30+C35+C40+C45)</f>
        <v>758686</v>
      </c>
      <c r="D46" s="63">
        <f t="shared" si="9"/>
        <v>754973</v>
      </c>
      <c r="E46" s="63">
        <f t="shared" si="9"/>
        <v>-3713</v>
      </c>
      <c r="F46" s="63" t="e">
        <f>SUM(#REF!+#REF!+#REF!+F35)</f>
        <v>#REF!</v>
      </c>
      <c r="G46" s="63" t="e">
        <f>SUM(#REF!+#REF!+#REF!+G35)</f>
        <v>#REF!</v>
      </c>
      <c r="H46" s="63" t="e">
        <f>SUM(#REF!+#REF!+#REF!+H35)</f>
        <v>#REF!</v>
      </c>
      <c r="I46" s="63" t="e">
        <f>SUM(#REF!+#REF!+#REF!+I35)</f>
        <v>#REF!</v>
      </c>
      <c r="J46" s="63" t="e">
        <f>SUM(#REF!+#REF!+#REF!+J35)</f>
        <v>#REF!</v>
      </c>
      <c r="K46" s="63" t="e">
        <f t="shared" si="6"/>
        <v>#REF!</v>
      </c>
      <c r="L46" s="64">
        <f t="shared" si="3"/>
        <v>0</v>
      </c>
    </row>
    <row r="47" spans="1:12" ht="15" customHeight="1" thickTop="1" x14ac:dyDescent="0.25"/>
    <row r="50" spans="3:9" x14ac:dyDescent="0.25">
      <c r="C50" s="119"/>
      <c r="D50" s="119"/>
    </row>
    <row r="59" spans="3:9" x14ac:dyDescent="0.25">
      <c r="I59" s="98"/>
    </row>
  </sheetData>
  <mergeCells count="1">
    <mergeCell ref="A1:E1"/>
  </mergeCells>
  <pageMargins left="0.7" right="0.7" top="0.75" bottom="0.75" header="0.3" footer="0.3"/>
  <pageSetup fitToHeight="0" orientation="landscape"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E0AAF-D7A2-42FD-A4CB-CAE207A5D985}">
  <sheetPr>
    <tabColor theme="4" tint="0.79998168889431442"/>
  </sheetPr>
  <dimension ref="A1:BW499"/>
  <sheetViews>
    <sheetView tabSelected="1" topLeftCell="A172" zoomScaleNormal="100" workbookViewId="0">
      <pane xSplit="1" topLeftCell="B1" activePane="topRight" state="frozen"/>
      <selection activeCell="G416" sqref="G416"/>
      <selection pane="topRight" activeCell="AM1" sqref="AM1:AM1048576"/>
    </sheetView>
  </sheetViews>
  <sheetFormatPr defaultColWidth="9.140625" defaultRowHeight="15" customHeight="1" x14ac:dyDescent="0.25"/>
  <cols>
    <col min="1" max="1" width="21.140625" style="7" bestFit="1" customWidth="1"/>
    <col min="2" max="2" width="18.42578125" customWidth="1"/>
    <col min="3" max="3" width="13.28515625" style="7" customWidth="1"/>
    <col min="4" max="4" width="14" bestFit="1" customWidth="1"/>
    <col min="5" max="5" width="16" customWidth="1"/>
    <col min="6" max="6" width="13.85546875" customWidth="1"/>
    <col min="7" max="7" width="25.5703125" customWidth="1"/>
    <col min="8" max="8" width="11.42578125" style="97" customWidth="1"/>
    <col min="9" max="9" width="13.42578125" customWidth="1"/>
    <col min="10" max="11" width="14.7109375" customWidth="1"/>
    <col min="12" max="12" width="39.42578125" customWidth="1"/>
    <col min="13" max="13" width="15.28515625" customWidth="1"/>
    <col min="14" max="17" width="13.7109375" customWidth="1"/>
    <col min="18" max="18" width="17.42578125" customWidth="1"/>
    <col min="19" max="19" width="19.140625" customWidth="1"/>
    <col min="20" max="21" width="15" customWidth="1"/>
    <col min="22" max="22" width="13.85546875" style="8" customWidth="1"/>
    <col min="23" max="23" width="19.140625" style="16" customWidth="1"/>
    <col min="24" max="24" width="16.7109375" style="8" customWidth="1"/>
    <col min="25" max="26" width="15.140625" style="16" customWidth="1"/>
    <col min="27" max="27" width="19.42578125" style="8" customWidth="1"/>
    <col min="28" max="28" width="19.42578125" style="16" customWidth="1"/>
    <col min="29" max="35" width="17.7109375" customWidth="1"/>
    <col min="36" max="37" width="17.7109375" style="7" customWidth="1"/>
    <col min="38" max="38" width="17.7109375" style="414" customWidth="1"/>
    <col min="39" max="41" width="17.7109375" customWidth="1"/>
    <col min="42" max="43" width="18.42578125" customWidth="1"/>
    <col min="44" max="45" width="16.7109375" bestFit="1" customWidth="1"/>
    <col min="46" max="55" width="9.42578125" customWidth="1"/>
    <col min="56" max="56" width="14.28515625" customWidth="1"/>
    <col min="57" max="57" width="21.140625" customWidth="1"/>
    <col min="58" max="59" width="13.28515625" customWidth="1"/>
    <col min="60" max="62" width="11.42578125" customWidth="1"/>
    <col min="63" max="63" width="10.42578125" customWidth="1"/>
    <col min="64" max="64" width="10.140625" style="236" customWidth="1"/>
    <col min="65" max="65" width="10.28515625" style="68" customWidth="1"/>
    <col min="66" max="66" width="13.28515625" style="241" customWidth="1"/>
    <col min="67" max="69" width="13.28515625" style="236" customWidth="1"/>
    <col min="70" max="70" width="13.28515625" style="244" customWidth="1"/>
    <col min="71" max="71" width="12.85546875" style="68" customWidth="1"/>
    <col min="72" max="72" width="12.85546875" customWidth="1"/>
    <col min="73" max="73" width="12.85546875" style="236" customWidth="1"/>
  </cols>
  <sheetData>
    <row r="1" spans="1:75" ht="75.75" thickBot="1" x14ac:dyDescent="0.3">
      <c r="A1" s="36" t="s">
        <v>72</v>
      </c>
      <c r="B1" s="36" t="s">
        <v>73</v>
      </c>
      <c r="C1" s="37" t="s">
        <v>66</v>
      </c>
      <c r="D1" s="37" t="s">
        <v>74</v>
      </c>
      <c r="E1" s="36" t="s">
        <v>75</v>
      </c>
      <c r="F1" s="36" t="s">
        <v>76</v>
      </c>
      <c r="G1" s="36" t="s">
        <v>77</v>
      </c>
      <c r="H1" s="356" t="s">
        <v>78</v>
      </c>
      <c r="I1" s="36" t="s">
        <v>79</v>
      </c>
      <c r="J1" s="36" t="s">
        <v>80</v>
      </c>
      <c r="K1" s="36" t="s">
        <v>81</v>
      </c>
      <c r="L1" s="36" t="s">
        <v>82</v>
      </c>
      <c r="M1" s="36" t="s">
        <v>83</v>
      </c>
      <c r="N1" s="36" t="s">
        <v>84</v>
      </c>
      <c r="O1" s="36" t="s">
        <v>85</v>
      </c>
      <c r="P1" s="36" t="s">
        <v>86</v>
      </c>
      <c r="Q1" s="37" t="s">
        <v>87</v>
      </c>
      <c r="R1" s="36" t="s">
        <v>88</v>
      </c>
      <c r="S1" s="36" t="s">
        <v>89</v>
      </c>
      <c r="T1" s="347" t="s">
        <v>90</v>
      </c>
      <c r="U1" s="345" t="s">
        <v>91</v>
      </c>
      <c r="V1" s="345" t="s">
        <v>92</v>
      </c>
      <c r="W1" s="38" t="s">
        <v>93</v>
      </c>
      <c r="X1" s="185" t="s">
        <v>94</v>
      </c>
      <c r="Y1" s="245" t="s">
        <v>95</v>
      </c>
      <c r="Z1" s="245" t="s">
        <v>96</v>
      </c>
      <c r="AA1" s="186" t="s">
        <v>97</v>
      </c>
      <c r="AB1" s="164" t="s">
        <v>98</v>
      </c>
      <c r="AC1" s="187" t="s">
        <v>99</v>
      </c>
      <c r="AD1" s="165" t="s">
        <v>100</v>
      </c>
      <c r="AE1" s="165" t="s">
        <v>101</v>
      </c>
      <c r="AF1" s="38" t="s">
        <v>102</v>
      </c>
      <c r="AG1" s="38" t="s">
        <v>103</v>
      </c>
      <c r="AH1" s="38" t="s">
        <v>104</v>
      </c>
      <c r="AI1" s="418" t="s">
        <v>105</v>
      </c>
      <c r="AJ1" s="410" t="s">
        <v>106</v>
      </c>
      <c r="AK1" s="413" t="s">
        <v>107</v>
      </c>
      <c r="AL1" s="248" t="s">
        <v>108</v>
      </c>
      <c r="AM1" s="248" t="s">
        <v>109</v>
      </c>
      <c r="AN1" s="249" t="s">
        <v>110</v>
      </c>
      <c r="AO1" s="250" t="s">
        <v>111</v>
      </c>
      <c r="AP1" s="250" t="s">
        <v>112</v>
      </c>
      <c r="AQ1" s="250" t="s">
        <v>113</v>
      </c>
      <c r="AR1" s="38" t="s">
        <v>114</v>
      </c>
      <c r="AS1" s="38" t="s">
        <v>115</v>
      </c>
      <c r="AT1" s="38" t="s">
        <v>116</v>
      </c>
      <c r="AU1" s="38" t="s">
        <v>117</v>
      </c>
      <c r="AV1" s="38" t="s">
        <v>118</v>
      </c>
      <c r="AW1" s="38" t="s">
        <v>119</v>
      </c>
      <c r="AX1" s="36" t="s">
        <v>120</v>
      </c>
      <c r="AY1" s="36" t="s">
        <v>121</v>
      </c>
      <c r="AZ1" s="36" t="s">
        <v>122</v>
      </c>
      <c r="BA1" s="36" t="s">
        <v>123</v>
      </c>
      <c r="BB1" s="36" t="s">
        <v>124</v>
      </c>
      <c r="BC1" s="36" t="s">
        <v>125</v>
      </c>
      <c r="BD1" s="36" t="s">
        <v>126</v>
      </c>
      <c r="BE1" s="36" t="s">
        <v>127</v>
      </c>
      <c r="BF1" s="40" t="s">
        <v>128</v>
      </c>
      <c r="BG1" s="40" t="s">
        <v>129</v>
      </c>
      <c r="BH1" s="231" t="s">
        <v>130</v>
      </c>
      <c r="BI1" s="231" t="s">
        <v>131</v>
      </c>
      <c r="BJ1" s="231" t="s">
        <v>132</v>
      </c>
      <c r="BK1" s="238" t="s">
        <v>133</v>
      </c>
      <c r="BL1" s="231" t="s">
        <v>134</v>
      </c>
      <c r="BM1" s="238" t="s">
        <v>135</v>
      </c>
      <c r="BN1" s="234" t="s">
        <v>136</v>
      </c>
      <c r="BO1" s="234" t="s">
        <v>137</v>
      </c>
      <c r="BP1" s="239" t="s">
        <v>138</v>
      </c>
      <c r="BQ1" s="234" t="s">
        <v>139</v>
      </c>
      <c r="BR1" s="234" t="s">
        <v>140</v>
      </c>
      <c r="BS1" s="234" t="s">
        <v>141</v>
      </c>
      <c r="BT1" s="242" t="s">
        <v>142</v>
      </c>
      <c r="BU1" s="234" t="s">
        <v>143</v>
      </c>
    </row>
    <row r="2" spans="1:75" hidden="1" x14ac:dyDescent="0.25">
      <c r="A2" s="7" t="s">
        <v>144</v>
      </c>
      <c r="B2" s="2">
        <v>2015</v>
      </c>
      <c r="C2" s="2">
        <v>2015</v>
      </c>
      <c r="D2" s="2">
        <f>Table11[[#This Row],[Planting Year]]+9</f>
        <v>2024</v>
      </c>
      <c r="E2" s="97" t="s">
        <v>145</v>
      </c>
      <c r="F2" s="161">
        <v>10001</v>
      </c>
      <c r="G2" t="s">
        <v>145</v>
      </c>
      <c r="H2" s="357" t="s">
        <v>146</v>
      </c>
      <c r="I2" t="s">
        <v>147</v>
      </c>
      <c r="J2" s="154" t="s">
        <v>148</v>
      </c>
      <c r="K2" s="1" t="s">
        <v>149</v>
      </c>
      <c r="L2" s="1" t="s">
        <v>149</v>
      </c>
      <c r="M2" s="1" t="s">
        <v>150</v>
      </c>
      <c r="N2" t="s">
        <v>151</v>
      </c>
      <c r="O2">
        <v>26.278008</v>
      </c>
      <c r="P2">
        <v>-97.890073999999998</v>
      </c>
      <c r="Q2" s="2"/>
      <c r="R2" s="86"/>
      <c r="S2" s="2"/>
      <c r="T2" s="1">
        <v>2200</v>
      </c>
      <c r="U2" s="1">
        <v>2200</v>
      </c>
      <c r="V2" s="1" t="str">
        <f>IF(Table11[[#This Row],['#TreesContract]]-Table11[[#This Row],['#Planted]]=0,"",Table11[[#This Row],['#TreesContract]]-Table11[[#This Row],['#Planted]])</f>
        <v/>
      </c>
      <c r="W2" s="2"/>
      <c r="X2" s="34">
        <v>0</v>
      </c>
      <c r="Y2" s="163"/>
      <c r="Z2" s="163"/>
      <c r="AA2" s="34">
        <v>1</v>
      </c>
      <c r="AB2" s="163">
        <f>Table11[[#This Row],['#TreesContract]]*1</f>
        <v>2200</v>
      </c>
      <c r="AC2" s="34"/>
      <c r="AD2" s="163"/>
      <c r="AE2" s="163">
        <f>Table11[[#This Row],[Canada Allocation-tree '#''s]]+Table11[[#This Row],[Can trees/Allocation 2017]]</f>
        <v>2200</v>
      </c>
      <c r="AF2" s="5">
        <v>0</v>
      </c>
      <c r="AG2" s="35">
        <v>0</v>
      </c>
      <c r="AH2" s="35"/>
      <c r="AI2" s="405">
        <f>Table11[[#This Row],['#TreesContract]]*Table11[[#This Row],[2024 Inventory Survival%-master]]</f>
        <v>0</v>
      </c>
      <c r="AJ2" s="5"/>
      <c r="AK2" s="5">
        <v>0</v>
      </c>
      <c r="AL2" s="5">
        <v>0</v>
      </c>
      <c r="AM2" s="35">
        <f>AK2*Table11[[#This Row],['#TreesContract]]</f>
        <v>0</v>
      </c>
      <c r="AN2" s="35">
        <f>Table11[[#This Row],[2024 '#Trees Inventory + Estimate]]*Table11[[#This Row],[USA Allocation %]]</f>
        <v>0</v>
      </c>
      <c r="AO2" s="35">
        <f>Table11[[#This Row],[2024 '#Trees Inventory + Estimate]]*Table11[[#This Row],[Canada Allocation %]]</f>
        <v>0</v>
      </c>
      <c r="AP2" s="35">
        <f>Table11[[#This Row],[2024 '#Trees Inventory + Estimate]]*Table11[[#This Row],[Canada Allocation2017 %]]</f>
        <v>0</v>
      </c>
      <c r="AQ2" s="35">
        <f>Table11[[#This Row],['#Trees as of 2024/estimate-Can allocation]]+Table11[[#This Row],['#Trees as of 2024/estimate-Can allocation 2017]]</f>
        <v>0</v>
      </c>
      <c r="AR2" s="1" t="s">
        <v>152</v>
      </c>
      <c r="AS2" s="2" t="s">
        <v>153</v>
      </c>
      <c r="AT2" s="6">
        <f>IFERROR(Table11[[#This Row],['#Total Replacements]]/Table11[[#This Row],['#TreesContract]],"")</f>
        <v>0.45454545454545453</v>
      </c>
      <c r="AU2" s="4">
        <f>IF(SUM(Table11[[#This Row],['#Replace 24]:['#Replace 16]])=0,0,SUM(Table11[[#This Row],['#Replace 24]:['#Replace 16]]))</f>
        <v>1000</v>
      </c>
      <c r="AV2" s="2"/>
      <c r="AW2" s="2"/>
      <c r="AX2" s="3"/>
      <c r="AY2" s="2"/>
      <c r="AZ2" s="2"/>
      <c r="BA2" s="2"/>
      <c r="BB2" s="2"/>
      <c r="BC2" s="2"/>
      <c r="BD2" s="2"/>
      <c r="BE2" s="2">
        <v>1000</v>
      </c>
      <c r="BF2" s="3">
        <v>1</v>
      </c>
      <c r="BG2" s="3">
        <v>1</v>
      </c>
      <c r="BH2" s="232"/>
      <c r="BI2" s="269"/>
      <c r="BJ2" s="269"/>
      <c r="BK2" s="139">
        <f>Table11[[#This Row],[Average MHT
(Feet)]]/16</f>
        <v>0</v>
      </c>
      <c r="BL2" s="232"/>
      <c r="BM2" s="253">
        <f>Table11[[#This Row],[Average DBH
(inches)]]/18</f>
        <v>0</v>
      </c>
      <c r="BN2" s="235">
        <f>((Table11[[#This Row],[Average DBH
(inches)]]-4)^2)*(Table11[[#This Row],[Average MHT
(Feet)]]/16)</f>
        <v>0</v>
      </c>
      <c r="BO2" s="235">
        <f>Table11[[#This Row],[Average BF]]*Table11[[#This Row],[2024 '#Trees Inventory + Estimate]]</f>
        <v>0</v>
      </c>
      <c r="BP2" s="240">
        <f>(Table11[[#This Row],[Harvest Year
(10 year)]]-Table11[[#This Row],[Year of Inventory]]+1)*(Table11[[#This Row],[Average DBH
(inches)]]/(Table11[[#This Row],[Harvest Year
(10 year)]]-Table11[[#This Row],[Year of Inventory]]+1))+Table11[[#This Row],[Average DBH
(inches)]]</f>
        <v>0</v>
      </c>
      <c r="BQ2" s="235">
        <f>((Table11[[#This Row],[Projected DBH
(Extrapolated Growth/Year)]]-4)^2)*(Table11[[#This Row],[Average MHT
(Feet)]]/16)</f>
        <v>0</v>
      </c>
      <c r="BR2" s="235">
        <f>Table11[[#This Row],[Projected Average BF]]*Table11[[#This Row],[2024 '#Trees Inventory + Estimate]]</f>
        <v>0</v>
      </c>
      <c r="BS2" s="235">
        <f>196*Table11[[#This Row],[2024 '#Trees Inventory + Estimate]]</f>
        <v>0</v>
      </c>
      <c r="BT2" s="235">
        <f>Table11[[#This Row],[ETP Offering Expected BF]]-Table11[[#This Row],[Projected Total BF]]</f>
        <v>0</v>
      </c>
      <c r="BU2" s="235">
        <f>(18-Table11[[#This Row],[Average DBH
(inches)]])/(D2-Table11[[#This Row],[Year of Inventory]]+1)</f>
        <v>8.8888888888888889E-3</v>
      </c>
    </row>
    <row r="3" spans="1:75" hidden="1" x14ac:dyDescent="0.25">
      <c r="A3" s="7" t="s">
        <v>154</v>
      </c>
      <c r="B3" s="2">
        <v>2015</v>
      </c>
      <c r="C3" s="2">
        <v>2016</v>
      </c>
      <c r="D3" s="2">
        <f>Table11[[#This Row],[Planting Year]]+9</f>
        <v>2025</v>
      </c>
      <c r="E3" s="97" t="s">
        <v>145</v>
      </c>
      <c r="F3" s="161">
        <v>10001</v>
      </c>
      <c r="G3" t="s">
        <v>145</v>
      </c>
      <c r="H3" s="357" t="s">
        <v>146</v>
      </c>
      <c r="I3" t="s">
        <v>155</v>
      </c>
      <c r="J3" s="1" t="s">
        <v>148</v>
      </c>
      <c r="K3" s="1" t="s">
        <v>149</v>
      </c>
      <c r="L3" s="1" t="s">
        <v>149</v>
      </c>
      <c r="M3" s="1" t="s">
        <v>150</v>
      </c>
      <c r="N3" t="s">
        <v>156</v>
      </c>
      <c r="O3">
        <v>26.275504000000002</v>
      </c>
      <c r="P3">
        <v>-97.890817999999996</v>
      </c>
      <c r="Q3" s="2"/>
      <c r="R3" s="86"/>
      <c r="S3" s="2"/>
      <c r="T3" s="1">
        <v>2200</v>
      </c>
      <c r="U3" s="1">
        <v>2200</v>
      </c>
      <c r="V3" s="1" t="str">
        <f>IF(Table11[[#This Row],['#TreesContract]]-Table11[[#This Row],['#Planted]]=0,"",Table11[[#This Row],['#TreesContract]]-Table11[[#This Row],['#Planted]])</f>
        <v/>
      </c>
      <c r="W3" s="2"/>
      <c r="X3" s="34">
        <v>0</v>
      </c>
      <c r="Y3" s="163"/>
      <c r="Z3" s="163"/>
      <c r="AA3" s="34">
        <v>1</v>
      </c>
      <c r="AB3" s="163">
        <f>Table11[[#This Row],['#TreesContract]]*1</f>
        <v>2200</v>
      </c>
      <c r="AC3" s="34"/>
      <c r="AD3" s="163"/>
      <c r="AE3" s="163">
        <f>Table11[[#This Row],[Canada Allocation-tree '#''s]]+Table11[[#This Row],[Can trees/Allocation 2017]]</f>
        <v>2200</v>
      </c>
      <c r="AF3" s="5">
        <v>0.55583906046107012</v>
      </c>
      <c r="AG3" s="35">
        <v>1222.8459330143542</v>
      </c>
      <c r="AH3" s="35">
        <f>Table11[[#This Row],['#Trees as of 12/31/23]]*Table11[[#This Row],[USA Allocation %]]</f>
        <v>0</v>
      </c>
      <c r="AI3" s="435">
        <v>0</v>
      </c>
      <c r="AJ3" s="436"/>
      <c r="AK3" s="5">
        <v>0.55583906046107012</v>
      </c>
      <c r="AL3" s="5">
        <v>0.55583906046107012</v>
      </c>
      <c r="AM3" s="35">
        <f>AK3*Table11[[#This Row],['#TreesContract]]</f>
        <v>1222.8459330143542</v>
      </c>
      <c r="AN3" s="35">
        <f>Table11[[#This Row],[2024 '#Trees Inventory + Estimate]]*Table11[[#This Row],[USA Allocation %]]</f>
        <v>0</v>
      </c>
      <c r="AO3" s="35">
        <f>Table11[[#This Row],[2024 '#Trees Inventory + Estimate]]*Table11[[#This Row],[Canada Allocation %]]</f>
        <v>1222.8459330143542</v>
      </c>
      <c r="AP3" s="35">
        <f>Table11[[#This Row],[2024 '#Trees Inventory + Estimate]]*Table11[[#This Row],[Canada Allocation2017 %]]</f>
        <v>0</v>
      </c>
      <c r="AQ3" s="35">
        <f>Table11[[#This Row],['#Trees as of 2024/estimate-Can allocation]]+Table11[[#This Row],['#Trees as of 2024/estimate-Can allocation 2017]]</f>
        <v>1222.8459330143542</v>
      </c>
      <c r="AR3" s="1" t="s">
        <v>152</v>
      </c>
      <c r="AS3" s="2" t="s">
        <v>153</v>
      </c>
      <c r="AT3" s="6">
        <f>IFERROR(Table11[[#This Row],['#Total Replacements]]/Table11[[#This Row],['#TreesContract]],"")</f>
        <v>0.81818181818181823</v>
      </c>
      <c r="AU3" s="4">
        <f>IF(SUM(Table11[[#This Row],['#Replace 24]:['#Replace 16]])=0,0,SUM(Table11[[#This Row],['#Replace 24]:['#Replace 16]]))</f>
        <v>1800</v>
      </c>
      <c r="AV3" s="2"/>
      <c r="AW3" s="2"/>
      <c r="AX3" s="3"/>
      <c r="AY3" s="2"/>
      <c r="AZ3" s="2"/>
      <c r="BA3" s="2"/>
      <c r="BB3" s="2"/>
      <c r="BC3" s="2"/>
      <c r="BD3" s="2">
        <v>1800</v>
      </c>
      <c r="BE3" s="2"/>
      <c r="BF3" s="3">
        <v>1</v>
      </c>
      <c r="BG3" s="3"/>
      <c r="BH3" s="232"/>
      <c r="BI3" s="269"/>
      <c r="BJ3" s="269"/>
      <c r="BK3" s="139">
        <f>Table11[[#This Row],[Average MHT
(Feet)]]/16</f>
        <v>0</v>
      </c>
      <c r="BL3" s="232"/>
      <c r="BM3" s="253">
        <f>Table11[[#This Row],[Average DBH
(inches)]]/18</f>
        <v>0</v>
      </c>
      <c r="BN3" s="235">
        <f>((Table11[[#This Row],[Average DBH
(inches)]]-4)^2)*(Table11[[#This Row],[Average MHT
(Feet)]]/16)</f>
        <v>0</v>
      </c>
      <c r="BO3" s="235">
        <f>Table11[[#This Row],[Average BF]]*Table11[[#This Row],[2024 '#Trees Inventory + Estimate]]</f>
        <v>0</v>
      </c>
      <c r="BP3" s="240">
        <f>(Table11[[#This Row],[Harvest Year
(10 year)]]-Table11[[#This Row],[Year of Inventory]]+1)*(Table11[[#This Row],[Average DBH
(inches)]]/(Table11[[#This Row],[Harvest Year
(10 year)]]-Table11[[#This Row],[Year of Inventory]]+1))+Table11[[#This Row],[Average DBH
(inches)]]</f>
        <v>0</v>
      </c>
      <c r="BQ3" s="235">
        <f>((Table11[[#This Row],[Projected DBH
(Extrapolated Growth/Year)]]-4)^2)*(Table11[[#This Row],[Average MHT
(Feet)]]/16)</f>
        <v>0</v>
      </c>
      <c r="BR3" s="235">
        <f>Table11[[#This Row],[Projected Average BF]]*Table11[[#This Row],[2024 '#Trees Inventory + Estimate]]</f>
        <v>0</v>
      </c>
      <c r="BS3" s="235">
        <f>196*Table11[[#This Row],[2024 '#Trees Inventory + Estimate]]</f>
        <v>239677.80287081341</v>
      </c>
      <c r="BT3" s="243">
        <f>Table11[[#This Row],[ETP Offering Expected BF]]-Table11[[#This Row],[Projected Total BF]]</f>
        <v>239677.80287081341</v>
      </c>
      <c r="BU3" s="235">
        <f>(18-Table11[[#This Row],[Average DBH
(inches)]])/(D3-Table11[[#This Row],[Year of Inventory]]+1)</f>
        <v>8.8845014807502464E-3</v>
      </c>
    </row>
    <row r="4" spans="1:75" hidden="1" x14ac:dyDescent="0.25">
      <c r="A4" s="7" t="s">
        <v>157</v>
      </c>
      <c r="B4" s="2">
        <v>2016</v>
      </c>
      <c r="C4" s="2">
        <v>2016</v>
      </c>
      <c r="D4" s="2">
        <f>Table11[[#This Row],[Planting Year]]+9</f>
        <v>2025</v>
      </c>
      <c r="E4" s="97" t="s">
        <v>145</v>
      </c>
      <c r="F4" s="161">
        <v>10001</v>
      </c>
      <c r="G4" t="s">
        <v>145</v>
      </c>
      <c r="H4" s="357" t="s">
        <v>146</v>
      </c>
      <c r="I4" t="s">
        <v>147</v>
      </c>
      <c r="J4" s="1" t="s">
        <v>148</v>
      </c>
      <c r="K4" s="1" t="s">
        <v>149</v>
      </c>
      <c r="L4" s="1" t="s">
        <v>149</v>
      </c>
      <c r="M4" s="1" t="s">
        <v>150</v>
      </c>
      <c r="N4" t="s">
        <v>151</v>
      </c>
      <c r="O4">
        <v>26.278008</v>
      </c>
      <c r="P4">
        <v>-97.890073999999998</v>
      </c>
      <c r="Q4" s="2"/>
      <c r="R4" s="86"/>
      <c r="S4" s="2"/>
      <c r="T4" s="1">
        <v>2200</v>
      </c>
      <c r="U4" s="1">
        <v>2200</v>
      </c>
      <c r="V4" s="1" t="str">
        <f>IF(Table11[[#This Row],['#TreesContract]]-Table11[[#This Row],['#Planted]]=0,"",Table11[[#This Row],['#TreesContract]]-Table11[[#This Row],['#Planted]])</f>
        <v/>
      </c>
      <c r="W4" s="2"/>
      <c r="X4" s="34">
        <v>0</v>
      </c>
      <c r="Y4" s="163"/>
      <c r="Z4" s="163"/>
      <c r="AA4" s="34">
        <v>1</v>
      </c>
      <c r="AB4" s="163">
        <f>Table11[[#This Row],['#TreesContract]]*1</f>
        <v>2200</v>
      </c>
      <c r="AC4" s="34"/>
      <c r="AD4" s="163"/>
      <c r="AE4" s="163">
        <f>Table11[[#This Row],[Canada Allocation-tree '#''s]]+Table11[[#This Row],[Can trees/Allocation 2017]]</f>
        <v>2200</v>
      </c>
      <c r="AF4" s="5">
        <v>0.53441505333295214</v>
      </c>
      <c r="AG4" s="35">
        <v>1175.7131173324947</v>
      </c>
      <c r="AH4" s="35">
        <f>Table11[[#This Row],['#Trees as of 12/31/23]]*Table11[[#This Row],[USA Allocation %]]</f>
        <v>0</v>
      </c>
      <c r="AI4" s="404">
        <f>Table11[[#This Row],['#TreesContract]]*Table11[[#This Row],[2024 Inventory Survival%-master]]</f>
        <v>0</v>
      </c>
      <c r="AJ4" s="5"/>
      <c r="AK4" s="5">
        <v>0.53441505333295214</v>
      </c>
      <c r="AL4" s="5">
        <v>0.53</v>
      </c>
      <c r="AM4" s="35">
        <f>AK4*Table11[[#This Row],['#TreesContract]]</f>
        <v>1175.7131173324947</v>
      </c>
      <c r="AN4" s="35">
        <f>Table11[[#This Row],[2024 '#Trees Inventory + Estimate]]*Table11[[#This Row],[USA Allocation %]]</f>
        <v>0</v>
      </c>
      <c r="AO4" s="35">
        <f>Table11[[#This Row],[2024 '#Trees Inventory + Estimate]]*Table11[[#This Row],[Canada Allocation %]]</f>
        <v>1175.7131173324947</v>
      </c>
      <c r="AP4" s="35">
        <f>Table11[[#This Row],[2024 '#Trees Inventory + Estimate]]*Table11[[#This Row],[Canada Allocation2017 %]]</f>
        <v>0</v>
      </c>
      <c r="AQ4" s="35">
        <f>Table11[[#This Row],['#Trees as of 2024/estimate-Can allocation]]+Table11[[#This Row],['#Trees as of 2024/estimate-Can allocation 2017]]</f>
        <v>1175.7131173324947</v>
      </c>
      <c r="AR4" s="1" t="s">
        <v>152</v>
      </c>
      <c r="AS4" s="2" t="s">
        <v>153</v>
      </c>
      <c r="AT4" s="6">
        <f>IFERROR(Table11[[#This Row],['#Total Replacements]]/Table11[[#This Row],['#TreesContract]],"")</f>
        <v>1</v>
      </c>
      <c r="AU4" s="4">
        <f>IF(SUM(Table11[[#This Row],['#Replace 24]:['#Replace 16]])=0,0,SUM(Table11[[#This Row],['#Replace 24]:['#Replace 16]]))</f>
        <v>2200</v>
      </c>
      <c r="AV4" s="2"/>
      <c r="AW4" s="2"/>
      <c r="AX4" s="3"/>
      <c r="AY4" s="2"/>
      <c r="AZ4" s="2"/>
      <c r="BA4" s="2"/>
      <c r="BB4" s="2"/>
      <c r="BC4" s="2">
        <v>2200</v>
      </c>
      <c r="BD4" s="2"/>
      <c r="BE4" s="2"/>
      <c r="BF4" s="3">
        <v>1</v>
      </c>
      <c r="BG4" s="3"/>
      <c r="BH4" s="2"/>
      <c r="BI4" s="158"/>
      <c r="BJ4" s="158"/>
      <c r="BK4" s="139">
        <f>Table11[[#This Row],[Average MHT
(Feet)]]/16</f>
        <v>0</v>
      </c>
      <c r="BL4" s="2"/>
      <c r="BM4" s="139">
        <f>Table11[[#This Row],[Average DBH
(inches)]]/18</f>
        <v>0</v>
      </c>
      <c r="BN4" s="235">
        <f>((Table11[[#This Row],[Average DBH
(inches)]]-4)^2)*(Table11[[#This Row],[Average MHT
(Feet)]]/16)</f>
        <v>0</v>
      </c>
      <c r="BO4" s="235">
        <f>Table11[[#This Row],[Average BF]]*Table11[[#This Row],[2024 '#Trees Inventory + Estimate]]</f>
        <v>0</v>
      </c>
      <c r="BP4" s="240">
        <f>(Table11[[#This Row],[Harvest Year
(10 year)]]-Table11[[#This Row],[Year of Inventory]]+1)*(Table11[[#This Row],[Average DBH
(inches)]]/(Table11[[#This Row],[Harvest Year
(10 year)]]-Table11[[#This Row],[Year of Inventory]]+1))+Table11[[#This Row],[Average DBH
(inches)]]</f>
        <v>0</v>
      </c>
      <c r="BQ4" s="235">
        <f>((Table11[[#This Row],[Projected DBH
(Extrapolated Growth/Year)]]-4)^2)*(Table11[[#This Row],[Average MHT
(Feet)]]/16)</f>
        <v>0</v>
      </c>
      <c r="BR4" s="235">
        <f>Table11[[#This Row],[Projected Average BF]]*Table11[[#This Row],[2024 '#Trees Inventory + Estimate]]</f>
        <v>0</v>
      </c>
      <c r="BS4" s="235">
        <f>196*Table11[[#This Row],[2024 '#Trees Inventory + Estimate]]</f>
        <v>230439.77099716896</v>
      </c>
      <c r="BT4" s="235">
        <f>Table11[[#This Row],[ETP Offering Expected BF]]-Table11[[#This Row],[Projected Total BF]]</f>
        <v>230439.77099716896</v>
      </c>
      <c r="BU4" s="235">
        <f>(18-Table11[[#This Row],[Average DBH
(inches)]])/(D4-Table11[[#This Row],[Year of Inventory]]+1)</f>
        <v>8.8845014807502464E-3</v>
      </c>
    </row>
    <row r="5" spans="1:75" hidden="1" x14ac:dyDescent="0.25">
      <c r="A5" s="7" t="s">
        <v>158</v>
      </c>
      <c r="B5" s="2">
        <v>2015</v>
      </c>
      <c r="C5" s="2">
        <v>2016</v>
      </c>
      <c r="D5" s="2">
        <v>0</v>
      </c>
      <c r="E5" s="97" t="s">
        <v>159</v>
      </c>
      <c r="F5" s="161">
        <v>10002</v>
      </c>
      <c r="G5" t="s">
        <v>159</v>
      </c>
      <c r="H5" s="357"/>
      <c r="I5" t="s">
        <v>160</v>
      </c>
      <c r="J5" s="1"/>
      <c r="K5" s="1"/>
      <c r="L5" s="1"/>
      <c r="M5" s="1" t="s">
        <v>150</v>
      </c>
      <c r="N5" t="s">
        <v>161</v>
      </c>
      <c r="O5">
        <v>27.478449000000001</v>
      </c>
      <c r="P5">
        <v>-81.296944999999994</v>
      </c>
      <c r="Q5" s="2"/>
      <c r="R5" s="86"/>
      <c r="S5" s="2"/>
      <c r="T5" s="1">
        <v>1200</v>
      </c>
      <c r="U5" s="1">
        <v>1200</v>
      </c>
      <c r="V5" s="1" t="str">
        <f>IF(Table11[[#This Row],['#TreesContract]]-Table11[[#This Row],['#Planted]]=0,"",Table11[[#This Row],['#TreesContract]]-Table11[[#This Row],['#Planted]])</f>
        <v/>
      </c>
      <c r="W5" s="2"/>
      <c r="X5" s="34">
        <v>0</v>
      </c>
      <c r="Y5" s="163"/>
      <c r="Z5" s="163"/>
      <c r="AA5" s="34">
        <v>1</v>
      </c>
      <c r="AB5" s="163">
        <f>Table11[[#This Row],['#TreesContract]]*1</f>
        <v>1200</v>
      </c>
      <c r="AC5" s="34"/>
      <c r="AD5" s="163"/>
      <c r="AE5" s="163">
        <f>Table11[[#This Row],[Canada Allocation-tree '#''s]]+Table11[[#This Row],[Can trees/Allocation 2017]]</f>
        <v>1200</v>
      </c>
      <c r="AF5" s="5">
        <v>0</v>
      </c>
      <c r="AG5" s="35">
        <v>0</v>
      </c>
      <c r="AH5" s="35">
        <f>Table11[[#This Row],['#Trees as of 12/31/23]]*Table11[[#This Row],[USA Allocation %]]</f>
        <v>0</v>
      </c>
      <c r="AI5" s="405">
        <f>Table11[[#This Row],['#TreesContract]]*Table11[[#This Row],[2024 Inventory Survival%-master]]</f>
        <v>0</v>
      </c>
      <c r="AJ5" s="5">
        <v>0</v>
      </c>
      <c r="AK5" s="5">
        <v>0</v>
      </c>
      <c r="AL5" s="5">
        <v>0</v>
      </c>
      <c r="AM5" s="35">
        <f>AK5*Table11[[#This Row],['#TreesContract]]</f>
        <v>0</v>
      </c>
      <c r="AN5" s="35">
        <f>Table11[[#This Row],[2024 '#Trees Inventory + Estimate]]*Table11[[#This Row],[USA Allocation %]]</f>
        <v>0</v>
      </c>
      <c r="AO5" s="35">
        <f>Table11[[#This Row],[2024 '#Trees Inventory + Estimate]]*Table11[[#This Row],[Canada Allocation %]]</f>
        <v>0</v>
      </c>
      <c r="AP5" s="35">
        <f>Table11[[#This Row],[2024 '#Trees Inventory + Estimate]]*Table11[[#This Row],[Canada Allocation2017 %]]</f>
        <v>0</v>
      </c>
      <c r="AQ5" s="35">
        <f>Table11[[#This Row],['#Trees as of 2024/estimate-Can allocation]]+Table11[[#This Row],['#Trees as of 2024/estimate-Can allocation 2017]]</f>
        <v>0</v>
      </c>
      <c r="AR5" s="1" t="s">
        <v>152</v>
      </c>
      <c r="AS5" s="2"/>
      <c r="AT5" s="6">
        <f>IFERROR(Table11[[#This Row],['#Total Replacements]]/Table11[[#This Row],['#TreesContract]],"")</f>
        <v>0</v>
      </c>
      <c r="AU5" s="4">
        <f>IF(SUM(Table11[[#This Row],['#Replace 24]:['#Replace 16]])=0,0,SUM(Table11[[#This Row],['#Replace 24]:['#Replace 16]]))</f>
        <v>0</v>
      </c>
      <c r="AV5" s="2"/>
      <c r="AW5" s="2"/>
      <c r="AX5" s="3"/>
      <c r="AY5" s="2"/>
      <c r="AZ5" s="2"/>
      <c r="BA5" s="2"/>
      <c r="BB5" s="2"/>
      <c r="BC5" s="2"/>
      <c r="BD5" s="2"/>
      <c r="BE5" s="2"/>
      <c r="BF5" s="3">
        <v>1</v>
      </c>
      <c r="BG5" s="3"/>
      <c r="BH5" s="2"/>
      <c r="BI5" s="158"/>
      <c r="BJ5" s="158"/>
      <c r="BK5" s="139">
        <f>Table11[[#This Row],[Average MHT
(Feet)]]/16</f>
        <v>0</v>
      </c>
      <c r="BL5" s="2"/>
      <c r="BM5" s="139">
        <f>Table11[[#This Row],[Average DBH
(inches)]]/18</f>
        <v>0</v>
      </c>
      <c r="BN5" s="235">
        <f>((Table11[[#This Row],[Average DBH
(inches)]]-4)^2)*(Table11[[#This Row],[Average MHT
(Feet)]]/16)</f>
        <v>0</v>
      </c>
      <c r="BO5" s="235">
        <f>Table11[[#This Row],[Average BF]]*Table11[[#This Row],[2024 '#Trees Inventory + Estimate]]</f>
        <v>0</v>
      </c>
      <c r="BP5" s="240">
        <f>(Table11[[#This Row],[Harvest Year
(10 year)]]-Table11[[#This Row],[Year of Inventory]]+1)*(Table11[[#This Row],[Average DBH
(inches)]]/(Table11[[#This Row],[Harvest Year
(10 year)]]-Table11[[#This Row],[Year of Inventory]]+1))+Table11[[#This Row],[Average DBH
(inches)]]</f>
        <v>0</v>
      </c>
      <c r="BQ5" s="235">
        <f>((Table11[[#This Row],[Projected DBH
(Extrapolated Growth/Year)]]-4)^2)*(Table11[[#This Row],[Average MHT
(Feet)]]/16)</f>
        <v>0</v>
      </c>
      <c r="BR5" s="235">
        <f>Table11[[#This Row],[Projected Average BF]]*Table11[[#This Row],[2024 '#Trees Inventory + Estimate]]</f>
        <v>0</v>
      </c>
      <c r="BS5" s="235">
        <f>196*Table11[[#This Row],[2024 '#Trees Inventory + Estimate]]</f>
        <v>0</v>
      </c>
      <c r="BT5" s="235">
        <f>Table11[[#This Row],[ETP Offering Expected BF]]-Table11[[#This Row],[Projected Total BF]]</f>
        <v>0</v>
      </c>
      <c r="BU5" s="235">
        <f>(18-Table11[[#This Row],[Average DBH
(inches)]])/(D5-Table11[[#This Row],[Year of Inventory]]+1)</f>
        <v>18</v>
      </c>
    </row>
    <row r="6" spans="1:75" hidden="1" x14ac:dyDescent="0.25">
      <c r="A6" s="7" t="s">
        <v>162</v>
      </c>
      <c r="B6" s="2">
        <v>2015</v>
      </c>
      <c r="C6" s="2">
        <v>2016</v>
      </c>
      <c r="D6" s="2">
        <v>0</v>
      </c>
      <c r="E6" s="97" t="s">
        <v>163</v>
      </c>
      <c r="F6" s="161">
        <v>10003</v>
      </c>
      <c r="G6" t="s">
        <v>163</v>
      </c>
      <c r="H6" s="357"/>
      <c r="I6" t="s">
        <v>160</v>
      </c>
      <c r="J6" s="1"/>
      <c r="K6" s="1"/>
      <c r="L6" s="1"/>
      <c r="M6" s="1" t="s">
        <v>150</v>
      </c>
      <c r="N6" t="s">
        <v>164</v>
      </c>
      <c r="O6">
        <v>45.321683</v>
      </c>
      <c r="P6">
        <v>-122.533558</v>
      </c>
      <c r="Q6" s="2"/>
      <c r="R6" s="86"/>
      <c r="S6" s="2"/>
      <c r="T6" s="1">
        <v>1100</v>
      </c>
      <c r="U6" s="1">
        <v>1100</v>
      </c>
      <c r="V6" s="1" t="str">
        <f>IF(Table11[[#This Row],['#TreesContract]]-Table11[[#This Row],['#Planted]]=0,"",Table11[[#This Row],['#TreesContract]]-Table11[[#This Row],['#Planted]])</f>
        <v/>
      </c>
      <c r="W6" s="2"/>
      <c r="X6" s="34">
        <v>0</v>
      </c>
      <c r="Y6" s="163"/>
      <c r="Z6" s="163"/>
      <c r="AA6" s="34">
        <v>1</v>
      </c>
      <c r="AB6" s="163">
        <f>Table11[[#This Row],['#TreesContract]]*1</f>
        <v>1100</v>
      </c>
      <c r="AC6" s="34"/>
      <c r="AD6" s="163"/>
      <c r="AE6" s="163">
        <f>Table11[[#This Row],[Canada Allocation-tree '#''s]]+Table11[[#This Row],[Can trees/Allocation 2017]]</f>
        <v>1100</v>
      </c>
      <c r="AF6" s="5">
        <v>0</v>
      </c>
      <c r="AG6" s="35">
        <v>0</v>
      </c>
      <c r="AH6" s="35">
        <f>Table11[[#This Row],['#Trees as of 12/31/23]]*Table11[[#This Row],[USA Allocation %]]</f>
        <v>0</v>
      </c>
      <c r="AI6" s="405">
        <f>Table11[[#This Row],['#TreesContract]]*Table11[[#This Row],[2024 Inventory Survival%-master]]</f>
        <v>0</v>
      </c>
      <c r="AJ6" s="5">
        <v>0</v>
      </c>
      <c r="AK6" s="5">
        <v>0</v>
      </c>
      <c r="AL6" s="5">
        <v>0</v>
      </c>
      <c r="AM6" s="35">
        <f>AK6*Table11[[#This Row],['#TreesContract]]</f>
        <v>0</v>
      </c>
      <c r="AN6" s="35">
        <f>Table11[[#This Row],[2024 '#Trees Inventory + Estimate]]*Table11[[#This Row],[USA Allocation %]]</f>
        <v>0</v>
      </c>
      <c r="AO6" s="35">
        <f>Table11[[#This Row],[2024 '#Trees Inventory + Estimate]]*Table11[[#This Row],[Canada Allocation %]]</f>
        <v>0</v>
      </c>
      <c r="AP6" s="35">
        <f>Table11[[#This Row],[2024 '#Trees Inventory + Estimate]]*Table11[[#This Row],[Canada Allocation2017 %]]</f>
        <v>0</v>
      </c>
      <c r="AQ6" s="35">
        <f>Table11[[#This Row],['#Trees as of 2024/estimate-Can allocation]]+Table11[[#This Row],['#Trees as of 2024/estimate-Can allocation 2017]]</f>
        <v>0</v>
      </c>
      <c r="AR6" s="1" t="s">
        <v>152</v>
      </c>
      <c r="AS6" s="2"/>
      <c r="AT6" s="6">
        <f>IFERROR(Table11[[#This Row],['#Total Replacements]]/Table11[[#This Row],['#TreesContract]],"")</f>
        <v>0.18636363636363637</v>
      </c>
      <c r="AU6" s="4">
        <f>IF(SUM(Table11[[#This Row],['#Replace 24]:['#Replace 16]])=0,0,SUM(Table11[[#This Row],['#Replace 24]:['#Replace 16]]))</f>
        <v>205</v>
      </c>
      <c r="AV6" s="2"/>
      <c r="AW6" s="2"/>
      <c r="AX6" s="3"/>
      <c r="AY6" s="2"/>
      <c r="AZ6" s="2"/>
      <c r="BA6" s="2"/>
      <c r="BB6" s="2"/>
      <c r="BC6" s="2"/>
      <c r="BD6" s="2">
        <v>55</v>
      </c>
      <c r="BE6" s="2">
        <v>150</v>
      </c>
      <c r="BF6" s="3">
        <v>1</v>
      </c>
      <c r="BG6" s="3"/>
      <c r="BH6" s="2"/>
      <c r="BI6" s="2"/>
      <c r="BJ6" s="2"/>
      <c r="BK6" s="139">
        <f>Table11[[#This Row],[Average MHT
(Feet)]]/16</f>
        <v>0</v>
      </c>
      <c r="BL6" s="2"/>
      <c r="BM6" s="139">
        <f>Table11[[#This Row],[Average DBH
(inches)]]/18</f>
        <v>0</v>
      </c>
      <c r="BN6" s="235">
        <f>((Table11[[#This Row],[Average DBH
(inches)]]-4)^2)*(Table11[[#This Row],[Average MHT
(Feet)]]/16)</f>
        <v>0</v>
      </c>
      <c r="BO6" s="235">
        <f>Table11[[#This Row],[Average BF]]*Table11[[#This Row],[2024 '#Trees Inventory + Estimate]]</f>
        <v>0</v>
      </c>
      <c r="BP6" s="240">
        <f>(Table11[[#This Row],[Harvest Year
(10 year)]]-Table11[[#This Row],[Year of Inventory]]+1)*(Table11[[#This Row],[Average DBH
(inches)]]/(Table11[[#This Row],[Harvest Year
(10 year)]]-Table11[[#This Row],[Year of Inventory]]+1))+Table11[[#This Row],[Average DBH
(inches)]]</f>
        <v>0</v>
      </c>
      <c r="BQ6" s="235">
        <f>((Table11[[#This Row],[Projected DBH
(Extrapolated Growth/Year)]]-4)^2)*(Table11[[#This Row],[Average MHT
(Feet)]]/16)</f>
        <v>0</v>
      </c>
      <c r="BR6" s="235">
        <f>Table11[[#This Row],[Projected Average BF]]*Table11[[#This Row],[2024 '#Trees Inventory + Estimate]]</f>
        <v>0</v>
      </c>
      <c r="BS6" s="235">
        <f>196*Table11[[#This Row],[2024 '#Trees Inventory + Estimate]]</f>
        <v>0</v>
      </c>
      <c r="BT6" s="235">
        <f>Table11[[#This Row],[ETP Offering Expected BF]]-Table11[[#This Row],[Projected Total BF]]</f>
        <v>0</v>
      </c>
      <c r="BU6" s="235">
        <f>(18-Table11[[#This Row],[Average DBH
(inches)]])/(D6-Table11[[#This Row],[Year of Inventory]]+1)</f>
        <v>18</v>
      </c>
      <c r="BW6" s="233"/>
    </row>
    <row r="7" spans="1:75" hidden="1" x14ac:dyDescent="0.25">
      <c r="A7" s="7" t="s">
        <v>165</v>
      </c>
      <c r="B7" s="2">
        <v>2015</v>
      </c>
      <c r="C7" s="2">
        <v>2016</v>
      </c>
      <c r="D7" s="2">
        <f>Table11[[#This Row],[Planting Year]]+9</f>
        <v>2025</v>
      </c>
      <c r="E7" s="97" t="s">
        <v>166</v>
      </c>
      <c r="F7" s="161">
        <v>10004</v>
      </c>
      <c r="G7" t="s">
        <v>166</v>
      </c>
      <c r="H7" s="357" t="s">
        <v>167</v>
      </c>
      <c r="I7" t="s">
        <v>155</v>
      </c>
      <c r="J7" s="1" t="s">
        <v>168</v>
      </c>
      <c r="K7" s="1" t="s">
        <v>169</v>
      </c>
      <c r="L7" s="1" t="s">
        <v>169</v>
      </c>
      <c r="M7" s="1" t="s">
        <v>150</v>
      </c>
      <c r="N7" t="s">
        <v>170</v>
      </c>
      <c r="O7">
        <v>30.770056</v>
      </c>
      <c r="P7">
        <v>-89.532565000000005</v>
      </c>
      <c r="Q7" s="2"/>
      <c r="R7" s="86"/>
      <c r="S7" s="2"/>
      <c r="T7" s="1">
        <v>2200</v>
      </c>
      <c r="U7" s="1">
        <v>2200</v>
      </c>
      <c r="V7" s="1" t="str">
        <f>IF(Table11[[#This Row],['#TreesContract]]-Table11[[#This Row],['#Planted]]=0,"",Table11[[#This Row],['#TreesContract]]-Table11[[#This Row],['#Planted]])</f>
        <v/>
      </c>
      <c r="W7" s="2"/>
      <c r="X7" s="34">
        <v>0</v>
      </c>
      <c r="Y7" s="163"/>
      <c r="Z7" s="163"/>
      <c r="AA7" s="34">
        <v>1</v>
      </c>
      <c r="AB7" s="163">
        <f>Table11[[#This Row],['#TreesContract]]*1</f>
        <v>2200</v>
      </c>
      <c r="AC7" s="34"/>
      <c r="AD7" s="163"/>
      <c r="AE7" s="163">
        <f>Table11[[#This Row],[Canada Allocation-tree '#''s]]+Table11[[#This Row],[Can trees/Allocation 2017]]</f>
        <v>2200</v>
      </c>
      <c r="AF7" s="5">
        <v>0.91650284090909095</v>
      </c>
      <c r="AG7" s="35">
        <v>2016.3062500000001</v>
      </c>
      <c r="AH7" s="35">
        <f>Table11[[#This Row],['#Trees as of 12/31/23]]*Table11[[#This Row],[USA Allocation %]]</f>
        <v>0</v>
      </c>
      <c r="AI7" s="435">
        <f>Table11[[#This Row],['#TreesContract]]*Table11[[#This Row],[2024 Inventory Survival%-master]]</f>
        <v>0</v>
      </c>
      <c r="AJ7" s="436"/>
      <c r="AK7" s="5">
        <v>0.91650284090909095</v>
      </c>
      <c r="AL7" s="5">
        <v>0.91650284090909095</v>
      </c>
      <c r="AM7" s="35">
        <f>AK7*Table11[[#This Row],['#TreesContract]]</f>
        <v>2016.3062500000001</v>
      </c>
      <c r="AN7" s="35">
        <f>Table11[[#This Row],[2024 '#Trees Inventory + Estimate]]*Table11[[#This Row],[USA Allocation %]]</f>
        <v>0</v>
      </c>
      <c r="AO7" s="35">
        <f>Table11[[#This Row],[2024 '#Trees Inventory + Estimate]]*Table11[[#This Row],[Canada Allocation %]]</f>
        <v>2016.3062500000001</v>
      </c>
      <c r="AP7" s="35">
        <f>Table11[[#This Row],[2024 '#Trees Inventory + Estimate]]*Table11[[#This Row],[Canada Allocation2017 %]]</f>
        <v>0</v>
      </c>
      <c r="AQ7" s="35">
        <f>Table11[[#This Row],['#Trees as of 2024/estimate-Can allocation]]+Table11[[#This Row],['#Trees as of 2024/estimate-Can allocation 2017]]</f>
        <v>2016.3062500000001</v>
      </c>
      <c r="AR7" s="1" t="s">
        <v>152</v>
      </c>
      <c r="AS7" s="2" t="s">
        <v>171</v>
      </c>
      <c r="AT7" s="6">
        <f>IFERROR(Table11[[#This Row],['#Total Replacements]]/Table11[[#This Row],['#TreesContract]],"")</f>
        <v>0.61363636363636365</v>
      </c>
      <c r="AU7" s="4">
        <f>IF(SUM(Table11[[#This Row],['#Replace 24]:['#Replace 16]])=0,0,SUM(Table11[[#This Row],['#Replace 24]:['#Replace 16]]))</f>
        <v>1350</v>
      </c>
      <c r="AV7" s="2"/>
      <c r="AW7" s="2"/>
      <c r="AX7" s="3"/>
      <c r="AY7" s="2"/>
      <c r="AZ7" s="2"/>
      <c r="BA7" s="2"/>
      <c r="BB7" s="2"/>
      <c r="BC7" s="2">
        <v>650</v>
      </c>
      <c r="BD7" s="2">
        <v>700</v>
      </c>
      <c r="BE7" s="2"/>
      <c r="BF7" s="3">
        <v>1</v>
      </c>
      <c r="BG7" s="3"/>
      <c r="BH7" s="2"/>
      <c r="BI7" s="2"/>
      <c r="BJ7" s="2"/>
      <c r="BK7" s="139">
        <f>Table11[[#This Row],[Average MHT
(Feet)]]/16</f>
        <v>0</v>
      </c>
      <c r="BL7" s="2"/>
      <c r="BM7" s="139">
        <f>Table11[[#This Row],[Average DBH
(inches)]]/18</f>
        <v>0</v>
      </c>
      <c r="BN7" s="235">
        <f>((Table11[[#This Row],[Average DBH
(inches)]]-4)^2)*(Table11[[#This Row],[Average MHT
(Feet)]]/16)</f>
        <v>0</v>
      </c>
      <c r="BO7" s="235">
        <f>Table11[[#This Row],[Average BF]]*Table11[[#This Row],[2024 '#Trees Inventory + Estimate]]</f>
        <v>0</v>
      </c>
      <c r="BP7" s="240">
        <f>(Table11[[#This Row],[Harvest Year
(10 year)]]-Table11[[#This Row],[Year of Inventory]]+1)*(Table11[[#This Row],[Average DBH
(inches)]]/(Table11[[#This Row],[Harvest Year
(10 year)]]-Table11[[#This Row],[Year of Inventory]]+1))+Table11[[#This Row],[Average DBH
(inches)]]</f>
        <v>0</v>
      </c>
      <c r="BQ7" s="235">
        <f>((Table11[[#This Row],[Projected DBH
(Extrapolated Growth/Year)]]-4)^2)*(Table11[[#This Row],[Average MHT
(Feet)]]/16)</f>
        <v>0</v>
      </c>
      <c r="BR7" s="235">
        <f>Table11[[#This Row],[Projected Average BF]]*Table11[[#This Row],[2024 '#Trees Inventory + Estimate]]</f>
        <v>0</v>
      </c>
      <c r="BS7" s="235">
        <f>196*Table11[[#This Row],[2024 '#Trees Inventory + Estimate]]</f>
        <v>395196.02500000002</v>
      </c>
      <c r="BT7" s="243">
        <f>Table11[[#This Row],[ETP Offering Expected BF]]-Table11[[#This Row],[Projected Total BF]]</f>
        <v>395196.02500000002</v>
      </c>
      <c r="BU7" s="235">
        <f>(18-Table11[[#This Row],[Average DBH
(inches)]])/(D7-Table11[[#This Row],[Year of Inventory]]+1)</f>
        <v>8.8845014807502464E-3</v>
      </c>
    </row>
    <row r="8" spans="1:75" hidden="1" x14ac:dyDescent="0.25">
      <c r="A8" s="7" t="s">
        <v>172</v>
      </c>
      <c r="B8" s="2">
        <v>2015</v>
      </c>
      <c r="C8" s="2">
        <v>2016</v>
      </c>
      <c r="D8" s="2">
        <v>0</v>
      </c>
      <c r="E8" s="97" t="s">
        <v>173</v>
      </c>
      <c r="F8" s="161">
        <v>10005</v>
      </c>
      <c r="G8" t="s">
        <v>173</v>
      </c>
      <c r="H8" s="357"/>
      <c r="I8" t="s">
        <v>160</v>
      </c>
      <c r="J8" s="1"/>
      <c r="K8" s="1"/>
      <c r="L8" s="1"/>
      <c r="M8" s="1" t="s">
        <v>150</v>
      </c>
      <c r="N8" t="s">
        <v>174</v>
      </c>
      <c r="O8">
        <v>30.135259999999999</v>
      </c>
      <c r="P8">
        <v>-83.186760000000007</v>
      </c>
      <c r="Q8" s="2"/>
      <c r="R8" s="86"/>
      <c r="S8" s="2"/>
      <c r="T8" s="1">
        <v>1100</v>
      </c>
      <c r="U8" s="1">
        <v>1100</v>
      </c>
      <c r="V8" s="1" t="str">
        <f>IF(Table11[[#This Row],['#TreesContract]]-Table11[[#This Row],['#Planted]]=0,"",Table11[[#This Row],['#TreesContract]]-Table11[[#This Row],['#Planted]])</f>
        <v/>
      </c>
      <c r="W8" s="2"/>
      <c r="X8" s="34">
        <v>0</v>
      </c>
      <c r="Y8" s="163"/>
      <c r="Z8" s="163"/>
      <c r="AA8" s="34">
        <v>1</v>
      </c>
      <c r="AB8" s="163">
        <f>Table11[[#This Row],['#TreesContract]]*1</f>
        <v>1100</v>
      </c>
      <c r="AC8" s="34"/>
      <c r="AD8" s="163"/>
      <c r="AE8" s="163">
        <f>Table11[[#This Row],[Canada Allocation-tree '#''s]]+Table11[[#This Row],[Can trees/Allocation 2017]]</f>
        <v>1100</v>
      </c>
      <c r="AF8" s="5">
        <v>0</v>
      </c>
      <c r="AG8" s="35">
        <v>0</v>
      </c>
      <c r="AH8" s="35">
        <f>Table11[[#This Row],['#Trees as of 12/31/23]]*Table11[[#This Row],[USA Allocation %]]</f>
        <v>0</v>
      </c>
      <c r="AI8" s="404">
        <f>Table11[[#This Row],['#TreesContract]]*Table11[[#This Row],[2024 Inventory Survival%-master]]</f>
        <v>0</v>
      </c>
      <c r="AJ8" s="5">
        <v>0</v>
      </c>
      <c r="AK8" s="5">
        <v>0</v>
      </c>
      <c r="AL8" s="5">
        <v>0</v>
      </c>
      <c r="AM8" s="35">
        <f>AK8*Table11[[#This Row],['#TreesContract]]</f>
        <v>0</v>
      </c>
      <c r="AN8" s="35">
        <f>Table11[[#This Row],[2024 '#Trees Inventory + Estimate]]*Table11[[#This Row],[USA Allocation %]]</f>
        <v>0</v>
      </c>
      <c r="AO8" s="35">
        <f>Table11[[#This Row],[2024 '#Trees Inventory + Estimate]]*Table11[[#This Row],[Canada Allocation %]]</f>
        <v>0</v>
      </c>
      <c r="AP8" s="35">
        <f>Table11[[#This Row],[2024 '#Trees Inventory + Estimate]]*Table11[[#This Row],[Canada Allocation2017 %]]</f>
        <v>0</v>
      </c>
      <c r="AQ8" s="35">
        <f>Table11[[#This Row],['#Trees as of 2024/estimate-Can allocation]]+Table11[[#This Row],['#Trees as of 2024/estimate-Can allocation 2017]]</f>
        <v>0</v>
      </c>
      <c r="AR8" s="1" t="s">
        <v>152</v>
      </c>
      <c r="AS8" s="2"/>
      <c r="AT8" s="6">
        <f>IFERROR(Table11[[#This Row],['#Total Replacements]]/Table11[[#This Row],['#TreesContract]],"")</f>
        <v>0.21818181818181817</v>
      </c>
      <c r="AU8" s="4">
        <f>IF(SUM(Table11[[#This Row],['#Replace 24]:['#Replace 16]])=0,0,SUM(Table11[[#This Row],['#Replace 24]:['#Replace 16]]))</f>
        <v>240</v>
      </c>
      <c r="AV8" s="2"/>
      <c r="AW8" s="2"/>
      <c r="AX8" s="3"/>
      <c r="AY8" s="2"/>
      <c r="AZ8" s="2"/>
      <c r="BA8" s="2"/>
      <c r="BB8" s="2"/>
      <c r="BC8" s="2"/>
      <c r="BD8" s="2"/>
      <c r="BE8" s="2">
        <v>240</v>
      </c>
      <c r="BF8" s="3">
        <v>1</v>
      </c>
      <c r="BG8" s="3"/>
      <c r="BH8" s="2"/>
      <c r="BI8" s="2"/>
      <c r="BJ8" s="2"/>
      <c r="BK8" s="139">
        <f>Table11[[#This Row],[Average MHT
(Feet)]]/16</f>
        <v>0</v>
      </c>
      <c r="BL8" s="2"/>
      <c r="BM8" s="139">
        <f>Table11[[#This Row],[Average DBH
(inches)]]/18</f>
        <v>0</v>
      </c>
      <c r="BN8" s="235">
        <f>((Table11[[#This Row],[Average DBH
(inches)]]-4)^2)*(Table11[[#This Row],[Average MHT
(Feet)]]/16)</f>
        <v>0</v>
      </c>
      <c r="BO8" s="235">
        <f>Table11[[#This Row],[Average BF]]*Table11[[#This Row],[2024 '#Trees Inventory + Estimate]]</f>
        <v>0</v>
      </c>
      <c r="BP8" s="240">
        <f>(Table11[[#This Row],[Harvest Year
(10 year)]]-Table11[[#This Row],[Year of Inventory]]+1)*(Table11[[#This Row],[Average DBH
(inches)]]/(Table11[[#This Row],[Harvest Year
(10 year)]]-Table11[[#This Row],[Year of Inventory]]+1))+Table11[[#This Row],[Average DBH
(inches)]]</f>
        <v>0</v>
      </c>
      <c r="BQ8" s="235">
        <f>((Table11[[#This Row],[Projected DBH
(Extrapolated Growth/Year)]]-4)^2)*(Table11[[#This Row],[Average MHT
(Feet)]]/16)</f>
        <v>0</v>
      </c>
      <c r="BR8" s="235">
        <f>Table11[[#This Row],[Projected Average BF]]*Table11[[#This Row],[2024 '#Trees Inventory + Estimate]]</f>
        <v>0</v>
      </c>
      <c r="BS8" s="235">
        <f>196*Table11[[#This Row],[2024 '#Trees Inventory + Estimate]]</f>
        <v>0</v>
      </c>
      <c r="BT8" s="235">
        <f>Table11[[#This Row],[ETP Offering Expected BF]]-Table11[[#This Row],[Projected Total BF]]</f>
        <v>0</v>
      </c>
      <c r="BU8" s="235">
        <f>(18-Table11[[#This Row],[Average DBH
(inches)]])/(D8-Table11[[#This Row],[Year of Inventory]]+1)</f>
        <v>18</v>
      </c>
    </row>
    <row r="9" spans="1:75" hidden="1" x14ac:dyDescent="0.25">
      <c r="A9" s="7" t="s">
        <v>175</v>
      </c>
      <c r="B9" s="2">
        <v>2015</v>
      </c>
      <c r="C9" s="2">
        <v>2016</v>
      </c>
      <c r="D9" s="2">
        <f>Table11[[#This Row],[Planting Year]]+9</f>
        <v>2025</v>
      </c>
      <c r="E9" s="97" t="s">
        <v>176</v>
      </c>
      <c r="F9" s="161">
        <v>10006</v>
      </c>
      <c r="G9" t="s">
        <v>176</v>
      </c>
      <c r="H9" s="357" t="s">
        <v>177</v>
      </c>
      <c r="I9" t="s">
        <v>155</v>
      </c>
      <c r="J9" s="1" t="s">
        <v>178</v>
      </c>
      <c r="K9" s="1" t="s">
        <v>179</v>
      </c>
      <c r="L9" s="1" t="s">
        <v>179</v>
      </c>
      <c r="M9" s="1" t="s">
        <v>150</v>
      </c>
      <c r="N9" t="s">
        <v>180</v>
      </c>
      <c r="O9">
        <v>33.146327999999997</v>
      </c>
      <c r="P9">
        <v>-85.297633000000005</v>
      </c>
      <c r="Q9" s="2"/>
      <c r="R9" s="86"/>
      <c r="S9" s="2"/>
      <c r="T9" s="1">
        <v>800</v>
      </c>
      <c r="U9" s="1">
        <v>800</v>
      </c>
      <c r="V9" s="1" t="str">
        <f>IF(Table11[[#This Row],['#TreesContract]]-Table11[[#This Row],['#Planted]]=0,"",Table11[[#This Row],['#TreesContract]]-Table11[[#This Row],['#Planted]])</f>
        <v/>
      </c>
      <c r="W9" s="2"/>
      <c r="X9" s="34">
        <v>0</v>
      </c>
      <c r="Y9" s="163"/>
      <c r="Z9" s="163"/>
      <c r="AA9" s="34">
        <v>1</v>
      </c>
      <c r="AB9" s="163">
        <f>Table11[[#This Row],['#TreesContract]]*1</f>
        <v>800</v>
      </c>
      <c r="AC9" s="34"/>
      <c r="AD9" s="163"/>
      <c r="AE9" s="163">
        <f>Table11[[#This Row],[Canada Allocation-tree '#''s]]+Table11[[#This Row],[Can trees/Allocation 2017]]</f>
        <v>800</v>
      </c>
      <c r="AF9" s="5">
        <v>0.86235416666666664</v>
      </c>
      <c r="AG9" s="35">
        <v>689.88333333333333</v>
      </c>
      <c r="AH9" s="35">
        <f>Table11[[#This Row],['#Trees as of 12/31/23]]*Table11[[#This Row],[USA Allocation %]]</f>
        <v>0</v>
      </c>
      <c r="AI9" s="435">
        <f>Table11[[#This Row],['#TreesContract]]*Table11[[#This Row],[2024 Inventory Survival%-master]]</f>
        <v>0</v>
      </c>
      <c r="AJ9" s="436"/>
      <c r="AK9" s="5">
        <v>0.86235416666666664</v>
      </c>
      <c r="AL9" s="5">
        <v>0.86235416666666664</v>
      </c>
      <c r="AM9" s="35">
        <f>AK9*Table11[[#This Row],['#TreesContract]]</f>
        <v>689.88333333333333</v>
      </c>
      <c r="AN9" s="35">
        <f>Table11[[#This Row],[2024 '#Trees Inventory + Estimate]]*Table11[[#This Row],[USA Allocation %]]</f>
        <v>0</v>
      </c>
      <c r="AO9" s="35">
        <f>Table11[[#This Row],[2024 '#Trees Inventory + Estimate]]*Table11[[#This Row],[Canada Allocation %]]</f>
        <v>689.88333333333333</v>
      </c>
      <c r="AP9" s="35">
        <f>Table11[[#This Row],[2024 '#Trees Inventory + Estimate]]*Table11[[#This Row],[Canada Allocation2017 %]]</f>
        <v>0</v>
      </c>
      <c r="AQ9" s="35">
        <f>Table11[[#This Row],['#Trees as of 2024/estimate-Can allocation]]+Table11[[#This Row],['#Trees as of 2024/estimate-Can allocation 2017]]</f>
        <v>689.88333333333333</v>
      </c>
      <c r="AR9" s="1" t="s">
        <v>152</v>
      </c>
      <c r="AS9" s="2" t="s">
        <v>181</v>
      </c>
      <c r="AT9" s="6">
        <f>IFERROR(Table11[[#This Row],['#Total Replacements]]/Table11[[#This Row],['#TreesContract]],"")</f>
        <v>0.42499999999999999</v>
      </c>
      <c r="AU9" s="4">
        <f>IF(SUM(Table11[[#This Row],['#Replace 24]:['#Replace 16]])=0,0,SUM(Table11[[#This Row],['#Replace 24]:['#Replace 16]]))</f>
        <v>340</v>
      </c>
      <c r="AV9" s="2"/>
      <c r="AW9" s="2"/>
      <c r="AX9" s="3"/>
      <c r="AY9" s="2"/>
      <c r="AZ9" s="2"/>
      <c r="BA9" s="2"/>
      <c r="BB9" s="2"/>
      <c r="BC9" s="2">
        <v>40</v>
      </c>
      <c r="BD9" s="2">
        <v>300</v>
      </c>
      <c r="BE9" s="2"/>
      <c r="BF9" s="3">
        <v>1</v>
      </c>
      <c r="BG9" s="3"/>
      <c r="BH9" s="2"/>
      <c r="BI9" s="158"/>
      <c r="BJ9" s="158"/>
      <c r="BK9" s="139">
        <f>Table11[[#This Row],[Average MHT
(Feet)]]/16</f>
        <v>0</v>
      </c>
      <c r="BL9" s="2"/>
      <c r="BM9" s="139">
        <f>Table11[[#This Row],[Average DBH
(inches)]]/18</f>
        <v>0</v>
      </c>
      <c r="BN9" s="235">
        <f>((Table11[[#This Row],[Average DBH
(inches)]]-4)^2)*(Table11[[#This Row],[Average MHT
(Feet)]]/16)</f>
        <v>0</v>
      </c>
      <c r="BO9" s="235">
        <f>Table11[[#This Row],[Average BF]]*Table11[[#This Row],[2024 '#Trees Inventory + Estimate]]</f>
        <v>0</v>
      </c>
      <c r="BP9" s="240">
        <f>(Table11[[#This Row],[Harvest Year
(10 year)]]-Table11[[#This Row],[Year of Inventory]]+1)*(Table11[[#This Row],[Average DBH
(inches)]]/(Table11[[#This Row],[Harvest Year
(10 year)]]-Table11[[#This Row],[Year of Inventory]]+1))+Table11[[#This Row],[Average DBH
(inches)]]</f>
        <v>0</v>
      </c>
      <c r="BQ9" s="235">
        <f>((Table11[[#This Row],[Projected DBH
(Extrapolated Growth/Year)]]-4)^2)*(Table11[[#This Row],[Average MHT
(Feet)]]/16)</f>
        <v>0</v>
      </c>
      <c r="BR9" s="235">
        <f>Table11[[#This Row],[Projected Average BF]]*Table11[[#This Row],[2024 '#Trees Inventory + Estimate]]</f>
        <v>0</v>
      </c>
      <c r="BS9" s="235">
        <f>196*Table11[[#This Row],[2024 '#Trees Inventory + Estimate]]</f>
        <v>135217.13333333333</v>
      </c>
      <c r="BT9" s="243">
        <f>Table11[[#This Row],[ETP Offering Expected BF]]-Table11[[#This Row],[Projected Total BF]]</f>
        <v>135217.13333333333</v>
      </c>
      <c r="BU9" s="235">
        <f>(18-Table11[[#This Row],[Average DBH
(inches)]])/(D9-Table11[[#This Row],[Year of Inventory]]+1)</f>
        <v>8.8845014807502464E-3</v>
      </c>
    </row>
    <row r="10" spans="1:75" hidden="1" x14ac:dyDescent="0.25">
      <c r="A10" s="7" t="s">
        <v>182</v>
      </c>
      <c r="B10" s="2">
        <v>2015</v>
      </c>
      <c r="C10" s="2">
        <v>2016</v>
      </c>
      <c r="D10" s="2">
        <f>Table11[[#This Row],[Planting Year]]+9</f>
        <v>2025</v>
      </c>
      <c r="E10" s="97" t="s">
        <v>183</v>
      </c>
      <c r="F10" s="161">
        <v>10007</v>
      </c>
      <c r="G10" t="s">
        <v>183</v>
      </c>
      <c r="H10" s="357" t="s">
        <v>184</v>
      </c>
      <c r="I10" t="s">
        <v>147</v>
      </c>
      <c r="J10" s="1" t="s">
        <v>185</v>
      </c>
      <c r="K10" s="1" t="s">
        <v>186</v>
      </c>
      <c r="L10" s="1" t="s">
        <v>186</v>
      </c>
      <c r="M10" s="1" t="s">
        <v>150</v>
      </c>
      <c r="N10" t="s">
        <v>187</v>
      </c>
      <c r="O10">
        <v>35.616982999999998</v>
      </c>
      <c r="P10">
        <v>-89.699597999999995</v>
      </c>
      <c r="Q10" s="2"/>
      <c r="R10" s="86"/>
      <c r="S10" s="2"/>
      <c r="T10" s="1">
        <v>1650</v>
      </c>
      <c r="U10" s="1">
        <v>1650</v>
      </c>
      <c r="V10" s="1" t="str">
        <f>IF(Table11[[#This Row],['#TreesContract]]-Table11[[#This Row],['#Planted]]=0,"",Table11[[#This Row],['#TreesContract]]-Table11[[#This Row],['#Planted]])</f>
        <v/>
      </c>
      <c r="W10" s="2"/>
      <c r="X10" s="34">
        <v>0</v>
      </c>
      <c r="Y10" s="163"/>
      <c r="Z10" s="163"/>
      <c r="AA10" s="34">
        <v>1</v>
      </c>
      <c r="AB10" s="163">
        <f>Table11[[#This Row],['#TreesContract]]*1</f>
        <v>1650</v>
      </c>
      <c r="AC10" s="34"/>
      <c r="AD10" s="163"/>
      <c r="AE10" s="163">
        <f>Table11[[#This Row],[Canada Allocation-tree '#''s]]+Table11[[#This Row],[Can trees/Allocation 2017]]</f>
        <v>1650</v>
      </c>
      <c r="AF10" s="5">
        <v>0.27768595041322308</v>
      </c>
      <c r="AG10" s="35">
        <v>458.18181818181807</v>
      </c>
      <c r="AH10" s="35">
        <f>Table11[[#This Row],['#Trees as of 12/31/23]]*Table11[[#This Row],[USA Allocation %]]</f>
        <v>0</v>
      </c>
      <c r="AI10" s="404">
        <f>Table11[[#This Row],['#TreesContract]]*Table11[[#This Row],[2024 Inventory Survival%-master]]</f>
        <v>0</v>
      </c>
      <c r="AJ10" s="5"/>
      <c r="AK10" s="5">
        <v>0.27768595041322308</v>
      </c>
      <c r="AL10" s="5">
        <v>0.28000000000000003</v>
      </c>
      <c r="AM10" s="35">
        <f>AK10*Table11[[#This Row],['#TreesContract]]</f>
        <v>458.18181818181807</v>
      </c>
      <c r="AN10" s="35">
        <f>Table11[[#This Row],[2024 '#Trees Inventory + Estimate]]*Table11[[#This Row],[USA Allocation %]]</f>
        <v>0</v>
      </c>
      <c r="AO10" s="35">
        <f>Table11[[#This Row],[2024 '#Trees Inventory + Estimate]]*Table11[[#This Row],[Canada Allocation %]]</f>
        <v>458.18181818181807</v>
      </c>
      <c r="AP10" s="35">
        <f>Table11[[#This Row],[2024 '#Trees Inventory + Estimate]]*Table11[[#This Row],[Canada Allocation2017 %]]</f>
        <v>0</v>
      </c>
      <c r="AQ10" s="35">
        <f>Table11[[#This Row],['#Trees as of 2024/estimate-Can allocation]]+Table11[[#This Row],['#Trees as of 2024/estimate-Can allocation 2017]]</f>
        <v>458.18181818181807</v>
      </c>
      <c r="AR10" s="1" t="s">
        <v>152</v>
      </c>
      <c r="AS10" s="2"/>
      <c r="AT10" s="6">
        <f>IFERROR(Table11[[#This Row],['#Total Replacements]]/Table11[[#This Row],['#TreesContract]],"")</f>
        <v>1.2424242424242424</v>
      </c>
      <c r="AU10" s="4">
        <f>IF(SUM(Table11[[#This Row],['#Replace 24]:['#Replace 16]])=0,0,SUM(Table11[[#This Row],['#Replace 24]:['#Replace 16]]))</f>
        <v>2050</v>
      </c>
      <c r="AV10" s="2"/>
      <c r="AW10" s="2"/>
      <c r="AX10" s="3"/>
      <c r="AY10" s="2"/>
      <c r="AZ10" s="2">
        <v>400</v>
      </c>
      <c r="BA10" s="2"/>
      <c r="BB10" s="2"/>
      <c r="BC10" s="2"/>
      <c r="BD10" s="2">
        <v>1650</v>
      </c>
      <c r="BE10" s="2"/>
      <c r="BF10" s="3">
        <v>1</v>
      </c>
      <c r="BG10" s="3"/>
      <c r="BH10" s="2"/>
      <c r="BI10" s="158"/>
      <c r="BJ10" s="158"/>
      <c r="BK10" s="139">
        <f>Table11[[#This Row],[Average MHT
(Feet)]]/16</f>
        <v>0</v>
      </c>
      <c r="BL10" s="2"/>
      <c r="BM10" s="139">
        <f>Table11[[#This Row],[Average DBH
(inches)]]/18</f>
        <v>0</v>
      </c>
      <c r="BN10" s="235">
        <f>((Table11[[#This Row],[Average DBH
(inches)]]-4)^2)*(Table11[[#This Row],[Average MHT
(Feet)]]/16)</f>
        <v>0</v>
      </c>
      <c r="BO10" s="235">
        <f>Table11[[#This Row],[Average BF]]*Table11[[#This Row],[2024 '#Trees Inventory + Estimate]]</f>
        <v>0</v>
      </c>
      <c r="BP10" s="240">
        <f>(Table11[[#This Row],[Harvest Year
(10 year)]]-Table11[[#This Row],[Year of Inventory]]+1)*(Table11[[#This Row],[Average DBH
(inches)]]/(Table11[[#This Row],[Harvest Year
(10 year)]]-Table11[[#This Row],[Year of Inventory]]+1))+Table11[[#This Row],[Average DBH
(inches)]]</f>
        <v>0</v>
      </c>
      <c r="BQ10" s="235">
        <f>((Table11[[#This Row],[Projected DBH
(Extrapolated Growth/Year)]]-4)^2)*(Table11[[#This Row],[Average MHT
(Feet)]]/16)</f>
        <v>0</v>
      </c>
      <c r="BR10" s="235">
        <f>Table11[[#This Row],[Projected Average BF]]*Table11[[#This Row],[2024 '#Trees Inventory + Estimate]]</f>
        <v>0</v>
      </c>
      <c r="BS10" s="235">
        <f>196*Table11[[#This Row],[2024 '#Trees Inventory + Estimate]]</f>
        <v>89803.636363636339</v>
      </c>
      <c r="BT10" s="235">
        <f>Table11[[#This Row],[ETP Offering Expected BF]]-Table11[[#This Row],[Projected Total BF]]</f>
        <v>89803.636363636339</v>
      </c>
      <c r="BU10" s="235">
        <f>(18-Table11[[#This Row],[Average DBH
(inches)]])/(D10-Table11[[#This Row],[Year of Inventory]]+1)</f>
        <v>8.8845014807502464E-3</v>
      </c>
    </row>
    <row r="11" spans="1:75" hidden="1" x14ac:dyDescent="0.25">
      <c r="A11" s="7" t="s">
        <v>188</v>
      </c>
      <c r="B11" s="2">
        <v>2015</v>
      </c>
      <c r="C11" s="2">
        <v>2016</v>
      </c>
      <c r="D11" s="2">
        <v>0</v>
      </c>
      <c r="E11" s="97" t="s">
        <v>189</v>
      </c>
      <c r="F11" s="161">
        <v>10008</v>
      </c>
      <c r="G11" t="s">
        <v>189</v>
      </c>
      <c r="H11" s="357"/>
      <c r="I11" t="s">
        <v>160</v>
      </c>
      <c r="J11" s="1"/>
      <c r="K11" s="1"/>
      <c r="L11" s="1"/>
      <c r="M11" s="1" t="s">
        <v>150</v>
      </c>
      <c r="N11" t="s">
        <v>190</v>
      </c>
      <c r="O11">
        <v>33.774079999999998</v>
      </c>
      <c r="P11">
        <v>-85.776769999999999</v>
      </c>
      <c r="Q11" s="2"/>
      <c r="R11" s="86"/>
      <c r="S11" s="2"/>
      <c r="T11" s="1">
        <v>550</v>
      </c>
      <c r="U11" s="1">
        <v>550</v>
      </c>
      <c r="V11" s="1" t="str">
        <f>IF(Table11[[#This Row],['#TreesContract]]-Table11[[#This Row],['#Planted]]=0,"",Table11[[#This Row],['#TreesContract]]-Table11[[#This Row],['#Planted]])</f>
        <v/>
      </c>
      <c r="W11" s="2"/>
      <c r="X11" s="34">
        <v>0</v>
      </c>
      <c r="Y11" s="163"/>
      <c r="Z11" s="163"/>
      <c r="AA11" s="34">
        <v>1</v>
      </c>
      <c r="AB11" s="163">
        <f>Table11[[#This Row],['#TreesContract]]*1</f>
        <v>550</v>
      </c>
      <c r="AC11" s="34"/>
      <c r="AD11" s="163"/>
      <c r="AE11" s="163">
        <f>Table11[[#This Row],[Canada Allocation-tree '#''s]]+Table11[[#This Row],[Can trees/Allocation 2017]]</f>
        <v>550</v>
      </c>
      <c r="AF11" s="5">
        <v>0</v>
      </c>
      <c r="AG11" s="35">
        <v>0</v>
      </c>
      <c r="AH11" s="35">
        <f>Table11[[#This Row],['#Trees as of 12/31/23]]*Table11[[#This Row],[USA Allocation %]]</f>
        <v>0</v>
      </c>
      <c r="AI11" s="404">
        <f>Table11[[#This Row],['#TreesContract]]*Table11[[#This Row],[2024 Inventory Survival%-master]]</f>
        <v>0</v>
      </c>
      <c r="AJ11" s="5">
        <v>0</v>
      </c>
      <c r="AK11" s="5">
        <v>0</v>
      </c>
      <c r="AL11" s="5">
        <v>0</v>
      </c>
      <c r="AM11" s="35">
        <f>AK11*Table11[[#This Row],['#TreesContract]]</f>
        <v>0</v>
      </c>
      <c r="AN11" s="35">
        <f>Table11[[#This Row],[2024 '#Trees Inventory + Estimate]]*Table11[[#This Row],[USA Allocation %]]</f>
        <v>0</v>
      </c>
      <c r="AO11" s="35">
        <f>Table11[[#This Row],[2024 '#Trees Inventory + Estimate]]*Table11[[#This Row],[Canada Allocation %]]</f>
        <v>0</v>
      </c>
      <c r="AP11" s="35">
        <f>Table11[[#This Row],[2024 '#Trees Inventory + Estimate]]*Table11[[#This Row],[Canada Allocation2017 %]]</f>
        <v>0</v>
      </c>
      <c r="AQ11" s="35">
        <f>Table11[[#This Row],['#Trees as of 2024/estimate-Can allocation]]+Table11[[#This Row],['#Trees as of 2024/estimate-Can allocation 2017]]</f>
        <v>0</v>
      </c>
      <c r="AR11" s="1" t="s">
        <v>152</v>
      </c>
      <c r="AS11" s="2"/>
      <c r="AT11" s="6">
        <f>IFERROR(Table11[[#This Row],['#Total Replacements]]/Table11[[#This Row],['#TreesContract]],"")</f>
        <v>1.5727272727272728</v>
      </c>
      <c r="AU11" s="4">
        <f>IF(SUM(Table11[[#This Row],['#Replace 24]:['#Replace 16]])=0,0,SUM(Table11[[#This Row],['#Replace 24]:['#Replace 16]]))</f>
        <v>865</v>
      </c>
      <c r="AV11" s="2"/>
      <c r="AW11" s="2"/>
      <c r="AX11" s="3"/>
      <c r="AY11" s="2"/>
      <c r="AZ11" s="2"/>
      <c r="BA11" s="2"/>
      <c r="BB11" s="2"/>
      <c r="BC11" s="2">
        <v>365</v>
      </c>
      <c r="BD11" s="2">
        <v>500</v>
      </c>
      <c r="BE11" s="2"/>
      <c r="BF11" s="3">
        <v>1</v>
      </c>
      <c r="BG11" s="3"/>
      <c r="BH11" s="2"/>
      <c r="BI11" s="2"/>
      <c r="BJ11" s="2"/>
      <c r="BK11" s="139">
        <f>Table11[[#This Row],[Average MHT
(Feet)]]/16</f>
        <v>0</v>
      </c>
      <c r="BL11" s="2"/>
      <c r="BM11" s="139">
        <f>Table11[[#This Row],[Average DBH
(inches)]]/18</f>
        <v>0</v>
      </c>
      <c r="BN11" s="235">
        <f>((Table11[[#This Row],[Average DBH
(inches)]]-4)^2)*(Table11[[#This Row],[Average MHT
(Feet)]]/16)</f>
        <v>0</v>
      </c>
      <c r="BO11" s="235">
        <f>Table11[[#This Row],[Average BF]]*Table11[[#This Row],[2024 '#Trees Inventory + Estimate]]</f>
        <v>0</v>
      </c>
      <c r="BP11" s="240">
        <f>(Table11[[#This Row],[Harvest Year
(10 year)]]-Table11[[#This Row],[Year of Inventory]]+1)*(Table11[[#This Row],[Average DBH
(inches)]]/(Table11[[#This Row],[Harvest Year
(10 year)]]-Table11[[#This Row],[Year of Inventory]]+1))+Table11[[#This Row],[Average DBH
(inches)]]</f>
        <v>0</v>
      </c>
      <c r="BQ11" s="235">
        <f>((Table11[[#This Row],[Projected DBH
(Extrapolated Growth/Year)]]-4)^2)*(Table11[[#This Row],[Average MHT
(Feet)]]/16)</f>
        <v>0</v>
      </c>
      <c r="BR11" s="235">
        <f>Table11[[#This Row],[Projected Average BF]]*Table11[[#This Row],[2024 '#Trees Inventory + Estimate]]</f>
        <v>0</v>
      </c>
      <c r="BS11" s="235">
        <f>196*Table11[[#This Row],[2024 '#Trees Inventory + Estimate]]</f>
        <v>0</v>
      </c>
      <c r="BT11" s="235">
        <f>Table11[[#This Row],[ETP Offering Expected BF]]-Table11[[#This Row],[Projected Total BF]]</f>
        <v>0</v>
      </c>
      <c r="BU11" s="235">
        <f>(18-Table11[[#This Row],[Average DBH
(inches)]])/(D11-Table11[[#This Row],[Year of Inventory]]+1)</f>
        <v>18</v>
      </c>
    </row>
    <row r="12" spans="1:75" hidden="1" x14ac:dyDescent="0.25">
      <c r="A12" s="7" t="s">
        <v>191</v>
      </c>
      <c r="B12" s="2">
        <v>2015</v>
      </c>
      <c r="C12" s="2">
        <v>2016</v>
      </c>
      <c r="D12" s="2">
        <f>Table11[[#This Row],[Planting Year]]+9</f>
        <v>2025</v>
      </c>
      <c r="E12" s="97" t="s">
        <v>192</v>
      </c>
      <c r="F12" s="161">
        <v>10009</v>
      </c>
      <c r="G12" t="s">
        <v>192</v>
      </c>
      <c r="H12" s="357" t="s">
        <v>193</v>
      </c>
      <c r="I12" t="s">
        <v>155</v>
      </c>
      <c r="J12" s="1">
        <v>0</v>
      </c>
      <c r="K12" s="1" t="s">
        <v>194</v>
      </c>
      <c r="L12" s="1" t="s">
        <v>195</v>
      </c>
      <c r="M12" s="1" t="s">
        <v>150</v>
      </c>
      <c r="N12" t="s">
        <v>196</v>
      </c>
      <c r="O12">
        <v>40.450392000000001</v>
      </c>
      <c r="P12">
        <v>-81.009647000000001</v>
      </c>
      <c r="Q12" s="2"/>
      <c r="R12" s="86"/>
      <c r="S12" s="2"/>
      <c r="T12" s="1">
        <v>1295</v>
      </c>
      <c r="U12" s="1">
        <v>1295</v>
      </c>
      <c r="V12" s="1" t="str">
        <f>IF(Table11[[#This Row],['#TreesContract]]-Table11[[#This Row],['#Planted]]=0,"",Table11[[#This Row],['#TreesContract]]-Table11[[#This Row],['#Planted]])</f>
        <v/>
      </c>
      <c r="W12" s="2"/>
      <c r="X12" s="34">
        <v>0</v>
      </c>
      <c r="Y12" s="163"/>
      <c r="Z12" s="163"/>
      <c r="AA12" s="34">
        <v>1</v>
      </c>
      <c r="AB12" s="163">
        <f>Table11[[#This Row],['#TreesContract]]*1</f>
        <v>1295</v>
      </c>
      <c r="AC12" s="34"/>
      <c r="AD12" s="163"/>
      <c r="AE12" s="163">
        <f>Table11[[#This Row],[Canada Allocation-tree '#''s]]+Table11[[#This Row],[Can trees/Allocation 2017]]</f>
        <v>1295</v>
      </c>
      <c r="AF12" s="5">
        <v>0.12183612183612186</v>
      </c>
      <c r="AG12" s="35">
        <v>458.18181818181807</v>
      </c>
      <c r="AH12" s="35">
        <f>Table11[[#This Row],['#Trees as of 12/31/23]]*Table11[[#This Row],[USA Allocation %]]</f>
        <v>0</v>
      </c>
      <c r="AI12" s="435">
        <f>Table11[[#This Row],['#TreesContract]]*Table11[[#This Row],[2024 Inventory Survival%-master]]</f>
        <v>0</v>
      </c>
      <c r="AJ12" s="436"/>
      <c r="AK12" s="5">
        <v>0.12183612183612186</v>
      </c>
      <c r="AL12" s="5">
        <v>0.12183612183612186</v>
      </c>
      <c r="AM12" s="35">
        <f>AK12*Table11[[#This Row],['#TreesContract]]</f>
        <v>157.7777777777778</v>
      </c>
      <c r="AN12" s="35">
        <f>Table11[[#This Row],[2024 '#Trees Inventory + Estimate]]*Table11[[#This Row],[USA Allocation %]]</f>
        <v>0</v>
      </c>
      <c r="AO12" s="35">
        <f>Table11[[#This Row],[2024 '#Trees Inventory + Estimate]]*Table11[[#This Row],[Canada Allocation %]]</f>
        <v>157.7777777777778</v>
      </c>
      <c r="AP12" s="35">
        <f>Table11[[#This Row],[2024 '#Trees Inventory + Estimate]]*Table11[[#This Row],[Canada Allocation2017 %]]</f>
        <v>0</v>
      </c>
      <c r="AQ12" s="35">
        <f>Table11[[#This Row],['#Trees as of 2024/estimate-Can allocation]]+Table11[[#This Row],['#Trees as of 2024/estimate-Can allocation 2017]]</f>
        <v>157.7777777777778</v>
      </c>
      <c r="AR12" s="1" t="s">
        <v>152</v>
      </c>
      <c r="AS12" s="2" t="s">
        <v>153</v>
      </c>
      <c r="AT12" s="6">
        <f>IFERROR(Table11[[#This Row],['#Total Replacements]]/Table11[[#This Row],['#TreesContract]],"")</f>
        <v>0.11583011583011583</v>
      </c>
      <c r="AU12" s="4">
        <f>IF(SUM(Table11[[#This Row],['#Replace 24]:['#Replace 16]])=0,0,SUM(Table11[[#This Row],['#Replace 24]:['#Replace 16]]))</f>
        <v>150</v>
      </c>
      <c r="AV12" s="2"/>
      <c r="AW12" s="2"/>
      <c r="AX12" s="3"/>
      <c r="AY12" s="2"/>
      <c r="AZ12" s="2"/>
      <c r="BA12" s="2"/>
      <c r="BB12" s="2"/>
      <c r="BC12" s="2"/>
      <c r="BD12" s="2">
        <v>150</v>
      </c>
      <c r="BE12" s="2"/>
      <c r="BF12" s="3">
        <v>1</v>
      </c>
      <c r="BG12" s="3"/>
      <c r="BH12" s="2"/>
      <c r="BI12" s="2"/>
      <c r="BJ12" s="2"/>
      <c r="BK12" s="139">
        <f>Table11[[#This Row],[Average MHT
(Feet)]]/16</f>
        <v>0</v>
      </c>
      <c r="BL12" s="2"/>
      <c r="BM12" s="139">
        <f>Table11[[#This Row],[Average DBH
(inches)]]/18</f>
        <v>0</v>
      </c>
      <c r="BN12" s="235">
        <f>((Table11[[#This Row],[Average DBH
(inches)]]-4)^2)*(Table11[[#This Row],[Average MHT
(Feet)]]/16)</f>
        <v>0</v>
      </c>
      <c r="BO12" s="235">
        <f>Table11[[#This Row],[Average BF]]*Table11[[#This Row],[2024 '#Trees Inventory + Estimate]]</f>
        <v>0</v>
      </c>
      <c r="BP12" s="240">
        <f>(Table11[[#This Row],[Harvest Year
(10 year)]]-Table11[[#This Row],[Year of Inventory]]+1)*(Table11[[#This Row],[Average DBH
(inches)]]/(Table11[[#This Row],[Harvest Year
(10 year)]]-Table11[[#This Row],[Year of Inventory]]+1))+Table11[[#This Row],[Average DBH
(inches)]]</f>
        <v>0</v>
      </c>
      <c r="BQ12" s="235">
        <f>((Table11[[#This Row],[Projected DBH
(Extrapolated Growth/Year)]]-4)^2)*(Table11[[#This Row],[Average MHT
(Feet)]]/16)</f>
        <v>0</v>
      </c>
      <c r="BR12" s="235">
        <f>Table11[[#This Row],[Projected Average BF]]*Table11[[#This Row],[2024 '#Trees Inventory + Estimate]]</f>
        <v>0</v>
      </c>
      <c r="BS12" s="235">
        <f>196*Table11[[#This Row],[2024 '#Trees Inventory + Estimate]]</f>
        <v>30924.444444444449</v>
      </c>
      <c r="BT12" s="243">
        <f>Table11[[#This Row],[ETP Offering Expected BF]]-Table11[[#This Row],[Projected Total BF]]</f>
        <v>30924.444444444449</v>
      </c>
      <c r="BU12" s="235">
        <f>(18-Table11[[#This Row],[Average DBH
(inches)]])/(D12-Table11[[#This Row],[Year of Inventory]]+1)</f>
        <v>8.8845014807502464E-3</v>
      </c>
    </row>
    <row r="13" spans="1:75" hidden="1" x14ac:dyDescent="0.25">
      <c r="A13" s="7" t="s">
        <v>197</v>
      </c>
      <c r="B13" s="2">
        <v>2015</v>
      </c>
      <c r="C13" s="2">
        <v>2016</v>
      </c>
      <c r="D13" s="2">
        <v>0</v>
      </c>
      <c r="E13" s="97" t="s">
        <v>198</v>
      </c>
      <c r="F13" s="161">
        <v>10010</v>
      </c>
      <c r="G13" t="s">
        <v>198</v>
      </c>
      <c r="H13" s="357"/>
      <c r="I13" t="s">
        <v>160</v>
      </c>
      <c r="J13" s="1"/>
      <c r="K13" s="1"/>
      <c r="L13" s="1"/>
      <c r="M13" s="1" t="s">
        <v>150</v>
      </c>
      <c r="N13" t="s">
        <v>199</v>
      </c>
      <c r="O13">
        <v>33.121451999999998</v>
      </c>
      <c r="P13">
        <v>-82.197412</v>
      </c>
      <c r="Q13" s="2"/>
      <c r="R13" s="86"/>
      <c r="S13" s="2"/>
      <c r="T13" s="1">
        <v>2200</v>
      </c>
      <c r="U13" s="1">
        <v>2200</v>
      </c>
      <c r="V13" s="1" t="str">
        <f>IF(Table11[[#This Row],['#TreesContract]]-Table11[[#This Row],['#Planted]]=0,"",Table11[[#This Row],['#TreesContract]]-Table11[[#This Row],['#Planted]])</f>
        <v/>
      </c>
      <c r="W13" s="2"/>
      <c r="X13" s="34">
        <v>0</v>
      </c>
      <c r="Y13" s="163"/>
      <c r="Z13" s="163"/>
      <c r="AA13" s="34">
        <v>1</v>
      </c>
      <c r="AB13" s="163">
        <f>Table11[[#This Row],['#TreesContract]]*1</f>
        <v>2200</v>
      </c>
      <c r="AC13" s="34"/>
      <c r="AD13" s="163"/>
      <c r="AE13" s="163">
        <f>Table11[[#This Row],[Canada Allocation-tree '#''s]]+Table11[[#This Row],[Can trees/Allocation 2017]]</f>
        <v>2200</v>
      </c>
      <c r="AF13" s="5">
        <v>0</v>
      </c>
      <c r="AG13" s="35">
        <v>0</v>
      </c>
      <c r="AH13" s="35">
        <f>Table11[[#This Row],['#Trees as of 12/31/23]]*Table11[[#This Row],[USA Allocation %]]</f>
        <v>0</v>
      </c>
      <c r="AI13" s="404">
        <f>Table11[[#This Row],['#TreesContract]]*Table11[[#This Row],[2024 Inventory Survival%-master]]</f>
        <v>0</v>
      </c>
      <c r="AJ13" s="5">
        <v>0</v>
      </c>
      <c r="AK13" s="5">
        <v>0</v>
      </c>
      <c r="AL13" s="5">
        <v>0</v>
      </c>
      <c r="AM13" s="35">
        <f>AK13*Table11[[#This Row],['#TreesContract]]</f>
        <v>0</v>
      </c>
      <c r="AN13" s="35">
        <f>Table11[[#This Row],[2024 '#Trees Inventory + Estimate]]*Table11[[#This Row],[USA Allocation %]]</f>
        <v>0</v>
      </c>
      <c r="AO13" s="35">
        <f>Table11[[#This Row],[2024 '#Trees Inventory + Estimate]]*Table11[[#This Row],[Canada Allocation %]]</f>
        <v>0</v>
      </c>
      <c r="AP13" s="35">
        <f>Table11[[#This Row],[2024 '#Trees Inventory + Estimate]]*Table11[[#This Row],[Canada Allocation2017 %]]</f>
        <v>0</v>
      </c>
      <c r="AQ13" s="35">
        <f>Table11[[#This Row],['#Trees as of 2024/estimate-Can allocation]]+Table11[[#This Row],['#Trees as of 2024/estimate-Can allocation 2017]]</f>
        <v>0</v>
      </c>
      <c r="AR13" s="1" t="s">
        <v>152</v>
      </c>
      <c r="AS13" s="2"/>
      <c r="AT13" s="6">
        <f>IFERROR(Table11[[#This Row],['#Total Replacements]]/Table11[[#This Row],['#TreesContract]],"")</f>
        <v>0</v>
      </c>
      <c r="AU13" s="4">
        <f>IF(SUM(Table11[[#This Row],['#Replace 24]:['#Replace 16]])=0,0,SUM(Table11[[#This Row],['#Replace 24]:['#Replace 16]]))</f>
        <v>0</v>
      </c>
      <c r="AV13" s="2"/>
      <c r="AW13" s="2"/>
      <c r="AX13" s="3"/>
      <c r="AY13" s="2"/>
      <c r="AZ13" s="2"/>
      <c r="BA13" s="2"/>
      <c r="BB13" s="2"/>
      <c r="BC13" s="2"/>
      <c r="BD13" s="2"/>
      <c r="BE13" s="2"/>
      <c r="BF13" s="3">
        <v>1</v>
      </c>
      <c r="BG13" s="3"/>
      <c r="BH13" s="2"/>
      <c r="BI13" s="158"/>
      <c r="BJ13" s="158"/>
      <c r="BK13" s="139">
        <f>Table11[[#This Row],[Average MHT
(Feet)]]/16</f>
        <v>0</v>
      </c>
      <c r="BL13" s="2"/>
      <c r="BM13" s="139">
        <f>Table11[[#This Row],[Average DBH
(inches)]]/18</f>
        <v>0</v>
      </c>
      <c r="BN13" s="235">
        <f>((Table11[[#This Row],[Average DBH
(inches)]]-4)^2)*(Table11[[#This Row],[Average MHT
(Feet)]]/16)</f>
        <v>0</v>
      </c>
      <c r="BO13" s="235">
        <f>Table11[[#This Row],[Average BF]]*Table11[[#This Row],[2024 '#Trees Inventory + Estimate]]</f>
        <v>0</v>
      </c>
      <c r="BP13" s="240">
        <f>(Table11[[#This Row],[Harvest Year
(10 year)]]-Table11[[#This Row],[Year of Inventory]]+1)*(Table11[[#This Row],[Average DBH
(inches)]]/(Table11[[#This Row],[Harvest Year
(10 year)]]-Table11[[#This Row],[Year of Inventory]]+1))+Table11[[#This Row],[Average DBH
(inches)]]</f>
        <v>0</v>
      </c>
      <c r="BQ13" s="235">
        <f>((Table11[[#This Row],[Projected DBH
(Extrapolated Growth/Year)]]-4)^2)*(Table11[[#This Row],[Average MHT
(Feet)]]/16)</f>
        <v>0</v>
      </c>
      <c r="BR13" s="235">
        <f>Table11[[#This Row],[Projected Average BF]]*Table11[[#This Row],[2024 '#Trees Inventory + Estimate]]</f>
        <v>0</v>
      </c>
      <c r="BS13" s="235">
        <f>196*Table11[[#This Row],[2024 '#Trees Inventory + Estimate]]</f>
        <v>0</v>
      </c>
      <c r="BT13" s="235">
        <f>Table11[[#This Row],[ETP Offering Expected BF]]-Table11[[#This Row],[Projected Total BF]]</f>
        <v>0</v>
      </c>
      <c r="BU13" s="235">
        <f>(18-Table11[[#This Row],[Average DBH
(inches)]])/(D13-Table11[[#This Row],[Year of Inventory]]+1)</f>
        <v>18</v>
      </c>
    </row>
    <row r="14" spans="1:75" hidden="1" x14ac:dyDescent="0.25">
      <c r="A14" s="7" t="s">
        <v>200</v>
      </c>
      <c r="B14" s="2">
        <v>2015</v>
      </c>
      <c r="C14" s="2">
        <v>2016</v>
      </c>
      <c r="D14" s="2">
        <v>0</v>
      </c>
      <c r="E14" s="97" t="s">
        <v>201</v>
      </c>
      <c r="F14" s="161">
        <v>10011</v>
      </c>
      <c r="G14" t="s">
        <v>201</v>
      </c>
      <c r="H14" s="357">
        <f>SUMIFS(Table11[Can trees/Allocation 2017],Table11[Region],H$23,Table11[ETP Year],2016+'Master Data Results'!B7)</f>
        <v>0</v>
      </c>
      <c r="I14" t="s">
        <v>160</v>
      </c>
      <c r="J14" s="1"/>
      <c r="K14" s="1"/>
      <c r="L14" s="1"/>
      <c r="M14" s="1" t="s">
        <v>150</v>
      </c>
      <c r="N14" t="s">
        <v>202</v>
      </c>
      <c r="O14">
        <v>33.983918000000003</v>
      </c>
      <c r="P14">
        <v>-86.808291999999994</v>
      </c>
      <c r="Q14" s="2"/>
      <c r="R14" s="86"/>
      <c r="S14" s="2"/>
      <c r="T14" s="1">
        <v>550</v>
      </c>
      <c r="U14" s="1">
        <v>550</v>
      </c>
      <c r="V14" s="1" t="str">
        <f>IF(Table11[[#This Row],['#TreesContract]]-Table11[[#This Row],['#Planted]]=0,"",Table11[[#This Row],['#TreesContract]]-Table11[[#This Row],['#Planted]])</f>
        <v/>
      </c>
      <c r="W14" s="2"/>
      <c r="X14" s="34">
        <v>0</v>
      </c>
      <c r="Y14" s="163"/>
      <c r="Z14" s="163"/>
      <c r="AA14" s="34">
        <v>1</v>
      </c>
      <c r="AB14" s="163">
        <f>Table11[[#This Row],['#TreesContract]]*1</f>
        <v>550</v>
      </c>
      <c r="AC14" s="34"/>
      <c r="AD14" s="163"/>
      <c r="AE14" s="163">
        <f>Table11[[#This Row],[Canada Allocation-tree '#''s]]+Table11[[#This Row],[Can trees/Allocation 2017]]</f>
        <v>550</v>
      </c>
      <c r="AF14" s="5">
        <v>0</v>
      </c>
      <c r="AG14" s="35">
        <v>0</v>
      </c>
      <c r="AH14" s="35">
        <f>Table11[[#This Row],['#Trees as of 12/31/23]]*Table11[[#This Row],[USA Allocation %]]</f>
        <v>0</v>
      </c>
      <c r="AI14" s="404">
        <f>Table11[[#This Row],['#TreesContract]]*Table11[[#This Row],[2024 Inventory Survival%-master]]</f>
        <v>0</v>
      </c>
      <c r="AJ14" s="5">
        <v>0</v>
      </c>
      <c r="AK14" s="5">
        <v>0</v>
      </c>
      <c r="AL14" s="5">
        <v>0</v>
      </c>
      <c r="AM14" s="35">
        <f>AK14*Table11[[#This Row],['#TreesContract]]</f>
        <v>0</v>
      </c>
      <c r="AN14" s="35">
        <f>Table11[[#This Row],[2024 '#Trees Inventory + Estimate]]*Table11[[#This Row],[USA Allocation %]]</f>
        <v>0</v>
      </c>
      <c r="AO14" s="35">
        <f>Table11[[#This Row],[2024 '#Trees Inventory + Estimate]]*Table11[[#This Row],[Canada Allocation %]]</f>
        <v>0</v>
      </c>
      <c r="AP14" s="35">
        <f>Table11[[#This Row],[2024 '#Trees Inventory + Estimate]]*Table11[[#This Row],[Canada Allocation2017 %]]</f>
        <v>0</v>
      </c>
      <c r="AQ14" s="35">
        <f>Table11[[#This Row],['#Trees as of 2024/estimate-Can allocation]]+Table11[[#This Row],['#Trees as of 2024/estimate-Can allocation 2017]]</f>
        <v>0</v>
      </c>
      <c r="AR14" s="1" t="s">
        <v>152</v>
      </c>
      <c r="AS14" s="2"/>
      <c r="AT14" s="6">
        <f>IFERROR(Table11[[#This Row],['#Total Replacements]]/Table11[[#This Row],['#TreesContract]],"")</f>
        <v>0</v>
      </c>
      <c r="AU14" s="4">
        <f>IF(SUM(Table11[[#This Row],['#Replace 24]:['#Replace 16]])=0,0,SUM(Table11[[#This Row],['#Replace 24]:['#Replace 16]]))</f>
        <v>0</v>
      </c>
      <c r="AV14" s="2"/>
      <c r="AW14" s="2"/>
      <c r="AX14" s="3"/>
      <c r="AY14" s="2"/>
      <c r="AZ14" s="2"/>
      <c r="BA14" s="2"/>
      <c r="BB14" s="2"/>
      <c r="BC14" s="2"/>
      <c r="BD14" s="2"/>
      <c r="BE14" s="2"/>
      <c r="BF14" s="3">
        <v>1</v>
      </c>
      <c r="BG14" s="3"/>
      <c r="BH14" s="2"/>
      <c r="BI14" s="2"/>
      <c r="BJ14" s="2"/>
      <c r="BK14" s="139">
        <f>Table11[[#This Row],[Average MHT
(Feet)]]/16</f>
        <v>0</v>
      </c>
      <c r="BL14" s="2"/>
      <c r="BM14" s="139">
        <f>Table11[[#This Row],[Average DBH
(inches)]]/18</f>
        <v>0</v>
      </c>
      <c r="BN14" s="235">
        <f>((Table11[[#This Row],[Average DBH
(inches)]]-4)^2)*(Table11[[#This Row],[Average MHT
(Feet)]]/16)</f>
        <v>0</v>
      </c>
      <c r="BO14" s="235">
        <f>Table11[[#This Row],[Average BF]]*Table11[[#This Row],[2024 '#Trees Inventory + Estimate]]</f>
        <v>0</v>
      </c>
      <c r="BP14" s="240">
        <f>(Table11[[#This Row],[Harvest Year
(10 year)]]-Table11[[#This Row],[Year of Inventory]]+1)*(Table11[[#This Row],[Average DBH
(inches)]]/(Table11[[#This Row],[Harvest Year
(10 year)]]-Table11[[#This Row],[Year of Inventory]]+1))+Table11[[#This Row],[Average DBH
(inches)]]</f>
        <v>0</v>
      </c>
      <c r="BQ14" s="235">
        <f>((Table11[[#This Row],[Projected DBH
(Extrapolated Growth/Year)]]-4)^2)*(Table11[[#This Row],[Average MHT
(Feet)]]/16)</f>
        <v>0</v>
      </c>
      <c r="BR14" s="235">
        <f>Table11[[#This Row],[Projected Average BF]]*Table11[[#This Row],[2024 '#Trees Inventory + Estimate]]</f>
        <v>0</v>
      </c>
      <c r="BS14" s="235">
        <f>196*Table11[[#This Row],[2024 '#Trees Inventory + Estimate]]</f>
        <v>0</v>
      </c>
      <c r="BT14" s="235">
        <f>Table11[[#This Row],[ETP Offering Expected BF]]-Table11[[#This Row],[Projected Total BF]]</f>
        <v>0</v>
      </c>
      <c r="BU14" s="235">
        <f>(18-Table11[[#This Row],[Average DBH
(inches)]])/(D14-Table11[[#This Row],[Year of Inventory]]+1)</f>
        <v>18</v>
      </c>
    </row>
    <row r="15" spans="1:75" hidden="1" x14ac:dyDescent="0.25">
      <c r="A15" s="7" t="s">
        <v>203</v>
      </c>
      <c r="B15" s="2">
        <v>2015</v>
      </c>
      <c r="C15" s="2">
        <v>2016</v>
      </c>
      <c r="D15" s="2">
        <f>Table11[[#This Row],[Planting Year]]+9</f>
        <v>2025</v>
      </c>
      <c r="E15" s="97" t="s">
        <v>204</v>
      </c>
      <c r="F15" s="161">
        <v>10012</v>
      </c>
      <c r="G15" t="s">
        <v>205</v>
      </c>
      <c r="H15" s="357" t="s">
        <v>206</v>
      </c>
      <c r="I15" t="s">
        <v>155</v>
      </c>
      <c r="J15" s="1">
        <v>0</v>
      </c>
      <c r="K15" s="1" t="s">
        <v>207</v>
      </c>
      <c r="L15" s="1" t="s">
        <v>207</v>
      </c>
      <c r="M15" s="1" t="s">
        <v>150</v>
      </c>
      <c r="N15" t="s">
        <v>208</v>
      </c>
      <c r="O15">
        <v>35.551192</v>
      </c>
      <c r="P15">
        <v>-89.559984999999998</v>
      </c>
      <c r="Q15" s="2"/>
      <c r="R15" s="86"/>
      <c r="S15" s="2"/>
      <c r="T15" s="1">
        <v>660</v>
      </c>
      <c r="U15" s="1">
        <v>660</v>
      </c>
      <c r="V15" s="1" t="str">
        <f>IF(Table11[[#This Row],['#TreesContract]]-Table11[[#This Row],['#Planted]]=0,"",Table11[[#This Row],['#TreesContract]]-Table11[[#This Row],['#Planted]])</f>
        <v/>
      </c>
      <c r="W15" s="2"/>
      <c r="X15" s="34">
        <v>0</v>
      </c>
      <c r="Y15" s="163"/>
      <c r="Z15" s="163"/>
      <c r="AA15" s="34">
        <v>1</v>
      </c>
      <c r="AB15" s="163">
        <f>Table11[[#This Row],['#TreesContract]]*1</f>
        <v>660</v>
      </c>
      <c r="AC15" s="34"/>
      <c r="AD15" s="163"/>
      <c r="AE15" s="163">
        <f>Table11[[#This Row],[Canada Allocation-tree '#''s]]+Table11[[#This Row],[Can trees/Allocation 2017]]</f>
        <v>660</v>
      </c>
      <c r="AF15" s="5">
        <v>1</v>
      </c>
      <c r="AG15" s="35">
        <v>660</v>
      </c>
      <c r="AH15" s="35">
        <f>Table11[[#This Row],['#Trees as of 12/31/23]]*Table11[[#This Row],[USA Allocation %]]</f>
        <v>0</v>
      </c>
      <c r="AI15" s="435">
        <f>Table11[[#This Row],['#TreesContract]]*Table11[[#This Row],[2024 Inventory Survival%-master]]</f>
        <v>0</v>
      </c>
      <c r="AJ15" s="436"/>
      <c r="AK15" s="5">
        <v>1</v>
      </c>
      <c r="AL15" s="5">
        <v>1</v>
      </c>
      <c r="AM15" s="35">
        <f>AK15*Table11[[#This Row],['#TreesContract]]</f>
        <v>660</v>
      </c>
      <c r="AN15" s="35">
        <f>Table11[[#This Row],[2024 '#Trees Inventory + Estimate]]*Table11[[#This Row],[USA Allocation %]]</f>
        <v>0</v>
      </c>
      <c r="AO15" s="35">
        <f>Table11[[#This Row],[2024 '#Trees Inventory + Estimate]]*Table11[[#This Row],[Canada Allocation %]]</f>
        <v>660</v>
      </c>
      <c r="AP15" s="35">
        <f>Table11[[#This Row],[2024 '#Trees Inventory + Estimate]]*Table11[[#This Row],[Canada Allocation2017 %]]</f>
        <v>0</v>
      </c>
      <c r="AQ15" s="35">
        <f>Table11[[#This Row],['#Trees as of 2024/estimate-Can allocation]]+Table11[[#This Row],['#Trees as of 2024/estimate-Can allocation 2017]]</f>
        <v>660</v>
      </c>
      <c r="AR15" s="1" t="s">
        <v>152</v>
      </c>
      <c r="AS15" s="2" t="s">
        <v>209</v>
      </c>
      <c r="AT15" s="6">
        <f>IFERROR(Table11[[#This Row],['#Total Replacements]]/Table11[[#This Row],['#TreesContract]],"")</f>
        <v>1.4393939393939394</v>
      </c>
      <c r="AU15" s="4">
        <f>IF(SUM(Table11[[#This Row],['#Replace 24]:['#Replace 16]])=0,0,SUM(Table11[[#This Row],['#Replace 24]:['#Replace 16]]))</f>
        <v>950</v>
      </c>
      <c r="AV15" s="2"/>
      <c r="AW15" s="2"/>
      <c r="AX15" s="3"/>
      <c r="AY15" s="2"/>
      <c r="AZ15" s="2"/>
      <c r="BA15" s="2"/>
      <c r="BB15" s="2"/>
      <c r="BC15" s="2">
        <v>400</v>
      </c>
      <c r="BD15" s="2">
        <v>550</v>
      </c>
      <c r="BE15" s="2"/>
      <c r="BF15" s="3">
        <v>1</v>
      </c>
      <c r="BG15" s="3"/>
      <c r="BH15" s="2"/>
      <c r="BI15" s="158"/>
      <c r="BJ15" s="158"/>
      <c r="BK15" s="139">
        <f>Table11[[#This Row],[Average MHT
(Feet)]]/16</f>
        <v>0</v>
      </c>
      <c r="BL15" s="2"/>
      <c r="BM15" s="139">
        <f>Table11[[#This Row],[Average DBH
(inches)]]/18</f>
        <v>0</v>
      </c>
      <c r="BN15" s="235">
        <f>((Table11[[#This Row],[Average DBH
(inches)]]-4)^2)*(Table11[[#This Row],[Average MHT
(Feet)]]/16)</f>
        <v>0</v>
      </c>
      <c r="BO15" s="235">
        <f>Table11[[#This Row],[Average BF]]*Table11[[#This Row],[2024 '#Trees Inventory + Estimate]]</f>
        <v>0</v>
      </c>
      <c r="BP15" s="240">
        <f>(Table11[[#This Row],[Harvest Year
(10 year)]]-Table11[[#This Row],[Year of Inventory]]+1)*(Table11[[#This Row],[Average DBH
(inches)]]/(Table11[[#This Row],[Harvest Year
(10 year)]]-Table11[[#This Row],[Year of Inventory]]+1))+Table11[[#This Row],[Average DBH
(inches)]]</f>
        <v>0</v>
      </c>
      <c r="BQ15" s="235">
        <f>((Table11[[#This Row],[Projected DBH
(Extrapolated Growth/Year)]]-4)^2)*(Table11[[#This Row],[Average MHT
(Feet)]]/16)</f>
        <v>0</v>
      </c>
      <c r="BR15" s="235">
        <f>Table11[[#This Row],[Projected Average BF]]*Table11[[#This Row],[2024 '#Trees Inventory + Estimate]]</f>
        <v>0</v>
      </c>
      <c r="BS15" s="235">
        <f>196*Table11[[#This Row],[2024 '#Trees Inventory + Estimate]]</f>
        <v>129360</v>
      </c>
      <c r="BT15" s="243">
        <f>Table11[[#This Row],[ETP Offering Expected BF]]-Table11[[#This Row],[Projected Total BF]]</f>
        <v>129360</v>
      </c>
      <c r="BU15" s="235">
        <f>(18-Table11[[#This Row],[Average DBH
(inches)]])/(D15-Table11[[#This Row],[Year of Inventory]]+1)</f>
        <v>8.8845014807502464E-3</v>
      </c>
    </row>
    <row r="16" spans="1:75" x14ac:dyDescent="0.25">
      <c r="A16" s="7" t="s">
        <v>210</v>
      </c>
      <c r="B16" s="2">
        <v>2015</v>
      </c>
      <c r="C16" s="2">
        <v>2016</v>
      </c>
      <c r="D16" s="2">
        <v>0</v>
      </c>
      <c r="E16" t="s">
        <v>211</v>
      </c>
      <c r="F16" s="161">
        <v>20001</v>
      </c>
      <c r="G16" t="s">
        <v>212</v>
      </c>
      <c r="H16" s="357"/>
      <c r="I16" t="s">
        <v>160</v>
      </c>
      <c r="J16" s="1"/>
      <c r="K16" s="1"/>
      <c r="L16" s="1"/>
      <c r="M16" s="1" t="s">
        <v>213</v>
      </c>
      <c r="Q16" s="2"/>
      <c r="R16" s="86"/>
      <c r="S16" s="2"/>
      <c r="T16" s="1">
        <v>1000</v>
      </c>
      <c r="U16" s="1">
        <v>1000</v>
      </c>
      <c r="V16" s="1" t="str">
        <f>IF(Table11[[#This Row],['#TreesContract]]-Table11[[#This Row],['#Planted]]=0,"",Table11[[#This Row],['#TreesContract]]-Table11[[#This Row],['#Planted]])</f>
        <v/>
      </c>
      <c r="W16" s="2"/>
      <c r="X16" s="34">
        <v>0</v>
      </c>
      <c r="Y16" s="163"/>
      <c r="Z16" s="163"/>
      <c r="AA16" s="34">
        <v>1</v>
      </c>
      <c r="AB16" s="163">
        <f>Table11[[#This Row],['#TreesContract]]*1</f>
        <v>1000</v>
      </c>
      <c r="AC16" s="34"/>
      <c r="AD16" s="163"/>
      <c r="AE16" s="163">
        <f>Table11[[#This Row],[Canada Allocation-tree '#''s]]+Table11[[#This Row],[Can trees/Allocation 2017]]</f>
        <v>1000</v>
      </c>
      <c r="AF16" s="5">
        <v>0</v>
      </c>
      <c r="AG16" s="35">
        <v>0</v>
      </c>
      <c r="AH16" s="35"/>
      <c r="AI16" s="405">
        <f>Table11[[#This Row],['#TreesContract]]*Table11[[#This Row],[2024 Inventory Survival%-master]]</f>
        <v>0</v>
      </c>
      <c r="AJ16" s="5">
        <v>0</v>
      </c>
      <c r="AK16" s="5">
        <v>0</v>
      </c>
      <c r="AL16" s="5">
        <v>0</v>
      </c>
      <c r="AM16" s="35">
        <f>AK16*Table11[[#This Row],['#TreesContract]]</f>
        <v>0</v>
      </c>
      <c r="AN16" s="35">
        <f>Table11[[#This Row],[2024 '#Trees Inventory + Estimate]]*Table11[[#This Row],[USA Allocation %]]</f>
        <v>0</v>
      </c>
      <c r="AO16" s="35">
        <f>Table11[[#This Row],[2024 '#Trees Inventory + Estimate]]*Table11[[#This Row],[Canada Allocation %]]</f>
        <v>0</v>
      </c>
      <c r="AP16" s="35">
        <f>Table11[[#This Row],[2024 '#Trees Inventory + Estimate]]*Table11[[#This Row],[Canada Allocation2017 %]]</f>
        <v>0</v>
      </c>
      <c r="AQ16" s="35">
        <f>Table11[[#This Row],['#Trees as of 2024/estimate-Can allocation]]+Table11[[#This Row],['#Trees as of 2024/estimate-Can allocation 2017]]</f>
        <v>0</v>
      </c>
      <c r="AR16" s="1" t="s">
        <v>214</v>
      </c>
      <c r="AS16" s="2"/>
      <c r="AT16" s="6">
        <f>IFERROR(Table11[[#This Row],['#Total Replacements]]/Table11[[#This Row],['#TreesContract]],"")</f>
        <v>0</v>
      </c>
      <c r="AU16" s="4">
        <f>IF(SUM(Table11[[#This Row],['#Replace 24]:['#Replace 16]])=0,0,SUM(Table11[[#This Row],['#Replace 24]:['#Replace 16]]))</f>
        <v>0</v>
      </c>
      <c r="AV16" s="2"/>
      <c r="AW16" s="2"/>
      <c r="AX16" s="3"/>
      <c r="AY16" s="2"/>
      <c r="AZ16" s="2"/>
      <c r="BA16" s="2"/>
      <c r="BB16" s="2"/>
      <c r="BC16" s="2"/>
      <c r="BD16" s="2"/>
      <c r="BE16" s="2"/>
      <c r="BF16" s="3">
        <v>1</v>
      </c>
      <c r="BG16" s="3"/>
      <c r="BH16" s="2"/>
      <c r="BI16" s="2"/>
      <c r="BJ16" s="2"/>
      <c r="BK16" s="139">
        <f>Table11[[#This Row],[Average MHT
(Feet)]]/16</f>
        <v>0</v>
      </c>
      <c r="BL16" s="2"/>
      <c r="BM16" s="139">
        <f>Table11[[#This Row],[Average DBH
(inches)]]/18</f>
        <v>0</v>
      </c>
      <c r="BN16" s="235">
        <f>((Table11[[#This Row],[Average DBH
(inches)]]-4)^2)*(Table11[[#This Row],[Average MHT
(Feet)]]/16)</f>
        <v>0</v>
      </c>
      <c r="BO16" s="235">
        <f>Table11[[#This Row],[Average BF]]*Table11[[#This Row],[2024 '#Trees Inventory + Estimate]]</f>
        <v>0</v>
      </c>
      <c r="BP16" s="240">
        <f>(Table11[[#This Row],[Harvest Year
(10 year)]]-Table11[[#This Row],[Year of Inventory]]+1)*(Table11[[#This Row],[Average DBH
(inches)]]/(Table11[[#This Row],[Harvest Year
(10 year)]]-Table11[[#This Row],[Year of Inventory]]+1))+Table11[[#This Row],[Average DBH
(inches)]]</f>
        <v>0</v>
      </c>
      <c r="BQ16" s="235">
        <f>((Table11[[#This Row],[Projected DBH
(Extrapolated Growth/Year)]]-4)^2)*(Table11[[#This Row],[Average MHT
(Feet)]]/16)</f>
        <v>0</v>
      </c>
      <c r="BR16" s="235">
        <f>Table11[[#This Row],[Projected Average BF]]*Table11[[#This Row],[2024 '#Trees Inventory + Estimate]]</f>
        <v>0</v>
      </c>
      <c r="BS16" s="235">
        <f>196*Table11[[#This Row],[2024 '#Trees Inventory + Estimate]]</f>
        <v>0</v>
      </c>
      <c r="BT16" s="235">
        <f>Table11[[#This Row],[ETP Offering Expected BF]]-Table11[[#This Row],[Projected Total BF]]</f>
        <v>0</v>
      </c>
      <c r="BU16" s="235">
        <f>(18-Table11[[#This Row],[Average DBH
(inches)]])/(D16-Table11[[#This Row],[Year of Inventory]]+1)</f>
        <v>18</v>
      </c>
    </row>
    <row r="17" spans="1:73" x14ac:dyDescent="0.25">
      <c r="A17" s="7" t="s">
        <v>215</v>
      </c>
      <c r="B17" s="2">
        <v>2015</v>
      </c>
      <c r="C17" s="2">
        <v>2016</v>
      </c>
      <c r="D17" s="2">
        <v>0</v>
      </c>
      <c r="E17" t="s">
        <v>216</v>
      </c>
      <c r="F17" s="161">
        <v>20002</v>
      </c>
      <c r="G17" t="s">
        <v>216</v>
      </c>
      <c r="H17" s="357"/>
      <c r="I17" t="s">
        <v>160</v>
      </c>
      <c r="J17" s="1"/>
      <c r="K17" s="1"/>
      <c r="L17" s="1"/>
      <c r="M17" s="1" t="s">
        <v>213</v>
      </c>
      <c r="Q17" s="2"/>
      <c r="R17" s="86"/>
      <c r="S17" s="2"/>
      <c r="T17" s="1">
        <v>100</v>
      </c>
      <c r="U17" s="1">
        <v>100</v>
      </c>
      <c r="V17" s="1" t="str">
        <f>IF(Table11[[#This Row],['#TreesContract]]-Table11[[#This Row],['#Planted]]=0,"",Table11[[#This Row],['#TreesContract]]-Table11[[#This Row],['#Planted]])</f>
        <v/>
      </c>
      <c r="W17" s="2"/>
      <c r="X17" s="34">
        <v>0</v>
      </c>
      <c r="Y17" s="163"/>
      <c r="Z17" s="163"/>
      <c r="AA17" s="34">
        <v>1</v>
      </c>
      <c r="AB17" s="163">
        <f>Table11[[#This Row],['#TreesContract]]*1</f>
        <v>100</v>
      </c>
      <c r="AC17" s="34"/>
      <c r="AD17" s="163"/>
      <c r="AE17" s="163">
        <f>Table11[[#This Row],[Canada Allocation-tree '#''s]]+Table11[[#This Row],[Can trees/Allocation 2017]]</f>
        <v>100</v>
      </c>
      <c r="AF17" s="5">
        <v>0</v>
      </c>
      <c r="AG17" s="35">
        <v>0</v>
      </c>
      <c r="AH17" s="35"/>
      <c r="AI17" s="405">
        <f>Table11[[#This Row],['#TreesContract]]*Table11[[#This Row],[2024 Inventory Survival%-master]]</f>
        <v>0</v>
      </c>
      <c r="AJ17" s="5">
        <v>0</v>
      </c>
      <c r="AK17" s="5">
        <v>0</v>
      </c>
      <c r="AL17" s="5">
        <v>0</v>
      </c>
      <c r="AM17" s="35">
        <f>AK17*Table11[[#This Row],['#TreesContract]]</f>
        <v>0</v>
      </c>
      <c r="AN17" s="35">
        <f>Table11[[#This Row],[2024 '#Trees Inventory + Estimate]]*Table11[[#This Row],[USA Allocation %]]</f>
        <v>0</v>
      </c>
      <c r="AO17" s="35">
        <f>Table11[[#This Row],[2024 '#Trees Inventory + Estimate]]*Table11[[#This Row],[Canada Allocation %]]</f>
        <v>0</v>
      </c>
      <c r="AP17" s="35">
        <f>Table11[[#This Row],[2024 '#Trees Inventory + Estimate]]*Table11[[#This Row],[Canada Allocation2017 %]]</f>
        <v>0</v>
      </c>
      <c r="AQ17" s="35">
        <f>Table11[[#This Row],['#Trees as of 2024/estimate-Can allocation]]+Table11[[#This Row],['#Trees as of 2024/estimate-Can allocation 2017]]</f>
        <v>0</v>
      </c>
      <c r="AR17" s="1" t="s">
        <v>214</v>
      </c>
      <c r="AS17" s="2"/>
      <c r="AT17" s="6">
        <f>IFERROR(Table11[[#This Row],['#Total Replacements]]/Table11[[#This Row],['#TreesContract]],"")</f>
        <v>0</v>
      </c>
      <c r="AU17" s="4">
        <f>IF(SUM(Table11[[#This Row],['#Replace 24]:['#Replace 16]])=0,0,SUM(Table11[[#This Row],['#Replace 24]:['#Replace 16]]))</f>
        <v>0</v>
      </c>
      <c r="AV17" s="2"/>
      <c r="AW17" s="2"/>
      <c r="AX17" s="3"/>
      <c r="AY17" s="2"/>
      <c r="AZ17" s="2"/>
      <c r="BA17" s="2"/>
      <c r="BB17" s="2"/>
      <c r="BC17" s="2"/>
      <c r="BD17" s="2"/>
      <c r="BE17" s="2"/>
      <c r="BF17" s="3">
        <v>1</v>
      </c>
      <c r="BG17" s="3"/>
      <c r="BH17" s="2"/>
      <c r="BI17" s="158"/>
      <c r="BJ17" s="158"/>
      <c r="BK17" s="139">
        <f>Table11[[#This Row],[Average MHT
(Feet)]]/16</f>
        <v>0</v>
      </c>
      <c r="BL17" s="2"/>
      <c r="BM17" s="139">
        <f>Table11[[#This Row],[Average DBH
(inches)]]/18</f>
        <v>0</v>
      </c>
      <c r="BN17" s="235">
        <f>((Table11[[#This Row],[Average DBH
(inches)]]-4)^2)*(Table11[[#This Row],[Average MHT
(Feet)]]/16)</f>
        <v>0</v>
      </c>
      <c r="BO17" s="235">
        <f>Table11[[#This Row],[Average BF]]*Table11[[#This Row],[2024 '#Trees Inventory + Estimate]]</f>
        <v>0</v>
      </c>
      <c r="BP17" s="240">
        <f>(Table11[[#This Row],[Harvest Year
(10 year)]]-Table11[[#This Row],[Year of Inventory]]+1)*(Table11[[#This Row],[Average DBH
(inches)]]/(Table11[[#This Row],[Harvest Year
(10 year)]]-Table11[[#This Row],[Year of Inventory]]+1))+Table11[[#This Row],[Average DBH
(inches)]]</f>
        <v>0</v>
      </c>
      <c r="BQ17" s="235">
        <f>((Table11[[#This Row],[Projected DBH
(Extrapolated Growth/Year)]]-4)^2)*(Table11[[#This Row],[Average MHT
(Feet)]]/16)</f>
        <v>0</v>
      </c>
      <c r="BR17" s="235">
        <f>Table11[[#This Row],[Projected Average BF]]*Table11[[#This Row],[2024 '#Trees Inventory + Estimate]]</f>
        <v>0</v>
      </c>
      <c r="BS17" s="235">
        <f>196*Table11[[#This Row],[2024 '#Trees Inventory + Estimate]]</f>
        <v>0</v>
      </c>
      <c r="BT17" s="235">
        <f>Table11[[#This Row],[ETP Offering Expected BF]]-Table11[[#This Row],[Projected Total BF]]</f>
        <v>0</v>
      </c>
      <c r="BU17" s="235">
        <f>(18-Table11[[#This Row],[Average DBH
(inches)]])/(D17-Table11[[#This Row],[Year of Inventory]]+1)</f>
        <v>18</v>
      </c>
    </row>
    <row r="18" spans="1:73" x14ac:dyDescent="0.25">
      <c r="A18" s="7" t="s">
        <v>217</v>
      </c>
      <c r="B18" s="2">
        <v>2015</v>
      </c>
      <c r="C18" s="2">
        <v>2016</v>
      </c>
      <c r="D18" s="2"/>
      <c r="E18" t="s">
        <v>218</v>
      </c>
      <c r="F18" s="161">
        <v>20003</v>
      </c>
      <c r="G18" t="s">
        <v>219</v>
      </c>
      <c r="H18" s="357"/>
      <c r="I18" t="s">
        <v>160</v>
      </c>
      <c r="J18" s="1"/>
      <c r="K18" s="1"/>
      <c r="L18" s="1"/>
      <c r="M18" s="1" t="s">
        <v>213</v>
      </c>
      <c r="Q18" s="2"/>
      <c r="R18" s="86"/>
      <c r="S18" s="2"/>
      <c r="T18" s="1">
        <v>1750</v>
      </c>
      <c r="U18" s="1">
        <v>1750</v>
      </c>
      <c r="V18" s="1" t="str">
        <f>IF(Table11[[#This Row],['#TreesContract]]-Table11[[#This Row],['#Planted]]=0,"",Table11[[#This Row],['#TreesContract]]-Table11[[#This Row],['#Planted]])</f>
        <v/>
      </c>
      <c r="W18" s="2"/>
      <c r="X18" s="34">
        <v>0</v>
      </c>
      <c r="Y18" s="163"/>
      <c r="Z18" s="163"/>
      <c r="AA18" s="34">
        <v>1</v>
      </c>
      <c r="AB18" s="163">
        <f>Table11[[#This Row],['#TreesContract]]*1</f>
        <v>1750</v>
      </c>
      <c r="AC18" s="34"/>
      <c r="AD18" s="163"/>
      <c r="AE18" s="163">
        <f>Table11[[#This Row],[Canada Allocation-tree '#''s]]+Table11[[#This Row],[Can trees/Allocation 2017]]</f>
        <v>1750</v>
      </c>
      <c r="AF18" s="5">
        <v>0</v>
      </c>
      <c r="AG18" s="35">
        <v>0</v>
      </c>
      <c r="AH18" s="35"/>
      <c r="AI18" s="405">
        <f>Table11[[#This Row],['#TreesContract]]*Table11[[#This Row],[2024 Inventory Survival%-master]]</f>
        <v>0</v>
      </c>
      <c r="AJ18" s="5">
        <v>0</v>
      </c>
      <c r="AK18" s="5">
        <v>0</v>
      </c>
      <c r="AL18" s="5">
        <v>0</v>
      </c>
      <c r="AM18" s="35">
        <f>AK18*Table11[[#This Row],['#TreesContract]]</f>
        <v>0</v>
      </c>
      <c r="AN18" s="35">
        <f>Table11[[#This Row],[2024 '#Trees Inventory + Estimate]]*Table11[[#This Row],[USA Allocation %]]</f>
        <v>0</v>
      </c>
      <c r="AO18" s="35">
        <f>Table11[[#This Row],[2024 '#Trees Inventory + Estimate]]*Table11[[#This Row],[Canada Allocation %]]</f>
        <v>0</v>
      </c>
      <c r="AP18" s="35">
        <f>Table11[[#This Row],[2024 '#Trees Inventory + Estimate]]*Table11[[#This Row],[Canada Allocation2017 %]]</f>
        <v>0</v>
      </c>
      <c r="AQ18" s="35">
        <f>Table11[[#This Row],['#Trees as of 2024/estimate-Can allocation]]+Table11[[#This Row],['#Trees as of 2024/estimate-Can allocation 2017]]</f>
        <v>0</v>
      </c>
      <c r="AR18" s="1" t="s">
        <v>214</v>
      </c>
      <c r="AS18" s="2"/>
      <c r="AT18" s="6">
        <f>IFERROR(Table11[[#This Row],['#Total Replacements]]/Table11[[#This Row],['#TreesContract]],"")</f>
        <v>0</v>
      </c>
      <c r="AU18" s="4">
        <f>IF(SUM(Table11[[#This Row],['#Replace 24]:['#Replace 16]])=0,0,SUM(Table11[[#This Row],['#Replace 24]:['#Replace 16]]))</f>
        <v>0</v>
      </c>
      <c r="AV18" s="2"/>
      <c r="AW18" s="2"/>
      <c r="AX18" s="3"/>
      <c r="AY18" s="2"/>
      <c r="AZ18" s="2"/>
      <c r="BA18" s="2"/>
      <c r="BB18" s="2"/>
      <c r="BC18" s="2"/>
      <c r="BD18" s="2"/>
      <c r="BE18" s="2"/>
      <c r="BF18" s="3">
        <v>1</v>
      </c>
      <c r="BG18" s="3"/>
      <c r="BH18" s="2"/>
      <c r="BI18" s="2"/>
      <c r="BJ18" s="2"/>
      <c r="BK18" s="139">
        <f>Table11[[#This Row],[Average MHT
(Feet)]]/16</f>
        <v>0</v>
      </c>
      <c r="BL18" s="2"/>
      <c r="BM18" s="139">
        <f>Table11[[#This Row],[Average DBH
(inches)]]/18</f>
        <v>0</v>
      </c>
      <c r="BN18" s="235">
        <f>((Table11[[#This Row],[Average DBH
(inches)]]-4)^2)*(Table11[[#This Row],[Average MHT
(Feet)]]/16)</f>
        <v>0</v>
      </c>
      <c r="BO18" s="235">
        <f>Table11[[#This Row],[Average BF]]*Table11[[#This Row],[2024 '#Trees Inventory + Estimate]]</f>
        <v>0</v>
      </c>
      <c r="BP18" s="240">
        <f>(Table11[[#This Row],[Harvest Year
(10 year)]]-Table11[[#This Row],[Year of Inventory]]+1)*(Table11[[#This Row],[Average DBH
(inches)]]/(Table11[[#This Row],[Harvest Year
(10 year)]]-Table11[[#This Row],[Year of Inventory]]+1))+Table11[[#This Row],[Average DBH
(inches)]]</f>
        <v>0</v>
      </c>
      <c r="BQ18" s="235">
        <f>((Table11[[#This Row],[Projected DBH
(Extrapolated Growth/Year)]]-4)^2)*(Table11[[#This Row],[Average MHT
(Feet)]]/16)</f>
        <v>0</v>
      </c>
      <c r="BR18" s="235">
        <f>Table11[[#This Row],[Projected Average BF]]*Table11[[#This Row],[2024 '#Trees Inventory + Estimate]]</f>
        <v>0</v>
      </c>
      <c r="BS18" s="235">
        <f>196*Table11[[#This Row],[2024 '#Trees Inventory + Estimate]]</f>
        <v>0</v>
      </c>
      <c r="BT18" s="235">
        <f>Table11[[#This Row],[ETP Offering Expected BF]]-Table11[[#This Row],[Projected Total BF]]</f>
        <v>0</v>
      </c>
      <c r="BU18" s="235">
        <f>(18-Table11[[#This Row],[Average DBH
(inches)]])/(D18-Table11[[#This Row],[Year of Inventory]]+1)</f>
        <v>18</v>
      </c>
    </row>
    <row r="19" spans="1:73" x14ac:dyDescent="0.25">
      <c r="A19" s="7" t="s">
        <v>220</v>
      </c>
      <c r="B19" s="2">
        <v>2015</v>
      </c>
      <c r="C19" s="2">
        <v>2016</v>
      </c>
      <c r="D19" s="2">
        <v>0</v>
      </c>
      <c r="E19" t="s">
        <v>221</v>
      </c>
      <c r="F19" s="161">
        <v>20004</v>
      </c>
      <c r="G19" t="s">
        <v>222</v>
      </c>
      <c r="H19" s="357"/>
      <c r="I19" t="s">
        <v>160</v>
      </c>
      <c r="J19" s="1"/>
      <c r="K19" s="1"/>
      <c r="L19" s="1"/>
      <c r="M19" s="1" t="s">
        <v>213</v>
      </c>
      <c r="Q19" s="2"/>
      <c r="R19" s="86"/>
      <c r="S19" s="2"/>
      <c r="T19" s="1">
        <v>1000</v>
      </c>
      <c r="U19" s="1">
        <v>1000</v>
      </c>
      <c r="V19" s="1" t="str">
        <f>IF(Table11[[#This Row],['#TreesContract]]-Table11[[#This Row],['#Planted]]=0,"",Table11[[#This Row],['#TreesContract]]-Table11[[#This Row],['#Planted]])</f>
        <v/>
      </c>
      <c r="W19" s="2"/>
      <c r="X19" s="34">
        <v>0</v>
      </c>
      <c r="Y19" s="163"/>
      <c r="Z19" s="163"/>
      <c r="AA19" s="34">
        <v>1</v>
      </c>
      <c r="AB19" s="163">
        <f>Table11[[#This Row],['#TreesContract]]*1</f>
        <v>1000</v>
      </c>
      <c r="AC19" s="34"/>
      <c r="AD19" s="163"/>
      <c r="AE19" s="163">
        <f>Table11[[#This Row],[Canada Allocation-tree '#''s]]+Table11[[#This Row],[Can trees/Allocation 2017]]</f>
        <v>1000</v>
      </c>
      <c r="AF19" s="5">
        <v>0</v>
      </c>
      <c r="AG19" s="35">
        <v>0</v>
      </c>
      <c r="AH19" s="35"/>
      <c r="AI19" s="405">
        <f>Table11[[#This Row],['#TreesContract]]*Table11[[#This Row],[2024 Inventory Survival%-master]]</f>
        <v>0</v>
      </c>
      <c r="AJ19" s="5">
        <v>0</v>
      </c>
      <c r="AK19" s="5">
        <v>0</v>
      </c>
      <c r="AL19" s="5">
        <v>0</v>
      </c>
      <c r="AM19" s="35">
        <f>AK19*Table11[[#This Row],['#TreesContract]]</f>
        <v>0</v>
      </c>
      <c r="AN19" s="35">
        <f>Table11[[#This Row],[2024 '#Trees Inventory + Estimate]]*Table11[[#This Row],[USA Allocation %]]</f>
        <v>0</v>
      </c>
      <c r="AO19" s="35">
        <f>Table11[[#This Row],[2024 '#Trees Inventory + Estimate]]*Table11[[#This Row],[Canada Allocation %]]</f>
        <v>0</v>
      </c>
      <c r="AP19" s="35">
        <f>Table11[[#This Row],[2024 '#Trees Inventory + Estimate]]*Table11[[#This Row],[Canada Allocation2017 %]]</f>
        <v>0</v>
      </c>
      <c r="AQ19" s="35">
        <f>Table11[[#This Row],['#Trees as of 2024/estimate-Can allocation]]+Table11[[#This Row],['#Trees as of 2024/estimate-Can allocation 2017]]</f>
        <v>0</v>
      </c>
      <c r="AR19" s="1" t="s">
        <v>214</v>
      </c>
      <c r="AS19" s="2"/>
      <c r="AT19" s="6">
        <f>IFERROR(Table11[[#This Row],['#Total Replacements]]/Table11[[#This Row],['#TreesContract]],"")</f>
        <v>0</v>
      </c>
      <c r="AU19" s="4">
        <f>IF(SUM(Table11[[#This Row],['#Replace 24]:['#Replace 16]])=0,0,SUM(Table11[[#This Row],['#Replace 24]:['#Replace 16]]))</f>
        <v>0</v>
      </c>
      <c r="AV19" s="2"/>
      <c r="AW19" s="2"/>
      <c r="AX19" s="3"/>
      <c r="AY19" s="2"/>
      <c r="AZ19" s="2"/>
      <c r="BA19" s="2"/>
      <c r="BB19" s="2"/>
      <c r="BC19" s="2"/>
      <c r="BD19" s="2"/>
      <c r="BE19" s="2"/>
      <c r="BF19" s="3">
        <v>1</v>
      </c>
      <c r="BG19" s="3"/>
      <c r="BH19" s="2"/>
      <c r="BI19" s="158"/>
      <c r="BJ19" s="158"/>
      <c r="BK19" s="139">
        <f>Table11[[#This Row],[Average MHT
(Feet)]]/16</f>
        <v>0</v>
      </c>
      <c r="BL19" s="2"/>
      <c r="BM19" s="139">
        <f>Table11[[#This Row],[Average DBH
(inches)]]/18</f>
        <v>0</v>
      </c>
      <c r="BN19" s="235">
        <f>((Table11[[#This Row],[Average DBH
(inches)]]-4)^2)*(Table11[[#This Row],[Average MHT
(Feet)]]/16)</f>
        <v>0</v>
      </c>
      <c r="BO19" s="235">
        <f>Table11[[#This Row],[Average BF]]*Table11[[#This Row],[2024 '#Trees Inventory + Estimate]]</f>
        <v>0</v>
      </c>
      <c r="BP19" s="240">
        <f>(Table11[[#This Row],[Harvest Year
(10 year)]]-Table11[[#This Row],[Year of Inventory]]+1)*(Table11[[#This Row],[Average DBH
(inches)]]/(Table11[[#This Row],[Harvest Year
(10 year)]]-Table11[[#This Row],[Year of Inventory]]+1))+Table11[[#This Row],[Average DBH
(inches)]]</f>
        <v>0</v>
      </c>
      <c r="BQ19" s="235">
        <f>((Table11[[#This Row],[Projected DBH
(Extrapolated Growth/Year)]]-4)^2)*(Table11[[#This Row],[Average MHT
(Feet)]]/16)</f>
        <v>0</v>
      </c>
      <c r="BR19" s="235">
        <f>Table11[[#This Row],[Projected Average BF]]*Table11[[#This Row],[2024 '#Trees Inventory + Estimate]]</f>
        <v>0</v>
      </c>
      <c r="BS19" s="235">
        <f>196*Table11[[#This Row],[2024 '#Trees Inventory + Estimate]]</f>
        <v>0</v>
      </c>
      <c r="BT19" s="235">
        <f>Table11[[#This Row],[ETP Offering Expected BF]]-Table11[[#This Row],[Projected Total BF]]</f>
        <v>0</v>
      </c>
      <c r="BU19" s="235">
        <f>(18-Table11[[#This Row],[Average DBH
(inches)]])/(D19-Table11[[#This Row],[Year of Inventory]]+1)</f>
        <v>18</v>
      </c>
    </row>
    <row r="20" spans="1:73" x14ac:dyDescent="0.25">
      <c r="A20" s="7" t="s">
        <v>223</v>
      </c>
      <c r="B20" s="2">
        <v>2015</v>
      </c>
      <c r="C20" s="2">
        <v>2016</v>
      </c>
      <c r="D20" s="2">
        <v>0</v>
      </c>
      <c r="E20" t="s">
        <v>224</v>
      </c>
      <c r="F20" s="161">
        <v>20005</v>
      </c>
      <c r="G20" t="s">
        <v>225</v>
      </c>
      <c r="H20" s="357"/>
      <c r="I20" t="s">
        <v>160</v>
      </c>
      <c r="J20" s="1"/>
      <c r="K20" s="1"/>
      <c r="L20" s="1"/>
      <c r="M20" s="1" t="s">
        <v>213</v>
      </c>
      <c r="Q20" s="2"/>
      <c r="R20" s="86"/>
      <c r="S20" s="2"/>
      <c r="T20" s="1">
        <v>500</v>
      </c>
      <c r="U20" s="1">
        <v>500</v>
      </c>
      <c r="V20" s="1" t="str">
        <f>IF(Table11[[#This Row],['#TreesContract]]-Table11[[#This Row],['#Planted]]=0,"",Table11[[#This Row],['#TreesContract]]-Table11[[#This Row],['#Planted]])</f>
        <v/>
      </c>
      <c r="W20" s="2"/>
      <c r="X20" s="34">
        <v>0</v>
      </c>
      <c r="Y20" s="163"/>
      <c r="Z20" s="163"/>
      <c r="AA20" s="34">
        <v>1</v>
      </c>
      <c r="AB20" s="163">
        <f>Table11[[#This Row],['#TreesContract]]*1</f>
        <v>500</v>
      </c>
      <c r="AC20" s="34"/>
      <c r="AD20" s="163"/>
      <c r="AE20" s="163">
        <f>Table11[[#This Row],[Canada Allocation-tree '#''s]]+Table11[[#This Row],[Can trees/Allocation 2017]]</f>
        <v>500</v>
      </c>
      <c r="AF20" s="5">
        <v>0</v>
      </c>
      <c r="AG20" s="35">
        <v>0</v>
      </c>
      <c r="AH20" s="35"/>
      <c r="AI20" s="405">
        <f>Table11[[#This Row],['#TreesContract]]*Table11[[#This Row],[2024 Inventory Survival%-master]]</f>
        <v>0</v>
      </c>
      <c r="AJ20" s="5">
        <v>0</v>
      </c>
      <c r="AK20" s="5">
        <v>0</v>
      </c>
      <c r="AL20" s="5">
        <v>0</v>
      </c>
      <c r="AM20" s="35">
        <f>AK20*Table11[[#This Row],['#TreesContract]]</f>
        <v>0</v>
      </c>
      <c r="AN20" s="35">
        <f>Table11[[#This Row],[2024 '#Trees Inventory + Estimate]]*Table11[[#This Row],[USA Allocation %]]</f>
        <v>0</v>
      </c>
      <c r="AO20" s="35">
        <f>Table11[[#This Row],[2024 '#Trees Inventory + Estimate]]*Table11[[#This Row],[Canada Allocation %]]</f>
        <v>0</v>
      </c>
      <c r="AP20" s="35">
        <f>Table11[[#This Row],[2024 '#Trees Inventory + Estimate]]*Table11[[#This Row],[Canada Allocation2017 %]]</f>
        <v>0</v>
      </c>
      <c r="AQ20" s="35">
        <f>Table11[[#This Row],['#Trees as of 2024/estimate-Can allocation]]+Table11[[#This Row],['#Trees as of 2024/estimate-Can allocation 2017]]</f>
        <v>0</v>
      </c>
      <c r="AR20" s="1" t="s">
        <v>214</v>
      </c>
      <c r="AS20" s="2"/>
      <c r="AT20" s="6">
        <f>IFERROR(Table11[[#This Row],['#Total Replacements]]/Table11[[#This Row],['#TreesContract]],"")</f>
        <v>0</v>
      </c>
      <c r="AU20" s="4">
        <f>IF(SUM(Table11[[#This Row],['#Replace 24]:['#Replace 16]])=0,0,SUM(Table11[[#This Row],['#Replace 24]:['#Replace 16]]))</f>
        <v>0</v>
      </c>
      <c r="AV20" s="2"/>
      <c r="AW20" s="2"/>
      <c r="AX20" s="3"/>
      <c r="AY20" s="2"/>
      <c r="AZ20" s="2"/>
      <c r="BA20" s="2"/>
      <c r="BB20" s="2"/>
      <c r="BC20" s="2"/>
      <c r="BD20" s="2"/>
      <c r="BE20" s="2"/>
      <c r="BF20" s="3">
        <v>1</v>
      </c>
      <c r="BG20" s="3"/>
      <c r="BH20" s="2"/>
      <c r="BI20" s="2"/>
      <c r="BJ20" s="2"/>
      <c r="BK20" s="139">
        <f>Table11[[#This Row],[Average MHT
(Feet)]]/16</f>
        <v>0</v>
      </c>
      <c r="BL20" s="2"/>
      <c r="BM20" s="139">
        <f>Table11[[#This Row],[Average DBH
(inches)]]/18</f>
        <v>0</v>
      </c>
      <c r="BN20" s="235">
        <f>((Table11[[#This Row],[Average DBH
(inches)]]-4)^2)*(Table11[[#This Row],[Average MHT
(Feet)]]/16)</f>
        <v>0</v>
      </c>
      <c r="BO20" s="235">
        <f>Table11[[#This Row],[Average BF]]*Table11[[#This Row],[2024 '#Trees Inventory + Estimate]]</f>
        <v>0</v>
      </c>
      <c r="BP20" s="240">
        <f>(Table11[[#This Row],[Harvest Year
(10 year)]]-Table11[[#This Row],[Year of Inventory]]+1)*(Table11[[#This Row],[Average DBH
(inches)]]/(Table11[[#This Row],[Harvest Year
(10 year)]]-Table11[[#This Row],[Year of Inventory]]+1))+Table11[[#This Row],[Average DBH
(inches)]]</f>
        <v>0</v>
      </c>
      <c r="BQ20" s="235">
        <f>((Table11[[#This Row],[Projected DBH
(Extrapolated Growth/Year)]]-4)^2)*(Table11[[#This Row],[Average MHT
(Feet)]]/16)</f>
        <v>0</v>
      </c>
      <c r="BR20" s="235">
        <f>Table11[[#This Row],[Projected Average BF]]*Table11[[#This Row],[2024 '#Trees Inventory + Estimate]]</f>
        <v>0</v>
      </c>
      <c r="BS20" s="235">
        <f>196*Table11[[#This Row],[2024 '#Trees Inventory + Estimate]]</f>
        <v>0</v>
      </c>
      <c r="BT20" s="235">
        <f>Table11[[#This Row],[ETP Offering Expected BF]]-Table11[[#This Row],[Projected Total BF]]</f>
        <v>0</v>
      </c>
      <c r="BU20" s="235">
        <f>(18-Table11[[#This Row],[Average DBH
(inches)]])/(D20-Table11[[#This Row],[Year of Inventory]]+1)</f>
        <v>18</v>
      </c>
    </row>
    <row r="21" spans="1:73" x14ac:dyDescent="0.25">
      <c r="A21" s="7" t="s">
        <v>226</v>
      </c>
      <c r="B21" s="2">
        <v>2015</v>
      </c>
      <c r="C21" s="2">
        <v>2016</v>
      </c>
      <c r="D21" s="2">
        <v>0</v>
      </c>
      <c r="E21" t="s">
        <v>227</v>
      </c>
      <c r="F21" s="161">
        <v>20006</v>
      </c>
      <c r="G21" t="s">
        <v>228</v>
      </c>
      <c r="H21" s="357"/>
      <c r="I21" t="s">
        <v>160</v>
      </c>
      <c r="J21" s="1"/>
      <c r="K21" s="1"/>
      <c r="L21" s="1"/>
      <c r="M21" s="1" t="s">
        <v>213</v>
      </c>
      <c r="Q21" s="2"/>
      <c r="R21" s="86"/>
      <c r="S21" s="2"/>
      <c r="T21" s="1">
        <v>500</v>
      </c>
      <c r="U21" s="1">
        <v>500</v>
      </c>
      <c r="V21" s="1" t="str">
        <f>IF(Table11[[#This Row],['#TreesContract]]-Table11[[#This Row],['#Planted]]=0,"",Table11[[#This Row],['#TreesContract]]-Table11[[#This Row],['#Planted]])</f>
        <v/>
      </c>
      <c r="W21" s="2"/>
      <c r="X21" s="34">
        <v>0</v>
      </c>
      <c r="Y21" s="163"/>
      <c r="Z21" s="163"/>
      <c r="AA21" s="34">
        <v>1</v>
      </c>
      <c r="AB21" s="163">
        <f>Table11[[#This Row],['#TreesContract]]*1</f>
        <v>500</v>
      </c>
      <c r="AC21" s="34"/>
      <c r="AD21" s="163"/>
      <c r="AE21" s="163">
        <f>Table11[[#This Row],[Canada Allocation-tree '#''s]]+Table11[[#This Row],[Can trees/Allocation 2017]]</f>
        <v>500</v>
      </c>
      <c r="AF21" s="5">
        <v>0</v>
      </c>
      <c r="AG21" s="35">
        <v>0</v>
      </c>
      <c r="AH21" s="35"/>
      <c r="AI21" s="405">
        <f>Table11[[#This Row],['#TreesContract]]*Table11[[#This Row],[2024 Inventory Survival%-master]]</f>
        <v>0</v>
      </c>
      <c r="AJ21" s="5">
        <v>0</v>
      </c>
      <c r="AK21" s="5">
        <v>0</v>
      </c>
      <c r="AL21" s="5">
        <v>0</v>
      </c>
      <c r="AM21" s="35">
        <f>AK21*Table11[[#This Row],['#TreesContract]]</f>
        <v>0</v>
      </c>
      <c r="AN21" s="35">
        <f>Table11[[#This Row],[2024 '#Trees Inventory + Estimate]]*Table11[[#This Row],[USA Allocation %]]</f>
        <v>0</v>
      </c>
      <c r="AO21" s="35">
        <f>Table11[[#This Row],[2024 '#Trees Inventory + Estimate]]*Table11[[#This Row],[Canada Allocation %]]</f>
        <v>0</v>
      </c>
      <c r="AP21" s="35">
        <f>Table11[[#This Row],[2024 '#Trees Inventory + Estimate]]*Table11[[#This Row],[Canada Allocation2017 %]]</f>
        <v>0</v>
      </c>
      <c r="AQ21" s="35">
        <f>Table11[[#This Row],['#Trees as of 2024/estimate-Can allocation]]+Table11[[#This Row],['#Trees as of 2024/estimate-Can allocation 2017]]</f>
        <v>0</v>
      </c>
      <c r="AR21" s="1" t="s">
        <v>214</v>
      </c>
      <c r="AS21" s="2"/>
      <c r="AT21" s="6">
        <f>IFERROR(Table11[[#This Row],['#Total Replacements]]/Table11[[#This Row],['#TreesContract]],"")</f>
        <v>0</v>
      </c>
      <c r="AU21" s="4">
        <f>IF(SUM(Table11[[#This Row],['#Replace 24]:['#Replace 16]])=0,0,SUM(Table11[[#This Row],['#Replace 24]:['#Replace 16]]))</f>
        <v>0</v>
      </c>
      <c r="AV21" s="2"/>
      <c r="AW21" s="2"/>
      <c r="AX21" s="3"/>
      <c r="AY21" s="2"/>
      <c r="AZ21" s="2"/>
      <c r="BA21" s="2"/>
      <c r="BB21" s="2"/>
      <c r="BC21" s="2"/>
      <c r="BD21" s="2"/>
      <c r="BE21" s="2"/>
      <c r="BF21" s="3">
        <v>1</v>
      </c>
      <c r="BG21" s="3"/>
      <c r="BH21" s="2"/>
      <c r="BI21" s="158"/>
      <c r="BJ21" s="158"/>
      <c r="BK21" s="139">
        <f>Table11[[#This Row],[Average MHT
(Feet)]]/16</f>
        <v>0</v>
      </c>
      <c r="BL21" s="2"/>
      <c r="BM21" s="139">
        <f>Table11[[#This Row],[Average DBH
(inches)]]/18</f>
        <v>0</v>
      </c>
      <c r="BN21" s="235">
        <f>((Table11[[#This Row],[Average DBH
(inches)]]-4)^2)*(Table11[[#This Row],[Average MHT
(Feet)]]/16)</f>
        <v>0</v>
      </c>
      <c r="BO21" s="235">
        <f>Table11[[#This Row],[Average BF]]*Table11[[#This Row],[2024 '#Trees Inventory + Estimate]]</f>
        <v>0</v>
      </c>
      <c r="BP21" s="240">
        <f>(Table11[[#This Row],[Harvest Year
(10 year)]]-Table11[[#This Row],[Year of Inventory]]+1)*(Table11[[#This Row],[Average DBH
(inches)]]/(Table11[[#This Row],[Harvest Year
(10 year)]]-Table11[[#This Row],[Year of Inventory]]+1))+Table11[[#This Row],[Average DBH
(inches)]]</f>
        <v>0</v>
      </c>
      <c r="BQ21" s="235">
        <f>((Table11[[#This Row],[Projected DBH
(Extrapolated Growth/Year)]]-4)^2)*(Table11[[#This Row],[Average MHT
(Feet)]]/16)</f>
        <v>0</v>
      </c>
      <c r="BR21" s="235">
        <f>Table11[[#This Row],[Projected Average BF]]*Table11[[#This Row],[2024 '#Trees Inventory + Estimate]]</f>
        <v>0</v>
      </c>
      <c r="BS21" s="235">
        <f>196*Table11[[#This Row],[2024 '#Trees Inventory + Estimate]]</f>
        <v>0</v>
      </c>
      <c r="BT21" s="235">
        <f>Table11[[#This Row],[ETP Offering Expected BF]]-Table11[[#This Row],[Projected Total BF]]</f>
        <v>0</v>
      </c>
      <c r="BU21" s="235">
        <f>(18-Table11[[#This Row],[Average DBH
(inches)]])/(D21-Table11[[#This Row],[Year of Inventory]]+1)</f>
        <v>18</v>
      </c>
    </row>
    <row r="22" spans="1:73" x14ac:dyDescent="0.25">
      <c r="A22" s="7" t="s">
        <v>229</v>
      </c>
      <c r="B22" s="2">
        <v>2015</v>
      </c>
      <c r="C22" s="2">
        <v>2016</v>
      </c>
      <c r="D22" s="2">
        <v>0</v>
      </c>
      <c r="E22" t="s">
        <v>230</v>
      </c>
      <c r="F22" s="161">
        <v>20007</v>
      </c>
      <c r="G22" t="s">
        <v>231</v>
      </c>
      <c r="H22" s="357"/>
      <c r="I22" t="s">
        <v>160</v>
      </c>
      <c r="J22" s="1"/>
      <c r="K22" s="1"/>
      <c r="L22" s="1"/>
      <c r="M22" s="1" t="s">
        <v>213</v>
      </c>
      <c r="Q22" s="2"/>
      <c r="R22" s="86"/>
      <c r="S22" s="2"/>
      <c r="T22" s="1">
        <v>400</v>
      </c>
      <c r="U22" s="1">
        <v>400</v>
      </c>
      <c r="V22" s="1" t="str">
        <f>IF(Table11[[#This Row],['#TreesContract]]-Table11[[#This Row],['#Planted]]=0,"",Table11[[#This Row],['#TreesContract]]-Table11[[#This Row],['#Planted]])</f>
        <v/>
      </c>
      <c r="W22" s="2"/>
      <c r="X22" s="34">
        <v>0</v>
      </c>
      <c r="Y22" s="163"/>
      <c r="Z22" s="163"/>
      <c r="AA22" s="34">
        <v>1</v>
      </c>
      <c r="AB22" s="163">
        <f>Table11[[#This Row],['#TreesContract]]*1</f>
        <v>400</v>
      </c>
      <c r="AC22" s="34"/>
      <c r="AD22" s="163"/>
      <c r="AE22" s="163">
        <f>Table11[[#This Row],[Canada Allocation-tree '#''s]]+Table11[[#This Row],[Can trees/Allocation 2017]]</f>
        <v>400</v>
      </c>
      <c r="AF22" s="5">
        <v>0</v>
      </c>
      <c r="AG22" s="35">
        <v>0</v>
      </c>
      <c r="AH22" s="35"/>
      <c r="AI22" s="405">
        <f>Table11[[#This Row],['#TreesContract]]*Table11[[#This Row],[2024 Inventory Survival%-master]]</f>
        <v>0</v>
      </c>
      <c r="AJ22" s="5">
        <v>0</v>
      </c>
      <c r="AK22" s="5">
        <v>0</v>
      </c>
      <c r="AL22" s="5">
        <v>0</v>
      </c>
      <c r="AM22" s="35">
        <f>AK22*Table11[[#This Row],['#TreesContract]]</f>
        <v>0</v>
      </c>
      <c r="AN22" s="35">
        <f>Table11[[#This Row],[2024 '#Trees Inventory + Estimate]]*Table11[[#This Row],[USA Allocation %]]</f>
        <v>0</v>
      </c>
      <c r="AO22" s="35">
        <f>Table11[[#This Row],[2024 '#Trees Inventory + Estimate]]*Table11[[#This Row],[Canada Allocation %]]</f>
        <v>0</v>
      </c>
      <c r="AP22" s="35">
        <f>Table11[[#This Row],[2024 '#Trees Inventory + Estimate]]*Table11[[#This Row],[Canada Allocation2017 %]]</f>
        <v>0</v>
      </c>
      <c r="AQ22" s="35">
        <f>Table11[[#This Row],['#Trees as of 2024/estimate-Can allocation]]+Table11[[#This Row],['#Trees as of 2024/estimate-Can allocation 2017]]</f>
        <v>0</v>
      </c>
      <c r="AR22" s="1" t="s">
        <v>214</v>
      </c>
      <c r="AS22" s="2"/>
      <c r="AT22" s="6">
        <f>IFERROR(Table11[[#This Row],['#Total Replacements]]/Table11[[#This Row],['#TreesContract]],"")</f>
        <v>0.155</v>
      </c>
      <c r="AU22" s="4">
        <f>IF(SUM(Table11[[#This Row],['#Replace 24]:['#Replace 16]])=0,0,SUM(Table11[[#This Row],['#Replace 24]:['#Replace 16]]))</f>
        <v>62</v>
      </c>
      <c r="AV22" s="2"/>
      <c r="AW22" s="2"/>
      <c r="AX22" s="3"/>
      <c r="AY22" s="2"/>
      <c r="AZ22" s="2">
        <v>62</v>
      </c>
      <c r="BA22" s="2"/>
      <c r="BB22" s="2"/>
      <c r="BC22" s="2"/>
      <c r="BD22" s="2"/>
      <c r="BE22" s="2"/>
      <c r="BF22" s="3">
        <v>1</v>
      </c>
      <c r="BG22" s="3"/>
      <c r="BH22" s="2"/>
      <c r="BI22" s="2"/>
      <c r="BJ22" s="2"/>
      <c r="BK22" s="139">
        <f>Table11[[#This Row],[Average MHT
(Feet)]]/16</f>
        <v>0</v>
      </c>
      <c r="BL22" s="2"/>
      <c r="BM22" s="139">
        <f>Table11[[#This Row],[Average DBH
(inches)]]/18</f>
        <v>0</v>
      </c>
      <c r="BN22" s="235">
        <f>((Table11[[#This Row],[Average DBH
(inches)]]-4)^2)*(Table11[[#This Row],[Average MHT
(Feet)]]/16)</f>
        <v>0</v>
      </c>
      <c r="BO22" s="235">
        <f>Table11[[#This Row],[Average BF]]*Table11[[#This Row],[2024 '#Trees Inventory + Estimate]]</f>
        <v>0</v>
      </c>
      <c r="BP22" s="240">
        <f>(Table11[[#This Row],[Harvest Year
(10 year)]]-Table11[[#This Row],[Year of Inventory]]+1)*(Table11[[#This Row],[Average DBH
(inches)]]/(Table11[[#This Row],[Harvest Year
(10 year)]]-Table11[[#This Row],[Year of Inventory]]+1))+Table11[[#This Row],[Average DBH
(inches)]]</f>
        <v>0</v>
      </c>
      <c r="BQ22" s="235">
        <f>((Table11[[#This Row],[Projected DBH
(Extrapolated Growth/Year)]]-4)^2)*(Table11[[#This Row],[Average MHT
(Feet)]]/16)</f>
        <v>0</v>
      </c>
      <c r="BR22" s="235">
        <f>Table11[[#This Row],[Projected Average BF]]*Table11[[#This Row],[2024 '#Trees Inventory + Estimate]]</f>
        <v>0</v>
      </c>
      <c r="BS22" s="235">
        <f>196*Table11[[#This Row],[2024 '#Trees Inventory + Estimate]]</f>
        <v>0</v>
      </c>
      <c r="BT22" s="235">
        <f>Table11[[#This Row],[ETP Offering Expected BF]]-Table11[[#This Row],[Projected Total BF]]</f>
        <v>0</v>
      </c>
      <c r="BU22" s="235">
        <f>(18-Table11[[#This Row],[Average DBH
(inches)]])/(D22-Table11[[#This Row],[Year of Inventory]]+1)</f>
        <v>18</v>
      </c>
    </row>
    <row r="23" spans="1:73" x14ac:dyDescent="0.25">
      <c r="A23" s="7" t="s">
        <v>232</v>
      </c>
      <c r="B23" s="2">
        <v>2015</v>
      </c>
      <c r="C23" s="2">
        <v>2016</v>
      </c>
      <c r="D23" s="2">
        <v>0</v>
      </c>
      <c r="E23" t="s">
        <v>233</v>
      </c>
      <c r="F23" s="161">
        <v>20073</v>
      </c>
      <c r="G23" t="s">
        <v>233</v>
      </c>
      <c r="H23" s="357"/>
      <c r="I23" t="s">
        <v>160</v>
      </c>
      <c r="J23" s="1"/>
      <c r="K23" s="1"/>
      <c r="L23" s="1"/>
      <c r="M23" s="1" t="s">
        <v>213</v>
      </c>
      <c r="Q23" s="2"/>
      <c r="R23" s="86"/>
      <c r="S23" s="2"/>
      <c r="T23" s="1">
        <v>275</v>
      </c>
      <c r="U23" s="1">
        <v>275</v>
      </c>
      <c r="V23" s="1" t="str">
        <f>IF(Table11[[#This Row],['#TreesContract]]-Table11[[#This Row],['#Planted]]=0,"",Table11[[#This Row],['#TreesContract]]-Table11[[#This Row],['#Planted]])</f>
        <v/>
      </c>
      <c r="W23" s="2"/>
      <c r="X23" s="34">
        <v>0</v>
      </c>
      <c r="Y23" s="163"/>
      <c r="Z23" s="163"/>
      <c r="AA23" s="34">
        <v>1</v>
      </c>
      <c r="AB23" s="163">
        <f>Table11[[#This Row],['#TreesContract]]*1</f>
        <v>275</v>
      </c>
      <c r="AC23" s="34"/>
      <c r="AD23" s="163"/>
      <c r="AE23" s="163">
        <f>Table11[[#This Row],[Canada Allocation-tree '#''s]]+Table11[[#This Row],[Can trees/Allocation 2017]]</f>
        <v>275</v>
      </c>
      <c r="AF23" s="5">
        <v>0</v>
      </c>
      <c r="AG23" s="35">
        <v>0</v>
      </c>
      <c r="AH23" s="35"/>
      <c r="AI23" s="405">
        <f>Table11[[#This Row],['#TreesContract]]*Table11[[#This Row],[2024 Inventory Survival%-master]]</f>
        <v>0</v>
      </c>
      <c r="AJ23" s="5">
        <v>0</v>
      </c>
      <c r="AK23" s="5">
        <v>0</v>
      </c>
      <c r="AL23" s="5">
        <v>0</v>
      </c>
      <c r="AM23" s="35">
        <f>AK23*Table11[[#This Row],['#TreesContract]]</f>
        <v>0</v>
      </c>
      <c r="AN23" s="35">
        <f>Table11[[#This Row],[2024 '#Trees Inventory + Estimate]]*Table11[[#This Row],[USA Allocation %]]</f>
        <v>0</v>
      </c>
      <c r="AO23" s="35">
        <f>Table11[[#This Row],[2024 '#Trees Inventory + Estimate]]*Table11[[#This Row],[Canada Allocation %]]</f>
        <v>0</v>
      </c>
      <c r="AP23" s="35">
        <f>Table11[[#This Row],[2024 '#Trees Inventory + Estimate]]*Table11[[#This Row],[Canada Allocation2017 %]]</f>
        <v>0</v>
      </c>
      <c r="AQ23" s="35">
        <f>Table11[[#This Row],['#Trees as of 2024/estimate-Can allocation]]+Table11[[#This Row],['#Trees as of 2024/estimate-Can allocation 2017]]</f>
        <v>0</v>
      </c>
      <c r="AR23" s="1" t="s">
        <v>234</v>
      </c>
      <c r="AS23" s="2"/>
      <c r="AT23" s="6">
        <f>IFERROR(Table11[[#This Row],['#Total Replacements]]/Table11[[#This Row],['#TreesContract]],"")</f>
        <v>0</v>
      </c>
      <c r="AU23" s="4">
        <f>IF(SUM(Table11[[#This Row],['#Replace 24]:['#Replace 16]])=0,0,SUM(Table11[[#This Row],['#Replace 24]:['#Replace 16]]))</f>
        <v>0</v>
      </c>
      <c r="AV23" s="2"/>
      <c r="AW23" s="2"/>
      <c r="AX23" s="3"/>
      <c r="AY23" s="2"/>
      <c r="AZ23" s="2"/>
      <c r="BA23" s="2"/>
      <c r="BB23" s="2"/>
      <c r="BC23" s="2"/>
      <c r="BD23" s="2"/>
      <c r="BE23" s="2"/>
      <c r="BF23" s="3">
        <v>1</v>
      </c>
      <c r="BG23" s="3"/>
      <c r="BH23" s="2"/>
      <c r="BI23" s="2"/>
      <c r="BJ23" s="2"/>
      <c r="BK23" s="139">
        <f>Table11[[#This Row],[Average MHT
(Feet)]]/16</f>
        <v>0</v>
      </c>
      <c r="BL23" s="2"/>
      <c r="BM23" s="139">
        <f>Table11[[#This Row],[Average DBH
(inches)]]/18</f>
        <v>0</v>
      </c>
      <c r="BN23" s="235">
        <f>((Table11[[#This Row],[Average DBH
(inches)]]-4)^2)*(Table11[[#This Row],[Average MHT
(Feet)]]/16)</f>
        <v>0</v>
      </c>
      <c r="BO23" s="235">
        <f>Table11[[#This Row],[Average BF]]*Table11[[#This Row],[2024 '#Trees Inventory + Estimate]]</f>
        <v>0</v>
      </c>
      <c r="BP23" s="240">
        <f>(Table11[[#This Row],[Harvest Year
(10 year)]]-Table11[[#This Row],[Year of Inventory]]+1)*(Table11[[#This Row],[Average DBH
(inches)]]/(Table11[[#This Row],[Harvest Year
(10 year)]]-Table11[[#This Row],[Year of Inventory]]+1))+Table11[[#This Row],[Average DBH
(inches)]]</f>
        <v>0</v>
      </c>
      <c r="BQ23" s="235">
        <f>((Table11[[#This Row],[Projected DBH
(Extrapolated Growth/Year)]]-4)^2)*(Table11[[#This Row],[Average MHT
(Feet)]]/16)</f>
        <v>0</v>
      </c>
      <c r="BR23" s="235">
        <f>Table11[[#This Row],[Projected Average BF]]*Table11[[#This Row],[2024 '#Trees Inventory + Estimate]]</f>
        <v>0</v>
      </c>
      <c r="BS23" s="235">
        <f>196*Table11[[#This Row],[2024 '#Trees Inventory + Estimate]]</f>
        <v>0</v>
      </c>
      <c r="BT23" s="235">
        <f>Table11[[#This Row],[ETP Offering Expected BF]]-Table11[[#This Row],[Projected Total BF]]</f>
        <v>0</v>
      </c>
      <c r="BU23" s="235">
        <f>(18-Table11[[#This Row],[Average DBH
(inches)]])/(D23-Table11[[#This Row],[Year of Inventory]]+1)</f>
        <v>18</v>
      </c>
    </row>
    <row r="24" spans="1:73" x14ac:dyDescent="0.25">
      <c r="A24" s="7" t="s">
        <v>235</v>
      </c>
      <c r="B24" s="2">
        <v>2015</v>
      </c>
      <c r="C24" s="2">
        <v>2016</v>
      </c>
      <c r="D24" s="2">
        <v>0</v>
      </c>
      <c r="E24" t="s">
        <v>236</v>
      </c>
      <c r="F24" s="161">
        <v>20085</v>
      </c>
      <c r="G24" t="s">
        <v>237</v>
      </c>
      <c r="H24" s="357"/>
      <c r="I24" t="s">
        <v>160</v>
      </c>
      <c r="J24" s="1"/>
      <c r="K24" s="1"/>
      <c r="L24" s="1"/>
      <c r="M24" s="1" t="s">
        <v>213</v>
      </c>
      <c r="Q24" s="2"/>
      <c r="R24" s="86"/>
      <c r="S24" s="2"/>
      <c r="T24" s="1">
        <v>250</v>
      </c>
      <c r="U24" s="1">
        <v>250</v>
      </c>
      <c r="V24" s="1" t="str">
        <f>IF(Table11[[#This Row],['#TreesContract]]-Table11[[#This Row],['#Planted]]=0,"",Table11[[#This Row],['#TreesContract]]-Table11[[#This Row],['#Planted]])</f>
        <v/>
      </c>
      <c r="W24" s="2"/>
      <c r="X24" s="34">
        <v>0</v>
      </c>
      <c r="Y24" s="163"/>
      <c r="Z24" s="163"/>
      <c r="AA24" s="34">
        <v>1</v>
      </c>
      <c r="AB24" s="163">
        <f>Table11[[#This Row],['#TreesContract]]*1</f>
        <v>250</v>
      </c>
      <c r="AC24" s="34"/>
      <c r="AD24" s="163"/>
      <c r="AE24" s="163">
        <f>Table11[[#This Row],[Canada Allocation-tree '#''s]]+Table11[[#This Row],[Can trees/Allocation 2017]]</f>
        <v>250</v>
      </c>
      <c r="AF24" s="5">
        <v>0</v>
      </c>
      <c r="AG24" s="35">
        <v>0</v>
      </c>
      <c r="AH24" s="35"/>
      <c r="AI24" s="405">
        <f>Table11[[#This Row],['#TreesContract]]*Table11[[#This Row],[2024 Inventory Survival%-master]]</f>
        <v>0</v>
      </c>
      <c r="AJ24" s="5">
        <v>0</v>
      </c>
      <c r="AK24" s="5">
        <v>0</v>
      </c>
      <c r="AL24" s="5">
        <v>0</v>
      </c>
      <c r="AM24" s="35">
        <f>AK24*Table11[[#This Row],['#TreesContract]]</f>
        <v>0</v>
      </c>
      <c r="AN24" s="35">
        <f>Table11[[#This Row],[2024 '#Trees Inventory + Estimate]]*Table11[[#This Row],[USA Allocation %]]</f>
        <v>0</v>
      </c>
      <c r="AO24" s="35">
        <f>Table11[[#This Row],[2024 '#Trees Inventory + Estimate]]*Table11[[#This Row],[Canada Allocation %]]</f>
        <v>0</v>
      </c>
      <c r="AP24" s="35">
        <f>Table11[[#This Row],[2024 '#Trees Inventory + Estimate]]*Table11[[#This Row],[Canada Allocation2017 %]]</f>
        <v>0</v>
      </c>
      <c r="AQ24" s="35">
        <f>Table11[[#This Row],['#Trees as of 2024/estimate-Can allocation]]+Table11[[#This Row],['#Trees as of 2024/estimate-Can allocation 2017]]</f>
        <v>0</v>
      </c>
      <c r="AR24" s="1"/>
      <c r="AS24" s="2"/>
      <c r="AT24" s="6">
        <f>IFERROR(Table11[[#This Row],['#Total Replacements]]/Table11[[#This Row],['#TreesContract]],"")</f>
        <v>0</v>
      </c>
      <c r="AU24" s="4">
        <f>IF(SUM(Table11[[#This Row],['#Replace 24]:['#Replace 16]])=0,0,SUM(Table11[[#This Row],['#Replace 24]:['#Replace 16]]))</f>
        <v>0</v>
      </c>
      <c r="AV24" s="2"/>
      <c r="AW24" s="2"/>
      <c r="AX24" s="3"/>
      <c r="AY24" s="2"/>
      <c r="AZ24" s="2"/>
      <c r="BA24" s="2"/>
      <c r="BB24" s="2"/>
      <c r="BC24" s="2"/>
      <c r="BD24" s="2"/>
      <c r="BE24" s="2"/>
      <c r="BF24" s="3">
        <v>1</v>
      </c>
      <c r="BG24" s="3"/>
      <c r="BH24" s="2"/>
      <c r="BI24" s="158"/>
      <c r="BJ24" s="158"/>
      <c r="BK24" s="139">
        <f>Table11[[#This Row],[Average MHT
(Feet)]]/16</f>
        <v>0</v>
      </c>
      <c r="BL24" s="2"/>
      <c r="BM24" s="139">
        <f>Table11[[#This Row],[Average DBH
(inches)]]/18</f>
        <v>0</v>
      </c>
      <c r="BN24" s="235">
        <f>((Table11[[#This Row],[Average DBH
(inches)]]-4)^2)*(Table11[[#This Row],[Average MHT
(Feet)]]/16)</f>
        <v>0</v>
      </c>
      <c r="BO24" s="235">
        <f>Table11[[#This Row],[Average BF]]*Table11[[#This Row],[2024 '#Trees Inventory + Estimate]]</f>
        <v>0</v>
      </c>
      <c r="BP24" s="240">
        <f>(Table11[[#This Row],[Harvest Year
(10 year)]]-Table11[[#This Row],[Year of Inventory]]+1)*(Table11[[#This Row],[Average DBH
(inches)]]/(Table11[[#This Row],[Harvest Year
(10 year)]]-Table11[[#This Row],[Year of Inventory]]+1))+Table11[[#This Row],[Average DBH
(inches)]]</f>
        <v>0</v>
      </c>
      <c r="BQ24" s="235">
        <f>((Table11[[#This Row],[Projected DBH
(Extrapolated Growth/Year)]]-4)^2)*(Table11[[#This Row],[Average MHT
(Feet)]]/16)</f>
        <v>0</v>
      </c>
      <c r="BR24" s="235">
        <f>Table11[[#This Row],[Projected Average BF]]*Table11[[#This Row],[2024 '#Trees Inventory + Estimate]]</f>
        <v>0</v>
      </c>
      <c r="BS24" s="235">
        <f>196*Table11[[#This Row],[2024 '#Trees Inventory + Estimate]]</f>
        <v>0</v>
      </c>
      <c r="BT24" s="235">
        <f>Table11[[#This Row],[ETP Offering Expected BF]]-Table11[[#This Row],[Projected Total BF]]</f>
        <v>0</v>
      </c>
      <c r="BU24" s="235">
        <f>(18-Table11[[#This Row],[Average DBH
(inches)]])/(D24-Table11[[#This Row],[Year of Inventory]]+1)</f>
        <v>18</v>
      </c>
    </row>
    <row r="25" spans="1:73" x14ac:dyDescent="0.25">
      <c r="A25" s="7" t="s">
        <v>238</v>
      </c>
      <c r="B25" s="2">
        <v>2015</v>
      </c>
      <c r="C25" s="2">
        <v>2016</v>
      </c>
      <c r="D25" s="2">
        <v>0</v>
      </c>
      <c r="E25" t="s">
        <v>239</v>
      </c>
      <c r="F25" s="161">
        <v>20086</v>
      </c>
      <c r="G25" t="s">
        <v>240</v>
      </c>
      <c r="H25" s="357"/>
      <c r="I25" t="s">
        <v>160</v>
      </c>
      <c r="J25" s="1"/>
      <c r="K25" s="1"/>
      <c r="L25" s="1"/>
      <c r="M25" s="1" t="s">
        <v>213</v>
      </c>
      <c r="Q25" s="2"/>
      <c r="R25" s="86"/>
      <c r="S25" s="2"/>
      <c r="T25" s="1">
        <v>900</v>
      </c>
      <c r="U25" s="1">
        <v>900</v>
      </c>
      <c r="V25" s="1" t="str">
        <f>IF(Table11[[#This Row],['#TreesContract]]-Table11[[#This Row],['#Planted]]=0,"",Table11[[#This Row],['#TreesContract]]-Table11[[#This Row],['#Planted]])</f>
        <v/>
      </c>
      <c r="W25" s="2"/>
      <c r="X25" s="34">
        <v>0</v>
      </c>
      <c r="Y25" s="163"/>
      <c r="Z25" s="163"/>
      <c r="AA25" s="34">
        <v>1</v>
      </c>
      <c r="AB25" s="163">
        <f>Table11[[#This Row],['#TreesContract]]*1</f>
        <v>900</v>
      </c>
      <c r="AC25" s="34"/>
      <c r="AD25" s="163"/>
      <c r="AE25" s="163">
        <f>Table11[[#This Row],[Canada Allocation-tree '#''s]]+Table11[[#This Row],[Can trees/Allocation 2017]]</f>
        <v>900</v>
      </c>
      <c r="AF25" s="5">
        <v>0</v>
      </c>
      <c r="AG25" s="35">
        <v>0</v>
      </c>
      <c r="AH25" s="35"/>
      <c r="AI25" s="405">
        <f>Table11[[#This Row],['#TreesContract]]*Table11[[#This Row],[2024 Inventory Survival%-master]]</f>
        <v>0</v>
      </c>
      <c r="AJ25" s="5">
        <v>0</v>
      </c>
      <c r="AK25" s="5">
        <v>0</v>
      </c>
      <c r="AL25" s="5">
        <v>0</v>
      </c>
      <c r="AM25" s="35">
        <f>AK25*Table11[[#This Row],['#TreesContract]]</f>
        <v>0</v>
      </c>
      <c r="AN25" s="35">
        <f>Table11[[#This Row],[2024 '#Trees Inventory + Estimate]]*Table11[[#This Row],[USA Allocation %]]</f>
        <v>0</v>
      </c>
      <c r="AO25" s="35">
        <f>Table11[[#This Row],[2024 '#Trees Inventory + Estimate]]*Table11[[#This Row],[Canada Allocation %]]</f>
        <v>0</v>
      </c>
      <c r="AP25" s="35">
        <f>Table11[[#This Row],[2024 '#Trees Inventory + Estimate]]*Table11[[#This Row],[Canada Allocation2017 %]]</f>
        <v>0</v>
      </c>
      <c r="AQ25" s="35">
        <f>Table11[[#This Row],['#Trees as of 2024/estimate-Can allocation]]+Table11[[#This Row],['#Trees as of 2024/estimate-Can allocation 2017]]</f>
        <v>0</v>
      </c>
      <c r="AR25" s="1"/>
      <c r="AS25" s="2"/>
      <c r="AT25" s="6">
        <f>IFERROR(Table11[[#This Row],['#Total Replacements]]/Table11[[#This Row],['#TreesContract]],"")</f>
        <v>0</v>
      </c>
      <c r="AU25" s="4">
        <f>IF(SUM(Table11[[#This Row],['#Replace 24]:['#Replace 16]])=0,0,SUM(Table11[[#This Row],['#Replace 24]:['#Replace 16]]))</f>
        <v>0</v>
      </c>
      <c r="AV25" s="2"/>
      <c r="AW25" s="2"/>
      <c r="AX25" s="3"/>
      <c r="AY25" s="2"/>
      <c r="AZ25" s="2"/>
      <c r="BA25" s="2"/>
      <c r="BB25" s="2"/>
      <c r="BC25" s="2"/>
      <c r="BD25" s="2"/>
      <c r="BE25" s="2"/>
      <c r="BF25" s="3">
        <v>1</v>
      </c>
      <c r="BG25" s="3"/>
      <c r="BH25" s="2"/>
      <c r="BI25" s="2"/>
      <c r="BJ25" s="2"/>
      <c r="BK25" s="139">
        <f>Table11[[#This Row],[Average MHT
(Feet)]]/16</f>
        <v>0</v>
      </c>
      <c r="BL25" s="2"/>
      <c r="BM25" s="139">
        <f>Table11[[#This Row],[Average DBH
(inches)]]/18</f>
        <v>0</v>
      </c>
      <c r="BN25" s="235">
        <f>((Table11[[#This Row],[Average DBH
(inches)]]-4)^2)*(Table11[[#This Row],[Average MHT
(Feet)]]/16)</f>
        <v>0</v>
      </c>
      <c r="BO25" s="235">
        <f>Table11[[#This Row],[Average BF]]*Table11[[#This Row],[2024 '#Trees Inventory + Estimate]]</f>
        <v>0</v>
      </c>
      <c r="BP25" s="240">
        <f>(Table11[[#This Row],[Harvest Year
(10 year)]]-Table11[[#This Row],[Year of Inventory]]+1)*(Table11[[#This Row],[Average DBH
(inches)]]/(Table11[[#This Row],[Harvest Year
(10 year)]]-Table11[[#This Row],[Year of Inventory]]+1))+Table11[[#This Row],[Average DBH
(inches)]]</f>
        <v>0</v>
      </c>
      <c r="BQ25" s="235">
        <f>((Table11[[#This Row],[Projected DBH
(Extrapolated Growth/Year)]]-4)^2)*(Table11[[#This Row],[Average MHT
(Feet)]]/16)</f>
        <v>0</v>
      </c>
      <c r="BR25" s="235">
        <f>Table11[[#This Row],[Projected Average BF]]*Table11[[#This Row],[2024 '#Trees Inventory + Estimate]]</f>
        <v>0</v>
      </c>
      <c r="BS25" s="235">
        <f>196*Table11[[#This Row],[2024 '#Trees Inventory + Estimate]]</f>
        <v>0</v>
      </c>
      <c r="BT25" s="235">
        <f>Table11[[#This Row],[ETP Offering Expected BF]]-Table11[[#This Row],[Projected Total BF]]</f>
        <v>0</v>
      </c>
      <c r="BU25" s="235">
        <f>(18-Table11[[#This Row],[Average DBH
(inches)]])/(D25-Table11[[#This Row],[Year of Inventory]]+1)</f>
        <v>18</v>
      </c>
    </row>
    <row r="26" spans="1:73" x14ac:dyDescent="0.25">
      <c r="A26" s="7" t="s">
        <v>241</v>
      </c>
      <c r="B26" s="2">
        <v>2015</v>
      </c>
      <c r="C26" s="2">
        <v>2016</v>
      </c>
      <c r="D26" s="2">
        <v>0</v>
      </c>
      <c r="E26" t="s">
        <v>242</v>
      </c>
      <c r="F26" s="161">
        <v>20087</v>
      </c>
      <c r="G26" t="s">
        <v>243</v>
      </c>
      <c r="H26" s="357"/>
      <c r="I26" t="s">
        <v>160</v>
      </c>
      <c r="J26" s="1"/>
      <c r="K26" s="1"/>
      <c r="L26" s="1"/>
      <c r="M26" s="1" t="s">
        <v>213</v>
      </c>
      <c r="Q26" s="2"/>
      <c r="R26" s="86"/>
      <c r="S26" s="2"/>
      <c r="T26" s="1">
        <v>1000</v>
      </c>
      <c r="U26" s="1">
        <v>1000</v>
      </c>
      <c r="V26" s="1" t="str">
        <f>IF(Table11[[#This Row],['#TreesContract]]-Table11[[#This Row],['#Planted]]=0,"",Table11[[#This Row],['#TreesContract]]-Table11[[#This Row],['#Planted]])</f>
        <v/>
      </c>
      <c r="W26" s="2"/>
      <c r="X26" s="34">
        <v>0</v>
      </c>
      <c r="Y26" s="163"/>
      <c r="Z26" s="163"/>
      <c r="AA26" s="34">
        <v>1</v>
      </c>
      <c r="AB26" s="163">
        <f>Table11[[#This Row],['#TreesContract]]*1</f>
        <v>1000</v>
      </c>
      <c r="AC26" s="34"/>
      <c r="AD26" s="163"/>
      <c r="AE26" s="163">
        <f>Table11[[#This Row],[Canada Allocation-tree '#''s]]+Table11[[#This Row],[Can trees/Allocation 2017]]</f>
        <v>1000</v>
      </c>
      <c r="AF26" s="5">
        <v>0</v>
      </c>
      <c r="AG26" s="35">
        <v>0</v>
      </c>
      <c r="AH26" s="35"/>
      <c r="AI26" s="405">
        <f>Table11[[#This Row],['#TreesContract]]*Table11[[#This Row],[2024 Inventory Survival%-master]]</f>
        <v>0</v>
      </c>
      <c r="AJ26" s="5">
        <v>0</v>
      </c>
      <c r="AK26" s="5">
        <v>0</v>
      </c>
      <c r="AL26" s="5">
        <v>0</v>
      </c>
      <c r="AM26" s="35">
        <f>AK26*Table11[[#This Row],['#TreesContract]]</f>
        <v>0</v>
      </c>
      <c r="AN26" s="35">
        <f>Table11[[#This Row],[2024 '#Trees Inventory + Estimate]]*Table11[[#This Row],[USA Allocation %]]</f>
        <v>0</v>
      </c>
      <c r="AO26" s="35">
        <f>Table11[[#This Row],[2024 '#Trees Inventory + Estimate]]*Table11[[#This Row],[Canada Allocation %]]</f>
        <v>0</v>
      </c>
      <c r="AP26" s="35">
        <f>Table11[[#This Row],[2024 '#Trees Inventory + Estimate]]*Table11[[#This Row],[Canada Allocation2017 %]]</f>
        <v>0</v>
      </c>
      <c r="AQ26" s="35">
        <f>Table11[[#This Row],['#Trees as of 2024/estimate-Can allocation]]+Table11[[#This Row],['#Trees as of 2024/estimate-Can allocation 2017]]</f>
        <v>0</v>
      </c>
      <c r="AR26" s="1"/>
      <c r="AS26" s="2"/>
      <c r="AT26" s="6">
        <f>IFERROR(Table11[[#This Row],['#Total Replacements]]/Table11[[#This Row],['#TreesContract]],"")</f>
        <v>0</v>
      </c>
      <c r="AU26" s="4">
        <f>IF(SUM(Table11[[#This Row],['#Replace 24]:['#Replace 16]])=0,0,SUM(Table11[[#This Row],['#Replace 24]:['#Replace 16]]))</f>
        <v>0</v>
      </c>
      <c r="AV26" s="2"/>
      <c r="AW26" s="2"/>
      <c r="AX26" s="3"/>
      <c r="AY26" s="2"/>
      <c r="AZ26" s="2"/>
      <c r="BA26" s="2"/>
      <c r="BB26" s="2"/>
      <c r="BC26" s="2"/>
      <c r="BD26" s="2"/>
      <c r="BE26" s="2"/>
      <c r="BF26" s="3">
        <v>1</v>
      </c>
      <c r="BG26" s="3"/>
      <c r="BH26" s="2"/>
      <c r="BI26" s="158"/>
      <c r="BJ26" s="158"/>
      <c r="BK26" s="139">
        <f>Table11[[#This Row],[Average MHT
(Feet)]]/16</f>
        <v>0</v>
      </c>
      <c r="BL26" s="2"/>
      <c r="BM26" s="139">
        <f>Table11[[#This Row],[Average DBH
(inches)]]/18</f>
        <v>0</v>
      </c>
      <c r="BN26" s="235">
        <f>((Table11[[#This Row],[Average DBH
(inches)]]-4)^2)*(Table11[[#This Row],[Average MHT
(Feet)]]/16)</f>
        <v>0</v>
      </c>
      <c r="BO26" s="235">
        <f>Table11[[#This Row],[Average BF]]*Table11[[#This Row],[2024 '#Trees Inventory + Estimate]]</f>
        <v>0</v>
      </c>
      <c r="BP26" s="240">
        <f>(Table11[[#This Row],[Harvest Year
(10 year)]]-Table11[[#This Row],[Year of Inventory]]+1)*(Table11[[#This Row],[Average DBH
(inches)]]/(Table11[[#This Row],[Harvest Year
(10 year)]]-Table11[[#This Row],[Year of Inventory]]+1))+Table11[[#This Row],[Average DBH
(inches)]]</f>
        <v>0</v>
      </c>
      <c r="BQ26" s="235">
        <f>((Table11[[#This Row],[Projected DBH
(Extrapolated Growth/Year)]]-4)^2)*(Table11[[#This Row],[Average MHT
(Feet)]]/16)</f>
        <v>0</v>
      </c>
      <c r="BR26" s="235">
        <f>Table11[[#This Row],[Projected Average BF]]*Table11[[#This Row],[2024 '#Trees Inventory + Estimate]]</f>
        <v>0</v>
      </c>
      <c r="BS26" s="235">
        <f>196*Table11[[#This Row],[2024 '#Trees Inventory + Estimate]]</f>
        <v>0</v>
      </c>
      <c r="BT26" s="235">
        <f>Table11[[#This Row],[ETP Offering Expected BF]]-Table11[[#This Row],[Projected Total BF]]</f>
        <v>0</v>
      </c>
      <c r="BU26" s="235">
        <f>(18-Table11[[#This Row],[Average DBH
(inches)]])/(D26-Table11[[#This Row],[Year of Inventory]]+1)</f>
        <v>18</v>
      </c>
    </row>
    <row r="27" spans="1:73" x14ac:dyDescent="0.25">
      <c r="A27" s="7" t="s">
        <v>244</v>
      </c>
      <c r="B27" s="2">
        <v>2015</v>
      </c>
      <c r="C27" s="2">
        <v>2016</v>
      </c>
      <c r="D27" s="2">
        <v>0</v>
      </c>
      <c r="E27" t="s">
        <v>245</v>
      </c>
      <c r="F27" s="161">
        <v>20088</v>
      </c>
      <c r="G27" t="s">
        <v>245</v>
      </c>
      <c r="H27" s="357"/>
      <c r="I27" t="s">
        <v>160</v>
      </c>
      <c r="J27" s="1"/>
      <c r="K27" s="1"/>
      <c r="L27" s="1"/>
      <c r="M27" s="1" t="s">
        <v>213</v>
      </c>
      <c r="Q27" s="2"/>
      <c r="R27" s="86"/>
      <c r="S27" s="2"/>
      <c r="T27" s="1">
        <v>250</v>
      </c>
      <c r="U27" s="1">
        <v>250</v>
      </c>
      <c r="V27" s="1" t="str">
        <f>IF(Table11[[#This Row],['#TreesContract]]-Table11[[#This Row],['#Planted]]=0,"",Table11[[#This Row],['#TreesContract]]-Table11[[#This Row],['#Planted]])</f>
        <v/>
      </c>
      <c r="W27" s="2"/>
      <c r="X27" s="34">
        <v>0</v>
      </c>
      <c r="Y27" s="163"/>
      <c r="Z27" s="163"/>
      <c r="AA27" s="34">
        <v>1</v>
      </c>
      <c r="AB27" s="163">
        <f>Table11[[#This Row],['#TreesContract]]*1</f>
        <v>250</v>
      </c>
      <c r="AC27" s="34"/>
      <c r="AD27" s="163"/>
      <c r="AE27" s="163">
        <f>Table11[[#This Row],[Canada Allocation-tree '#''s]]+Table11[[#This Row],[Can trees/Allocation 2017]]</f>
        <v>250</v>
      </c>
      <c r="AF27" s="5">
        <v>0</v>
      </c>
      <c r="AG27" s="35">
        <v>0</v>
      </c>
      <c r="AH27" s="35"/>
      <c r="AI27" s="405">
        <f>Table11[[#This Row],['#TreesContract]]*Table11[[#This Row],[2024 Inventory Survival%-master]]</f>
        <v>0</v>
      </c>
      <c r="AJ27" s="5">
        <v>0</v>
      </c>
      <c r="AK27" s="5">
        <v>0</v>
      </c>
      <c r="AL27" s="5">
        <v>0</v>
      </c>
      <c r="AM27" s="35">
        <f>AK27*Table11[[#This Row],['#TreesContract]]</f>
        <v>0</v>
      </c>
      <c r="AN27" s="35">
        <f>Table11[[#This Row],[2024 '#Trees Inventory + Estimate]]*Table11[[#This Row],[USA Allocation %]]</f>
        <v>0</v>
      </c>
      <c r="AO27" s="35">
        <f>Table11[[#This Row],[2024 '#Trees Inventory + Estimate]]*Table11[[#This Row],[Canada Allocation %]]</f>
        <v>0</v>
      </c>
      <c r="AP27" s="35">
        <f>Table11[[#This Row],[2024 '#Trees Inventory + Estimate]]*Table11[[#This Row],[Canada Allocation2017 %]]</f>
        <v>0</v>
      </c>
      <c r="AQ27" s="35">
        <f>Table11[[#This Row],['#Trees as of 2024/estimate-Can allocation]]+Table11[[#This Row],['#Trees as of 2024/estimate-Can allocation 2017]]</f>
        <v>0</v>
      </c>
      <c r="AR27" s="1"/>
      <c r="AS27" s="2"/>
      <c r="AT27" s="6">
        <f>IFERROR(Table11[[#This Row],['#Total Replacements]]/Table11[[#This Row],['#TreesContract]],"")</f>
        <v>0</v>
      </c>
      <c r="AU27" s="4">
        <f>IF(SUM(Table11[[#This Row],['#Replace 24]:['#Replace 16]])=0,0,SUM(Table11[[#This Row],['#Replace 24]:['#Replace 16]]))</f>
        <v>0</v>
      </c>
      <c r="AV27" s="2"/>
      <c r="AW27" s="2"/>
      <c r="AX27" s="3"/>
      <c r="AY27" s="2"/>
      <c r="AZ27" s="2"/>
      <c r="BA27" s="2"/>
      <c r="BB27" s="2"/>
      <c r="BC27" s="2"/>
      <c r="BD27" s="2"/>
      <c r="BE27" s="2"/>
      <c r="BF27" s="3">
        <v>1</v>
      </c>
      <c r="BG27" s="3"/>
      <c r="BH27" s="2"/>
      <c r="BI27" s="2"/>
      <c r="BJ27" s="2"/>
      <c r="BK27" s="139">
        <f>Table11[[#This Row],[Average MHT
(Feet)]]/16</f>
        <v>0</v>
      </c>
      <c r="BL27" s="2"/>
      <c r="BM27" s="139">
        <f>Table11[[#This Row],[Average DBH
(inches)]]/18</f>
        <v>0</v>
      </c>
      <c r="BN27" s="235">
        <f>((Table11[[#This Row],[Average DBH
(inches)]]-4)^2)*(Table11[[#This Row],[Average MHT
(Feet)]]/16)</f>
        <v>0</v>
      </c>
      <c r="BO27" s="235">
        <f>Table11[[#This Row],[Average BF]]*Table11[[#This Row],[2024 '#Trees Inventory + Estimate]]</f>
        <v>0</v>
      </c>
      <c r="BP27" s="240">
        <f>(Table11[[#This Row],[Harvest Year
(10 year)]]-Table11[[#This Row],[Year of Inventory]]+1)*(Table11[[#This Row],[Average DBH
(inches)]]/(Table11[[#This Row],[Harvest Year
(10 year)]]-Table11[[#This Row],[Year of Inventory]]+1))+Table11[[#This Row],[Average DBH
(inches)]]</f>
        <v>0</v>
      </c>
      <c r="BQ27" s="235">
        <f>((Table11[[#This Row],[Projected DBH
(Extrapolated Growth/Year)]]-4)^2)*(Table11[[#This Row],[Average MHT
(Feet)]]/16)</f>
        <v>0</v>
      </c>
      <c r="BR27" s="235">
        <f>Table11[[#This Row],[Projected Average BF]]*Table11[[#This Row],[2024 '#Trees Inventory + Estimate]]</f>
        <v>0</v>
      </c>
      <c r="BS27" s="235">
        <f>196*Table11[[#This Row],[2024 '#Trees Inventory + Estimate]]</f>
        <v>0</v>
      </c>
      <c r="BT27" s="235">
        <f>Table11[[#This Row],[ETP Offering Expected BF]]-Table11[[#This Row],[Projected Total BF]]</f>
        <v>0</v>
      </c>
      <c r="BU27" s="235">
        <f>(18-Table11[[#This Row],[Average DBH
(inches)]])/(D27-Table11[[#This Row],[Year of Inventory]]+1)</f>
        <v>18</v>
      </c>
    </row>
    <row r="28" spans="1:73" hidden="1" x14ac:dyDescent="0.25">
      <c r="A28" s="7" t="s">
        <v>246</v>
      </c>
      <c r="B28" s="2">
        <v>2016</v>
      </c>
      <c r="C28" s="2">
        <v>2017</v>
      </c>
      <c r="D28" s="2">
        <v>0</v>
      </c>
      <c r="E28" s="97" t="s">
        <v>247</v>
      </c>
      <c r="F28" s="161">
        <v>10013</v>
      </c>
      <c r="G28" t="s">
        <v>248</v>
      </c>
      <c r="H28" s="357"/>
      <c r="I28" t="s">
        <v>160</v>
      </c>
      <c r="J28" s="1"/>
      <c r="K28" s="1"/>
      <c r="L28" s="1"/>
      <c r="M28" s="1" t="s">
        <v>150</v>
      </c>
      <c r="Q28" s="2"/>
      <c r="R28" s="86"/>
      <c r="S28" s="2"/>
      <c r="T28" s="1">
        <v>2200</v>
      </c>
      <c r="U28" s="1">
        <v>2200</v>
      </c>
      <c r="V28" s="1" t="str">
        <f>IF(Table11[[#This Row],['#TreesContract]]-Table11[[#This Row],['#Planted]]=0,"",Table11[[#This Row],['#TreesContract]]-Table11[[#This Row],['#Planted]])</f>
        <v/>
      </c>
      <c r="W28" s="2"/>
      <c r="X28" s="34">
        <v>0.24</v>
      </c>
      <c r="Y28" s="163">
        <f>Table11[[#This Row],['#TreesContract]]*Table11[[#This Row],[USA Allocation %]]</f>
        <v>528</v>
      </c>
      <c r="Z28" s="163">
        <f>Table11[[#This Row],['#Planted]]*Table11[[#This Row],[USA Allocation %]]</f>
        <v>528</v>
      </c>
      <c r="AA28" s="34">
        <v>0.76</v>
      </c>
      <c r="AB28" s="163">
        <f>Table11[[#This Row],['#TreesContract]]*0.76</f>
        <v>1672</v>
      </c>
      <c r="AC28" s="34"/>
      <c r="AD28" s="163"/>
      <c r="AE28" s="163">
        <f>Table11[[#This Row],[Canada Allocation-tree '#''s]]+Table11[[#This Row],[Can trees/Allocation 2017]]</f>
        <v>1672</v>
      </c>
      <c r="AF28" s="5">
        <v>0</v>
      </c>
      <c r="AG28" s="35">
        <v>0</v>
      </c>
      <c r="AH28" s="35">
        <f>Table11[[#This Row],['#Trees as of 12/31/23]]*Table11[[#This Row],[USA Allocation %]]</f>
        <v>0</v>
      </c>
      <c r="AI28" s="404">
        <v>0</v>
      </c>
      <c r="AJ28" s="5">
        <v>0</v>
      </c>
      <c r="AK28" s="5">
        <v>0</v>
      </c>
      <c r="AL28" s="5">
        <v>0</v>
      </c>
      <c r="AM28" s="35">
        <f>AK28*Table11[[#This Row],['#TreesContract]]</f>
        <v>0</v>
      </c>
      <c r="AN28" s="35">
        <f>Table11[[#This Row],[2024 '#Trees Inventory + Estimate]]*Table11[[#This Row],[USA Allocation %]]</f>
        <v>0</v>
      </c>
      <c r="AO28" s="35">
        <f>Table11[[#This Row],[2024 '#Trees Inventory + Estimate]]*Table11[[#This Row],[Canada Allocation %]]</f>
        <v>0</v>
      </c>
      <c r="AP28" s="35">
        <f>Table11[[#This Row],[2024 '#Trees Inventory + Estimate]]*Table11[[#This Row],[Canada Allocation2017 %]]</f>
        <v>0</v>
      </c>
      <c r="AQ28" s="35">
        <f>Table11[[#This Row],['#Trees as of 2024/estimate-Can allocation]]+Table11[[#This Row],['#Trees as of 2024/estimate-Can allocation 2017]]</f>
        <v>0</v>
      </c>
      <c r="AR28" s="1" t="s">
        <v>152</v>
      </c>
      <c r="AS28" s="2"/>
      <c r="AT28" s="6">
        <f>IFERROR(Table11[[#This Row],['#Total Replacements]]/Table11[[#This Row],['#TreesContract]],"")</f>
        <v>0</v>
      </c>
      <c r="AU28" s="4">
        <f>IF(SUM(Table11[[#This Row],['#Replace 24]:['#Replace 16]])=0,0,SUM(Table11[[#This Row],['#Replace 24]:['#Replace 16]]))</f>
        <v>0</v>
      </c>
      <c r="AV28" s="2"/>
      <c r="AW28" s="2"/>
      <c r="AX28" s="3"/>
      <c r="AY28" s="2"/>
      <c r="AZ28" s="2"/>
      <c r="BA28" s="2"/>
      <c r="BB28" s="2"/>
      <c r="BC28" s="2"/>
      <c r="BD28" s="2"/>
      <c r="BE28" s="2"/>
      <c r="BF28" s="3">
        <v>1</v>
      </c>
      <c r="BG28" s="3"/>
      <c r="BH28" s="2"/>
      <c r="BI28" s="2"/>
      <c r="BJ28" s="2"/>
      <c r="BK28" s="139">
        <f>Table11[[#This Row],[Average MHT
(Feet)]]/16</f>
        <v>0</v>
      </c>
      <c r="BL28" s="2"/>
      <c r="BM28" s="139">
        <f>Table11[[#This Row],[Average DBH
(inches)]]/18</f>
        <v>0</v>
      </c>
      <c r="BN28" s="235">
        <f>((Table11[[#This Row],[Average DBH
(inches)]]-4)^2)*(Table11[[#This Row],[Average MHT
(Feet)]]/16)</f>
        <v>0</v>
      </c>
      <c r="BO28" s="235">
        <f>Table11[[#This Row],[Average BF]]*Table11[[#This Row],[2024 '#Trees Inventory + Estimate]]</f>
        <v>0</v>
      </c>
      <c r="BP28" s="240">
        <f>(Table11[[#This Row],[Harvest Year
(10 year)]]-Table11[[#This Row],[Year of Inventory]]+1)*(Table11[[#This Row],[Average DBH
(inches)]]/(Table11[[#This Row],[Harvest Year
(10 year)]]-Table11[[#This Row],[Year of Inventory]]+1))+Table11[[#This Row],[Average DBH
(inches)]]</f>
        <v>0</v>
      </c>
      <c r="BQ28" s="235">
        <f>((Table11[[#This Row],[Projected DBH
(Extrapolated Growth/Year)]]-4)^2)*(Table11[[#This Row],[Average MHT
(Feet)]]/16)</f>
        <v>0</v>
      </c>
      <c r="BR28" s="235">
        <f>Table11[[#This Row],[Projected Average BF]]*Table11[[#This Row],[2024 '#Trees Inventory + Estimate]]</f>
        <v>0</v>
      </c>
      <c r="BS28" s="235">
        <f>196*Table11[[#This Row],[2024 '#Trees Inventory + Estimate]]</f>
        <v>0</v>
      </c>
      <c r="BT28" s="235">
        <f>Table11[[#This Row],[ETP Offering Expected BF]]-Table11[[#This Row],[Projected Total BF]]</f>
        <v>0</v>
      </c>
      <c r="BU28" s="235">
        <f>(18-Table11[[#This Row],[Average DBH
(inches)]])/(D28-Table11[[#This Row],[Year of Inventory]]+1)</f>
        <v>18</v>
      </c>
    </row>
    <row r="29" spans="1:73" hidden="1" x14ac:dyDescent="0.25">
      <c r="A29" s="7" t="s">
        <v>249</v>
      </c>
      <c r="B29" s="2">
        <v>2016</v>
      </c>
      <c r="C29" s="2">
        <v>2017</v>
      </c>
      <c r="D29" s="2">
        <v>0</v>
      </c>
      <c r="E29" s="97" t="s">
        <v>250</v>
      </c>
      <c r="F29" s="161">
        <v>10014</v>
      </c>
      <c r="G29" t="s">
        <v>250</v>
      </c>
      <c r="H29" s="357"/>
      <c r="I29" t="s">
        <v>160</v>
      </c>
      <c r="J29" s="1"/>
      <c r="K29" s="1"/>
      <c r="L29" s="1"/>
      <c r="M29" s="1" t="s">
        <v>150</v>
      </c>
      <c r="Q29" s="2"/>
      <c r="R29" s="86"/>
      <c r="S29" s="2"/>
      <c r="T29" s="1">
        <v>2200</v>
      </c>
      <c r="U29" s="1">
        <v>2200</v>
      </c>
      <c r="V29" s="1" t="str">
        <f>IF(Table11[[#This Row],['#TreesContract]]-Table11[[#This Row],['#Planted]]=0,"",Table11[[#This Row],['#TreesContract]]-Table11[[#This Row],['#Planted]])</f>
        <v/>
      </c>
      <c r="W29" s="2"/>
      <c r="X29" s="34">
        <v>0.24</v>
      </c>
      <c r="Y29" s="163">
        <f>Table11[[#This Row],['#TreesContract]]*Table11[[#This Row],[USA Allocation %]]</f>
        <v>528</v>
      </c>
      <c r="Z29" s="163">
        <f>Table11[[#This Row],['#Planted]]*Table11[[#This Row],[USA Allocation %]]</f>
        <v>528</v>
      </c>
      <c r="AA29" s="34">
        <v>0.76</v>
      </c>
      <c r="AB29" s="163">
        <f>Table11[[#This Row],['#TreesContract]]*0.76</f>
        <v>1672</v>
      </c>
      <c r="AC29" s="34"/>
      <c r="AD29" s="163"/>
      <c r="AE29" s="163">
        <f>Table11[[#This Row],[Canada Allocation-tree '#''s]]+Table11[[#This Row],[Can trees/Allocation 2017]]</f>
        <v>1672</v>
      </c>
      <c r="AF29" s="5">
        <v>0</v>
      </c>
      <c r="AG29" s="35">
        <v>0</v>
      </c>
      <c r="AH29" s="35">
        <f>Table11[[#This Row],['#Trees as of 12/31/23]]*Table11[[#This Row],[USA Allocation %]]</f>
        <v>0</v>
      </c>
      <c r="AI29" s="404">
        <v>0</v>
      </c>
      <c r="AJ29" s="5">
        <v>0</v>
      </c>
      <c r="AK29" s="5">
        <v>0</v>
      </c>
      <c r="AL29" s="5">
        <v>0</v>
      </c>
      <c r="AM29" s="35">
        <f>AK29*Table11[[#This Row],['#TreesContract]]</f>
        <v>0</v>
      </c>
      <c r="AN29" s="35">
        <f>Table11[[#This Row],[2024 '#Trees Inventory + Estimate]]*Table11[[#This Row],[USA Allocation %]]</f>
        <v>0</v>
      </c>
      <c r="AO29" s="35">
        <f>Table11[[#This Row],[2024 '#Trees Inventory + Estimate]]*Table11[[#This Row],[Canada Allocation %]]</f>
        <v>0</v>
      </c>
      <c r="AP29" s="35">
        <f>Table11[[#This Row],[2024 '#Trees Inventory + Estimate]]*Table11[[#This Row],[Canada Allocation2017 %]]</f>
        <v>0</v>
      </c>
      <c r="AQ29" s="35">
        <f>Table11[[#This Row],['#Trees as of 2024/estimate-Can allocation]]+Table11[[#This Row],['#Trees as of 2024/estimate-Can allocation 2017]]</f>
        <v>0</v>
      </c>
      <c r="AR29" s="1" t="s">
        <v>152</v>
      </c>
      <c r="AS29" s="2"/>
      <c r="AT29" s="6">
        <f>IFERROR(Table11[[#This Row],['#Total Replacements]]/Table11[[#This Row],['#TreesContract]],"")</f>
        <v>1.3636363636363636E-2</v>
      </c>
      <c r="AU29" s="4">
        <f>IF(SUM(Table11[[#This Row],['#Replace 24]:['#Replace 16]])=0,0,SUM(Table11[[#This Row],['#Replace 24]:['#Replace 16]]))</f>
        <v>30</v>
      </c>
      <c r="AV29" s="2"/>
      <c r="AW29" s="2"/>
      <c r="AX29" s="3"/>
      <c r="AY29" s="2"/>
      <c r="AZ29" s="2"/>
      <c r="BA29" s="2"/>
      <c r="BB29" s="2">
        <v>30</v>
      </c>
      <c r="BC29" s="2"/>
      <c r="BD29" s="2"/>
      <c r="BE29" s="2"/>
      <c r="BF29" s="3">
        <v>1</v>
      </c>
      <c r="BG29" s="3">
        <v>1</v>
      </c>
      <c r="BH29" s="2"/>
      <c r="BI29" s="158"/>
      <c r="BJ29" s="158"/>
      <c r="BK29" s="139">
        <f>Table11[[#This Row],[Average MHT
(Feet)]]/16</f>
        <v>0</v>
      </c>
      <c r="BL29" s="2"/>
      <c r="BM29" s="139">
        <f>Table11[[#This Row],[Average DBH
(inches)]]/18</f>
        <v>0</v>
      </c>
      <c r="BN29" s="235">
        <f>((Table11[[#This Row],[Average DBH
(inches)]]-4)^2)*(Table11[[#This Row],[Average MHT
(Feet)]]/16)</f>
        <v>0</v>
      </c>
      <c r="BO29" s="235">
        <f>Table11[[#This Row],[Average BF]]*Table11[[#This Row],[2024 '#Trees Inventory + Estimate]]</f>
        <v>0</v>
      </c>
      <c r="BP29" s="240">
        <f>(Table11[[#This Row],[Harvest Year
(10 year)]]-Table11[[#This Row],[Year of Inventory]]+1)*(Table11[[#This Row],[Average DBH
(inches)]]/(Table11[[#This Row],[Harvest Year
(10 year)]]-Table11[[#This Row],[Year of Inventory]]+1))+Table11[[#This Row],[Average DBH
(inches)]]</f>
        <v>0</v>
      </c>
      <c r="BQ29" s="235">
        <f>((Table11[[#This Row],[Projected DBH
(Extrapolated Growth/Year)]]-4)^2)*(Table11[[#This Row],[Average MHT
(Feet)]]/16)</f>
        <v>0</v>
      </c>
      <c r="BR29" s="235">
        <f>Table11[[#This Row],[Projected Average BF]]*Table11[[#This Row],[2024 '#Trees Inventory + Estimate]]</f>
        <v>0</v>
      </c>
      <c r="BS29" s="235">
        <f>196*Table11[[#This Row],[2024 '#Trees Inventory + Estimate]]</f>
        <v>0</v>
      </c>
      <c r="BT29" s="235">
        <f>Table11[[#This Row],[ETP Offering Expected BF]]-Table11[[#This Row],[Projected Total BF]]</f>
        <v>0</v>
      </c>
      <c r="BU29" s="235">
        <f>(18-Table11[[#This Row],[Average DBH
(inches)]])/(D29-Table11[[#This Row],[Year of Inventory]]+1)</f>
        <v>18</v>
      </c>
    </row>
    <row r="30" spans="1:73" hidden="1" x14ac:dyDescent="0.25">
      <c r="A30" s="7" t="s">
        <v>251</v>
      </c>
      <c r="B30" s="2">
        <v>2016</v>
      </c>
      <c r="C30" s="2">
        <v>2017</v>
      </c>
      <c r="D30" s="2">
        <v>0</v>
      </c>
      <c r="E30" s="97" t="s">
        <v>252</v>
      </c>
      <c r="F30" s="161">
        <v>10015</v>
      </c>
      <c r="G30" t="s">
        <v>252</v>
      </c>
      <c r="H30" s="357"/>
      <c r="I30" t="s">
        <v>160</v>
      </c>
      <c r="J30" s="1"/>
      <c r="K30" s="1"/>
      <c r="L30" s="1"/>
      <c r="M30" s="1" t="s">
        <v>150</v>
      </c>
      <c r="Q30" s="2"/>
      <c r="R30" s="86"/>
      <c r="S30" s="2"/>
      <c r="T30" s="1">
        <v>550</v>
      </c>
      <c r="U30" s="1">
        <v>550</v>
      </c>
      <c r="V30" s="1" t="str">
        <f>IF(Table11[[#This Row],['#TreesContract]]-Table11[[#This Row],['#Planted]]=0,"",Table11[[#This Row],['#TreesContract]]-Table11[[#This Row],['#Planted]])</f>
        <v/>
      </c>
      <c r="W30" s="2"/>
      <c r="X30" s="34">
        <v>0.24</v>
      </c>
      <c r="Y30" s="163">
        <f>Table11[[#This Row],['#TreesContract]]*Table11[[#This Row],[USA Allocation %]]</f>
        <v>132</v>
      </c>
      <c r="Z30" s="163">
        <f>Table11[[#This Row],['#Planted]]*Table11[[#This Row],[USA Allocation %]]</f>
        <v>132</v>
      </c>
      <c r="AA30" s="34">
        <v>0.76</v>
      </c>
      <c r="AB30" s="163">
        <f>Table11[[#This Row],['#TreesContract]]*0.76</f>
        <v>418</v>
      </c>
      <c r="AC30" s="34"/>
      <c r="AD30" s="163"/>
      <c r="AE30" s="163">
        <f>Table11[[#This Row],[Canada Allocation-tree '#''s]]+Table11[[#This Row],[Can trees/Allocation 2017]]</f>
        <v>418</v>
      </c>
      <c r="AF30" s="5">
        <v>0</v>
      </c>
      <c r="AG30" s="35">
        <v>0</v>
      </c>
      <c r="AH30" s="35">
        <f>Table11[[#This Row],['#Trees as of 12/31/23]]*Table11[[#This Row],[USA Allocation %]]</f>
        <v>0</v>
      </c>
      <c r="AI30" s="404">
        <v>0</v>
      </c>
      <c r="AJ30" s="5">
        <v>0</v>
      </c>
      <c r="AK30" s="5">
        <v>0</v>
      </c>
      <c r="AL30" s="5">
        <v>0</v>
      </c>
      <c r="AM30" s="35">
        <f>AK30*Table11[[#This Row],['#TreesContract]]</f>
        <v>0</v>
      </c>
      <c r="AN30" s="35">
        <f>Table11[[#This Row],[2024 '#Trees Inventory + Estimate]]*Table11[[#This Row],[USA Allocation %]]</f>
        <v>0</v>
      </c>
      <c r="AO30" s="35">
        <f>Table11[[#This Row],[2024 '#Trees Inventory + Estimate]]*Table11[[#This Row],[Canada Allocation %]]</f>
        <v>0</v>
      </c>
      <c r="AP30" s="35">
        <f>Table11[[#This Row],[2024 '#Trees Inventory + Estimate]]*Table11[[#This Row],[Canada Allocation2017 %]]</f>
        <v>0</v>
      </c>
      <c r="AQ30" s="35">
        <f>Table11[[#This Row],['#Trees as of 2024/estimate-Can allocation]]+Table11[[#This Row],['#Trees as of 2024/estimate-Can allocation 2017]]</f>
        <v>0</v>
      </c>
      <c r="AR30" s="1" t="s">
        <v>152</v>
      </c>
      <c r="AS30" s="2"/>
      <c r="AT30" s="6">
        <f>IFERROR(Table11[[#This Row],['#Total Replacements]]/Table11[[#This Row],['#TreesContract]],"")</f>
        <v>5.4545454545454543E-2</v>
      </c>
      <c r="AU30" s="4">
        <f>IF(SUM(Table11[[#This Row],['#Replace 24]:['#Replace 16]])=0,0,SUM(Table11[[#This Row],['#Replace 24]:['#Replace 16]]))</f>
        <v>30</v>
      </c>
      <c r="AV30" s="2"/>
      <c r="AW30" s="2"/>
      <c r="AX30" s="3"/>
      <c r="AY30" s="2"/>
      <c r="AZ30" s="2"/>
      <c r="BA30" s="2"/>
      <c r="BB30" s="2">
        <v>30</v>
      </c>
      <c r="BC30" s="2"/>
      <c r="BD30" s="2"/>
      <c r="BE30" s="2"/>
      <c r="BF30" s="3">
        <v>1</v>
      </c>
      <c r="BG30" s="3"/>
      <c r="BH30" s="2"/>
      <c r="BI30" s="2"/>
      <c r="BJ30" s="2"/>
      <c r="BK30" s="139">
        <f>Table11[[#This Row],[Average MHT
(Feet)]]/16</f>
        <v>0</v>
      </c>
      <c r="BL30" s="2"/>
      <c r="BM30" s="139">
        <f>Table11[[#This Row],[Average DBH
(inches)]]/18</f>
        <v>0</v>
      </c>
      <c r="BN30" s="235">
        <f>((Table11[[#This Row],[Average DBH
(inches)]]-4)^2)*(Table11[[#This Row],[Average MHT
(Feet)]]/16)</f>
        <v>0</v>
      </c>
      <c r="BO30" s="235">
        <f>Table11[[#This Row],[Average BF]]*Table11[[#This Row],[2024 '#Trees Inventory + Estimate]]</f>
        <v>0</v>
      </c>
      <c r="BP30" s="240">
        <f>(Table11[[#This Row],[Harvest Year
(10 year)]]-Table11[[#This Row],[Year of Inventory]]+1)*(Table11[[#This Row],[Average DBH
(inches)]]/(Table11[[#This Row],[Harvest Year
(10 year)]]-Table11[[#This Row],[Year of Inventory]]+1))+Table11[[#This Row],[Average DBH
(inches)]]</f>
        <v>0</v>
      </c>
      <c r="BQ30" s="235">
        <f>((Table11[[#This Row],[Projected DBH
(Extrapolated Growth/Year)]]-4)^2)*(Table11[[#This Row],[Average MHT
(Feet)]]/16)</f>
        <v>0</v>
      </c>
      <c r="BR30" s="235">
        <f>Table11[[#This Row],[Projected Average BF]]*Table11[[#This Row],[2024 '#Trees Inventory + Estimate]]</f>
        <v>0</v>
      </c>
      <c r="BS30" s="235">
        <f>196*Table11[[#This Row],[2024 '#Trees Inventory + Estimate]]</f>
        <v>0</v>
      </c>
      <c r="BT30" s="235">
        <f>Table11[[#This Row],[ETP Offering Expected BF]]-Table11[[#This Row],[Projected Total BF]]</f>
        <v>0</v>
      </c>
      <c r="BU30" s="235">
        <f>(18-Table11[[#This Row],[Average DBH
(inches)]])/(D30-Table11[[#This Row],[Year of Inventory]]+1)</f>
        <v>18</v>
      </c>
    </row>
    <row r="31" spans="1:73" hidden="1" x14ac:dyDescent="0.25">
      <c r="A31" s="7" t="s">
        <v>253</v>
      </c>
      <c r="B31" s="2">
        <v>2016</v>
      </c>
      <c r="C31" s="2">
        <v>2017</v>
      </c>
      <c r="D31" s="2">
        <v>0</v>
      </c>
      <c r="E31" s="97" t="s">
        <v>254</v>
      </c>
      <c r="F31" s="161">
        <v>10016</v>
      </c>
      <c r="G31" t="s">
        <v>255</v>
      </c>
      <c r="H31" s="357" t="s">
        <v>256</v>
      </c>
      <c r="I31" t="s">
        <v>160</v>
      </c>
      <c r="J31" s="1" t="s">
        <v>257</v>
      </c>
      <c r="K31" s="1" t="s">
        <v>258</v>
      </c>
      <c r="L31" s="1" t="s">
        <v>258</v>
      </c>
      <c r="M31" s="1" t="s">
        <v>150</v>
      </c>
      <c r="N31" t="s">
        <v>259</v>
      </c>
      <c r="O31">
        <v>49.065719999999999</v>
      </c>
      <c r="P31">
        <v>-123.854433</v>
      </c>
      <c r="Q31" s="2"/>
      <c r="R31" s="86"/>
      <c r="S31" s="2"/>
      <c r="T31" s="1">
        <v>951</v>
      </c>
      <c r="U31" s="1">
        <v>951</v>
      </c>
      <c r="V31" s="1" t="str">
        <f>IF(Table11[[#This Row],['#TreesContract]]-Table11[[#This Row],['#Planted]]=0,"",Table11[[#This Row],['#TreesContract]]-Table11[[#This Row],['#Planted]])</f>
        <v/>
      </c>
      <c r="W31" s="2"/>
      <c r="X31" s="34">
        <v>0.23974763406940064</v>
      </c>
      <c r="Y31" s="163">
        <f>Table11[[#This Row],['#TreesContract]]*Table11[[#This Row],[USA Allocation %]]</f>
        <v>228</v>
      </c>
      <c r="Z31" s="163">
        <f>Table11[[#This Row],['#Planted]]*Table11[[#This Row],[USA Allocation %]]</f>
        <v>228</v>
      </c>
      <c r="AA31" s="34">
        <v>0.76025236593059897</v>
      </c>
      <c r="AB31" s="163">
        <f>Table11[[#This Row],['#TreesContract]]*0.76</f>
        <v>722.76</v>
      </c>
      <c r="AC31" s="34"/>
      <c r="AD31" s="163"/>
      <c r="AE31" s="163">
        <f>Table11[[#This Row],[Canada Allocation-tree '#''s]]+Table11[[#This Row],[Can trees/Allocation 2017]]</f>
        <v>722.76</v>
      </c>
      <c r="AF31" s="5">
        <v>0.537280740575518</v>
      </c>
      <c r="AG31" s="35">
        <v>510.95398428731761</v>
      </c>
      <c r="AH31" s="35">
        <f>Table11[[#This Row],['#Trees as of 12/31/23]]*Table11[[#This Row],[USA Allocation %]]</f>
        <v>122.50000885121811</v>
      </c>
      <c r="AI31" s="404">
        <v>0</v>
      </c>
      <c r="AJ31" s="5">
        <v>0</v>
      </c>
      <c r="AK31" s="5">
        <v>0</v>
      </c>
      <c r="AL31" s="5">
        <v>0</v>
      </c>
      <c r="AM31" s="35">
        <f>AK31*Table11[[#This Row],['#TreesContract]]</f>
        <v>0</v>
      </c>
      <c r="AN31" s="35">
        <f>Table11[[#This Row],[2024 '#Trees Inventory + Estimate]]*Table11[[#This Row],[USA Allocation %]]</f>
        <v>0</v>
      </c>
      <c r="AO31" s="35">
        <f>Table11[[#This Row],[2024 '#Trees Inventory + Estimate]]*Table11[[#This Row],[Canada Allocation %]]</f>
        <v>0</v>
      </c>
      <c r="AP31" s="35">
        <f>Table11[[#This Row],[2024 '#Trees Inventory + Estimate]]*Table11[[#This Row],[Canada Allocation2017 %]]</f>
        <v>0</v>
      </c>
      <c r="AQ31" s="35">
        <f>Table11[[#This Row],['#Trees as of 2024/estimate-Can allocation]]+Table11[[#This Row],['#Trees as of 2024/estimate-Can allocation 2017]]</f>
        <v>0</v>
      </c>
      <c r="AR31" s="1" t="s">
        <v>152</v>
      </c>
      <c r="AS31" s="2" t="s">
        <v>153</v>
      </c>
      <c r="AT31" s="6">
        <f>IFERROR(Table11[[#This Row],['#Total Replacements]]/Table11[[#This Row],['#TreesContract]],"")</f>
        <v>4.2060988433228183E-2</v>
      </c>
      <c r="AU31" s="4">
        <f>IF(SUM(Table11[[#This Row],['#Replace 24]:['#Replace 16]])=0,0,SUM(Table11[[#This Row],['#Replace 24]:['#Replace 16]]))</f>
        <v>40</v>
      </c>
      <c r="AV31" s="2"/>
      <c r="AW31" s="2"/>
      <c r="AX31" s="3"/>
      <c r="AY31" s="2"/>
      <c r="AZ31" s="2"/>
      <c r="BA31" s="2"/>
      <c r="BB31" s="2"/>
      <c r="BC31" s="2"/>
      <c r="BD31" s="2">
        <v>40</v>
      </c>
      <c r="BE31" s="2"/>
      <c r="BF31" s="3">
        <v>1</v>
      </c>
      <c r="BG31" s="3">
        <v>1</v>
      </c>
      <c r="BH31" s="2"/>
      <c r="BI31" s="158"/>
      <c r="BJ31" s="158"/>
      <c r="BK31" s="139">
        <f>Table11[[#This Row],[Average MHT
(Feet)]]/16</f>
        <v>0</v>
      </c>
      <c r="BL31" s="2"/>
      <c r="BM31" s="139">
        <f>Table11[[#This Row],[Average DBH
(inches)]]/18</f>
        <v>0</v>
      </c>
      <c r="BN31" s="235">
        <f>((Table11[[#This Row],[Average DBH
(inches)]]-4)^2)*(Table11[[#This Row],[Average MHT
(Feet)]]/16)</f>
        <v>0</v>
      </c>
      <c r="BO31" s="235">
        <f>Table11[[#This Row],[Average BF]]*Table11[[#This Row],[2024 '#Trees Inventory + Estimate]]</f>
        <v>0</v>
      </c>
      <c r="BP31" s="240">
        <f>(Table11[[#This Row],[Harvest Year
(10 year)]]-Table11[[#This Row],[Year of Inventory]]+1)*(Table11[[#This Row],[Average DBH
(inches)]]/(Table11[[#This Row],[Harvest Year
(10 year)]]-Table11[[#This Row],[Year of Inventory]]+1))+Table11[[#This Row],[Average DBH
(inches)]]</f>
        <v>0</v>
      </c>
      <c r="BQ31" s="235">
        <f>((Table11[[#This Row],[Projected DBH
(Extrapolated Growth/Year)]]-4)^2)*(Table11[[#This Row],[Average MHT
(Feet)]]/16)</f>
        <v>0</v>
      </c>
      <c r="BR31" s="235">
        <f>Table11[[#This Row],[Projected Average BF]]*Table11[[#This Row],[2024 '#Trees Inventory + Estimate]]</f>
        <v>0</v>
      </c>
      <c r="BS31" s="235">
        <f>196*Table11[[#This Row],[2024 '#Trees Inventory + Estimate]]</f>
        <v>0</v>
      </c>
      <c r="BT31" s="235">
        <f>Table11[[#This Row],[ETP Offering Expected BF]]-Table11[[#This Row],[Projected Total BF]]</f>
        <v>0</v>
      </c>
      <c r="BU31" s="235">
        <f>(18-Table11[[#This Row],[Average DBH
(inches)]])/(D31-Table11[[#This Row],[Year of Inventory]]+1)</f>
        <v>18</v>
      </c>
    </row>
    <row r="32" spans="1:73" hidden="1" x14ac:dyDescent="0.25">
      <c r="A32" s="7" t="s">
        <v>260</v>
      </c>
      <c r="B32" s="2">
        <v>2016</v>
      </c>
      <c r="C32" s="2">
        <v>2017</v>
      </c>
      <c r="D32" s="2">
        <v>0</v>
      </c>
      <c r="E32" s="97" t="s">
        <v>261</v>
      </c>
      <c r="F32" s="161">
        <v>10017</v>
      </c>
      <c r="G32" t="s">
        <v>261</v>
      </c>
      <c r="H32" s="357"/>
      <c r="I32" t="s">
        <v>160</v>
      </c>
      <c r="J32" s="1"/>
      <c r="K32" s="1"/>
      <c r="L32" s="1"/>
      <c r="M32" s="1" t="s">
        <v>150</v>
      </c>
      <c r="Q32" s="2"/>
      <c r="R32" s="86"/>
      <c r="S32" s="2"/>
      <c r="T32" s="1">
        <v>2200</v>
      </c>
      <c r="U32" s="1">
        <v>2200</v>
      </c>
      <c r="V32" s="1" t="str">
        <f>IF(Table11[[#This Row],['#TreesContract]]-Table11[[#This Row],['#Planted]]=0,"",Table11[[#This Row],['#TreesContract]]-Table11[[#This Row],['#Planted]])</f>
        <v/>
      </c>
      <c r="W32" s="2"/>
      <c r="X32" s="34">
        <v>0.24</v>
      </c>
      <c r="Y32" s="163">
        <f>Table11[[#This Row],['#TreesContract]]*Table11[[#This Row],[USA Allocation %]]</f>
        <v>528</v>
      </c>
      <c r="Z32" s="163">
        <f>Table11[[#This Row],['#Planted]]*Table11[[#This Row],[USA Allocation %]]</f>
        <v>528</v>
      </c>
      <c r="AA32" s="34">
        <v>0.76</v>
      </c>
      <c r="AB32" s="163">
        <f>Table11[[#This Row],['#TreesContract]]*0.76</f>
        <v>1672</v>
      </c>
      <c r="AC32" s="34"/>
      <c r="AD32" s="163"/>
      <c r="AE32" s="163">
        <f>Table11[[#This Row],[Canada Allocation-tree '#''s]]+Table11[[#This Row],[Can trees/Allocation 2017]]</f>
        <v>1672</v>
      </c>
      <c r="AF32" s="5">
        <v>0</v>
      </c>
      <c r="AG32" s="35">
        <v>0</v>
      </c>
      <c r="AH32" s="35">
        <f>Table11[[#This Row],['#Trees as of 12/31/23]]*Table11[[#This Row],[USA Allocation %]]</f>
        <v>0</v>
      </c>
      <c r="AI32" s="404">
        <v>0</v>
      </c>
      <c r="AJ32" s="5">
        <v>0</v>
      </c>
      <c r="AK32" s="5">
        <v>0</v>
      </c>
      <c r="AL32" s="5">
        <v>0</v>
      </c>
      <c r="AM32" s="35">
        <f>AK32*Table11[[#This Row],['#TreesContract]]</f>
        <v>0</v>
      </c>
      <c r="AN32" s="35">
        <f>Table11[[#This Row],[2024 '#Trees Inventory + Estimate]]*Table11[[#This Row],[USA Allocation %]]</f>
        <v>0</v>
      </c>
      <c r="AO32" s="35">
        <f>Table11[[#This Row],[2024 '#Trees Inventory + Estimate]]*Table11[[#This Row],[Canada Allocation %]]</f>
        <v>0</v>
      </c>
      <c r="AP32" s="35">
        <f>Table11[[#This Row],[2024 '#Trees Inventory + Estimate]]*Table11[[#This Row],[Canada Allocation2017 %]]</f>
        <v>0</v>
      </c>
      <c r="AQ32" s="35">
        <f>Table11[[#This Row],['#Trees as of 2024/estimate-Can allocation]]+Table11[[#This Row],['#Trees as of 2024/estimate-Can allocation 2017]]</f>
        <v>0</v>
      </c>
      <c r="AR32" s="1" t="s">
        <v>152</v>
      </c>
      <c r="AS32" s="2"/>
      <c r="AT32" s="6">
        <f>IFERROR(Table11[[#This Row],['#Total Replacements]]/Table11[[#This Row],['#TreesContract]],"")</f>
        <v>0</v>
      </c>
      <c r="AU32" s="4">
        <f>IF(SUM(Table11[[#This Row],['#Replace 24]:['#Replace 16]])=0,0,SUM(Table11[[#This Row],['#Replace 24]:['#Replace 16]]))</f>
        <v>0</v>
      </c>
      <c r="AV32" s="2"/>
      <c r="AW32" s="2"/>
      <c r="AX32" s="3"/>
      <c r="AY32" s="2"/>
      <c r="AZ32" s="2"/>
      <c r="BA32" s="2"/>
      <c r="BB32" s="2"/>
      <c r="BC32" s="2"/>
      <c r="BD32" s="2"/>
      <c r="BE32" s="2"/>
      <c r="BF32" s="3">
        <v>1</v>
      </c>
      <c r="BG32" s="3"/>
      <c r="BH32" s="2"/>
      <c r="BI32" s="2"/>
      <c r="BJ32" s="2"/>
      <c r="BK32" s="139">
        <f>Table11[[#This Row],[Average MHT
(Feet)]]/16</f>
        <v>0</v>
      </c>
      <c r="BL32" s="2"/>
      <c r="BM32" s="139">
        <f>Table11[[#This Row],[Average DBH
(inches)]]/18</f>
        <v>0</v>
      </c>
      <c r="BN32" s="235">
        <f>((Table11[[#This Row],[Average DBH
(inches)]]-4)^2)*(Table11[[#This Row],[Average MHT
(Feet)]]/16)</f>
        <v>0</v>
      </c>
      <c r="BO32" s="235">
        <f>Table11[[#This Row],[Average BF]]*Table11[[#This Row],[2024 '#Trees Inventory + Estimate]]</f>
        <v>0</v>
      </c>
      <c r="BP32" s="240">
        <f>(Table11[[#This Row],[Harvest Year
(10 year)]]-Table11[[#This Row],[Year of Inventory]]+1)*(Table11[[#This Row],[Average DBH
(inches)]]/(Table11[[#This Row],[Harvest Year
(10 year)]]-Table11[[#This Row],[Year of Inventory]]+1))+Table11[[#This Row],[Average DBH
(inches)]]</f>
        <v>0</v>
      </c>
      <c r="BQ32" s="235">
        <f>((Table11[[#This Row],[Projected DBH
(Extrapolated Growth/Year)]]-4)^2)*(Table11[[#This Row],[Average MHT
(Feet)]]/16)</f>
        <v>0</v>
      </c>
      <c r="BR32" s="235">
        <f>Table11[[#This Row],[Projected Average BF]]*Table11[[#This Row],[2024 '#Trees Inventory + Estimate]]</f>
        <v>0</v>
      </c>
      <c r="BS32" s="235">
        <f>196*Table11[[#This Row],[2024 '#Trees Inventory + Estimate]]</f>
        <v>0</v>
      </c>
      <c r="BT32" s="235">
        <f>Table11[[#This Row],[ETP Offering Expected BF]]-Table11[[#This Row],[Projected Total BF]]</f>
        <v>0</v>
      </c>
      <c r="BU32" s="235">
        <f>(18-Table11[[#This Row],[Average DBH
(inches)]])/(D32-Table11[[#This Row],[Year of Inventory]]+1)</f>
        <v>18</v>
      </c>
    </row>
    <row r="33" spans="1:73" hidden="1" x14ac:dyDescent="0.25">
      <c r="A33" s="7" t="s">
        <v>262</v>
      </c>
      <c r="B33" s="2">
        <v>2016</v>
      </c>
      <c r="C33" s="2">
        <v>2017</v>
      </c>
      <c r="D33" s="2">
        <v>0</v>
      </c>
      <c r="E33" s="97" t="s">
        <v>263</v>
      </c>
      <c r="F33" s="161">
        <v>10018</v>
      </c>
      <c r="G33" t="s">
        <v>263</v>
      </c>
      <c r="H33" s="357"/>
      <c r="I33" t="s">
        <v>160</v>
      </c>
      <c r="J33" s="1"/>
      <c r="K33" s="1"/>
      <c r="L33" s="1"/>
      <c r="M33" s="1" t="s">
        <v>150</v>
      </c>
      <c r="Q33" s="2"/>
      <c r="R33" s="86"/>
      <c r="S33" s="2"/>
      <c r="T33" s="1">
        <v>200</v>
      </c>
      <c r="U33" s="1">
        <v>200</v>
      </c>
      <c r="V33" s="1" t="str">
        <f>IF(Table11[[#This Row],['#TreesContract]]-Table11[[#This Row],['#Planted]]=0,"",Table11[[#This Row],['#TreesContract]]-Table11[[#This Row],['#Planted]])</f>
        <v/>
      </c>
      <c r="W33" s="2"/>
      <c r="X33" s="34">
        <v>0.24</v>
      </c>
      <c r="Y33" s="163">
        <f>Table11[[#This Row],['#TreesContract]]*Table11[[#This Row],[USA Allocation %]]</f>
        <v>48</v>
      </c>
      <c r="Z33" s="163">
        <f>Table11[[#This Row],['#Planted]]*Table11[[#This Row],[USA Allocation %]]</f>
        <v>48</v>
      </c>
      <c r="AA33" s="34">
        <v>0.76</v>
      </c>
      <c r="AB33" s="163">
        <f>Table11[[#This Row],['#TreesContract]]*0.76</f>
        <v>152</v>
      </c>
      <c r="AC33" s="34"/>
      <c r="AD33" s="163"/>
      <c r="AE33" s="163">
        <f>Table11[[#This Row],[Canada Allocation-tree '#''s]]+Table11[[#This Row],[Can trees/Allocation 2017]]</f>
        <v>152</v>
      </c>
      <c r="AF33" s="5">
        <v>0</v>
      </c>
      <c r="AG33" s="35">
        <v>0</v>
      </c>
      <c r="AH33" s="35">
        <f>Table11[[#This Row],['#Trees as of 12/31/23]]*Table11[[#This Row],[USA Allocation %]]</f>
        <v>0</v>
      </c>
      <c r="AI33" s="404">
        <v>0</v>
      </c>
      <c r="AJ33" s="5">
        <v>0</v>
      </c>
      <c r="AK33" s="5">
        <v>0</v>
      </c>
      <c r="AL33" s="5">
        <v>0</v>
      </c>
      <c r="AM33" s="35">
        <f>AK33*Table11[[#This Row],['#TreesContract]]</f>
        <v>0</v>
      </c>
      <c r="AN33" s="35">
        <f>Table11[[#This Row],[2024 '#Trees Inventory + Estimate]]*Table11[[#This Row],[USA Allocation %]]</f>
        <v>0</v>
      </c>
      <c r="AO33" s="35">
        <f>Table11[[#This Row],[2024 '#Trees Inventory + Estimate]]*Table11[[#This Row],[Canada Allocation %]]</f>
        <v>0</v>
      </c>
      <c r="AP33" s="35">
        <f>Table11[[#This Row],[2024 '#Trees Inventory + Estimate]]*Table11[[#This Row],[Canada Allocation2017 %]]</f>
        <v>0</v>
      </c>
      <c r="AQ33" s="35">
        <f>Table11[[#This Row],['#Trees as of 2024/estimate-Can allocation]]+Table11[[#This Row],['#Trees as of 2024/estimate-Can allocation 2017]]</f>
        <v>0</v>
      </c>
      <c r="AR33" s="1" t="s">
        <v>152</v>
      </c>
      <c r="AS33" s="2"/>
      <c r="AT33" s="6">
        <f>IFERROR(Table11[[#This Row],['#Total Replacements]]/Table11[[#This Row],['#TreesContract]],"")</f>
        <v>0</v>
      </c>
      <c r="AU33" s="4">
        <f>IF(SUM(Table11[[#This Row],['#Replace 24]:['#Replace 16]])=0,0,SUM(Table11[[#This Row],['#Replace 24]:['#Replace 16]]))</f>
        <v>0</v>
      </c>
      <c r="AV33" s="2"/>
      <c r="AW33" s="2"/>
      <c r="AX33" s="3"/>
      <c r="AY33" s="2"/>
      <c r="AZ33" s="2"/>
      <c r="BA33" s="2"/>
      <c r="BB33" s="2"/>
      <c r="BC33" s="2"/>
      <c r="BD33" s="2"/>
      <c r="BE33" s="2"/>
      <c r="BF33" s="3">
        <v>1</v>
      </c>
      <c r="BG33" s="3"/>
      <c r="BH33" s="2"/>
      <c r="BI33" s="158"/>
      <c r="BJ33" s="158"/>
      <c r="BK33" s="139">
        <f>Table11[[#This Row],[Average MHT
(Feet)]]/16</f>
        <v>0</v>
      </c>
      <c r="BL33" s="2"/>
      <c r="BM33" s="139">
        <f>Table11[[#This Row],[Average DBH
(inches)]]/18</f>
        <v>0</v>
      </c>
      <c r="BN33" s="235">
        <f>((Table11[[#This Row],[Average DBH
(inches)]]-4)^2)*(Table11[[#This Row],[Average MHT
(Feet)]]/16)</f>
        <v>0</v>
      </c>
      <c r="BO33" s="235">
        <f>Table11[[#This Row],[Average BF]]*Table11[[#This Row],[2024 '#Trees Inventory + Estimate]]</f>
        <v>0</v>
      </c>
      <c r="BP33" s="240">
        <f>(Table11[[#This Row],[Harvest Year
(10 year)]]-Table11[[#This Row],[Year of Inventory]]+1)*(Table11[[#This Row],[Average DBH
(inches)]]/(Table11[[#This Row],[Harvest Year
(10 year)]]-Table11[[#This Row],[Year of Inventory]]+1))+Table11[[#This Row],[Average DBH
(inches)]]</f>
        <v>0</v>
      </c>
      <c r="BQ33" s="235">
        <f>((Table11[[#This Row],[Projected DBH
(Extrapolated Growth/Year)]]-4)^2)*(Table11[[#This Row],[Average MHT
(Feet)]]/16)</f>
        <v>0</v>
      </c>
      <c r="BR33" s="235">
        <f>Table11[[#This Row],[Projected Average BF]]*Table11[[#This Row],[2024 '#Trees Inventory + Estimate]]</f>
        <v>0</v>
      </c>
      <c r="BS33" s="235">
        <f>196*Table11[[#This Row],[2024 '#Trees Inventory + Estimate]]</f>
        <v>0</v>
      </c>
      <c r="BT33" s="235">
        <f>Table11[[#This Row],[ETP Offering Expected BF]]-Table11[[#This Row],[Projected Total BF]]</f>
        <v>0</v>
      </c>
      <c r="BU33" s="235">
        <f>(18-Table11[[#This Row],[Average DBH
(inches)]])/(D33-Table11[[#This Row],[Year of Inventory]]+1)</f>
        <v>18</v>
      </c>
    </row>
    <row r="34" spans="1:73" x14ac:dyDescent="0.25">
      <c r="A34" s="7" t="s">
        <v>264</v>
      </c>
      <c r="B34" s="2">
        <v>2016</v>
      </c>
      <c r="C34" s="2">
        <v>2017</v>
      </c>
      <c r="D34" s="2">
        <v>0</v>
      </c>
      <c r="E34" t="s">
        <v>265</v>
      </c>
      <c r="F34" s="161">
        <v>20005</v>
      </c>
      <c r="G34" t="s">
        <v>225</v>
      </c>
      <c r="H34" s="357"/>
      <c r="I34" t="s">
        <v>160</v>
      </c>
      <c r="J34" s="1"/>
      <c r="K34" s="1"/>
      <c r="L34" s="1"/>
      <c r="M34" s="1" t="s">
        <v>213</v>
      </c>
      <c r="Q34" s="2"/>
      <c r="R34" s="86"/>
      <c r="S34" s="2"/>
      <c r="T34" s="1">
        <v>1000</v>
      </c>
      <c r="U34" s="1">
        <v>1000</v>
      </c>
      <c r="V34" s="1" t="str">
        <f>IF(Table11[[#This Row],['#TreesContract]]-Table11[[#This Row],['#Planted]]=0,"",Table11[[#This Row],['#TreesContract]]-Table11[[#This Row],['#Planted]])</f>
        <v/>
      </c>
      <c r="W34" s="2"/>
      <c r="X34" s="34">
        <v>0.24</v>
      </c>
      <c r="Y34" s="163">
        <f>Table11[[#This Row],['#TreesContract]]*Table11[[#This Row],[USA Allocation %]]</f>
        <v>240</v>
      </c>
      <c r="Z34" s="163">
        <f>Table11[[#This Row],['#Planted]]*Table11[[#This Row],[USA Allocation %]]</f>
        <v>240</v>
      </c>
      <c r="AA34" s="34">
        <v>0.76</v>
      </c>
      <c r="AB34" s="163">
        <f>Table11[[#This Row],['#TreesContract]]*0.76</f>
        <v>760</v>
      </c>
      <c r="AC34" s="34"/>
      <c r="AD34" s="163"/>
      <c r="AE34" s="163">
        <f>Table11[[#This Row],[Canada Allocation-tree '#''s]]+Table11[[#This Row],[Can trees/Allocation 2017]]</f>
        <v>760</v>
      </c>
      <c r="AF34" s="5">
        <v>0</v>
      </c>
      <c r="AG34" s="35">
        <v>0</v>
      </c>
      <c r="AH34" s="35">
        <f>Table11[[#This Row],['#Trees as of 12/31/23]]*Table11[[#This Row],[USA Allocation %]]</f>
        <v>0</v>
      </c>
      <c r="AI34" s="404">
        <f>Table11[[#This Row],['#TreesContract]]*Table11[[#This Row],[2024 Inventory Survival%-master]]</f>
        <v>0</v>
      </c>
      <c r="AJ34" s="5">
        <v>0</v>
      </c>
      <c r="AK34" s="5">
        <v>0</v>
      </c>
      <c r="AL34" s="5">
        <v>0</v>
      </c>
      <c r="AM34" s="35">
        <f>AK34*Table11[[#This Row],['#TreesContract]]</f>
        <v>0</v>
      </c>
      <c r="AN34" s="35">
        <f>Table11[[#This Row],[2024 '#Trees Inventory + Estimate]]*Table11[[#This Row],[USA Allocation %]]</f>
        <v>0</v>
      </c>
      <c r="AO34" s="35">
        <f>Table11[[#This Row],[2024 '#Trees Inventory + Estimate]]*Table11[[#This Row],[Canada Allocation %]]</f>
        <v>0</v>
      </c>
      <c r="AP34" s="35">
        <f>Table11[[#This Row],[2024 '#Trees Inventory + Estimate]]*Table11[[#This Row],[Canada Allocation2017 %]]</f>
        <v>0</v>
      </c>
      <c r="AQ34" s="35">
        <f>Table11[[#This Row],['#Trees as of 2024/estimate-Can allocation]]+Table11[[#This Row],['#Trees as of 2024/estimate-Can allocation 2017]]</f>
        <v>0</v>
      </c>
      <c r="AR34" s="1" t="s">
        <v>214</v>
      </c>
      <c r="AS34" s="2"/>
      <c r="AT34" s="6">
        <f>IFERROR(Table11[[#This Row],['#Total Replacements]]/Table11[[#This Row],['#TreesContract]],"")</f>
        <v>0</v>
      </c>
      <c r="AU34" s="4">
        <f>IF(SUM(Table11[[#This Row],['#Replace 24]:['#Replace 16]])=0,0,SUM(Table11[[#This Row],['#Replace 24]:['#Replace 16]]))</f>
        <v>0</v>
      </c>
      <c r="AV34" s="2"/>
      <c r="AW34" s="2"/>
      <c r="AX34" s="3"/>
      <c r="AY34" s="2"/>
      <c r="AZ34" s="2">
        <v>0</v>
      </c>
      <c r="BA34" s="2"/>
      <c r="BB34" s="2"/>
      <c r="BC34" s="2"/>
      <c r="BD34" s="2"/>
      <c r="BE34" s="2"/>
      <c r="BF34" s="3">
        <v>1</v>
      </c>
      <c r="BG34" s="3"/>
      <c r="BH34" s="2"/>
      <c r="BI34" s="2"/>
      <c r="BJ34" s="2"/>
      <c r="BK34" s="139">
        <f>Table11[[#This Row],[Average MHT
(Feet)]]/16</f>
        <v>0</v>
      </c>
      <c r="BL34" s="2"/>
      <c r="BM34" s="139">
        <f>Table11[[#This Row],[Average DBH
(inches)]]/18</f>
        <v>0</v>
      </c>
      <c r="BN34" s="235">
        <f>((Table11[[#This Row],[Average DBH
(inches)]]-4)^2)*(Table11[[#This Row],[Average MHT
(Feet)]]/16)</f>
        <v>0</v>
      </c>
      <c r="BO34" s="235">
        <f>Table11[[#This Row],[Average BF]]*Table11[[#This Row],[2024 '#Trees Inventory + Estimate]]</f>
        <v>0</v>
      </c>
      <c r="BP34" s="240">
        <f>(Table11[[#This Row],[Harvest Year
(10 year)]]-Table11[[#This Row],[Year of Inventory]]+1)*(Table11[[#This Row],[Average DBH
(inches)]]/(Table11[[#This Row],[Harvest Year
(10 year)]]-Table11[[#This Row],[Year of Inventory]]+1))+Table11[[#This Row],[Average DBH
(inches)]]</f>
        <v>0</v>
      </c>
      <c r="BQ34" s="235">
        <f>((Table11[[#This Row],[Projected DBH
(Extrapolated Growth/Year)]]-4)^2)*(Table11[[#This Row],[Average MHT
(Feet)]]/16)</f>
        <v>0</v>
      </c>
      <c r="BR34" s="235">
        <f>Table11[[#This Row],[Projected Average BF]]*Table11[[#This Row],[2024 '#Trees Inventory + Estimate]]</f>
        <v>0</v>
      </c>
      <c r="BS34" s="235">
        <f>196*Table11[[#This Row],[2024 '#Trees Inventory + Estimate]]</f>
        <v>0</v>
      </c>
      <c r="BT34" s="235">
        <f>Table11[[#This Row],[ETP Offering Expected BF]]-Table11[[#This Row],[Projected Total BF]]</f>
        <v>0</v>
      </c>
      <c r="BU34" s="235">
        <f>(18-Table11[[#This Row],[Average DBH
(inches)]])/(D34-Table11[[#This Row],[Year of Inventory]]+1)</f>
        <v>18</v>
      </c>
    </row>
    <row r="35" spans="1:73" x14ac:dyDescent="0.25">
      <c r="A35" s="7" t="s">
        <v>266</v>
      </c>
      <c r="B35" s="2">
        <v>2016</v>
      </c>
      <c r="C35" s="2">
        <v>2017</v>
      </c>
      <c r="D35" s="2">
        <v>0</v>
      </c>
      <c r="E35" t="s">
        <v>267</v>
      </c>
      <c r="F35" s="161">
        <v>20008</v>
      </c>
      <c r="G35" t="s">
        <v>267</v>
      </c>
      <c r="H35" s="357"/>
      <c r="I35" t="s">
        <v>160</v>
      </c>
      <c r="J35" s="1"/>
      <c r="K35" s="1"/>
      <c r="L35" s="1"/>
      <c r="M35" s="1" t="s">
        <v>213</v>
      </c>
      <c r="Q35" s="2"/>
      <c r="R35" s="86"/>
      <c r="S35" s="2"/>
      <c r="T35" s="1">
        <v>1200</v>
      </c>
      <c r="U35" s="1">
        <v>1200</v>
      </c>
      <c r="V35" s="1" t="str">
        <f>IF(Table11[[#This Row],['#TreesContract]]-Table11[[#This Row],['#Planted]]=0,"",Table11[[#This Row],['#TreesContract]]-Table11[[#This Row],['#Planted]])</f>
        <v/>
      </c>
      <c r="W35" s="2"/>
      <c r="X35" s="34">
        <v>0.24</v>
      </c>
      <c r="Y35" s="163">
        <f>Table11[[#This Row],['#TreesContract]]*Table11[[#This Row],[USA Allocation %]]</f>
        <v>288</v>
      </c>
      <c r="Z35" s="163">
        <f>Table11[[#This Row],['#Planted]]*Table11[[#This Row],[USA Allocation %]]</f>
        <v>288</v>
      </c>
      <c r="AA35" s="34">
        <v>0.76</v>
      </c>
      <c r="AB35" s="163">
        <f>Table11[[#This Row],['#TreesContract]]*0.76</f>
        <v>912</v>
      </c>
      <c r="AC35" s="34"/>
      <c r="AD35" s="163"/>
      <c r="AE35" s="163">
        <f>Table11[[#This Row],[Canada Allocation-tree '#''s]]+Table11[[#This Row],[Can trees/Allocation 2017]]</f>
        <v>912</v>
      </c>
      <c r="AF35" s="5">
        <v>0</v>
      </c>
      <c r="AG35" s="35">
        <v>0</v>
      </c>
      <c r="AH35" s="35">
        <f>Table11[[#This Row],['#Trees as of 12/31/23]]*Table11[[#This Row],[USA Allocation %]]</f>
        <v>0</v>
      </c>
      <c r="AI35" s="404">
        <f>Table11[[#This Row],['#TreesContract]]*Table11[[#This Row],[2024 Inventory Survival%-master]]</f>
        <v>0</v>
      </c>
      <c r="AJ35" s="5">
        <v>0</v>
      </c>
      <c r="AK35" s="5">
        <v>0</v>
      </c>
      <c r="AL35" s="5">
        <v>0</v>
      </c>
      <c r="AM35" s="35">
        <f>AK35*Table11[[#This Row],['#TreesContract]]</f>
        <v>0</v>
      </c>
      <c r="AN35" s="35">
        <f>Table11[[#This Row],[2024 '#Trees Inventory + Estimate]]*Table11[[#This Row],[USA Allocation %]]</f>
        <v>0</v>
      </c>
      <c r="AO35" s="35">
        <f>Table11[[#This Row],[2024 '#Trees Inventory + Estimate]]*Table11[[#This Row],[Canada Allocation %]]</f>
        <v>0</v>
      </c>
      <c r="AP35" s="35">
        <f>Table11[[#This Row],[2024 '#Trees Inventory + Estimate]]*Table11[[#This Row],[Canada Allocation2017 %]]</f>
        <v>0</v>
      </c>
      <c r="AQ35" s="35">
        <f>Table11[[#This Row],['#Trees as of 2024/estimate-Can allocation]]+Table11[[#This Row],['#Trees as of 2024/estimate-Can allocation 2017]]</f>
        <v>0</v>
      </c>
      <c r="AR35" s="1" t="s">
        <v>214</v>
      </c>
      <c r="AS35" s="2"/>
      <c r="AT35" s="6">
        <f>IFERROR(Table11[[#This Row],['#Total Replacements]]/Table11[[#This Row],['#TreesContract]],"")</f>
        <v>0</v>
      </c>
      <c r="AU35" s="4">
        <f>IF(SUM(Table11[[#This Row],['#Replace 24]:['#Replace 16]])=0,0,SUM(Table11[[#This Row],['#Replace 24]:['#Replace 16]]))</f>
        <v>0</v>
      </c>
      <c r="AV35" s="2"/>
      <c r="AW35" s="2"/>
      <c r="AX35" s="3"/>
      <c r="AY35" s="2"/>
      <c r="AZ35" s="2"/>
      <c r="BA35" s="2"/>
      <c r="BB35" s="2"/>
      <c r="BC35" s="2"/>
      <c r="BD35" s="2"/>
      <c r="BE35" s="2"/>
      <c r="BF35" s="3">
        <v>1</v>
      </c>
      <c r="BG35" s="3">
        <v>1</v>
      </c>
      <c r="BH35" s="2"/>
      <c r="BI35" s="158"/>
      <c r="BJ35" s="158"/>
      <c r="BK35" s="139">
        <f>Table11[[#This Row],[Average MHT
(Feet)]]/16</f>
        <v>0</v>
      </c>
      <c r="BL35" s="2"/>
      <c r="BM35" s="139">
        <f>Table11[[#This Row],[Average DBH
(inches)]]/18</f>
        <v>0</v>
      </c>
      <c r="BN35" s="235">
        <f>((Table11[[#This Row],[Average DBH
(inches)]]-4)^2)*(Table11[[#This Row],[Average MHT
(Feet)]]/16)</f>
        <v>0</v>
      </c>
      <c r="BO35" s="235">
        <f>Table11[[#This Row],[Average BF]]*Table11[[#This Row],[2024 '#Trees Inventory + Estimate]]</f>
        <v>0</v>
      </c>
      <c r="BP35" s="240">
        <f>(Table11[[#This Row],[Harvest Year
(10 year)]]-Table11[[#This Row],[Year of Inventory]]+1)*(Table11[[#This Row],[Average DBH
(inches)]]/(Table11[[#This Row],[Harvest Year
(10 year)]]-Table11[[#This Row],[Year of Inventory]]+1))+Table11[[#This Row],[Average DBH
(inches)]]</f>
        <v>0</v>
      </c>
      <c r="BQ35" s="235">
        <f>((Table11[[#This Row],[Projected DBH
(Extrapolated Growth/Year)]]-4)^2)*(Table11[[#This Row],[Average MHT
(Feet)]]/16)</f>
        <v>0</v>
      </c>
      <c r="BR35" s="235">
        <f>Table11[[#This Row],[Projected Average BF]]*Table11[[#This Row],[2024 '#Trees Inventory + Estimate]]</f>
        <v>0</v>
      </c>
      <c r="BS35" s="235">
        <f>196*Table11[[#This Row],[2024 '#Trees Inventory + Estimate]]</f>
        <v>0</v>
      </c>
      <c r="BT35" s="235">
        <f>Table11[[#This Row],[ETP Offering Expected BF]]-Table11[[#This Row],[Projected Total BF]]</f>
        <v>0</v>
      </c>
      <c r="BU35" s="235">
        <f>(18-Table11[[#This Row],[Average DBH
(inches)]])/(D35-Table11[[#This Row],[Year of Inventory]]+1)</f>
        <v>18</v>
      </c>
    </row>
    <row r="36" spans="1:73" x14ac:dyDescent="0.25">
      <c r="A36" s="7" t="s">
        <v>268</v>
      </c>
      <c r="B36" s="2">
        <v>2016</v>
      </c>
      <c r="C36" s="2">
        <v>2017</v>
      </c>
      <c r="D36" s="2">
        <v>0</v>
      </c>
      <c r="E36" t="s">
        <v>269</v>
      </c>
      <c r="F36" s="161">
        <v>20009</v>
      </c>
      <c r="G36" t="s">
        <v>270</v>
      </c>
      <c r="H36" s="357"/>
      <c r="I36" t="s">
        <v>160</v>
      </c>
      <c r="J36" s="1"/>
      <c r="K36" s="1"/>
      <c r="L36" s="1"/>
      <c r="M36" s="1" t="s">
        <v>213</v>
      </c>
      <c r="Q36" s="2"/>
      <c r="R36" s="86"/>
      <c r="S36" s="2"/>
      <c r="T36" s="1">
        <v>500</v>
      </c>
      <c r="U36" s="1">
        <v>500</v>
      </c>
      <c r="V36" s="1" t="str">
        <f>IF(Table11[[#This Row],['#TreesContract]]-Table11[[#This Row],['#Planted]]=0,"",Table11[[#This Row],['#TreesContract]]-Table11[[#This Row],['#Planted]])</f>
        <v/>
      </c>
      <c r="W36" s="2"/>
      <c r="X36" s="34">
        <v>0.24</v>
      </c>
      <c r="Y36" s="163">
        <f>Table11[[#This Row],['#TreesContract]]*Table11[[#This Row],[USA Allocation %]]</f>
        <v>120</v>
      </c>
      <c r="Z36" s="163">
        <f>Table11[[#This Row],['#Planted]]*Table11[[#This Row],[USA Allocation %]]</f>
        <v>120</v>
      </c>
      <c r="AA36" s="34">
        <v>0.76</v>
      </c>
      <c r="AB36" s="163">
        <f>Table11[[#This Row],['#TreesContract]]*0.76</f>
        <v>380</v>
      </c>
      <c r="AC36" s="34"/>
      <c r="AD36" s="163"/>
      <c r="AE36" s="163">
        <f>Table11[[#This Row],[Canada Allocation-tree '#''s]]+Table11[[#This Row],[Can trees/Allocation 2017]]</f>
        <v>380</v>
      </c>
      <c r="AF36" s="5">
        <v>0</v>
      </c>
      <c r="AG36" s="35">
        <v>0</v>
      </c>
      <c r="AH36" s="35">
        <f>Table11[[#This Row],['#Trees as of 12/31/23]]*Table11[[#This Row],[USA Allocation %]]</f>
        <v>0</v>
      </c>
      <c r="AI36" s="404">
        <f>Table11[[#This Row],['#TreesContract]]*Table11[[#This Row],[2024 Inventory Survival%-master]]</f>
        <v>0</v>
      </c>
      <c r="AJ36" s="5">
        <v>0</v>
      </c>
      <c r="AK36" s="5">
        <v>0</v>
      </c>
      <c r="AL36" s="5">
        <v>0</v>
      </c>
      <c r="AM36" s="35">
        <f>AK36*Table11[[#This Row],['#TreesContract]]</f>
        <v>0</v>
      </c>
      <c r="AN36" s="35">
        <f>Table11[[#This Row],[2024 '#Trees Inventory + Estimate]]*Table11[[#This Row],[USA Allocation %]]</f>
        <v>0</v>
      </c>
      <c r="AO36" s="35">
        <f>Table11[[#This Row],[2024 '#Trees Inventory + Estimate]]*Table11[[#This Row],[Canada Allocation %]]</f>
        <v>0</v>
      </c>
      <c r="AP36" s="35">
        <f>Table11[[#This Row],[2024 '#Trees Inventory + Estimate]]*Table11[[#This Row],[Canada Allocation2017 %]]</f>
        <v>0</v>
      </c>
      <c r="AQ36" s="35">
        <f>Table11[[#This Row],['#Trees as of 2024/estimate-Can allocation]]+Table11[[#This Row],['#Trees as of 2024/estimate-Can allocation 2017]]</f>
        <v>0</v>
      </c>
      <c r="AR36" s="1" t="s">
        <v>214</v>
      </c>
      <c r="AS36" s="2"/>
      <c r="AT36" s="6">
        <f>IFERROR(Table11[[#This Row],['#Total Replacements]]/Table11[[#This Row],['#TreesContract]],"")</f>
        <v>0</v>
      </c>
      <c r="AU36" s="4">
        <f>IF(SUM(Table11[[#This Row],['#Replace 24]:['#Replace 16]])=0,0,SUM(Table11[[#This Row],['#Replace 24]:['#Replace 16]]))</f>
        <v>0</v>
      </c>
      <c r="AV36" s="2"/>
      <c r="AW36" s="2"/>
      <c r="AX36" s="3"/>
      <c r="AY36" s="2"/>
      <c r="AZ36" s="2"/>
      <c r="BA36" s="2"/>
      <c r="BB36" s="2"/>
      <c r="BC36" s="2"/>
      <c r="BD36" s="2"/>
      <c r="BE36" s="2"/>
      <c r="BF36" s="3">
        <v>1</v>
      </c>
      <c r="BG36" s="3"/>
      <c r="BH36" s="2"/>
      <c r="BI36" s="2"/>
      <c r="BJ36" s="2"/>
      <c r="BK36" s="139">
        <f>Table11[[#This Row],[Average MHT
(Feet)]]/16</f>
        <v>0</v>
      </c>
      <c r="BL36" s="2"/>
      <c r="BM36" s="139">
        <f>Table11[[#This Row],[Average DBH
(inches)]]/18</f>
        <v>0</v>
      </c>
      <c r="BN36" s="235">
        <f>((Table11[[#This Row],[Average DBH
(inches)]]-4)^2)*(Table11[[#This Row],[Average MHT
(Feet)]]/16)</f>
        <v>0</v>
      </c>
      <c r="BO36" s="235">
        <f>Table11[[#This Row],[Average BF]]*Table11[[#This Row],[2024 '#Trees Inventory + Estimate]]</f>
        <v>0</v>
      </c>
      <c r="BP36" s="240">
        <f>(Table11[[#This Row],[Harvest Year
(10 year)]]-Table11[[#This Row],[Year of Inventory]]+1)*(Table11[[#This Row],[Average DBH
(inches)]]/(Table11[[#This Row],[Harvest Year
(10 year)]]-Table11[[#This Row],[Year of Inventory]]+1))+Table11[[#This Row],[Average DBH
(inches)]]</f>
        <v>0</v>
      </c>
      <c r="BQ36" s="235">
        <f>((Table11[[#This Row],[Projected DBH
(Extrapolated Growth/Year)]]-4)^2)*(Table11[[#This Row],[Average MHT
(Feet)]]/16)</f>
        <v>0</v>
      </c>
      <c r="BR36" s="235">
        <f>Table11[[#This Row],[Projected Average BF]]*Table11[[#This Row],[2024 '#Trees Inventory + Estimate]]</f>
        <v>0</v>
      </c>
      <c r="BS36" s="235">
        <f>196*Table11[[#This Row],[2024 '#Trees Inventory + Estimate]]</f>
        <v>0</v>
      </c>
      <c r="BT36" s="235">
        <f>Table11[[#This Row],[ETP Offering Expected BF]]-Table11[[#This Row],[Projected Total BF]]</f>
        <v>0</v>
      </c>
      <c r="BU36" s="235">
        <f>(18-Table11[[#This Row],[Average DBH
(inches)]])/(D36-Table11[[#This Row],[Year of Inventory]]+1)</f>
        <v>18</v>
      </c>
    </row>
    <row r="37" spans="1:73" x14ac:dyDescent="0.25">
      <c r="A37" s="7" t="s">
        <v>271</v>
      </c>
      <c r="B37" s="2">
        <v>2016</v>
      </c>
      <c r="C37" s="2">
        <v>2017</v>
      </c>
      <c r="D37" s="2">
        <v>0</v>
      </c>
      <c r="E37" t="s">
        <v>272</v>
      </c>
      <c r="F37" s="161">
        <v>20010</v>
      </c>
      <c r="G37" t="s">
        <v>272</v>
      </c>
      <c r="H37" s="357"/>
      <c r="I37" t="s">
        <v>160</v>
      </c>
      <c r="J37" s="1"/>
      <c r="K37" s="1"/>
      <c r="L37" s="1"/>
      <c r="M37" s="1" t="s">
        <v>213</v>
      </c>
      <c r="Q37" s="2"/>
      <c r="R37" s="86"/>
      <c r="S37" s="2"/>
      <c r="T37" s="1">
        <v>500</v>
      </c>
      <c r="U37" s="1">
        <v>500</v>
      </c>
      <c r="V37" s="1" t="str">
        <f>IF(Table11[[#This Row],['#TreesContract]]-Table11[[#This Row],['#Planted]]=0,"",Table11[[#This Row],['#TreesContract]]-Table11[[#This Row],['#Planted]])</f>
        <v/>
      </c>
      <c r="W37" s="2"/>
      <c r="X37" s="34">
        <v>0.24</v>
      </c>
      <c r="Y37" s="163">
        <f>Table11[[#This Row],['#TreesContract]]*Table11[[#This Row],[USA Allocation %]]</f>
        <v>120</v>
      </c>
      <c r="Z37" s="163">
        <f>Table11[[#This Row],['#Planted]]*Table11[[#This Row],[USA Allocation %]]</f>
        <v>120</v>
      </c>
      <c r="AA37" s="34">
        <v>0.76</v>
      </c>
      <c r="AB37" s="163">
        <f>Table11[[#This Row],['#TreesContract]]*0.76</f>
        <v>380</v>
      </c>
      <c r="AC37" s="34"/>
      <c r="AD37" s="163"/>
      <c r="AE37" s="163">
        <f>Table11[[#This Row],[Canada Allocation-tree '#''s]]+Table11[[#This Row],[Can trees/Allocation 2017]]</f>
        <v>380</v>
      </c>
      <c r="AF37" s="5">
        <v>0</v>
      </c>
      <c r="AG37" s="35">
        <v>0</v>
      </c>
      <c r="AH37" s="35">
        <f>Table11[[#This Row],['#Trees as of 12/31/23]]*Table11[[#This Row],[USA Allocation %]]</f>
        <v>0</v>
      </c>
      <c r="AI37" s="404">
        <f>Table11[[#This Row],['#TreesContract]]*Table11[[#This Row],[2024 Inventory Survival%-master]]</f>
        <v>0</v>
      </c>
      <c r="AJ37" s="5">
        <v>0</v>
      </c>
      <c r="AK37" s="5">
        <v>0</v>
      </c>
      <c r="AL37" s="5">
        <v>0</v>
      </c>
      <c r="AM37" s="35">
        <f>AK37*Table11[[#This Row],['#TreesContract]]</f>
        <v>0</v>
      </c>
      <c r="AN37" s="35">
        <f>Table11[[#This Row],[2024 '#Trees Inventory + Estimate]]*Table11[[#This Row],[USA Allocation %]]</f>
        <v>0</v>
      </c>
      <c r="AO37" s="35">
        <f>Table11[[#This Row],[2024 '#Trees Inventory + Estimate]]*Table11[[#This Row],[Canada Allocation %]]</f>
        <v>0</v>
      </c>
      <c r="AP37" s="35">
        <f>Table11[[#This Row],[2024 '#Trees Inventory + Estimate]]*Table11[[#This Row],[Canada Allocation2017 %]]</f>
        <v>0</v>
      </c>
      <c r="AQ37" s="35">
        <f>Table11[[#This Row],['#Trees as of 2024/estimate-Can allocation]]+Table11[[#This Row],['#Trees as of 2024/estimate-Can allocation 2017]]</f>
        <v>0</v>
      </c>
      <c r="AR37" s="1" t="s">
        <v>214</v>
      </c>
      <c r="AS37" s="2"/>
      <c r="AT37" s="6">
        <f>IFERROR(Table11[[#This Row],['#Total Replacements]]/Table11[[#This Row],['#TreesContract]],"")</f>
        <v>0</v>
      </c>
      <c r="AU37" s="4">
        <f>IF(SUM(Table11[[#This Row],['#Replace 24]:['#Replace 16]])=0,0,SUM(Table11[[#This Row],['#Replace 24]:['#Replace 16]]))</f>
        <v>0</v>
      </c>
      <c r="AV37" s="2"/>
      <c r="AW37" s="2"/>
      <c r="AX37" s="3"/>
      <c r="AY37" s="2"/>
      <c r="AZ37" s="2"/>
      <c r="BA37" s="2"/>
      <c r="BB37" s="2"/>
      <c r="BC37" s="2"/>
      <c r="BD37" s="2"/>
      <c r="BE37" s="2"/>
      <c r="BF37" s="3">
        <v>1</v>
      </c>
      <c r="BG37" s="3"/>
      <c r="BH37" s="2"/>
      <c r="BI37" s="158"/>
      <c r="BJ37" s="158"/>
      <c r="BK37" s="139">
        <f>Table11[[#This Row],[Average MHT
(Feet)]]/16</f>
        <v>0</v>
      </c>
      <c r="BL37" s="2"/>
      <c r="BM37" s="139">
        <f>Table11[[#This Row],[Average DBH
(inches)]]/18</f>
        <v>0</v>
      </c>
      <c r="BN37" s="235">
        <f>((Table11[[#This Row],[Average DBH
(inches)]]-4)^2)*(Table11[[#This Row],[Average MHT
(Feet)]]/16)</f>
        <v>0</v>
      </c>
      <c r="BO37" s="235">
        <f>Table11[[#This Row],[Average BF]]*Table11[[#This Row],[2024 '#Trees Inventory + Estimate]]</f>
        <v>0</v>
      </c>
      <c r="BP37" s="240">
        <f>(Table11[[#This Row],[Harvest Year
(10 year)]]-Table11[[#This Row],[Year of Inventory]]+1)*(Table11[[#This Row],[Average DBH
(inches)]]/(Table11[[#This Row],[Harvest Year
(10 year)]]-Table11[[#This Row],[Year of Inventory]]+1))+Table11[[#This Row],[Average DBH
(inches)]]</f>
        <v>0</v>
      </c>
      <c r="BQ37" s="235">
        <f>((Table11[[#This Row],[Projected DBH
(Extrapolated Growth/Year)]]-4)^2)*(Table11[[#This Row],[Average MHT
(Feet)]]/16)</f>
        <v>0</v>
      </c>
      <c r="BR37" s="235">
        <f>Table11[[#This Row],[Projected Average BF]]*Table11[[#This Row],[2024 '#Trees Inventory + Estimate]]</f>
        <v>0</v>
      </c>
      <c r="BS37" s="235">
        <f>196*Table11[[#This Row],[2024 '#Trees Inventory + Estimate]]</f>
        <v>0</v>
      </c>
      <c r="BT37" s="235">
        <f>Table11[[#This Row],[ETP Offering Expected BF]]-Table11[[#This Row],[Projected Total BF]]</f>
        <v>0</v>
      </c>
      <c r="BU37" s="235">
        <f>(18-Table11[[#This Row],[Average DBH
(inches)]])/(D37-Table11[[#This Row],[Year of Inventory]]+1)</f>
        <v>18</v>
      </c>
    </row>
    <row r="38" spans="1:73" x14ac:dyDescent="0.25">
      <c r="A38" s="7" t="s">
        <v>273</v>
      </c>
      <c r="B38" s="2">
        <v>2016</v>
      </c>
      <c r="C38" s="2">
        <v>2017</v>
      </c>
      <c r="D38" s="2">
        <v>0</v>
      </c>
      <c r="E38" t="s">
        <v>274</v>
      </c>
      <c r="F38" s="161">
        <v>20011</v>
      </c>
      <c r="G38" t="s">
        <v>274</v>
      </c>
      <c r="H38" s="357"/>
      <c r="I38" t="s">
        <v>160</v>
      </c>
      <c r="J38" s="1"/>
      <c r="K38" s="1"/>
      <c r="L38" s="1"/>
      <c r="M38" s="1" t="s">
        <v>213</v>
      </c>
      <c r="Q38" s="2"/>
      <c r="R38" s="86"/>
      <c r="S38" s="2"/>
      <c r="T38" s="1">
        <v>13000</v>
      </c>
      <c r="U38" s="1">
        <v>13000</v>
      </c>
      <c r="V38" s="1" t="str">
        <f>IF(Table11[[#This Row],['#TreesContract]]-Table11[[#This Row],['#Planted]]=0,"",Table11[[#This Row],['#TreesContract]]-Table11[[#This Row],['#Planted]])</f>
        <v/>
      </c>
      <c r="W38" s="2"/>
      <c r="X38" s="34">
        <v>0.24</v>
      </c>
      <c r="Y38" s="163">
        <f>Table11[[#This Row],['#TreesContract]]*Table11[[#This Row],[USA Allocation %]]</f>
        <v>3120</v>
      </c>
      <c r="Z38" s="163">
        <f>Table11[[#This Row],['#Planted]]*Table11[[#This Row],[USA Allocation %]]</f>
        <v>3120</v>
      </c>
      <c r="AA38" s="34">
        <v>0.76</v>
      </c>
      <c r="AB38" s="163">
        <f>Table11[[#This Row],['#TreesContract]]*0.76</f>
        <v>9880</v>
      </c>
      <c r="AC38" s="34"/>
      <c r="AD38" s="163"/>
      <c r="AE38" s="163">
        <f>Table11[[#This Row],[Canada Allocation-tree '#''s]]+Table11[[#This Row],[Can trees/Allocation 2017]]</f>
        <v>9880</v>
      </c>
      <c r="AF38" s="5">
        <v>0</v>
      </c>
      <c r="AG38" s="35">
        <v>0</v>
      </c>
      <c r="AH38" s="35">
        <f>Table11[[#This Row],['#Trees as of 12/31/23]]*Table11[[#This Row],[USA Allocation %]]</f>
        <v>0</v>
      </c>
      <c r="AI38" s="404">
        <f>Table11[[#This Row],['#TreesContract]]*Table11[[#This Row],[2024 Inventory Survival%-master]]</f>
        <v>0</v>
      </c>
      <c r="AJ38" s="5">
        <v>0</v>
      </c>
      <c r="AK38" s="5">
        <v>0</v>
      </c>
      <c r="AL38" s="5">
        <v>0</v>
      </c>
      <c r="AM38" s="35">
        <f>AK38*Table11[[#This Row],['#TreesContract]]</f>
        <v>0</v>
      </c>
      <c r="AN38" s="35">
        <f>Table11[[#This Row],[2024 '#Trees Inventory + Estimate]]*Table11[[#This Row],[USA Allocation %]]</f>
        <v>0</v>
      </c>
      <c r="AO38" s="35">
        <f>Table11[[#This Row],[2024 '#Trees Inventory + Estimate]]*Table11[[#This Row],[Canada Allocation %]]</f>
        <v>0</v>
      </c>
      <c r="AP38" s="35">
        <f>Table11[[#This Row],[2024 '#Trees Inventory + Estimate]]*Table11[[#This Row],[Canada Allocation2017 %]]</f>
        <v>0</v>
      </c>
      <c r="AQ38" s="35">
        <f>Table11[[#This Row],['#Trees as of 2024/estimate-Can allocation]]+Table11[[#This Row],['#Trees as of 2024/estimate-Can allocation 2017]]</f>
        <v>0</v>
      </c>
      <c r="AR38" s="1" t="s">
        <v>214</v>
      </c>
      <c r="AS38" s="2"/>
      <c r="AT38" s="6">
        <f>IFERROR(Table11[[#This Row],['#Total Replacements]]/Table11[[#This Row],['#TreesContract]],"")</f>
        <v>0</v>
      </c>
      <c r="AU38" s="4">
        <f>IF(SUM(Table11[[#This Row],['#Replace 24]:['#Replace 16]])=0,0,SUM(Table11[[#This Row],['#Replace 24]:['#Replace 16]]))</f>
        <v>0</v>
      </c>
      <c r="AV38" s="2"/>
      <c r="AW38" s="2"/>
      <c r="AX38" s="3"/>
      <c r="AY38" s="2"/>
      <c r="AZ38" s="2"/>
      <c r="BA38" s="2"/>
      <c r="BB38" s="2"/>
      <c r="BC38" s="2"/>
      <c r="BD38" s="2"/>
      <c r="BE38" s="2"/>
      <c r="BF38" s="3">
        <v>1</v>
      </c>
      <c r="BG38" s="3">
        <v>1</v>
      </c>
      <c r="BH38" s="2"/>
      <c r="BI38" s="2"/>
      <c r="BJ38" s="2"/>
      <c r="BK38" s="139">
        <f>Table11[[#This Row],[Average MHT
(Feet)]]/16</f>
        <v>0</v>
      </c>
      <c r="BL38" s="2"/>
      <c r="BM38" s="139">
        <f>Table11[[#This Row],[Average DBH
(inches)]]/18</f>
        <v>0</v>
      </c>
      <c r="BN38" s="235">
        <f>((Table11[[#This Row],[Average DBH
(inches)]]-4)^2)*(Table11[[#This Row],[Average MHT
(Feet)]]/16)</f>
        <v>0</v>
      </c>
      <c r="BO38" s="235">
        <f>Table11[[#This Row],[Average BF]]*Table11[[#This Row],[2024 '#Trees Inventory + Estimate]]</f>
        <v>0</v>
      </c>
      <c r="BP38" s="240">
        <f>(Table11[[#This Row],[Harvest Year
(10 year)]]-Table11[[#This Row],[Year of Inventory]]+1)*(Table11[[#This Row],[Average DBH
(inches)]]/(Table11[[#This Row],[Harvest Year
(10 year)]]-Table11[[#This Row],[Year of Inventory]]+1))+Table11[[#This Row],[Average DBH
(inches)]]</f>
        <v>0</v>
      </c>
      <c r="BQ38" s="235">
        <f>((Table11[[#This Row],[Projected DBH
(Extrapolated Growth/Year)]]-4)^2)*(Table11[[#This Row],[Average MHT
(Feet)]]/16)</f>
        <v>0</v>
      </c>
      <c r="BR38" s="235">
        <f>Table11[[#This Row],[Projected Average BF]]*Table11[[#This Row],[2024 '#Trees Inventory + Estimate]]</f>
        <v>0</v>
      </c>
      <c r="BS38" s="235">
        <f>196*Table11[[#This Row],[2024 '#Trees Inventory + Estimate]]</f>
        <v>0</v>
      </c>
      <c r="BT38" s="235">
        <f>Table11[[#This Row],[ETP Offering Expected BF]]-Table11[[#This Row],[Projected Total BF]]</f>
        <v>0</v>
      </c>
      <c r="BU38" s="235">
        <f>(18-Table11[[#This Row],[Average DBH
(inches)]])/(D38-Table11[[#This Row],[Year of Inventory]]+1)</f>
        <v>18</v>
      </c>
    </row>
    <row r="39" spans="1:73" x14ac:dyDescent="0.25">
      <c r="A39" s="7" t="s">
        <v>275</v>
      </c>
      <c r="B39" s="2">
        <v>2016</v>
      </c>
      <c r="C39" s="2">
        <v>2017</v>
      </c>
      <c r="D39" s="2">
        <v>0</v>
      </c>
      <c r="E39" t="s">
        <v>276</v>
      </c>
      <c r="F39" s="161">
        <v>20012</v>
      </c>
      <c r="G39" t="s">
        <v>277</v>
      </c>
      <c r="H39" s="357"/>
      <c r="I39" t="s">
        <v>160</v>
      </c>
      <c r="J39" s="1"/>
      <c r="K39" s="1"/>
      <c r="L39" s="1"/>
      <c r="M39" s="1" t="s">
        <v>213</v>
      </c>
      <c r="Q39" s="2"/>
      <c r="R39" s="86"/>
      <c r="S39" s="2"/>
      <c r="T39" s="1">
        <v>2000</v>
      </c>
      <c r="U39" s="1">
        <v>2000</v>
      </c>
      <c r="V39" s="1" t="str">
        <f>IF(Table11[[#This Row],['#TreesContract]]-Table11[[#This Row],['#Planted]]=0,"",Table11[[#This Row],['#TreesContract]]-Table11[[#This Row],['#Planted]])</f>
        <v/>
      </c>
      <c r="W39" s="2"/>
      <c r="X39" s="34">
        <v>0.24</v>
      </c>
      <c r="Y39" s="163">
        <f>Table11[[#This Row],['#TreesContract]]*Table11[[#This Row],[USA Allocation %]]</f>
        <v>480</v>
      </c>
      <c r="Z39" s="163">
        <f>Table11[[#This Row],['#Planted]]*Table11[[#This Row],[USA Allocation %]]</f>
        <v>480</v>
      </c>
      <c r="AA39" s="34">
        <v>0.76</v>
      </c>
      <c r="AB39" s="163">
        <f>Table11[[#This Row],['#TreesContract]]*0.76</f>
        <v>1520</v>
      </c>
      <c r="AC39" s="34"/>
      <c r="AD39" s="163"/>
      <c r="AE39" s="163">
        <f>Table11[[#This Row],[Canada Allocation-tree '#''s]]+Table11[[#This Row],[Can trees/Allocation 2017]]</f>
        <v>1520</v>
      </c>
      <c r="AF39" s="5">
        <v>0</v>
      </c>
      <c r="AG39" s="35">
        <v>0</v>
      </c>
      <c r="AH39" s="35">
        <f>Table11[[#This Row],['#Trees as of 12/31/23]]*Table11[[#This Row],[USA Allocation %]]</f>
        <v>0</v>
      </c>
      <c r="AI39" s="404">
        <f>Table11[[#This Row],['#TreesContract]]*Table11[[#This Row],[2024 Inventory Survival%-master]]</f>
        <v>0</v>
      </c>
      <c r="AJ39" s="5">
        <v>0</v>
      </c>
      <c r="AK39" s="5">
        <v>0</v>
      </c>
      <c r="AL39" s="5">
        <v>0</v>
      </c>
      <c r="AM39" s="35">
        <f>AK39*Table11[[#This Row],['#TreesContract]]</f>
        <v>0</v>
      </c>
      <c r="AN39" s="35">
        <f>Table11[[#This Row],[2024 '#Trees Inventory + Estimate]]*Table11[[#This Row],[USA Allocation %]]</f>
        <v>0</v>
      </c>
      <c r="AO39" s="35">
        <f>Table11[[#This Row],[2024 '#Trees Inventory + Estimate]]*Table11[[#This Row],[Canada Allocation %]]</f>
        <v>0</v>
      </c>
      <c r="AP39" s="35">
        <f>Table11[[#This Row],[2024 '#Trees Inventory + Estimate]]*Table11[[#This Row],[Canada Allocation2017 %]]</f>
        <v>0</v>
      </c>
      <c r="AQ39" s="35">
        <f>Table11[[#This Row],['#Trees as of 2024/estimate-Can allocation]]+Table11[[#This Row],['#Trees as of 2024/estimate-Can allocation 2017]]</f>
        <v>0</v>
      </c>
      <c r="AR39" s="1" t="s">
        <v>214</v>
      </c>
      <c r="AS39" s="2"/>
      <c r="AT39" s="6">
        <f>IFERROR(Table11[[#This Row],['#Total Replacements]]/Table11[[#This Row],['#TreesContract]],"")</f>
        <v>0</v>
      </c>
      <c r="AU39" s="4">
        <f>IF(SUM(Table11[[#This Row],['#Replace 24]:['#Replace 16]])=0,0,SUM(Table11[[#This Row],['#Replace 24]:['#Replace 16]]))</f>
        <v>0</v>
      </c>
      <c r="AV39" s="2"/>
      <c r="AW39" s="2"/>
      <c r="AX39" s="3"/>
      <c r="AY39" s="2"/>
      <c r="AZ39" s="2"/>
      <c r="BA39" s="2"/>
      <c r="BB39" s="2"/>
      <c r="BC39" s="2"/>
      <c r="BD39" s="2"/>
      <c r="BE39" s="2"/>
      <c r="BF39" s="3">
        <v>1</v>
      </c>
      <c r="BG39" s="3"/>
      <c r="BH39" s="2"/>
      <c r="BI39" s="158"/>
      <c r="BJ39" s="158"/>
      <c r="BK39" s="139">
        <f>Table11[[#This Row],[Average MHT
(Feet)]]/16</f>
        <v>0</v>
      </c>
      <c r="BL39" s="2"/>
      <c r="BM39" s="139">
        <f>Table11[[#This Row],[Average DBH
(inches)]]/18</f>
        <v>0</v>
      </c>
      <c r="BN39" s="235">
        <f>((Table11[[#This Row],[Average DBH
(inches)]]-4)^2)*(Table11[[#This Row],[Average MHT
(Feet)]]/16)</f>
        <v>0</v>
      </c>
      <c r="BO39" s="235">
        <f>Table11[[#This Row],[Average BF]]*Table11[[#This Row],[2024 '#Trees Inventory + Estimate]]</f>
        <v>0</v>
      </c>
      <c r="BP39" s="240">
        <f>(Table11[[#This Row],[Harvest Year
(10 year)]]-Table11[[#This Row],[Year of Inventory]]+1)*(Table11[[#This Row],[Average DBH
(inches)]]/(Table11[[#This Row],[Harvest Year
(10 year)]]-Table11[[#This Row],[Year of Inventory]]+1))+Table11[[#This Row],[Average DBH
(inches)]]</f>
        <v>0</v>
      </c>
      <c r="BQ39" s="235">
        <f>((Table11[[#This Row],[Projected DBH
(Extrapolated Growth/Year)]]-4)^2)*(Table11[[#This Row],[Average MHT
(Feet)]]/16)</f>
        <v>0</v>
      </c>
      <c r="BR39" s="235">
        <f>Table11[[#This Row],[Projected Average BF]]*Table11[[#This Row],[2024 '#Trees Inventory + Estimate]]</f>
        <v>0</v>
      </c>
      <c r="BS39" s="235">
        <f>196*Table11[[#This Row],[2024 '#Trees Inventory + Estimate]]</f>
        <v>0</v>
      </c>
      <c r="BT39" s="235">
        <f>Table11[[#This Row],[ETP Offering Expected BF]]-Table11[[#This Row],[Projected Total BF]]</f>
        <v>0</v>
      </c>
      <c r="BU39" s="235">
        <f>(18-Table11[[#This Row],[Average DBH
(inches)]])/(D39-Table11[[#This Row],[Year of Inventory]]+1)</f>
        <v>18</v>
      </c>
    </row>
    <row r="40" spans="1:73" x14ac:dyDescent="0.25">
      <c r="A40" s="7" t="s">
        <v>278</v>
      </c>
      <c r="B40" s="2">
        <v>2016</v>
      </c>
      <c r="C40" s="2">
        <v>2017</v>
      </c>
      <c r="D40" s="2">
        <f>Table11[[#This Row],[Planting Year]]+9</f>
        <v>2026</v>
      </c>
      <c r="E40" t="s">
        <v>279</v>
      </c>
      <c r="F40" s="161">
        <v>20013</v>
      </c>
      <c r="G40" t="s">
        <v>279</v>
      </c>
      <c r="H40" s="357">
        <v>50687018348</v>
      </c>
      <c r="I40" t="s">
        <v>147</v>
      </c>
      <c r="J40" s="1" t="s">
        <v>280</v>
      </c>
      <c r="K40" s="1" t="s">
        <v>281</v>
      </c>
      <c r="L40" s="1" t="s">
        <v>282</v>
      </c>
      <c r="M40" s="1" t="s">
        <v>213</v>
      </c>
      <c r="N40" t="s">
        <v>283</v>
      </c>
      <c r="O40">
        <v>10.064183999999999</v>
      </c>
      <c r="P40">
        <v>-84.202692999999996</v>
      </c>
      <c r="Q40" s="2"/>
      <c r="R40" s="86"/>
      <c r="S40" s="2"/>
      <c r="T40" s="1">
        <v>1000</v>
      </c>
      <c r="U40" s="1">
        <v>1000</v>
      </c>
      <c r="V40" s="1" t="str">
        <f>IF(Table11[[#This Row],['#TreesContract]]-Table11[[#This Row],['#Planted]]=0,"",Table11[[#This Row],['#TreesContract]]-Table11[[#This Row],['#Planted]])</f>
        <v/>
      </c>
      <c r="W40" s="2"/>
      <c r="X40" s="34">
        <v>0.24</v>
      </c>
      <c r="Y40" s="163">
        <f>Table11[[#This Row],['#TreesContract]]*Table11[[#This Row],[USA Allocation %]]</f>
        <v>240</v>
      </c>
      <c r="Z40" s="163">
        <f>Table11[[#This Row],['#Planted]]*Table11[[#This Row],[USA Allocation %]]</f>
        <v>240</v>
      </c>
      <c r="AA40" s="34">
        <v>0.76</v>
      </c>
      <c r="AB40" s="163">
        <f>Table11[[#This Row],['#TreesContract]]*0.76</f>
        <v>760</v>
      </c>
      <c r="AC40" s="34"/>
      <c r="AD40" s="163"/>
      <c r="AE40" s="163">
        <f>Table11[[#This Row],[Canada Allocation-tree '#''s]]+Table11[[#This Row],[Can trees/Allocation 2017]]</f>
        <v>760</v>
      </c>
      <c r="AF40" s="5">
        <v>0.87</v>
      </c>
      <c r="AG40" s="35">
        <v>870</v>
      </c>
      <c r="AH40" s="35">
        <f>Table11[[#This Row],['#Trees as of 12/31/23]]*Table11[[#This Row],[USA Allocation %]]</f>
        <v>208.79999999999998</v>
      </c>
      <c r="AI40" s="404">
        <f>Table11[[#This Row],['#TreesContract]]*Table11[[#This Row],[2024 Inventory Survival%-master]]</f>
        <v>0</v>
      </c>
      <c r="AJ40" s="5"/>
      <c r="AK40" s="5">
        <v>0.87</v>
      </c>
      <c r="AL40" s="5">
        <v>0.87</v>
      </c>
      <c r="AM40" s="35">
        <f>AK40*Table11[[#This Row],['#TreesContract]]</f>
        <v>870</v>
      </c>
      <c r="AN40" s="35">
        <f>Table11[[#This Row],[2024 '#Trees Inventory + Estimate]]*Table11[[#This Row],[USA Allocation %]]</f>
        <v>208.79999999999998</v>
      </c>
      <c r="AO40" s="35">
        <f>Table11[[#This Row],[2024 '#Trees Inventory + Estimate]]*Table11[[#This Row],[Canada Allocation %]]</f>
        <v>661.2</v>
      </c>
      <c r="AP40" s="35">
        <f>Table11[[#This Row],[2024 '#Trees Inventory + Estimate]]*Table11[[#This Row],[Canada Allocation2017 %]]</f>
        <v>0</v>
      </c>
      <c r="AQ40" s="35">
        <f>Table11[[#This Row],['#Trees as of 2024/estimate-Can allocation]]+Table11[[#This Row],['#Trees as of 2024/estimate-Can allocation 2017]]</f>
        <v>661.2</v>
      </c>
      <c r="AR40" s="1" t="s">
        <v>214</v>
      </c>
      <c r="AS40" s="2"/>
      <c r="AT40" s="6">
        <f>IFERROR(Table11[[#This Row],['#Total Replacements]]/Table11[[#This Row],['#TreesContract]],"")</f>
        <v>0.75</v>
      </c>
      <c r="AU40" s="4">
        <f>IF(SUM(Table11[[#This Row],['#Replace 24]:['#Replace 16]])=0,0,SUM(Table11[[#This Row],['#Replace 24]:['#Replace 16]]))</f>
        <v>750</v>
      </c>
      <c r="AV40" s="2"/>
      <c r="AW40" s="2"/>
      <c r="AX40" s="3"/>
      <c r="AY40" s="2"/>
      <c r="AZ40" s="2"/>
      <c r="BA40" s="2"/>
      <c r="BB40" s="2">
        <v>200</v>
      </c>
      <c r="BC40" s="2">
        <v>550</v>
      </c>
      <c r="BD40" s="2"/>
      <c r="BE40" s="2"/>
      <c r="BF40" s="3">
        <v>1</v>
      </c>
      <c r="BG40" s="3">
        <v>1</v>
      </c>
      <c r="BH40" s="2"/>
      <c r="BI40" s="2"/>
      <c r="BJ40" s="2"/>
      <c r="BK40" s="139">
        <f>Table11[[#This Row],[Average MHT
(Feet)]]/16</f>
        <v>0</v>
      </c>
      <c r="BL40" s="2"/>
      <c r="BM40" s="139">
        <f>Table11[[#This Row],[Average DBH
(inches)]]/18</f>
        <v>0</v>
      </c>
      <c r="BN40" s="235">
        <f>((Table11[[#This Row],[Average DBH
(inches)]]-4)^2)*(Table11[[#This Row],[Average MHT
(Feet)]]/16)</f>
        <v>0</v>
      </c>
      <c r="BO40" s="235">
        <f>Table11[[#This Row],[Average BF]]*Table11[[#This Row],[2024 '#Trees Inventory + Estimate]]</f>
        <v>0</v>
      </c>
      <c r="BP40" s="240">
        <f>(Table11[[#This Row],[Harvest Year
(10 year)]]-Table11[[#This Row],[Year of Inventory]]+1)*(Table11[[#This Row],[Average DBH
(inches)]]/(Table11[[#This Row],[Harvest Year
(10 year)]]-Table11[[#This Row],[Year of Inventory]]+1))+Table11[[#This Row],[Average DBH
(inches)]]</f>
        <v>0</v>
      </c>
      <c r="BQ40" s="235">
        <f>((Table11[[#This Row],[Projected DBH
(Extrapolated Growth/Year)]]-4)^2)*(Table11[[#This Row],[Average MHT
(Feet)]]/16)</f>
        <v>0</v>
      </c>
      <c r="BR40" s="235">
        <f>Table11[[#This Row],[Projected Average BF]]*Table11[[#This Row],[2024 '#Trees Inventory + Estimate]]</f>
        <v>0</v>
      </c>
      <c r="BS40" s="235">
        <f>196*Table11[[#This Row],[2024 '#Trees Inventory + Estimate]]</f>
        <v>170520</v>
      </c>
      <c r="BT40" s="235">
        <f>Table11[[#This Row],[ETP Offering Expected BF]]-Table11[[#This Row],[Projected Total BF]]</f>
        <v>170520</v>
      </c>
      <c r="BU40" s="235">
        <f>(18-Table11[[#This Row],[Average DBH
(inches)]])/(D40-Table11[[#This Row],[Year of Inventory]]+1)</f>
        <v>8.8801184015786881E-3</v>
      </c>
    </row>
    <row r="41" spans="1:73" x14ac:dyDescent="0.25">
      <c r="A41" s="7" t="s">
        <v>284</v>
      </c>
      <c r="B41" s="2">
        <v>2016</v>
      </c>
      <c r="C41" s="2">
        <v>2017</v>
      </c>
      <c r="D41" s="2">
        <v>0</v>
      </c>
      <c r="E41" t="s">
        <v>285</v>
      </c>
      <c r="F41" s="161">
        <v>20015</v>
      </c>
      <c r="G41" t="s">
        <v>285</v>
      </c>
      <c r="H41" s="357"/>
      <c r="I41" t="s">
        <v>160</v>
      </c>
      <c r="J41" s="1"/>
      <c r="K41" s="1"/>
      <c r="L41" s="1"/>
      <c r="M41" s="1" t="s">
        <v>213</v>
      </c>
      <c r="Q41" s="2"/>
      <c r="R41" s="86"/>
      <c r="S41" s="2"/>
      <c r="T41" s="1">
        <v>600</v>
      </c>
      <c r="U41" s="1">
        <v>600</v>
      </c>
      <c r="V41" s="1" t="str">
        <f>IF(Table11[[#This Row],['#TreesContract]]-Table11[[#This Row],['#Planted]]=0,"",Table11[[#This Row],['#TreesContract]]-Table11[[#This Row],['#Planted]])</f>
        <v/>
      </c>
      <c r="W41" s="2"/>
      <c r="X41" s="34">
        <v>0.24</v>
      </c>
      <c r="Y41" s="163">
        <f>Table11[[#This Row],['#TreesContract]]*Table11[[#This Row],[USA Allocation %]]</f>
        <v>144</v>
      </c>
      <c r="Z41" s="163">
        <f>Table11[[#This Row],['#Planted]]*Table11[[#This Row],[USA Allocation %]]</f>
        <v>144</v>
      </c>
      <c r="AA41" s="34">
        <v>0.76</v>
      </c>
      <c r="AB41" s="163">
        <f>Table11[[#This Row],['#TreesContract]]*0.76</f>
        <v>456</v>
      </c>
      <c r="AC41" s="34"/>
      <c r="AD41" s="163"/>
      <c r="AE41" s="163">
        <f>Table11[[#This Row],[Canada Allocation-tree '#''s]]+Table11[[#This Row],[Can trees/Allocation 2017]]</f>
        <v>456</v>
      </c>
      <c r="AF41" s="5">
        <v>0</v>
      </c>
      <c r="AG41" s="35">
        <v>0</v>
      </c>
      <c r="AH41" s="35">
        <f>Table11[[#This Row],['#Trees as of 12/31/23]]*Table11[[#This Row],[USA Allocation %]]</f>
        <v>0</v>
      </c>
      <c r="AI41" s="404">
        <f>Table11[[#This Row],['#TreesContract]]*Table11[[#This Row],[2024 Inventory Survival%-master]]</f>
        <v>0</v>
      </c>
      <c r="AJ41" s="5">
        <v>0</v>
      </c>
      <c r="AK41" s="5">
        <v>0</v>
      </c>
      <c r="AL41" s="5">
        <v>0</v>
      </c>
      <c r="AM41" s="35">
        <f>AK41*Table11[[#This Row],['#TreesContract]]</f>
        <v>0</v>
      </c>
      <c r="AN41" s="35">
        <f>Table11[[#This Row],[2024 '#Trees Inventory + Estimate]]*Table11[[#This Row],[USA Allocation %]]</f>
        <v>0</v>
      </c>
      <c r="AO41" s="35">
        <f>Table11[[#This Row],[2024 '#Trees Inventory + Estimate]]*Table11[[#This Row],[Canada Allocation %]]</f>
        <v>0</v>
      </c>
      <c r="AP41" s="35">
        <f>Table11[[#This Row],[2024 '#Trees Inventory + Estimate]]*Table11[[#This Row],[Canada Allocation2017 %]]</f>
        <v>0</v>
      </c>
      <c r="AQ41" s="35">
        <f>Table11[[#This Row],['#Trees as of 2024/estimate-Can allocation]]+Table11[[#This Row],['#Trees as of 2024/estimate-Can allocation 2017]]</f>
        <v>0</v>
      </c>
      <c r="AR41" s="1" t="s">
        <v>214</v>
      </c>
      <c r="AS41" s="2"/>
      <c r="AT41" s="6">
        <f>IFERROR(Table11[[#This Row],['#Total Replacements]]/Table11[[#This Row],['#TreesContract]],"")</f>
        <v>0</v>
      </c>
      <c r="AU41" s="4">
        <f>IF(SUM(Table11[[#This Row],['#Replace 24]:['#Replace 16]])=0,0,SUM(Table11[[#This Row],['#Replace 24]:['#Replace 16]]))</f>
        <v>0</v>
      </c>
      <c r="AV41" s="2"/>
      <c r="AW41" s="2"/>
      <c r="AX41" s="3"/>
      <c r="AY41" s="2"/>
      <c r="AZ41" s="2"/>
      <c r="BA41" s="2"/>
      <c r="BB41" s="2"/>
      <c r="BC41" s="2"/>
      <c r="BD41" s="2"/>
      <c r="BE41" s="2"/>
      <c r="BF41" s="3">
        <v>1</v>
      </c>
      <c r="BG41" s="3"/>
      <c r="BH41" s="2"/>
      <c r="BI41" s="158"/>
      <c r="BJ41" s="158"/>
      <c r="BK41" s="139">
        <f>Table11[[#This Row],[Average MHT
(Feet)]]/16</f>
        <v>0</v>
      </c>
      <c r="BL41" s="2"/>
      <c r="BM41" s="139">
        <f>Table11[[#This Row],[Average DBH
(inches)]]/18</f>
        <v>0</v>
      </c>
      <c r="BN41" s="235">
        <f>((Table11[[#This Row],[Average DBH
(inches)]]-4)^2)*(Table11[[#This Row],[Average MHT
(Feet)]]/16)</f>
        <v>0</v>
      </c>
      <c r="BO41" s="235">
        <f>Table11[[#This Row],[Average BF]]*Table11[[#This Row],[2024 '#Trees Inventory + Estimate]]</f>
        <v>0</v>
      </c>
      <c r="BP41" s="240">
        <f>(Table11[[#This Row],[Harvest Year
(10 year)]]-Table11[[#This Row],[Year of Inventory]]+1)*(Table11[[#This Row],[Average DBH
(inches)]]/(Table11[[#This Row],[Harvest Year
(10 year)]]-Table11[[#This Row],[Year of Inventory]]+1))+Table11[[#This Row],[Average DBH
(inches)]]</f>
        <v>0</v>
      </c>
      <c r="BQ41" s="235">
        <f>((Table11[[#This Row],[Projected DBH
(Extrapolated Growth/Year)]]-4)^2)*(Table11[[#This Row],[Average MHT
(Feet)]]/16)</f>
        <v>0</v>
      </c>
      <c r="BR41" s="235">
        <f>Table11[[#This Row],[Projected Average BF]]*Table11[[#This Row],[2024 '#Trees Inventory + Estimate]]</f>
        <v>0</v>
      </c>
      <c r="BS41" s="235">
        <f>196*Table11[[#This Row],[2024 '#Trees Inventory + Estimate]]</f>
        <v>0</v>
      </c>
      <c r="BT41" s="235">
        <f>Table11[[#This Row],[ETP Offering Expected BF]]-Table11[[#This Row],[Projected Total BF]]</f>
        <v>0</v>
      </c>
      <c r="BU41" s="235">
        <f>(18-Table11[[#This Row],[Average DBH
(inches)]])/(D41-Table11[[#This Row],[Year of Inventory]]+1)</f>
        <v>18</v>
      </c>
    </row>
    <row r="42" spans="1:73" x14ac:dyDescent="0.25">
      <c r="A42" s="7" t="s">
        <v>286</v>
      </c>
      <c r="B42" s="2">
        <v>2016</v>
      </c>
      <c r="C42" s="2">
        <v>2017</v>
      </c>
      <c r="D42" s="2">
        <v>0</v>
      </c>
      <c r="E42" t="s">
        <v>287</v>
      </c>
      <c r="F42" s="161">
        <v>20016</v>
      </c>
      <c r="G42" t="s">
        <v>288</v>
      </c>
      <c r="H42" s="357"/>
      <c r="I42" t="s">
        <v>160</v>
      </c>
      <c r="J42" s="1"/>
      <c r="K42" s="1"/>
      <c r="L42" s="1"/>
      <c r="M42" s="1" t="s">
        <v>213</v>
      </c>
      <c r="Q42" s="2"/>
      <c r="R42" s="86"/>
      <c r="S42" s="2"/>
      <c r="T42" s="1">
        <v>1000</v>
      </c>
      <c r="U42" s="1">
        <v>1000</v>
      </c>
      <c r="V42" s="1" t="str">
        <f>IF(Table11[[#This Row],['#TreesContract]]-Table11[[#This Row],['#Planted]]=0,"",Table11[[#This Row],['#TreesContract]]-Table11[[#This Row],['#Planted]])</f>
        <v/>
      </c>
      <c r="W42" s="2"/>
      <c r="X42" s="34">
        <v>0.24</v>
      </c>
      <c r="Y42" s="163">
        <f>Table11[[#This Row],['#TreesContract]]*Table11[[#This Row],[USA Allocation %]]</f>
        <v>240</v>
      </c>
      <c r="Z42" s="163">
        <f>Table11[[#This Row],['#Planted]]*Table11[[#This Row],[USA Allocation %]]</f>
        <v>240</v>
      </c>
      <c r="AA42" s="34">
        <v>0.76</v>
      </c>
      <c r="AB42" s="163">
        <f>Table11[[#This Row],['#TreesContract]]*0.76</f>
        <v>760</v>
      </c>
      <c r="AC42" s="34"/>
      <c r="AD42" s="163"/>
      <c r="AE42" s="163">
        <f>Table11[[#This Row],[Canada Allocation-tree '#''s]]+Table11[[#This Row],[Can trees/Allocation 2017]]</f>
        <v>760</v>
      </c>
      <c r="AF42" s="5">
        <v>0</v>
      </c>
      <c r="AG42" s="35">
        <v>0</v>
      </c>
      <c r="AH42" s="35">
        <f>Table11[[#This Row],['#Trees as of 12/31/23]]*Table11[[#This Row],[USA Allocation %]]</f>
        <v>0</v>
      </c>
      <c r="AI42" s="404">
        <v>0</v>
      </c>
      <c r="AJ42" s="5">
        <v>0</v>
      </c>
      <c r="AK42" s="5">
        <v>0</v>
      </c>
      <c r="AL42" s="5">
        <v>0</v>
      </c>
      <c r="AM42" s="35">
        <f>AK42*Table11[[#This Row],['#TreesContract]]</f>
        <v>0</v>
      </c>
      <c r="AN42" s="35">
        <f>Table11[[#This Row],[2024 '#Trees Inventory + Estimate]]*Table11[[#This Row],[USA Allocation %]]</f>
        <v>0</v>
      </c>
      <c r="AO42" s="35">
        <f>Table11[[#This Row],[2024 '#Trees Inventory + Estimate]]*Table11[[#This Row],[Canada Allocation %]]</f>
        <v>0</v>
      </c>
      <c r="AP42" s="35">
        <f>Table11[[#This Row],[2024 '#Trees Inventory + Estimate]]*Table11[[#This Row],[Canada Allocation2017 %]]</f>
        <v>0</v>
      </c>
      <c r="AQ42" s="35">
        <f>Table11[[#This Row],['#Trees as of 2024/estimate-Can allocation]]+Table11[[#This Row],['#Trees as of 2024/estimate-Can allocation 2017]]</f>
        <v>0</v>
      </c>
      <c r="AR42" s="1" t="s">
        <v>214</v>
      </c>
      <c r="AS42" s="2"/>
      <c r="AT42" s="6">
        <f>IFERROR(Table11[[#This Row],['#Total Replacements]]/Table11[[#This Row],['#TreesContract]],"")</f>
        <v>0</v>
      </c>
      <c r="AU42" s="4">
        <f>IF(SUM(Table11[[#This Row],['#Replace 24]:['#Replace 16]])=0,0,SUM(Table11[[#This Row],['#Replace 24]:['#Replace 16]]))</f>
        <v>0</v>
      </c>
      <c r="AV42" s="2"/>
      <c r="AW42" s="2"/>
      <c r="AX42" s="3"/>
      <c r="AY42" s="2"/>
      <c r="AZ42" s="2"/>
      <c r="BA42" s="2"/>
      <c r="BB42" s="2"/>
      <c r="BC42" s="2"/>
      <c r="BD42" s="2"/>
      <c r="BE42" s="2"/>
      <c r="BF42" s="3">
        <v>1</v>
      </c>
      <c r="BG42" s="3"/>
      <c r="BH42" s="2"/>
      <c r="BI42" s="2"/>
      <c r="BJ42" s="2"/>
      <c r="BK42" s="139">
        <f>Table11[[#This Row],[Average MHT
(Feet)]]/16</f>
        <v>0</v>
      </c>
      <c r="BL42" s="2"/>
      <c r="BM42" s="139">
        <f>Table11[[#This Row],[Average DBH
(inches)]]/18</f>
        <v>0</v>
      </c>
      <c r="BN42" s="235">
        <f>((Table11[[#This Row],[Average DBH
(inches)]]-4)^2)*(Table11[[#This Row],[Average MHT
(Feet)]]/16)</f>
        <v>0</v>
      </c>
      <c r="BO42" s="235">
        <f>Table11[[#This Row],[Average BF]]*Table11[[#This Row],[2024 '#Trees Inventory + Estimate]]</f>
        <v>0</v>
      </c>
      <c r="BP42" s="240">
        <f>(Table11[[#This Row],[Harvest Year
(10 year)]]-Table11[[#This Row],[Year of Inventory]]+1)*(Table11[[#This Row],[Average DBH
(inches)]]/(Table11[[#This Row],[Harvest Year
(10 year)]]-Table11[[#This Row],[Year of Inventory]]+1))+Table11[[#This Row],[Average DBH
(inches)]]</f>
        <v>0</v>
      </c>
      <c r="BQ42" s="235">
        <f>((Table11[[#This Row],[Projected DBH
(Extrapolated Growth/Year)]]-4)^2)*(Table11[[#This Row],[Average MHT
(Feet)]]/16)</f>
        <v>0</v>
      </c>
      <c r="BR42" s="235">
        <f>Table11[[#This Row],[Projected Average BF]]*Table11[[#This Row],[2024 '#Trees Inventory + Estimate]]</f>
        <v>0</v>
      </c>
      <c r="BS42" s="235">
        <f>196*Table11[[#This Row],[2024 '#Trees Inventory + Estimate]]</f>
        <v>0</v>
      </c>
      <c r="BT42" s="235">
        <f>Table11[[#This Row],[ETP Offering Expected BF]]-Table11[[#This Row],[Projected Total BF]]</f>
        <v>0</v>
      </c>
      <c r="BU42" s="235">
        <f>(18-Table11[[#This Row],[Average DBH
(inches)]])/(D42-Table11[[#This Row],[Year of Inventory]]+1)</f>
        <v>18</v>
      </c>
    </row>
    <row r="43" spans="1:73" x14ac:dyDescent="0.25">
      <c r="A43" s="7" t="s">
        <v>289</v>
      </c>
      <c r="B43" s="2">
        <v>2016</v>
      </c>
      <c r="C43" s="2">
        <v>2017</v>
      </c>
      <c r="D43" s="2">
        <v>0</v>
      </c>
      <c r="E43" t="s">
        <v>290</v>
      </c>
      <c r="F43" s="161">
        <v>20017</v>
      </c>
      <c r="G43" t="s">
        <v>290</v>
      </c>
      <c r="H43" s="357"/>
      <c r="I43" t="s">
        <v>160</v>
      </c>
      <c r="J43" s="1"/>
      <c r="K43" s="1"/>
      <c r="L43" s="1"/>
      <c r="M43" s="1" t="s">
        <v>213</v>
      </c>
      <c r="Q43" s="2"/>
      <c r="R43" s="86"/>
      <c r="S43" s="2"/>
      <c r="T43" s="1">
        <v>250</v>
      </c>
      <c r="U43" s="1">
        <v>250</v>
      </c>
      <c r="V43" s="1" t="str">
        <f>IF(Table11[[#This Row],['#TreesContract]]-Table11[[#This Row],['#Planted]]=0,"",Table11[[#This Row],['#TreesContract]]-Table11[[#This Row],['#Planted]])</f>
        <v/>
      </c>
      <c r="W43" s="2"/>
      <c r="X43" s="34">
        <v>0.24</v>
      </c>
      <c r="Y43" s="163">
        <f>Table11[[#This Row],['#TreesContract]]*Table11[[#This Row],[USA Allocation %]]</f>
        <v>60</v>
      </c>
      <c r="Z43" s="163">
        <f>Table11[[#This Row],['#Planted]]*Table11[[#This Row],[USA Allocation %]]</f>
        <v>60</v>
      </c>
      <c r="AA43" s="34">
        <v>0.76</v>
      </c>
      <c r="AB43" s="163">
        <f>Table11[[#This Row],['#TreesContract]]*0.76</f>
        <v>190</v>
      </c>
      <c r="AC43" s="34"/>
      <c r="AD43" s="163"/>
      <c r="AE43" s="163">
        <f>Table11[[#This Row],[Canada Allocation-tree '#''s]]+Table11[[#This Row],[Can trees/Allocation 2017]]</f>
        <v>190</v>
      </c>
      <c r="AF43" s="5">
        <v>0</v>
      </c>
      <c r="AG43" s="35">
        <v>0</v>
      </c>
      <c r="AH43" s="35">
        <f>Table11[[#This Row],['#Trees as of 12/31/23]]*Table11[[#This Row],[USA Allocation %]]</f>
        <v>0</v>
      </c>
      <c r="AI43" s="404">
        <v>0</v>
      </c>
      <c r="AJ43" s="5">
        <v>0</v>
      </c>
      <c r="AK43" s="5">
        <v>0</v>
      </c>
      <c r="AL43" s="5">
        <v>0</v>
      </c>
      <c r="AM43" s="35">
        <f>AK43*Table11[[#This Row],['#TreesContract]]</f>
        <v>0</v>
      </c>
      <c r="AN43" s="35">
        <f>Table11[[#This Row],[2024 '#Trees Inventory + Estimate]]*Table11[[#This Row],[USA Allocation %]]</f>
        <v>0</v>
      </c>
      <c r="AO43" s="35">
        <f>Table11[[#This Row],[2024 '#Trees Inventory + Estimate]]*Table11[[#This Row],[Canada Allocation %]]</f>
        <v>0</v>
      </c>
      <c r="AP43" s="35">
        <f>Table11[[#This Row],[2024 '#Trees Inventory + Estimate]]*Table11[[#This Row],[Canada Allocation2017 %]]</f>
        <v>0</v>
      </c>
      <c r="AQ43" s="35">
        <f>Table11[[#This Row],['#Trees as of 2024/estimate-Can allocation]]+Table11[[#This Row],['#Trees as of 2024/estimate-Can allocation 2017]]</f>
        <v>0</v>
      </c>
      <c r="AR43" s="1" t="s">
        <v>214</v>
      </c>
      <c r="AS43" s="2"/>
      <c r="AT43" s="6">
        <f>IFERROR(Table11[[#This Row],['#Total Replacements]]/Table11[[#This Row],['#TreesContract]],"")</f>
        <v>0</v>
      </c>
      <c r="AU43" s="4">
        <f>IF(SUM(Table11[[#This Row],['#Replace 24]:['#Replace 16]])=0,0,SUM(Table11[[#This Row],['#Replace 24]:['#Replace 16]]))</f>
        <v>0</v>
      </c>
      <c r="AV43" s="2"/>
      <c r="AW43" s="2"/>
      <c r="AX43" s="3"/>
      <c r="AY43" s="2"/>
      <c r="AZ43" s="2"/>
      <c r="BA43" s="2"/>
      <c r="BB43" s="2"/>
      <c r="BC43" s="2"/>
      <c r="BD43" s="2"/>
      <c r="BE43" s="2"/>
      <c r="BF43" s="3">
        <v>1</v>
      </c>
      <c r="BG43" s="3"/>
      <c r="BH43" s="2"/>
      <c r="BI43" s="158"/>
      <c r="BJ43" s="158"/>
      <c r="BK43" s="139">
        <f>Table11[[#This Row],[Average MHT
(Feet)]]/16</f>
        <v>0</v>
      </c>
      <c r="BL43" s="2"/>
      <c r="BM43" s="139">
        <f>Table11[[#This Row],[Average DBH
(inches)]]/18</f>
        <v>0</v>
      </c>
      <c r="BN43" s="235">
        <f>((Table11[[#This Row],[Average DBH
(inches)]]-4)^2)*(Table11[[#This Row],[Average MHT
(Feet)]]/16)</f>
        <v>0</v>
      </c>
      <c r="BO43" s="235">
        <f>Table11[[#This Row],[Average BF]]*Table11[[#This Row],[2024 '#Trees Inventory + Estimate]]</f>
        <v>0</v>
      </c>
      <c r="BP43" s="240">
        <f>(Table11[[#This Row],[Harvest Year
(10 year)]]-Table11[[#This Row],[Year of Inventory]]+1)*(Table11[[#This Row],[Average DBH
(inches)]]/(Table11[[#This Row],[Harvest Year
(10 year)]]-Table11[[#This Row],[Year of Inventory]]+1))+Table11[[#This Row],[Average DBH
(inches)]]</f>
        <v>0</v>
      </c>
      <c r="BQ43" s="235">
        <f>((Table11[[#This Row],[Projected DBH
(Extrapolated Growth/Year)]]-4)^2)*(Table11[[#This Row],[Average MHT
(Feet)]]/16)</f>
        <v>0</v>
      </c>
      <c r="BR43" s="235">
        <f>Table11[[#This Row],[Projected Average BF]]*Table11[[#This Row],[2024 '#Trees Inventory + Estimate]]</f>
        <v>0</v>
      </c>
      <c r="BS43" s="235">
        <f>196*Table11[[#This Row],[2024 '#Trees Inventory + Estimate]]</f>
        <v>0</v>
      </c>
      <c r="BT43" s="235">
        <f>Table11[[#This Row],[ETP Offering Expected BF]]-Table11[[#This Row],[Projected Total BF]]</f>
        <v>0</v>
      </c>
      <c r="BU43" s="235">
        <f>(18-Table11[[#This Row],[Average DBH
(inches)]])/(D43-Table11[[#This Row],[Year of Inventory]]+1)</f>
        <v>18</v>
      </c>
    </row>
    <row r="44" spans="1:73" x14ac:dyDescent="0.25">
      <c r="A44" s="7" t="s">
        <v>291</v>
      </c>
      <c r="B44" s="2">
        <v>2016</v>
      </c>
      <c r="C44" s="2">
        <v>2017</v>
      </c>
      <c r="D44" s="2">
        <v>0</v>
      </c>
      <c r="E44" t="s">
        <v>292</v>
      </c>
      <c r="F44" s="161">
        <v>20018</v>
      </c>
      <c r="G44" t="s">
        <v>293</v>
      </c>
      <c r="H44" s="357"/>
      <c r="I44" t="s">
        <v>160</v>
      </c>
      <c r="J44" s="1"/>
      <c r="K44" s="1"/>
      <c r="L44" s="1"/>
      <c r="M44" s="1" t="s">
        <v>213</v>
      </c>
      <c r="Q44" s="2"/>
      <c r="R44" s="86"/>
      <c r="S44" s="2"/>
      <c r="T44" s="1">
        <v>500</v>
      </c>
      <c r="U44" s="1">
        <v>500</v>
      </c>
      <c r="V44" s="1" t="str">
        <f>IF(Table11[[#This Row],['#TreesContract]]-Table11[[#This Row],['#Planted]]=0,"",Table11[[#This Row],['#TreesContract]]-Table11[[#This Row],['#Planted]])</f>
        <v/>
      </c>
      <c r="W44" s="2"/>
      <c r="X44" s="34">
        <v>0.24</v>
      </c>
      <c r="Y44" s="163">
        <f>Table11[[#This Row],['#TreesContract]]*Table11[[#This Row],[USA Allocation %]]</f>
        <v>120</v>
      </c>
      <c r="Z44" s="163">
        <f>Table11[[#This Row],['#Planted]]*Table11[[#This Row],[USA Allocation %]]</f>
        <v>120</v>
      </c>
      <c r="AA44" s="34">
        <v>0.76</v>
      </c>
      <c r="AB44" s="163">
        <f>Table11[[#This Row],['#TreesContract]]*0.76</f>
        <v>380</v>
      </c>
      <c r="AC44" s="34"/>
      <c r="AD44" s="163"/>
      <c r="AE44" s="163">
        <f>Table11[[#This Row],[Canada Allocation-tree '#''s]]+Table11[[#This Row],[Can trees/Allocation 2017]]</f>
        <v>380</v>
      </c>
      <c r="AF44" s="5">
        <v>0</v>
      </c>
      <c r="AG44" s="35">
        <v>0</v>
      </c>
      <c r="AH44" s="35">
        <f>Table11[[#This Row],['#Trees as of 12/31/23]]*Table11[[#This Row],[USA Allocation %]]</f>
        <v>0</v>
      </c>
      <c r="AI44" s="404">
        <v>0</v>
      </c>
      <c r="AJ44" s="5">
        <v>0</v>
      </c>
      <c r="AK44" s="5">
        <v>0</v>
      </c>
      <c r="AL44" s="5">
        <v>0</v>
      </c>
      <c r="AM44" s="35">
        <f>AK44*Table11[[#This Row],['#TreesContract]]</f>
        <v>0</v>
      </c>
      <c r="AN44" s="35">
        <f>Table11[[#This Row],[2024 '#Trees Inventory + Estimate]]*Table11[[#This Row],[USA Allocation %]]</f>
        <v>0</v>
      </c>
      <c r="AO44" s="35">
        <f>Table11[[#This Row],[2024 '#Trees Inventory + Estimate]]*Table11[[#This Row],[Canada Allocation %]]</f>
        <v>0</v>
      </c>
      <c r="AP44" s="35">
        <f>Table11[[#This Row],[2024 '#Trees Inventory + Estimate]]*Table11[[#This Row],[Canada Allocation2017 %]]</f>
        <v>0</v>
      </c>
      <c r="AQ44" s="35">
        <f>Table11[[#This Row],['#Trees as of 2024/estimate-Can allocation]]+Table11[[#This Row],['#Trees as of 2024/estimate-Can allocation 2017]]</f>
        <v>0</v>
      </c>
      <c r="AR44" s="1" t="s">
        <v>214</v>
      </c>
      <c r="AS44" s="2"/>
      <c r="AT44" s="6">
        <f>IFERROR(Table11[[#This Row],['#Total Replacements]]/Table11[[#This Row],['#TreesContract]],"")</f>
        <v>0</v>
      </c>
      <c r="AU44" s="4">
        <f>IF(SUM(Table11[[#This Row],['#Replace 24]:['#Replace 16]])=0,0,SUM(Table11[[#This Row],['#Replace 24]:['#Replace 16]]))</f>
        <v>0</v>
      </c>
      <c r="AV44" s="2"/>
      <c r="AW44" s="2"/>
      <c r="AX44" s="3"/>
      <c r="AY44" s="2"/>
      <c r="AZ44" s="2"/>
      <c r="BA44" s="2"/>
      <c r="BB44" s="2"/>
      <c r="BC44" s="2"/>
      <c r="BD44" s="2"/>
      <c r="BE44" s="2"/>
      <c r="BF44" s="3">
        <v>1</v>
      </c>
      <c r="BG44" s="3">
        <v>1</v>
      </c>
      <c r="BH44" s="2"/>
      <c r="BI44" s="2"/>
      <c r="BJ44" s="2"/>
      <c r="BK44" s="139">
        <f>Table11[[#This Row],[Average MHT
(Feet)]]/16</f>
        <v>0</v>
      </c>
      <c r="BL44" s="2"/>
      <c r="BM44" s="139">
        <f>Table11[[#This Row],[Average DBH
(inches)]]/18</f>
        <v>0</v>
      </c>
      <c r="BN44" s="235">
        <f>((Table11[[#This Row],[Average DBH
(inches)]]-4)^2)*(Table11[[#This Row],[Average MHT
(Feet)]]/16)</f>
        <v>0</v>
      </c>
      <c r="BO44" s="235">
        <f>Table11[[#This Row],[Average BF]]*Table11[[#This Row],[2024 '#Trees Inventory + Estimate]]</f>
        <v>0</v>
      </c>
      <c r="BP44" s="240">
        <f>(Table11[[#This Row],[Harvest Year
(10 year)]]-Table11[[#This Row],[Year of Inventory]]+1)*(Table11[[#This Row],[Average DBH
(inches)]]/(Table11[[#This Row],[Harvest Year
(10 year)]]-Table11[[#This Row],[Year of Inventory]]+1))+Table11[[#This Row],[Average DBH
(inches)]]</f>
        <v>0</v>
      </c>
      <c r="BQ44" s="235">
        <f>((Table11[[#This Row],[Projected DBH
(Extrapolated Growth/Year)]]-4)^2)*(Table11[[#This Row],[Average MHT
(Feet)]]/16)</f>
        <v>0</v>
      </c>
      <c r="BR44" s="235">
        <f>Table11[[#This Row],[Projected Average BF]]*Table11[[#This Row],[2024 '#Trees Inventory + Estimate]]</f>
        <v>0</v>
      </c>
      <c r="BS44" s="235">
        <f>196*Table11[[#This Row],[2024 '#Trees Inventory + Estimate]]</f>
        <v>0</v>
      </c>
      <c r="BT44" s="235">
        <f>Table11[[#This Row],[ETP Offering Expected BF]]-Table11[[#This Row],[Projected Total BF]]</f>
        <v>0</v>
      </c>
      <c r="BU44" s="235">
        <f>(18-Table11[[#This Row],[Average DBH
(inches)]])/(D44-Table11[[#This Row],[Year of Inventory]]+1)</f>
        <v>18</v>
      </c>
    </row>
    <row r="45" spans="1:73" x14ac:dyDescent="0.25">
      <c r="A45" s="7" t="s">
        <v>294</v>
      </c>
      <c r="B45" s="2">
        <v>2016</v>
      </c>
      <c r="C45" s="2">
        <v>2017</v>
      </c>
      <c r="D45" s="2">
        <v>0</v>
      </c>
      <c r="E45" t="s">
        <v>295</v>
      </c>
      <c r="F45" s="161">
        <v>20019</v>
      </c>
      <c r="G45" t="s">
        <v>296</v>
      </c>
      <c r="H45" s="357"/>
      <c r="I45" t="s">
        <v>160</v>
      </c>
      <c r="J45" s="1"/>
      <c r="K45" s="1"/>
      <c r="L45" s="1"/>
      <c r="M45" s="1" t="s">
        <v>213</v>
      </c>
      <c r="Q45" s="2"/>
      <c r="R45" s="86"/>
      <c r="S45" s="2"/>
      <c r="T45" s="1">
        <v>300</v>
      </c>
      <c r="U45" s="1">
        <v>300</v>
      </c>
      <c r="V45" s="1" t="str">
        <f>IF(Table11[[#This Row],['#TreesContract]]-Table11[[#This Row],['#Planted]]=0,"",Table11[[#This Row],['#TreesContract]]-Table11[[#This Row],['#Planted]])</f>
        <v/>
      </c>
      <c r="W45" s="2"/>
      <c r="X45" s="34">
        <v>0.24</v>
      </c>
      <c r="Y45" s="163">
        <f>Table11[[#This Row],['#TreesContract]]*Table11[[#This Row],[USA Allocation %]]</f>
        <v>72</v>
      </c>
      <c r="Z45" s="163">
        <f>Table11[[#This Row],['#Planted]]*Table11[[#This Row],[USA Allocation %]]</f>
        <v>72</v>
      </c>
      <c r="AA45" s="34">
        <v>0.76</v>
      </c>
      <c r="AB45" s="163">
        <f>Table11[[#This Row],['#TreesContract]]*0.76</f>
        <v>228</v>
      </c>
      <c r="AC45" s="34"/>
      <c r="AD45" s="163"/>
      <c r="AE45" s="163">
        <f>Table11[[#This Row],[Canada Allocation-tree '#''s]]+Table11[[#This Row],[Can trees/Allocation 2017]]</f>
        <v>228</v>
      </c>
      <c r="AF45" s="5">
        <v>0</v>
      </c>
      <c r="AG45" s="35">
        <v>0</v>
      </c>
      <c r="AH45" s="35">
        <f>Table11[[#This Row],['#Trees as of 12/31/23]]*Table11[[#This Row],[USA Allocation %]]</f>
        <v>0</v>
      </c>
      <c r="AI45" s="404">
        <v>0</v>
      </c>
      <c r="AJ45" s="5">
        <v>0</v>
      </c>
      <c r="AK45" s="5">
        <v>0</v>
      </c>
      <c r="AL45" s="5">
        <v>0</v>
      </c>
      <c r="AM45" s="35">
        <f>AK45*Table11[[#This Row],['#TreesContract]]</f>
        <v>0</v>
      </c>
      <c r="AN45" s="35">
        <f>Table11[[#This Row],[2024 '#Trees Inventory + Estimate]]*Table11[[#This Row],[USA Allocation %]]</f>
        <v>0</v>
      </c>
      <c r="AO45" s="35">
        <f>Table11[[#This Row],[2024 '#Trees Inventory + Estimate]]*Table11[[#This Row],[Canada Allocation %]]</f>
        <v>0</v>
      </c>
      <c r="AP45" s="35">
        <f>Table11[[#This Row],[2024 '#Trees Inventory + Estimate]]*Table11[[#This Row],[Canada Allocation2017 %]]</f>
        <v>0</v>
      </c>
      <c r="AQ45" s="35">
        <f>Table11[[#This Row],['#Trees as of 2024/estimate-Can allocation]]+Table11[[#This Row],['#Trees as of 2024/estimate-Can allocation 2017]]</f>
        <v>0</v>
      </c>
      <c r="AR45" s="1" t="s">
        <v>214</v>
      </c>
      <c r="AS45" s="2"/>
      <c r="AT45" s="6">
        <f>IFERROR(Table11[[#This Row],['#Total Replacements]]/Table11[[#This Row],['#TreesContract]],"")</f>
        <v>0</v>
      </c>
      <c r="AU45" s="4">
        <f>IF(SUM(Table11[[#This Row],['#Replace 24]:['#Replace 16]])=0,0,SUM(Table11[[#This Row],['#Replace 24]:['#Replace 16]]))</f>
        <v>0</v>
      </c>
      <c r="AV45" s="2"/>
      <c r="AW45" s="2"/>
      <c r="AX45" s="3"/>
      <c r="AY45" s="2"/>
      <c r="AZ45" s="2"/>
      <c r="BA45" s="2"/>
      <c r="BB45" s="2"/>
      <c r="BC45" s="2"/>
      <c r="BD45" s="2"/>
      <c r="BE45" s="2"/>
      <c r="BF45" s="3">
        <v>1</v>
      </c>
      <c r="BG45" s="3"/>
      <c r="BH45" s="2"/>
      <c r="BI45" s="158"/>
      <c r="BJ45" s="158"/>
      <c r="BK45" s="139">
        <f>Table11[[#This Row],[Average MHT
(Feet)]]/16</f>
        <v>0</v>
      </c>
      <c r="BL45" s="2"/>
      <c r="BM45" s="139">
        <f>Table11[[#This Row],[Average DBH
(inches)]]/18</f>
        <v>0</v>
      </c>
      <c r="BN45" s="235">
        <f>((Table11[[#This Row],[Average DBH
(inches)]]-4)^2)*(Table11[[#This Row],[Average MHT
(Feet)]]/16)</f>
        <v>0</v>
      </c>
      <c r="BO45" s="235">
        <f>Table11[[#This Row],[Average BF]]*Table11[[#This Row],[2024 '#Trees Inventory + Estimate]]</f>
        <v>0</v>
      </c>
      <c r="BP45" s="240">
        <f>(Table11[[#This Row],[Harvest Year
(10 year)]]-Table11[[#This Row],[Year of Inventory]]+1)*(Table11[[#This Row],[Average DBH
(inches)]]/(Table11[[#This Row],[Harvest Year
(10 year)]]-Table11[[#This Row],[Year of Inventory]]+1))+Table11[[#This Row],[Average DBH
(inches)]]</f>
        <v>0</v>
      </c>
      <c r="BQ45" s="235">
        <f>((Table11[[#This Row],[Projected DBH
(Extrapolated Growth/Year)]]-4)^2)*(Table11[[#This Row],[Average MHT
(Feet)]]/16)</f>
        <v>0</v>
      </c>
      <c r="BR45" s="235">
        <f>Table11[[#This Row],[Projected Average BF]]*Table11[[#This Row],[2024 '#Trees Inventory + Estimate]]</f>
        <v>0</v>
      </c>
      <c r="BS45" s="235">
        <f>196*Table11[[#This Row],[2024 '#Trees Inventory + Estimate]]</f>
        <v>0</v>
      </c>
      <c r="BT45" s="235">
        <f>Table11[[#This Row],[ETP Offering Expected BF]]-Table11[[#This Row],[Projected Total BF]]</f>
        <v>0</v>
      </c>
      <c r="BU45" s="235">
        <f>(18-Table11[[#This Row],[Average DBH
(inches)]])/(D45-Table11[[#This Row],[Year of Inventory]]+1)</f>
        <v>18</v>
      </c>
    </row>
    <row r="46" spans="1:73" x14ac:dyDescent="0.25">
      <c r="A46" s="7" t="s">
        <v>297</v>
      </c>
      <c r="B46" s="2">
        <v>2016</v>
      </c>
      <c r="C46" s="2">
        <v>2017</v>
      </c>
      <c r="D46" s="2">
        <v>0</v>
      </c>
      <c r="E46" t="s">
        <v>298</v>
      </c>
      <c r="F46" s="161">
        <v>20020</v>
      </c>
      <c r="G46" t="s">
        <v>299</v>
      </c>
      <c r="H46" s="357"/>
      <c r="I46" t="s">
        <v>160</v>
      </c>
      <c r="J46" s="1"/>
      <c r="K46" s="1"/>
      <c r="L46" s="1"/>
      <c r="M46" s="1" t="s">
        <v>213</v>
      </c>
      <c r="Q46" s="2"/>
      <c r="R46" s="86"/>
      <c r="S46" s="2"/>
      <c r="T46" s="1">
        <v>1000</v>
      </c>
      <c r="U46" s="1">
        <v>1000</v>
      </c>
      <c r="V46" s="1" t="str">
        <f>IF(Table11[[#This Row],['#TreesContract]]-Table11[[#This Row],['#Planted]]=0,"",Table11[[#This Row],['#TreesContract]]-Table11[[#This Row],['#Planted]])</f>
        <v/>
      </c>
      <c r="W46" s="2"/>
      <c r="X46" s="34">
        <v>0.24</v>
      </c>
      <c r="Y46" s="163">
        <f>Table11[[#This Row],['#TreesContract]]*Table11[[#This Row],[USA Allocation %]]</f>
        <v>240</v>
      </c>
      <c r="Z46" s="163">
        <f>Table11[[#This Row],['#Planted]]*Table11[[#This Row],[USA Allocation %]]</f>
        <v>240</v>
      </c>
      <c r="AA46" s="34">
        <v>0.76</v>
      </c>
      <c r="AB46" s="163">
        <f>Table11[[#This Row],['#TreesContract]]*0.76</f>
        <v>760</v>
      </c>
      <c r="AC46" s="34"/>
      <c r="AD46" s="163"/>
      <c r="AE46" s="163">
        <f>Table11[[#This Row],[Canada Allocation-tree '#''s]]+Table11[[#This Row],[Can trees/Allocation 2017]]</f>
        <v>760</v>
      </c>
      <c r="AF46" s="5">
        <v>0</v>
      </c>
      <c r="AG46" s="35">
        <v>0</v>
      </c>
      <c r="AH46" s="35">
        <f>Table11[[#This Row],['#Trees as of 12/31/23]]*Table11[[#This Row],[USA Allocation %]]</f>
        <v>0</v>
      </c>
      <c r="AI46" s="404">
        <v>0</v>
      </c>
      <c r="AJ46" s="5">
        <v>0</v>
      </c>
      <c r="AK46" s="5">
        <v>0</v>
      </c>
      <c r="AL46" s="5">
        <v>0</v>
      </c>
      <c r="AM46" s="35">
        <f>AK46*Table11[[#This Row],['#TreesContract]]</f>
        <v>0</v>
      </c>
      <c r="AN46" s="35">
        <f>Table11[[#This Row],[2024 '#Trees Inventory + Estimate]]*Table11[[#This Row],[USA Allocation %]]</f>
        <v>0</v>
      </c>
      <c r="AO46" s="35">
        <f>Table11[[#This Row],[2024 '#Trees Inventory + Estimate]]*Table11[[#This Row],[Canada Allocation %]]</f>
        <v>0</v>
      </c>
      <c r="AP46" s="35">
        <f>Table11[[#This Row],[2024 '#Trees Inventory + Estimate]]*Table11[[#This Row],[Canada Allocation2017 %]]</f>
        <v>0</v>
      </c>
      <c r="AQ46" s="35">
        <f>Table11[[#This Row],['#Trees as of 2024/estimate-Can allocation]]+Table11[[#This Row],['#Trees as of 2024/estimate-Can allocation 2017]]</f>
        <v>0</v>
      </c>
      <c r="AR46" s="1" t="s">
        <v>214</v>
      </c>
      <c r="AS46" s="2"/>
      <c r="AT46" s="6">
        <f>IFERROR(Table11[[#This Row],['#Total Replacements]]/Table11[[#This Row],['#TreesContract]],"")</f>
        <v>0</v>
      </c>
      <c r="AU46" s="4">
        <f>IF(SUM(Table11[[#This Row],['#Replace 24]:['#Replace 16]])=0,0,SUM(Table11[[#This Row],['#Replace 24]:['#Replace 16]]))</f>
        <v>0</v>
      </c>
      <c r="AV46" s="2"/>
      <c r="AW46" s="2"/>
      <c r="AX46" s="3"/>
      <c r="AY46" s="2"/>
      <c r="AZ46" s="2"/>
      <c r="BA46" s="2"/>
      <c r="BB46" s="2"/>
      <c r="BC46" s="2"/>
      <c r="BD46" s="2"/>
      <c r="BE46" s="2"/>
      <c r="BF46" s="3">
        <v>1</v>
      </c>
      <c r="BG46" s="3">
        <v>1</v>
      </c>
      <c r="BH46" s="2"/>
      <c r="BI46" s="2"/>
      <c r="BJ46" s="2"/>
      <c r="BK46" s="139">
        <f>Table11[[#This Row],[Average MHT
(Feet)]]/16</f>
        <v>0</v>
      </c>
      <c r="BL46" s="2"/>
      <c r="BM46" s="139">
        <f>Table11[[#This Row],[Average DBH
(inches)]]/18</f>
        <v>0</v>
      </c>
      <c r="BN46" s="235">
        <f>((Table11[[#This Row],[Average DBH
(inches)]]-4)^2)*(Table11[[#This Row],[Average MHT
(Feet)]]/16)</f>
        <v>0</v>
      </c>
      <c r="BO46" s="235">
        <f>Table11[[#This Row],[Average BF]]*Table11[[#This Row],[2024 '#Trees Inventory + Estimate]]</f>
        <v>0</v>
      </c>
      <c r="BP46" s="240">
        <f>(Table11[[#This Row],[Harvest Year
(10 year)]]-Table11[[#This Row],[Year of Inventory]]+1)*(Table11[[#This Row],[Average DBH
(inches)]]/(Table11[[#This Row],[Harvest Year
(10 year)]]-Table11[[#This Row],[Year of Inventory]]+1))+Table11[[#This Row],[Average DBH
(inches)]]</f>
        <v>0</v>
      </c>
      <c r="BQ46" s="235">
        <f>((Table11[[#This Row],[Projected DBH
(Extrapolated Growth/Year)]]-4)^2)*(Table11[[#This Row],[Average MHT
(Feet)]]/16)</f>
        <v>0</v>
      </c>
      <c r="BR46" s="235">
        <f>Table11[[#This Row],[Projected Average BF]]*Table11[[#This Row],[2024 '#Trees Inventory + Estimate]]</f>
        <v>0</v>
      </c>
      <c r="BS46" s="235">
        <f>196*Table11[[#This Row],[2024 '#Trees Inventory + Estimate]]</f>
        <v>0</v>
      </c>
      <c r="BT46" s="235">
        <f>Table11[[#This Row],[ETP Offering Expected BF]]-Table11[[#This Row],[Projected Total BF]]</f>
        <v>0</v>
      </c>
      <c r="BU46" s="235">
        <f>(18-Table11[[#This Row],[Average DBH
(inches)]])/(D46-Table11[[#This Row],[Year of Inventory]]+1)</f>
        <v>18</v>
      </c>
    </row>
    <row r="47" spans="1:73" x14ac:dyDescent="0.25">
      <c r="A47" s="7" t="s">
        <v>300</v>
      </c>
      <c r="B47" s="2">
        <v>2016</v>
      </c>
      <c r="C47" s="2">
        <v>2017</v>
      </c>
      <c r="D47" s="2">
        <v>0</v>
      </c>
      <c r="E47" t="s">
        <v>301</v>
      </c>
      <c r="F47" s="161">
        <v>20021</v>
      </c>
      <c r="G47" t="s">
        <v>301</v>
      </c>
      <c r="H47" s="357"/>
      <c r="I47" t="s">
        <v>160</v>
      </c>
      <c r="J47" s="1"/>
      <c r="K47" s="1"/>
      <c r="L47" s="1"/>
      <c r="M47" s="1" t="s">
        <v>213</v>
      </c>
      <c r="Q47" s="2"/>
      <c r="R47" s="86"/>
      <c r="S47" s="2"/>
      <c r="T47" s="1">
        <v>250</v>
      </c>
      <c r="U47" s="1">
        <v>250</v>
      </c>
      <c r="V47" s="1" t="str">
        <f>IF(Table11[[#This Row],['#TreesContract]]-Table11[[#This Row],['#Planted]]=0,"",Table11[[#This Row],['#TreesContract]]-Table11[[#This Row],['#Planted]])</f>
        <v/>
      </c>
      <c r="W47" s="2"/>
      <c r="X47" s="34">
        <v>0.24</v>
      </c>
      <c r="Y47" s="163">
        <f>Table11[[#This Row],['#TreesContract]]*Table11[[#This Row],[USA Allocation %]]</f>
        <v>60</v>
      </c>
      <c r="Z47" s="163">
        <f>Table11[[#This Row],['#Planted]]*Table11[[#This Row],[USA Allocation %]]</f>
        <v>60</v>
      </c>
      <c r="AA47" s="34">
        <v>0.76</v>
      </c>
      <c r="AB47" s="163">
        <f>Table11[[#This Row],['#TreesContract]]*0.76</f>
        <v>190</v>
      </c>
      <c r="AC47" s="34"/>
      <c r="AD47" s="163"/>
      <c r="AE47" s="163">
        <f>Table11[[#This Row],[Canada Allocation-tree '#''s]]+Table11[[#This Row],[Can trees/Allocation 2017]]</f>
        <v>190</v>
      </c>
      <c r="AF47" s="5">
        <v>0</v>
      </c>
      <c r="AG47" s="35">
        <v>0</v>
      </c>
      <c r="AH47" s="35">
        <f>Table11[[#This Row],['#Trees as of 12/31/23]]*Table11[[#This Row],[USA Allocation %]]</f>
        <v>0</v>
      </c>
      <c r="AI47" s="404">
        <v>0</v>
      </c>
      <c r="AJ47" s="5">
        <v>0</v>
      </c>
      <c r="AK47" s="5">
        <v>0</v>
      </c>
      <c r="AL47" s="5">
        <v>0</v>
      </c>
      <c r="AM47" s="35">
        <f>AK47*Table11[[#This Row],['#TreesContract]]</f>
        <v>0</v>
      </c>
      <c r="AN47" s="35">
        <f>Table11[[#This Row],[2024 '#Trees Inventory + Estimate]]*Table11[[#This Row],[USA Allocation %]]</f>
        <v>0</v>
      </c>
      <c r="AO47" s="35">
        <f>Table11[[#This Row],[2024 '#Trees Inventory + Estimate]]*Table11[[#This Row],[Canada Allocation %]]</f>
        <v>0</v>
      </c>
      <c r="AP47" s="35">
        <f>Table11[[#This Row],[2024 '#Trees Inventory + Estimate]]*Table11[[#This Row],[Canada Allocation2017 %]]</f>
        <v>0</v>
      </c>
      <c r="AQ47" s="35">
        <f>Table11[[#This Row],['#Trees as of 2024/estimate-Can allocation]]+Table11[[#This Row],['#Trees as of 2024/estimate-Can allocation 2017]]</f>
        <v>0</v>
      </c>
      <c r="AR47" s="1" t="s">
        <v>214</v>
      </c>
      <c r="AS47" s="2"/>
      <c r="AT47" s="6">
        <f>IFERROR(Table11[[#This Row],['#Total Replacements]]/Table11[[#This Row],['#TreesContract]],"")</f>
        <v>0</v>
      </c>
      <c r="AU47" s="4">
        <f>IF(SUM(Table11[[#This Row],['#Replace 24]:['#Replace 16]])=0,0,SUM(Table11[[#This Row],['#Replace 24]:['#Replace 16]]))</f>
        <v>0</v>
      </c>
      <c r="AV47" s="2"/>
      <c r="AW47" s="2"/>
      <c r="AX47" s="3"/>
      <c r="AY47" s="2"/>
      <c r="AZ47" s="2"/>
      <c r="BA47" s="2"/>
      <c r="BB47" s="2"/>
      <c r="BC47" s="2"/>
      <c r="BD47" s="2"/>
      <c r="BE47" s="2"/>
      <c r="BF47" s="3">
        <v>1</v>
      </c>
      <c r="BG47" s="3"/>
      <c r="BH47" s="2"/>
      <c r="BI47" s="158"/>
      <c r="BJ47" s="158"/>
      <c r="BK47" s="139">
        <f>Table11[[#This Row],[Average MHT
(Feet)]]/16</f>
        <v>0</v>
      </c>
      <c r="BL47" s="2"/>
      <c r="BM47" s="139">
        <f>Table11[[#This Row],[Average DBH
(inches)]]/18</f>
        <v>0</v>
      </c>
      <c r="BN47" s="235">
        <f>((Table11[[#This Row],[Average DBH
(inches)]]-4)^2)*(Table11[[#This Row],[Average MHT
(Feet)]]/16)</f>
        <v>0</v>
      </c>
      <c r="BO47" s="235">
        <f>Table11[[#This Row],[Average BF]]*Table11[[#This Row],[2024 '#Trees Inventory + Estimate]]</f>
        <v>0</v>
      </c>
      <c r="BP47" s="240">
        <f>(Table11[[#This Row],[Harvest Year
(10 year)]]-Table11[[#This Row],[Year of Inventory]]+1)*(Table11[[#This Row],[Average DBH
(inches)]]/(Table11[[#This Row],[Harvest Year
(10 year)]]-Table11[[#This Row],[Year of Inventory]]+1))+Table11[[#This Row],[Average DBH
(inches)]]</f>
        <v>0</v>
      </c>
      <c r="BQ47" s="235">
        <f>((Table11[[#This Row],[Projected DBH
(Extrapolated Growth/Year)]]-4)^2)*(Table11[[#This Row],[Average MHT
(Feet)]]/16)</f>
        <v>0</v>
      </c>
      <c r="BR47" s="235">
        <f>Table11[[#This Row],[Projected Average BF]]*Table11[[#This Row],[2024 '#Trees Inventory + Estimate]]</f>
        <v>0</v>
      </c>
      <c r="BS47" s="235">
        <f>196*Table11[[#This Row],[2024 '#Trees Inventory + Estimate]]</f>
        <v>0</v>
      </c>
      <c r="BT47" s="235">
        <f>Table11[[#This Row],[ETP Offering Expected BF]]-Table11[[#This Row],[Projected Total BF]]</f>
        <v>0</v>
      </c>
      <c r="BU47" s="235">
        <f>(18-Table11[[#This Row],[Average DBH
(inches)]])/(D47-Table11[[#This Row],[Year of Inventory]]+1)</f>
        <v>18</v>
      </c>
    </row>
    <row r="48" spans="1:73" hidden="1" x14ac:dyDescent="0.25">
      <c r="A48" s="7" t="s">
        <v>302</v>
      </c>
      <c r="B48" s="2">
        <v>2016</v>
      </c>
      <c r="C48" s="2">
        <v>2017</v>
      </c>
      <c r="D48" s="2">
        <v>0</v>
      </c>
      <c r="E48" t="s">
        <v>303</v>
      </c>
      <c r="F48" s="161"/>
      <c r="G48" t="s">
        <v>304</v>
      </c>
      <c r="H48" s="357"/>
      <c r="I48" t="s">
        <v>160</v>
      </c>
      <c r="J48" s="1"/>
      <c r="K48" s="1"/>
      <c r="L48" s="1"/>
      <c r="M48" s="1" t="s">
        <v>213</v>
      </c>
      <c r="N48" s="353"/>
      <c r="O48" s="353"/>
      <c r="P48" s="353"/>
      <c r="Q48" s="2"/>
      <c r="R48" s="86"/>
      <c r="S48" s="2"/>
      <c r="T48" s="1">
        <v>1000</v>
      </c>
      <c r="U48" s="1">
        <v>1000</v>
      </c>
      <c r="V48" s="1" t="str">
        <f>IF(Table11[[#This Row],['#TreesContract]]-Table11[[#This Row],['#Planted]]=0,"",Table11[[#This Row],['#TreesContract]]-Table11[[#This Row],['#Planted]])</f>
        <v/>
      </c>
      <c r="W48" s="2"/>
      <c r="X48" s="34">
        <v>0.24</v>
      </c>
      <c r="Y48" s="163">
        <f>Table11[[#This Row],['#TreesContract]]*Table11[[#This Row],[USA Allocation %]]</f>
        <v>240</v>
      </c>
      <c r="Z48" s="163">
        <f>Table11[[#This Row],['#Planted]]*Table11[[#This Row],[USA Allocation %]]</f>
        <v>240</v>
      </c>
      <c r="AA48" s="34">
        <v>0.76</v>
      </c>
      <c r="AB48" s="163">
        <f>Table11[[#This Row],['#TreesContract]]*0.76</f>
        <v>760</v>
      </c>
      <c r="AC48" s="34"/>
      <c r="AD48" s="163"/>
      <c r="AE48" s="163">
        <f>Table11[[#This Row],[Canada Allocation-tree '#''s]]+Table11[[#This Row],[Can trees/Allocation 2017]]</f>
        <v>760</v>
      </c>
      <c r="AF48" s="5">
        <v>0</v>
      </c>
      <c r="AG48" s="35">
        <v>0</v>
      </c>
      <c r="AH48" s="35">
        <f>Table11[[#This Row],['#Trees as of 12/31/23]]*Table11[[#This Row],[USA Allocation %]]</f>
        <v>0</v>
      </c>
      <c r="AI48" s="404">
        <f>Table11[[#This Row],['#TreesContract]]*Table11[[#This Row],[2024 Inventory Survival%-master]]</f>
        <v>0</v>
      </c>
      <c r="AJ48" s="5">
        <v>0</v>
      </c>
      <c r="AK48" s="5">
        <v>0</v>
      </c>
      <c r="AL48" s="5">
        <v>0</v>
      </c>
      <c r="AM48" s="35">
        <f>AK48*Table11[[#This Row],['#TreesContract]]</f>
        <v>0</v>
      </c>
      <c r="AN48" s="35">
        <f>Table11[[#This Row],[2024 '#Trees Inventory + Estimate]]*Table11[[#This Row],[USA Allocation %]]</f>
        <v>0</v>
      </c>
      <c r="AO48" s="35">
        <f>Table11[[#This Row],[2024 '#Trees Inventory + Estimate]]*Table11[[#This Row],[Canada Allocation %]]</f>
        <v>0</v>
      </c>
      <c r="AP48" s="35">
        <f>Table11[[#This Row],[2024 '#Trees Inventory + Estimate]]*Table11[[#This Row],[Canada Allocation2017 %]]</f>
        <v>0</v>
      </c>
      <c r="AQ48" s="35">
        <f>Table11[[#This Row],['#Trees as of 2024/estimate-Can allocation]]+Table11[[#This Row],['#Trees as of 2024/estimate-Can allocation 2017]]</f>
        <v>0</v>
      </c>
      <c r="AR48" s="1" t="s">
        <v>214</v>
      </c>
      <c r="AS48" s="2"/>
      <c r="AT48" s="6">
        <f>IFERROR(Table11[[#This Row],['#Total Replacements]]/Table11[[#This Row],['#TreesContract]],"")</f>
        <v>0</v>
      </c>
      <c r="AU48" s="4">
        <f>IF(SUM(Table11[[#This Row],['#Replace 24]:['#Replace 16]])=0,0,SUM(Table11[[#This Row],['#Replace 24]:['#Replace 16]]))</f>
        <v>0</v>
      </c>
      <c r="AV48" s="2"/>
      <c r="AW48" s="2"/>
      <c r="AX48" s="3"/>
      <c r="AY48" s="2"/>
      <c r="AZ48" s="2"/>
      <c r="BA48" s="2"/>
      <c r="BB48" s="2"/>
      <c r="BC48" s="2"/>
      <c r="BD48" s="2"/>
      <c r="BE48" s="2"/>
      <c r="BF48" s="3">
        <v>1</v>
      </c>
      <c r="BG48" s="3"/>
      <c r="BH48" s="2"/>
      <c r="BI48" s="158"/>
      <c r="BJ48" s="158"/>
      <c r="BK48" s="139">
        <f>Table11[[#This Row],[Average MHT
(Feet)]]/16</f>
        <v>0</v>
      </c>
      <c r="BL48" s="2"/>
      <c r="BM48" s="139">
        <f>Table11[[#This Row],[Average DBH
(inches)]]/18</f>
        <v>0</v>
      </c>
      <c r="BN48" s="235">
        <f>((Table11[[#This Row],[Average DBH
(inches)]]-4)^2)*(Table11[[#This Row],[Average MHT
(Feet)]]/16)</f>
        <v>0</v>
      </c>
      <c r="BO48" s="235">
        <f>Table11[[#This Row],[Average BF]]*Table11[[#This Row],[2024 '#Trees Inventory + Estimate]]</f>
        <v>0</v>
      </c>
      <c r="BP48" s="240">
        <f>(Table11[[#This Row],[Harvest Year
(10 year)]]-Table11[[#This Row],[Year of Inventory]]+1)*(Table11[[#This Row],[Average DBH
(inches)]]/(Table11[[#This Row],[Harvest Year
(10 year)]]-Table11[[#This Row],[Year of Inventory]]+1))+Table11[[#This Row],[Average DBH
(inches)]]</f>
        <v>0</v>
      </c>
      <c r="BQ48" s="235">
        <f>((Table11[[#This Row],[Projected DBH
(Extrapolated Growth/Year)]]-4)^2)*(Table11[[#This Row],[Average MHT
(Feet)]]/16)</f>
        <v>0</v>
      </c>
      <c r="BR48" s="235">
        <f>Table11[[#This Row],[Projected Average BF]]*Table11[[#This Row],[2024 '#Trees Inventory + Estimate]]</f>
        <v>0</v>
      </c>
      <c r="BS48" s="235">
        <f>196*Table11[[#This Row],[2024 '#Trees Inventory + Estimate]]</f>
        <v>0</v>
      </c>
      <c r="BT48" s="235">
        <f>Table11[[#This Row],[ETP Offering Expected BF]]-Table11[[#This Row],[Projected Total BF]]</f>
        <v>0</v>
      </c>
      <c r="BU48" s="235">
        <f>(18-Table11[[#This Row],[Average DBH
(inches)]])/(D48-Table11[[#This Row],[Year of Inventory]]+1)</f>
        <v>18</v>
      </c>
    </row>
    <row r="49" spans="1:73" hidden="1" x14ac:dyDescent="0.25">
      <c r="A49" s="7" t="s">
        <v>305</v>
      </c>
      <c r="B49" s="2">
        <v>2016</v>
      </c>
      <c r="C49" s="2">
        <v>2018</v>
      </c>
      <c r="D49" s="2">
        <f>Table11[[#This Row],[Planting Year]]+9</f>
        <v>2027</v>
      </c>
      <c r="E49" s="97" t="s">
        <v>176</v>
      </c>
      <c r="F49" s="161">
        <v>10006</v>
      </c>
      <c r="G49" t="s">
        <v>176</v>
      </c>
      <c r="H49" s="357" t="s">
        <v>177</v>
      </c>
      <c r="I49" t="s">
        <v>155</v>
      </c>
      <c r="J49" s="1" t="s">
        <v>178</v>
      </c>
      <c r="K49" s="1" t="s">
        <v>179</v>
      </c>
      <c r="L49" s="1" t="s">
        <v>179</v>
      </c>
      <c r="M49" s="1" t="s">
        <v>150</v>
      </c>
      <c r="N49" t="s">
        <v>306</v>
      </c>
      <c r="O49">
        <v>33.147100999999999</v>
      </c>
      <c r="P49">
        <v>-85.298480999999995</v>
      </c>
      <c r="Q49" s="2"/>
      <c r="R49" s="86"/>
      <c r="S49" s="2"/>
      <c r="T49" s="1">
        <v>660</v>
      </c>
      <c r="U49" s="1">
        <v>660</v>
      </c>
      <c r="V49" s="1" t="str">
        <f>IF(Table11[[#This Row],['#TreesContract]]-Table11[[#This Row],['#Planted]]=0,"",Table11[[#This Row],['#TreesContract]]-Table11[[#This Row],['#Planted]])</f>
        <v/>
      </c>
      <c r="W49" s="2"/>
      <c r="X49" s="34">
        <v>0.11363636363636363</v>
      </c>
      <c r="Y49" s="163">
        <f>Table11[[#This Row],['#TreesContract]]*Table11[[#This Row],[USA Allocation %]]</f>
        <v>75</v>
      </c>
      <c r="Z49" s="163">
        <f>Table11[[#This Row],['#Planted]]*Table11[[#This Row],[USA Allocation %]]</f>
        <v>75</v>
      </c>
      <c r="AA49" s="34">
        <v>0.33181818181818185</v>
      </c>
      <c r="AB49" s="163">
        <f>Table11[[#This Row],['#TreesContract]]*0.33</f>
        <v>217.8</v>
      </c>
      <c r="AC49" s="34">
        <v>0.55454545454545456</v>
      </c>
      <c r="AD49" s="163">
        <f>Table11[[#This Row],['#TreesContract]]*0.55</f>
        <v>363.00000000000006</v>
      </c>
      <c r="AE49" s="163">
        <f>Table11[[#This Row],[Canada Allocation-tree '#''s]]+Table11[[#This Row],[Can trees/Allocation 2017]]</f>
        <v>580.80000000000007</v>
      </c>
      <c r="AF49" s="5">
        <v>0.76315789473684204</v>
      </c>
      <c r="AG49" s="35">
        <v>503.68421052631572</v>
      </c>
      <c r="AH49" s="35">
        <f>Table11[[#This Row],['#Trees as of 12/31/23]]*Table11[[#This Row],[USA Allocation %]]</f>
        <v>57.23684210526315</v>
      </c>
      <c r="AI49" s="437">
        <f>Table11[[#This Row],['#TreesContract]]*Table11[[#This Row],[2024 Inventory Survival%-master]]</f>
        <v>0</v>
      </c>
      <c r="AJ49" s="436"/>
      <c r="AK49" s="5">
        <v>0.76315789473684204</v>
      </c>
      <c r="AL49" s="5">
        <v>0.76315789473684204</v>
      </c>
      <c r="AM49" s="35">
        <f>AK49*Table11[[#This Row],['#TreesContract]]</f>
        <v>503.68421052631572</v>
      </c>
      <c r="AN49" s="35">
        <f>Table11[[#This Row],[2024 '#Trees Inventory + Estimate]]*Table11[[#This Row],[USA Allocation %]]</f>
        <v>57.23684210526315</v>
      </c>
      <c r="AO49" s="35">
        <f>Table11[[#This Row],[2024 '#Trees Inventory + Estimate]]*Table11[[#This Row],[Canada Allocation %]]</f>
        <v>167.13157894736841</v>
      </c>
      <c r="AP49" s="35">
        <f>Table11[[#This Row],[2024 '#Trees Inventory + Estimate]]*Table11[[#This Row],[Canada Allocation2017 %]]</f>
        <v>279.31578947368416</v>
      </c>
      <c r="AQ49" s="35">
        <f>Table11[[#This Row],['#Trees as of 2024/estimate-Can allocation]]+Table11[[#This Row],['#Trees as of 2024/estimate-Can allocation 2017]]</f>
        <v>446.4473684210526</v>
      </c>
      <c r="AR49" s="1" t="s">
        <v>152</v>
      </c>
      <c r="AS49" s="2" t="s">
        <v>181</v>
      </c>
      <c r="AT49" s="6">
        <f>IFERROR(Table11[[#This Row],['#Total Replacements]]/Table11[[#This Row],['#TreesContract]],"")</f>
        <v>0.34242424242424241</v>
      </c>
      <c r="AU49" s="4">
        <f>IF(SUM(Table11[[#This Row],['#Replace 24]:['#Replace 16]])=0,0,SUM(Table11[[#This Row],['#Replace 24]:['#Replace 16]]))</f>
        <v>226</v>
      </c>
      <c r="AV49" s="2"/>
      <c r="AW49" s="2"/>
      <c r="AX49" s="3"/>
      <c r="AY49" s="2"/>
      <c r="AZ49" s="2">
        <v>100</v>
      </c>
      <c r="BA49" s="2"/>
      <c r="BB49" s="2">
        <v>86</v>
      </c>
      <c r="BC49" s="2">
        <v>40</v>
      </c>
      <c r="BD49" s="2"/>
      <c r="BE49" s="2"/>
      <c r="BF49" s="3">
        <v>1</v>
      </c>
      <c r="BG49" s="3">
        <v>1</v>
      </c>
      <c r="BH49" s="2"/>
      <c r="BI49" s="158"/>
      <c r="BJ49" s="158"/>
      <c r="BK49" s="139">
        <f>Table11[[#This Row],[Average MHT
(Feet)]]/16</f>
        <v>0</v>
      </c>
      <c r="BL49" s="2"/>
      <c r="BM49" s="139">
        <f>Table11[[#This Row],[Average DBH
(inches)]]/18</f>
        <v>0</v>
      </c>
      <c r="BN49" s="235">
        <f>((Table11[[#This Row],[Average DBH
(inches)]]-4)^2)*(Table11[[#This Row],[Average MHT
(Feet)]]/16)</f>
        <v>0</v>
      </c>
      <c r="BO49" s="235">
        <f>Table11[[#This Row],[Average BF]]*Table11[[#This Row],[2024 '#Trees Inventory + Estimate]]</f>
        <v>0</v>
      </c>
      <c r="BP49" s="240">
        <f>(Table11[[#This Row],[Harvest Year
(10 year)]]-Table11[[#This Row],[Year of Inventory]]+1)*(Table11[[#This Row],[Average DBH
(inches)]]/(Table11[[#This Row],[Harvest Year
(10 year)]]-Table11[[#This Row],[Year of Inventory]]+1))+Table11[[#This Row],[Average DBH
(inches)]]</f>
        <v>0</v>
      </c>
      <c r="BQ49" s="235">
        <f>((Table11[[#This Row],[Projected DBH
(Extrapolated Growth/Year)]]-4)^2)*(Table11[[#This Row],[Average MHT
(Feet)]]/16)</f>
        <v>0</v>
      </c>
      <c r="BR49" s="235">
        <f>Table11[[#This Row],[Projected Average BF]]*Table11[[#This Row],[2024 '#Trees Inventory + Estimate]]</f>
        <v>0</v>
      </c>
      <c r="BS49" s="235">
        <f>196*Table11[[#This Row],[2024 '#Trees Inventory + Estimate]]</f>
        <v>98722.105263157879</v>
      </c>
      <c r="BT49" s="243">
        <f>Table11[[#This Row],[ETP Offering Expected BF]]-Table11[[#This Row],[Projected Total BF]]</f>
        <v>98722.105263157879</v>
      </c>
      <c r="BU49" s="235">
        <f>(18-Table11[[#This Row],[Average DBH
(inches)]])/(D49-Table11[[#This Row],[Year of Inventory]]+1)</f>
        <v>8.8757396449704144E-3</v>
      </c>
    </row>
    <row r="50" spans="1:73" hidden="1" x14ac:dyDescent="0.25">
      <c r="A50" s="7" t="s">
        <v>307</v>
      </c>
      <c r="B50" s="2">
        <v>2016</v>
      </c>
      <c r="C50" s="2">
        <v>2018</v>
      </c>
      <c r="D50" s="2">
        <v>0</v>
      </c>
      <c r="E50" s="97" t="s">
        <v>254</v>
      </c>
      <c r="F50" s="161">
        <v>10016</v>
      </c>
      <c r="G50" t="s">
        <v>255</v>
      </c>
      <c r="H50" s="357" t="s">
        <v>256</v>
      </c>
      <c r="I50" t="s">
        <v>160</v>
      </c>
      <c r="J50" s="1" t="s">
        <v>257</v>
      </c>
      <c r="K50" s="1" t="s">
        <v>258</v>
      </c>
      <c r="L50" s="1" t="s">
        <v>258</v>
      </c>
      <c r="M50" s="1" t="s">
        <v>150</v>
      </c>
      <c r="N50" t="s">
        <v>308</v>
      </c>
      <c r="O50">
        <v>49.065235000000001</v>
      </c>
      <c r="P50">
        <v>-123.856235</v>
      </c>
      <c r="Q50" s="2"/>
      <c r="R50" s="86"/>
      <c r="S50" s="2"/>
      <c r="T50" s="1">
        <v>425</v>
      </c>
      <c r="U50" s="1">
        <v>425</v>
      </c>
      <c r="V50" s="1" t="str">
        <f>IF(Table11[[#This Row],['#TreesContract]]-Table11[[#This Row],['#Planted]]=0,"",Table11[[#This Row],['#TreesContract]]-Table11[[#This Row],['#Planted]])</f>
        <v/>
      </c>
      <c r="W50" s="2"/>
      <c r="X50" s="34">
        <v>0.11294117647058824</v>
      </c>
      <c r="Y50" s="163">
        <f>Table11[[#This Row],['#TreesContract]]*Table11[[#This Row],[USA Allocation %]]</f>
        <v>48</v>
      </c>
      <c r="Z50" s="163">
        <f>Table11[[#This Row],['#Planted]]*Table11[[#This Row],[USA Allocation %]]</f>
        <v>48</v>
      </c>
      <c r="AA50" s="34">
        <v>0.33176470588235296</v>
      </c>
      <c r="AB50" s="163">
        <f>Table11[[#This Row],['#TreesContract]]*0.33</f>
        <v>140.25</v>
      </c>
      <c r="AC50" s="34">
        <v>0.55529411764705883</v>
      </c>
      <c r="AD50" s="163">
        <f>Table11[[#This Row],['#TreesContract]]*0.56</f>
        <v>238.00000000000003</v>
      </c>
      <c r="AE50" s="163">
        <f>Table11[[#This Row],[Canada Allocation-tree '#''s]]+Table11[[#This Row],[Can trees/Allocation 2017]]</f>
        <v>378.25</v>
      </c>
      <c r="AF50" s="5">
        <v>0.82352941176470584</v>
      </c>
      <c r="AG50" s="35">
        <v>350</v>
      </c>
      <c r="AH50" s="35">
        <f>Table11[[#This Row],['#Trees as of 12/31/23]]*Table11[[#This Row],[USA Allocation %]]</f>
        <v>39.529411764705884</v>
      </c>
      <c r="AI50" s="404">
        <f>Table11[[#This Row],['#TreesContract]]*Table11[[#This Row],[2024 Inventory Survival%-master]]</f>
        <v>0</v>
      </c>
      <c r="AJ50" s="5">
        <v>0</v>
      </c>
      <c r="AK50" s="5">
        <v>0</v>
      </c>
      <c r="AL50" s="5">
        <v>0</v>
      </c>
      <c r="AM50" s="35">
        <f>AK50*Table11[[#This Row],['#TreesContract]]</f>
        <v>0</v>
      </c>
      <c r="AN50" s="35">
        <v>0</v>
      </c>
      <c r="AO50" s="35">
        <f>Table11[[#This Row],[2024 '#Trees Inventory + Estimate]]*Table11[[#This Row],[Canada Allocation %]]</f>
        <v>0</v>
      </c>
      <c r="AP50" s="35">
        <f>Table11[[#This Row],[2024 '#Trees Inventory + Estimate]]*Table11[[#This Row],[Canada Allocation2017 %]]</f>
        <v>0</v>
      </c>
      <c r="AQ50" s="35">
        <f>Table11[[#This Row],['#Trees as of 2024/estimate-Can allocation]]+Table11[[#This Row],['#Trees as of 2024/estimate-Can allocation 2017]]</f>
        <v>0</v>
      </c>
      <c r="AR50" s="1" t="s">
        <v>152</v>
      </c>
      <c r="AS50" s="2" t="s">
        <v>153</v>
      </c>
      <c r="AT50" s="6">
        <f>IFERROR(Table11[[#This Row],['#Total Replacements]]/Table11[[#This Row],['#TreesContract]],"")</f>
        <v>0.47058823529411764</v>
      </c>
      <c r="AU50" s="4">
        <f>IF(SUM(Table11[[#This Row],['#Replace 24]:['#Replace 16]])=0,0,SUM(Table11[[#This Row],['#Replace 24]:['#Replace 16]]))</f>
        <v>200</v>
      </c>
      <c r="AV50" s="2"/>
      <c r="AW50" s="2"/>
      <c r="AX50" s="3"/>
      <c r="AY50" s="2"/>
      <c r="AZ50" s="2"/>
      <c r="BA50" s="2"/>
      <c r="BB50" s="2">
        <v>200</v>
      </c>
      <c r="BC50" s="2"/>
      <c r="BD50" s="2"/>
      <c r="BE50" s="2"/>
      <c r="BF50" s="3">
        <v>1</v>
      </c>
      <c r="BG50" s="3">
        <v>1</v>
      </c>
      <c r="BH50" s="2"/>
      <c r="BI50" s="2"/>
      <c r="BJ50" s="2"/>
      <c r="BK50" s="139">
        <f>Table11[[#This Row],[Average MHT
(Feet)]]/16</f>
        <v>0</v>
      </c>
      <c r="BL50" s="2"/>
      <c r="BM50" s="139">
        <f>Table11[[#This Row],[Average DBH
(inches)]]/18</f>
        <v>0</v>
      </c>
      <c r="BN50" s="235">
        <f>((Table11[[#This Row],[Average DBH
(inches)]]-4)^2)*(Table11[[#This Row],[Average MHT
(Feet)]]/16)</f>
        <v>0</v>
      </c>
      <c r="BO50" s="235">
        <f>Table11[[#This Row],[Average BF]]*Table11[[#This Row],[2024 '#Trees Inventory + Estimate]]</f>
        <v>0</v>
      </c>
      <c r="BP50" s="240">
        <f>(Table11[[#This Row],[Harvest Year
(10 year)]]-Table11[[#This Row],[Year of Inventory]]+1)*(Table11[[#This Row],[Average DBH
(inches)]]/(Table11[[#This Row],[Harvest Year
(10 year)]]-Table11[[#This Row],[Year of Inventory]]+1))+Table11[[#This Row],[Average DBH
(inches)]]</f>
        <v>0</v>
      </c>
      <c r="BQ50" s="235">
        <f>((Table11[[#This Row],[Projected DBH
(Extrapolated Growth/Year)]]-4)^2)*(Table11[[#This Row],[Average MHT
(Feet)]]/16)</f>
        <v>0</v>
      </c>
      <c r="BR50" s="235">
        <f>Table11[[#This Row],[Projected Average BF]]*Table11[[#This Row],[2024 '#Trees Inventory + Estimate]]</f>
        <v>0</v>
      </c>
      <c r="BS50" s="235">
        <f>196*Table11[[#This Row],[2024 '#Trees Inventory + Estimate]]</f>
        <v>0</v>
      </c>
      <c r="BT50" s="235">
        <f>Table11[[#This Row],[ETP Offering Expected BF]]-Table11[[#This Row],[Projected Total BF]]</f>
        <v>0</v>
      </c>
      <c r="BU50" s="235">
        <f>(18-Table11[[#This Row],[Average DBH
(inches)]])/(D50-Table11[[#This Row],[Year of Inventory]]+1)</f>
        <v>18</v>
      </c>
    </row>
    <row r="51" spans="1:73" hidden="1" x14ac:dyDescent="0.25">
      <c r="A51" s="7" t="s">
        <v>309</v>
      </c>
      <c r="B51" s="2">
        <v>2016</v>
      </c>
      <c r="C51" s="2">
        <v>2018</v>
      </c>
      <c r="D51" s="2">
        <v>0</v>
      </c>
      <c r="E51" s="97" t="s">
        <v>310</v>
      </c>
      <c r="F51" s="161">
        <v>10019</v>
      </c>
      <c r="G51" t="s">
        <v>310</v>
      </c>
      <c r="H51" s="357"/>
      <c r="I51" t="s">
        <v>160</v>
      </c>
      <c r="J51" s="1"/>
      <c r="K51" s="1"/>
      <c r="L51" s="1"/>
      <c r="M51" s="1" t="s">
        <v>150</v>
      </c>
      <c r="Q51" s="2"/>
      <c r="R51" s="86"/>
      <c r="S51" s="2"/>
      <c r="T51" s="1">
        <v>2200</v>
      </c>
      <c r="U51" s="1">
        <v>2200</v>
      </c>
      <c r="V51" s="1" t="str">
        <f>IF(Table11[[#This Row],['#TreesContract]]-Table11[[#This Row],['#Planted]]=0,"",Table11[[#This Row],['#TreesContract]]-Table11[[#This Row],['#Planted]])</f>
        <v/>
      </c>
      <c r="W51" s="2"/>
      <c r="X51" s="34">
        <v>0.11318181818181818</v>
      </c>
      <c r="Y51" s="163">
        <f>Table11[[#This Row],['#TreesContract]]*Table11[[#This Row],[USA Allocation %]]</f>
        <v>248.99999999999997</v>
      </c>
      <c r="Z51" s="163">
        <f>Table11[[#This Row],['#Planted]]*Table11[[#This Row],[USA Allocation %]]</f>
        <v>248.99999999999997</v>
      </c>
      <c r="AA51" s="34">
        <v>0.33181818181818185</v>
      </c>
      <c r="AB51" s="163">
        <f>Table11[[#This Row],['#TreesContract]]*0.33</f>
        <v>726</v>
      </c>
      <c r="AC51" s="34">
        <v>0.55500000000000005</v>
      </c>
      <c r="AD51" s="163">
        <f>Table11[[#This Row],['#TreesContract]]*0.56</f>
        <v>1232.0000000000002</v>
      </c>
      <c r="AE51" s="163">
        <f>Table11[[#This Row],[Canada Allocation-tree '#''s]]+Table11[[#This Row],[Can trees/Allocation 2017]]</f>
        <v>1958.0000000000002</v>
      </c>
      <c r="AF51" s="5">
        <v>0</v>
      </c>
      <c r="AG51" s="35">
        <v>0</v>
      </c>
      <c r="AH51" s="35">
        <f>Table11[[#This Row],['#Trees as of 12/31/23]]*Table11[[#This Row],[USA Allocation %]]</f>
        <v>0</v>
      </c>
      <c r="AI51" s="404">
        <f>Table11[[#This Row],['#TreesContract]]*Table11[[#This Row],[2024 Inventory Survival%-master]]</f>
        <v>0</v>
      </c>
      <c r="AJ51" s="5">
        <v>0</v>
      </c>
      <c r="AK51" s="5">
        <v>0</v>
      </c>
      <c r="AL51" s="5">
        <v>0</v>
      </c>
      <c r="AM51" s="35">
        <f>AK51*Table11[[#This Row],['#TreesContract]]</f>
        <v>0</v>
      </c>
      <c r="AN51" s="35">
        <f>Table11[[#This Row],[2024 '#Trees Inventory + Estimate]]*Table11[[#This Row],[USA Allocation %]]</f>
        <v>0</v>
      </c>
      <c r="AO51" s="35">
        <f>Table11[[#This Row],[2024 '#Trees Inventory + Estimate]]*Table11[[#This Row],[Canada Allocation %]]</f>
        <v>0</v>
      </c>
      <c r="AP51" s="35">
        <f>Table11[[#This Row],[2024 '#Trees Inventory + Estimate]]*Table11[[#This Row],[Canada Allocation2017 %]]</f>
        <v>0</v>
      </c>
      <c r="AQ51" s="35">
        <f>Table11[[#This Row],['#Trees as of 2024/estimate-Can allocation]]+Table11[[#This Row],['#Trees as of 2024/estimate-Can allocation 2017]]</f>
        <v>0</v>
      </c>
      <c r="AR51" s="1" t="s">
        <v>152</v>
      </c>
      <c r="AS51" s="2"/>
      <c r="AT51" s="6">
        <f>IFERROR(Table11[[#This Row],['#Total Replacements]]/Table11[[#This Row],['#TreesContract]],"")</f>
        <v>0</v>
      </c>
      <c r="AU51" s="4">
        <f>IF(SUM(Table11[[#This Row],['#Replace 24]:['#Replace 16]])=0,0,SUM(Table11[[#This Row],['#Replace 24]:['#Replace 16]]))</f>
        <v>0</v>
      </c>
      <c r="AV51" s="2"/>
      <c r="AW51" s="2"/>
      <c r="AX51" s="3"/>
      <c r="AY51" s="2"/>
      <c r="AZ51" s="2"/>
      <c r="BA51" s="2"/>
      <c r="BB51" s="2"/>
      <c r="BC51" s="2"/>
      <c r="BD51" s="2"/>
      <c r="BE51" s="2"/>
      <c r="BF51" s="3">
        <v>1</v>
      </c>
      <c r="BG51" s="3"/>
      <c r="BH51" s="2"/>
      <c r="BI51" s="158"/>
      <c r="BJ51" s="158"/>
      <c r="BK51" s="139">
        <f>Table11[[#This Row],[Average MHT
(Feet)]]/16</f>
        <v>0</v>
      </c>
      <c r="BL51" s="2"/>
      <c r="BM51" s="139">
        <f>Table11[[#This Row],[Average DBH
(inches)]]/18</f>
        <v>0</v>
      </c>
      <c r="BN51" s="235">
        <f>((Table11[[#This Row],[Average DBH
(inches)]]-4)^2)*(Table11[[#This Row],[Average MHT
(Feet)]]/16)</f>
        <v>0</v>
      </c>
      <c r="BO51" s="235">
        <f>Table11[[#This Row],[Average BF]]*Table11[[#This Row],[2024 '#Trees Inventory + Estimate]]</f>
        <v>0</v>
      </c>
      <c r="BP51" s="240">
        <f>(Table11[[#This Row],[Harvest Year
(10 year)]]-Table11[[#This Row],[Year of Inventory]]+1)*(Table11[[#This Row],[Average DBH
(inches)]]/(Table11[[#This Row],[Harvest Year
(10 year)]]-Table11[[#This Row],[Year of Inventory]]+1))+Table11[[#This Row],[Average DBH
(inches)]]</f>
        <v>0</v>
      </c>
      <c r="BQ51" s="235">
        <f>((Table11[[#This Row],[Projected DBH
(Extrapolated Growth/Year)]]-4)^2)*(Table11[[#This Row],[Average MHT
(Feet)]]/16)</f>
        <v>0</v>
      </c>
      <c r="BR51" s="235">
        <f>Table11[[#This Row],[Projected Average BF]]*Table11[[#This Row],[2024 '#Trees Inventory + Estimate]]</f>
        <v>0</v>
      </c>
      <c r="BS51" s="235">
        <f>196*Table11[[#This Row],[2024 '#Trees Inventory + Estimate]]</f>
        <v>0</v>
      </c>
      <c r="BT51" s="235">
        <f>Table11[[#This Row],[ETP Offering Expected BF]]-Table11[[#This Row],[Projected Total BF]]</f>
        <v>0</v>
      </c>
      <c r="BU51" s="235">
        <f>(18-Table11[[#This Row],[Average DBH
(inches)]])/(D51-Table11[[#This Row],[Year of Inventory]]+1)</f>
        <v>18</v>
      </c>
    </row>
    <row r="52" spans="1:73" hidden="1" x14ac:dyDescent="0.25">
      <c r="A52" s="7" t="s">
        <v>311</v>
      </c>
      <c r="B52" s="2">
        <v>2016</v>
      </c>
      <c r="C52" s="2">
        <v>2018</v>
      </c>
      <c r="D52" s="2">
        <f>Table11[[#This Row],[Planting Year]]+9</f>
        <v>2027</v>
      </c>
      <c r="E52" s="97" t="s">
        <v>312</v>
      </c>
      <c r="F52" s="161">
        <v>10020</v>
      </c>
      <c r="G52" t="s">
        <v>313</v>
      </c>
      <c r="H52" s="357" t="s">
        <v>314</v>
      </c>
      <c r="I52" t="s">
        <v>155</v>
      </c>
      <c r="J52" s="1" t="s">
        <v>315</v>
      </c>
      <c r="K52" s="1" t="s">
        <v>316</v>
      </c>
      <c r="L52" s="1" t="s">
        <v>316</v>
      </c>
      <c r="M52" s="1" t="s">
        <v>150</v>
      </c>
      <c r="N52" t="s">
        <v>317</v>
      </c>
      <c r="O52">
        <v>36.949086999999999</v>
      </c>
      <c r="P52">
        <v>-85.989939000000007</v>
      </c>
      <c r="Q52" s="2"/>
      <c r="R52" s="86"/>
      <c r="S52" s="2"/>
      <c r="T52" s="1">
        <v>2530</v>
      </c>
      <c r="U52" s="1">
        <v>2530</v>
      </c>
      <c r="V52" s="1" t="str">
        <f>IF(Table11[[#This Row],['#TreesContract]]-Table11[[#This Row],['#Planted]]=0,"",Table11[[#This Row],['#TreesContract]]-Table11[[#This Row],['#Planted]])</f>
        <v/>
      </c>
      <c r="W52" s="2"/>
      <c r="X52" s="34">
        <v>0.11304347826086956</v>
      </c>
      <c r="Y52" s="163">
        <f>Table11[[#This Row],['#TreesContract]]*Table11[[#This Row],[USA Allocation %]]</f>
        <v>286</v>
      </c>
      <c r="Z52" s="163">
        <f>Table11[[#This Row],['#Planted]]*Table11[[#This Row],[USA Allocation %]]</f>
        <v>286</v>
      </c>
      <c r="AA52" s="34">
        <v>0.33201581027667987</v>
      </c>
      <c r="AB52" s="163">
        <f>Table11[[#This Row],['#TreesContract]]*0.33</f>
        <v>834.90000000000009</v>
      </c>
      <c r="AC52" s="34">
        <v>0.55494071146245061</v>
      </c>
      <c r="AD52" s="163">
        <f>Table11[[#This Row],['#TreesContract]]*0.55</f>
        <v>1391.5</v>
      </c>
      <c r="AE52" s="163">
        <f>Table11[[#This Row],[Canada Allocation-tree '#''s]]+Table11[[#This Row],[Can trees/Allocation 2017]]</f>
        <v>2226.4</v>
      </c>
      <c r="AF52" s="5">
        <v>0.65793722892853301</v>
      </c>
      <c r="AG52" s="35">
        <v>1664.5811891891885</v>
      </c>
      <c r="AH52" s="35">
        <f>Table11[[#This Row],['#Trees as of 12/31/23]]*Table11[[#This Row],[USA Allocation %]]</f>
        <v>188.17004747356043</v>
      </c>
      <c r="AI52" s="437">
        <f>Table11[[#This Row],['#TreesContract]]*Table11[[#This Row],[2024 Inventory Survival%-master]]</f>
        <v>0</v>
      </c>
      <c r="AJ52" s="436"/>
      <c r="AK52" s="5">
        <v>0.65793722892853301</v>
      </c>
      <c r="AL52" s="5">
        <v>0.65793722892853301</v>
      </c>
      <c r="AM52" s="35">
        <f>AK52*Table11[[#This Row],['#TreesContract]]</f>
        <v>1664.5811891891885</v>
      </c>
      <c r="AN52" s="35">
        <f>Table11[[#This Row],[2024 '#Trees Inventory + Estimate]]*Table11[[#This Row],[USA Allocation %]]</f>
        <v>188.17004747356043</v>
      </c>
      <c r="AO52" s="35">
        <f>Table11[[#This Row],[2024 '#Trees Inventory + Estimate]]*Table11[[#This Row],[Canada Allocation %]]</f>
        <v>552.66727229996775</v>
      </c>
      <c r="AP52" s="35">
        <f>Table11[[#This Row],[2024 '#Trees Inventory + Estimate]]*Table11[[#This Row],[Canada Allocation2017 %]]</f>
        <v>923.74386941566036</v>
      </c>
      <c r="AQ52" s="35">
        <f>Table11[[#This Row],['#Trees as of 2024/estimate-Can allocation]]+Table11[[#This Row],['#Trees as of 2024/estimate-Can allocation 2017]]</f>
        <v>1476.4111417156282</v>
      </c>
      <c r="AR52" s="1" t="s">
        <v>152</v>
      </c>
      <c r="AS52" s="2" t="s">
        <v>153</v>
      </c>
      <c r="AT52" s="6">
        <f>IFERROR(Table11[[#This Row],['#Total Replacements]]/Table11[[#This Row],['#TreesContract]],"")</f>
        <v>0.10474308300395258</v>
      </c>
      <c r="AU52" s="4">
        <f>IF(SUM(Table11[[#This Row],['#Replace 24]:['#Replace 16]])=0,0,SUM(Table11[[#This Row],['#Replace 24]:['#Replace 16]]))</f>
        <v>265</v>
      </c>
      <c r="AV52" s="2"/>
      <c r="AW52" s="2"/>
      <c r="AX52" s="3"/>
      <c r="AY52" s="2"/>
      <c r="AZ52" s="2">
        <v>225</v>
      </c>
      <c r="BA52" s="2"/>
      <c r="BB52" s="2">
        <v>40</v>
      </c>
      <c r="BC52" s="2"/>
      <c r="BD52" s="2"/>
      <c r="BE52" s="2"/>
      <c r="BF52" s="3">
        <v>1</v>
      </c>
      <c r="BG52" s="3">
        <v>1</v>
      </c>
      <c r="BH52" s="2"/>
      <c r="BI52" s="2"/>
      <c r="BJ52" s="2"/>
      <c r="BK52" s="139">
        <f>Table11[[#This Row],[Average MHT
(Feet)]]/16</f>
        <v>0</v>
      </c>
      <c r="BL52" s="2"/>
      <c r="BM52" s="139">
        <f>Table11[[#This Row],[Average DBH
(inches)]]/18</f>
        <v>0</v>
      </c>
      <c r="BN52" s="235">
        <f>((Table11[[#This Row],[Average DBH
(inches)]]-4)^2)*(Table11[[#This Row],[Average MHT
(Feet)]]/16)</f>
        <v>0</v>
      </c>
      <c r="BO52" s="235">
        <f>Table11[[#This Row],[Average BF]]*Table11[[#This Row],[2024 '#Trees Inventory + Estimate]]</f>
        <v>0</v>
      </c>
      <c r="BP52" s="240">
        <f>(Table11[[#This Row],[Harvest Year
(10 year)]]-Table11[[#This Row],[Year of Inventory]]+1)*(Table11[[#This Row],[Average DBH
(inches)]]/(Table11[[#This Row],[Harvest Year
(10 year)]]-Table11[[#This Row],[Year of Inventory]]+1))+Table11[[#This Row],[Average DBH
(inches)]]</f>
        <v>0</v>
      </c>
      <c r="BQ52" s="235">
        <f>((Table11[[#This Row],[Projected DBH
(Extrapolated Growth/Year)]]-4)^2)*(Table11[[#This Row],[Average MHT
(Feet)]]/16)</f>
        <v>0</v>
      </c>
      <c r="BR52" s="235">
        <f>Table11[[#This Row],[Projected Average BF]]*Table11[[#This Row],[2024 '#Trees Inventory + Estimate]]</f>
        <v>0</v>
      </c>
      <c r="BS52" s="235">
        <f>196*Table11[[#This Row],[2024 '#Trees Inventory + Estimate]]</f>
        <v>326257.91308108094</v>
      </c>
      <c r="BT52" s="243">
        <f>Table11[[#This Row],[ETP Offering Expected BF]]-Table11[[#This Row],[Projected Total BF]]</f>
        <v>326257.91308108094</v>
      </c>
      <c r="BU52" s="235">
        <f>(18-Table11[[#This Row],[Average DBH
(inches)]])/(D52-Table11[[#This Row],[Year of Inventory]]+1)</f>
        <v>8.8757396449704144E-3</v>
      </c>
    </row>
    <row r="53" spans="1:73" hidden="1" x14ac:dyDescent="0.25">
      <c r="A53" s="7" t="s">
        <v>318</v>
      </c>
      <c r="B53" s="2">
        <v>2016</v>
      </c>
      <c r="C53" s="2">
        <v>2018</v>
      </c>
      <c r="D53" s="388" t="s">
        <v>319</v>
      </c>
      <c r="E53" s="97" t="s">
        <v>320</v>
      </c>
      <c r="F53" s="161">
        <v>10021</v>
      </c>
      <c r="G53" t="s">
        <v>321</v>
      </c>
      <c r="H53" s="357" t="s">
        <v>322</v>
      </c>
      <c r="I53" t="s">
        <v>155</v>
      </c>
      <c r="J53" s="1" t="s">
        <v>323</v>
      </c>
      <c r="K53" s="1" t="s">
        <v>324</v>
      </c>
      <c r="L53" s="1" t="s">
        <v>325</v>
      </c>
      <c r="M53" s="1" t="s">
        <v>150</v>
      </c>
      <c r="N53" t="s">
        <v>326</v>
      </c>
      <c r="O53">
        <v>34.250718999999997</v>
      </c>
      <c r="P53">
        <v>-86.527252000000004</v>
      </c>
      <c r="Q53" s="2">
        <v>34.262473</v>
      </c>
      <c r="R53" s="483">
        <v>-86.553188000000006</v>
      </c>
      <c r="S53" s="2"/>
      <c r="T53" s="1">
        <v>2200</v>
      </c>
      <c r="U53" s="1">
        <v>2200</v>
      </c>
      <c r="V53" s="1" t="str">
        <f>IF(Table11[[#This Row],['#TreesContract]]-Table11[[#This Row],['#Planted]]=0,"",Table11[[#This Row],['#TreesContract]]-Table11[[#This Row],['#Planted]])</f>
        <v/>
      </c>
      <c r="W53"/>
      <c r="X53" s="34">
        <v>0.11318181818181818</v>
      </c>
      <c r="Y53" s="163">
        <f>Table11[[#This Row],['#TreesContract]]*Table11[[#This Row],[USA Allocation %]]</f>
        <v>248.99999999999997</v>
      </c>
      <c r="Z53" s="163">
        <f>Table11[[#This Row],['#Planted]]*Table11[[#This Row],[USA Allocation %]]</f>
        <v>248.99999999999997</v>
      </c>
      <c r="AA53" s="34">
        <v>0.33181818181818185</v>
      </c>
      <c r="AB53" s="163">
        <f>Table11[[#This Row],['#TreesContract]]*0.33</f>
        <v>726</v>
      </c>
      <c r="AC53" s="34">
        <v>0.55500000000000005</v>
      </c>
      <c r="AD53" s="163">
        <f>Table11[[#This Row],['#TreesContract]]*0.56</f>
        <v>1232.0000000000002</v>
      </c>
      <c r="AE53" s="163">
        <f>Table11[[#This Row],[Canada Allocation-tree '#''s]]+Table11[[#This Row],[Can trees/Allocation 2017]]</f>
        <v>1958.0000000000002</v>
      </c>
      <c r="AF53" s="5">
        <v>0.66990291262135904</v>
      </c>
      <c r="AG53" s="35">
        <v>1473.7864077669899</v>
      </c>
      <c r="AH53" s="35">
        <f>Table11[[#This Row],['#Trees as of 12/31/23]]*Table11[[#This Row],[USA Allocation %]]</f>
        <v>166.80582524271838</v>
      </c>
      <c r="AI53" s="437">
        <f>Table11[[#This Row],['#TreesContract]]*Table11[[#This Row],[2024 Inventory Survival%-master]]</f>
        <v>0</v>
      </c>
      <c r="AJ53" s="436"/>
      <c r="AK53" s="5">
        <v>0.66990291262135904</v>
      </c>
      <c r="AL53" s="5">
        <v>0.66990291262135904</v>
      </c>
      <c r="AM53" s="35">
        <f>AK53*Table11[[#This Row],['#TreesContract]]</f>
        <v>1473.7864077669899</v>
      </c>
      <c r="AN53" s="35">
        <f>Table11[[#This Row],[2024 '#Trees Inventory + Estimate]]*Table11[[#This Row],[USA Allocation %]]</f>
        <v>166.80582524271838</v>
      </c>
      <c r="AO53" s="35">
        <f>Table11[[#This Row],[2024 '#Trees Inventory + Estimate]]*Table11[[#This Row],[Canada Allocation %]]</f>
        <v>489.02912621359212</v>
      </c>
      <c r="AP53" s="35">
        <f>Table11[[#This Row],[2024 '#Trees Inventory + Estimate]]*Table11[[#This Row],[Canada Allocation2017 %]]</f>
        <v>817.95145631067942</v>
      </c>
      <c r="AQ53" s="35">
        <f>Table11[[#This Row],['#Trees as of 2024/estimate-Can allocation]]+Table11[[#This Row],['#Trees as of 2024/estimate-Can allocation 2017]]</f>
        <v>1306.9805825242715</v>
      </c>
      <c r="AR53" s="1" t="s">
        <v>152</v>
      </c>
      <c r="AS53" s="2" t="s">
        <v>327</v>
      </c>
      <c r="AT53" s="6">
        <f>IFERROR(Table11[[#This Row],['#Total Replacements]]/Table11[[#This Row],['#TreesContract]],"")</f>
        <v>0</v>
      </c>
      <c r="AU53" s="4">
        <f>IF(SUM(Table11[[#This Row],['#Replace 24]:['#Replace 16]])=0,0,SUM(Table11[[#This Row],['#Replace 24]:['#Replace 16]]))</f>
        <v>0</v>
      </c>
      <c r="AV53" s="2"/>
      <c r="AW53" s="2"/>
      <c r="AX53" s="3"/>
      <c r="AY53" s="2"/>
      <c r="AZ53" s="2"/>
      <c r="BA53" s="2"/>
      <c r="BB53" s="2"/>
      <c r="BC53" s="2"/>
      <c r="BD53" s="2"/>
      <c r="BE53" s="2"/>
      <c r="BF53" s="3">
        <v>1</v>
      </c>
      <c r="BG53" s="3">
        <v>1</v>
      </c>
      <c r="BH53" s="2"/>
      <c r="BI53" s="2"/>
      <c r="BJ53" s="2"/>
      <c r="BK53" s="139">
        <f>Table11[[#This Row],[Average MHT
(Feet)]]/16</f>
        <v>0</v>
      </c>
      <c r="BL53" s="2"/>
      <c r="BM53" s="139">
        <f>Table11[[#This Row],[Average DBH
(inches)]]/18</f>
        <v>0</v>
      </c>
      <c r="BN53" s="235">
        <f>((Table11[[#This Row],[Average DBH
(inches)]]-4)^2)*(Table11[[#This Row],[Average MHT
(Feet)]]/16)</f>
        <v>0</v>
      </c>
      <c r="BO53" s="235">
        <f>Table11[[#This Row],[Average BF]]*Table11[[#This Row],[2024 '#Trees Inventory + Estimate]]</f>
        <v>0</v>
      </c>
      <c r="BP53" s="240" t="e">
        <f>(Table11[[#This Row],[Harvest Year
(10 year)]]-Table11[[#This Row],[Year of Inventory]]+1)*(Table11[[#This Row],[Average DBH
(inches)]]/(Table11[[#This Row],[Harvest Year
(10 year)]]-Table11[[#This Row],[Year of Inventory]]+1))+Table11[[#This Row],[Average DBH
(inches)]]</f>
        <v>#VALUE!</v>
      </c>
      <c r="BQ53" s="235" t="e">
        <f>((Table11[[#This Row],[Projected DBH
(Extrapolated Growth/Year)]]-4)^2)*(Table11[[#This Row],[Average MHT
(Feet)]]/16)</f>
        <v>#VALUE!</v>
      </c>
      <c r="BR53" s="235" t="e">
        <f>Table11[[#This Row],[Projected Average BF]]*Table11[[#This Row],[2024 '#Trees Inventory + Estimate]]</f>
        <v>#VALUE!</v>
      </c>
      <c r="BS53" s="235">
        <f>196*Table11[[#This Row],[2024 '#Trees Inventory + Estimate]]</f>
        <v>288862.13592233002</v>
      </c>
      <c r="BT53" s="243" t="e">
        <f>Table11[[#This Row],[ETP Offering Expected BF]]-Table11[[#This Row],[Projected Total BF]]</f>
        <v>#VALUE!</v>
      </c>
      <c r="BU53" s="235" t="e">
        <f>(18-Table11[[#This Row],[Average DBH
(inches)]])/(D53-Table11[[#This Row],[Year of Inventory]]+1)</f>
        <v>#VALUE!</v>
      </c>
    </row>
    <row r="54" spans="1:73" hidden="1" x14ac:dyDescent="0.25">
      <c r="A54" s="7" t="s">
        <v>328</v>
      </c>
      <c r="B54" s="2">
        <v>2016</v>
      </c>
      <c r="C54" s="2">
        <v>2018</v>
      </c>
      <c r="D54" s="2">
        <f>Table11[[#This Row],[Planting Year]]+9</f>
        <v>2027</v>
      </c>
      <c r="E54" s="97" t="s">
        <v>329</v>
      </c>
      <c r="F54" s="161">
        <v>10022</v>
      </c>
      <c r="G54" t="s">
        <v>329</v>
      </c>
      <c r="H54" s="357" t="s">
        <v>330</v>
      </c>
      <c r="I54" t="s">
        <v>147</v>
      </c>
      <c r="J54" s="1">
        <v>0</v>
      </c>
      <c r="K54" s="1" t="s">
        <v>331</v>
      </c>
      <c r="L54" s="1" t="s">
        <v>331</v>
      </c>
      <c r="M54" s="1" t="s">
        <v>150</v>
      </c>
      <c r="N54" t="s">
        <v>332</v>
      </c>
      <c r="O54">
        <v>37.219619999999999</v>
      </c>
      <c r="P54">
        <v>-92.693223000000003</v>
      </c>
      <c r="Q54" s="2"/>
      <c r="R54" s="86"/>
      <c r="S54" s="2"/>
      <c r="T54" s="1">
        <v>1100</v>
      </c>
      <c r="U54" s="1">
        <v>1100</v>
      </c>
      <c r="V54" s="1" t="str">
        <f>IF(Table11[[#This Row],['#TreesContract]]-Table11[[#This Row],['#Planted]]=0,"",Table11[[#This Row],['#TreesContract]]-Table11[[#This Row],['#Planted]])</f>
        <v/>
      </c>
      <c r="W54" s="2"/>
      <c r="X54" s="34">
        <v>0.11272727272727273</v>
      </c>
      <c r="Y54" s="163">
        <f>Table11[[#This Row],['#TreesContract]]*Table11[[#This Row],[USA Allocation %]]</f>
        <v>124</v>
      </c>
      <c r="Z54" s="163">
        <f>Table11[[#This Row],['#Planted]]*Table11[[#This Row],[USA Allocation %]]</f>
        <v>124</v>
      </c>
      <c r="AA54" s="34">
        <v>0.33181818181818185</v>
      </c>
      <c r="AB54" s="163">
        <f>Table11[[#This Row],['#TreesContract]]*0.33</f>
        <v>363</v>
      </c>
      <c r="AC54" s="34">
        <v>0.55545454545454542</v>
      </c>
      <c r="AD54" s="163">
        <f>Table11[[#This Row],['#TreesContract]]*0.56</f>
        <v>616.00000000000011</v>
      </c>
      <c r="AE54" s="163">
        <f>Table11[[#This Row],[Canada Allocation-tree '#''s]]+Table11[[#This Row],[Can trees/Allocation 2017]]</f>
        <v>979.00000000000011</v>
      </c>
      <c r="AF54" s="5">
        <v>0.72462337662337595</v>
      </c>
      <c r="AG54" s="35">
        <v>797.08571428571349</v>
      </c>
      <c r="AH54" s="35">
        <f>Table11[[#This Row],['#Trees as of 12/31/23]]*Table11[[#This Row],[USA Allocation %]]</f>
        <v>89.853298701298613</v>
      </c>
      <c r="AI54" s="404">
        <f>Table11[[#This Row],['#TreesContract]]*Table11[[#This Row],[2024 Inventory Survival%-master]]</f>
        <v>0</v>
      </c>
      <c r="AJ54" s="5"/>
      <c r="AK54" s="5">
        <v>0.72462337662337595</v>
      </c>
      <c r="AL54" s="5">
        <v>0.72</v>
      </c>
      <c r="AM54" s="35">
        <f>AK54*Table11[[#This Row],['#TreesContract]]</f>
        <v>797.08571428571349</v>
      </c>
      <c r="AN54" s="35">
        <v>0</v>
      </c>
      <c r="AO54" s="35">
        <f>Table11[[#This Row],[2024 '#Trees Inventory + Estimate]]*Table11[[#This Row],[Canada Allocation %]]</f>
        <v>264.48753246753222</v>
      </c>
      <c r="AP54" s="35">
        <f>Table11[[#This Row],[2024 '#Trees Inventory + Estimate]]*Table11[[#This Row],[Canada Allocation2017 %]]</f>
        <v>442.74488311688265</v>
      </c>
      <c r="AQ54" s="35">
        <f>Table11[[#This Row],['#Trees as of 2024/estimate-Can allocation]]+Table11[[#This Row],['#Trees as of 2024/estimate-Can allocation 2017]]</f>
        <v>707.23241558441487</v>
      </c>
      <c r="AR54" s="1" t="s">
        <v>152</v>
      </c>
      <c r="AS54" s="2" t="s">
        <v>153</v>
      </c>
      <c r="AT54" s="6">
        <f>IFERROR(Table11[[#This Row],['#Total Replacements]]/Table11[[#This Row],['#TreesContract]],"")</f>
        <v>0.26</v>
      </c>
      <c r="AU54" s="4">
        <f>IF(SUM(Table11[[#This Row],['#Replace 24]:['#Replace 16]])=0,0,SUM(Table11[[#This Row],['#Replace 24]:['#Replace 16]]))</f>
        <v>286</v>
      </c>
      <c r="AV54" s="2"/>
      <c r="AW54" s="2"/>
      <c r="AX54" s="3"/>
      <c r="AY54" s="2"/>
      <c r="AZ54" s="2"/>
      <c r="BA54" s="2"/>
      <c r="BB54" s="2">
        <v>286</v>
      </c>
      <c r="BC54" s="2"/>
      <c r="BD54" s="2"/>
      <c r="BE54" s="2"/>
      <c r="BF54" s="3">
        <v>1</v>
      </c>
      <c r="BG54" s="3">
        <v>1</v>
      </c>
      <c r="BH54" s="2"/>
      <c r="BI54" s="2"/>
      <c r="BJ54" s="2"/>
      <c r="BK54" s="139">
        <f>Table11[[#This Row],[Average MHT
(Feet)]]/16</f>
        <v>0</v>
      </c>
      <c r="BL54" s="2"/>
      <c r="BM54" s="139">
        <f>Table11[[#This Row],[Average DBH
(inches)]]/18</f>
        <v>0</v>
      </c>
      <c r="BN54" s="235">
        <f>((Table11[[#This Row],[Average DBH
(inches)]]-4)^2)*(Table11[[#This Row],[Average MHT
(Feet)]]/16)</f>
        <v>0</v>
      </c>
      <c r="BO54" s="235">
        <f>Table11[[#This Row],[Average BF]]*Table11[[#This Row],[2024 '#Trees Inventory + Estimate]]</f>
        <v>0</v>
      </c>
      <c r="BP54" s="240">
        <f>(Table11[[#This Row],[Harvest Year
(10 year)]]-Table11[[#This Row],[Year of Inventory]]+1)*(Table11[[#This Row],[Average DBH
(inches)]]/(Table11[[#This Row],[Harvest Year
(10 year)]]-Table11[[#This Row],[Year of Inventory]]+1))+Table11[[#This Row],[Average DBH
(inches)]]</f>
        <v>0</v>
      </c>
      <c r="BQ54" s="235">
        <f>((Table11[[#This Row],[Projected DBH
(Extrapolated Growth/Year)]]-4)^2)*(Table11[[#This Row],[Average MHT
(Feet)]]/16)</f>
        <v>0</v>
      </c>
      <c r="BR54" s="235">
        <f>Table11[[#This Row],[Projected Average BF]]*Table11[[#This Row],[2024 '#Trees Inventory + Estimate]]</f>
        <v>0</v>
      </c>
      <c r="BS54" s="235">
        <f>196*Table11[[#This Row],[2024 '#Trees Inventory + Estimate]]</f>
        <v>156228.79999999984</v>
      </c>
      <c r="BT54" s="235">
        <f>Table11[[#This Row],[ETP Offering Expected BF]]-Table11[[#This Row],[Projected Total BF]]</f>
        <v>156228.79999999984</v>
      </c>
      <c r="BU54" s="235">
        <f>(18-Table11[[#This Row],[Average DBH
(inches)]])/(D54-Table11[[#This Row],[Year of Inventory]]+1)</f>
        <v>8.8757396449704144E-3</v>
      </c>
    </row>
    <row r="55" spans="1:73" hidden="1" x14ac:dyDescent="0.25">
      <c r="A55" s="7" t="s">
        <v>333</v>
      </c>
      <c r="B55" s="2">
        <v>2018</v>
      </c>
      <c r="C55" s="2">
        <v>2018</v>
      </c>
      <c r="D55" s="2">
        <v>0</v>
      </c>
      <c r="E55" s="97" t="s">
        <v>334</v>
      </c>
      <c r="F55" s="161">
        <v>10023</v>
      </c>
      <c r="G55" t="s">
        <v>334</v>
      </c>
      <c r="H55" s="357"/>
      <c r="I55" t="s">
        <v>160</v>
      </c>
      <c r="J55" s="1"/>
      <c r="K55" s="1"/>
      <c r="L55" s="1"/>
      <c r="M55" s="1" t="s">
        <v>150</v>
      </c>
      <c r="Q55" s="2"/>
      <c r="R55" s="86"/>
      <c r="S55" s="2"/>
      <c r="T55" s="1">
        <v>550</v>
      </c>
      <c r="U55" s="1">
        <v>550</v>
      </c>
      <c r="V55" s="1" t="str">
        <f>IF(Table11[[#This Row],['#TreesContract]]-Table11[[#This Row],['#Planted]]=0,"",Table11[[#This Row],['#TreesContract]]-Table11[[#This Row],['#Planted]])</f>
        <v/>
      </c>
      <c r="W55" s="2"/>
      <c r="X55" s="34">
        <v>0.64</v>
      </c>
      <c r="Y55" s="163">
        <f>Table11[[#This Row],['#TreesContract]]*Table11[[#This Row],[USA Allocation %]]</f>
        <v>352</v>
      </c>
      <c r="Z55" s="163">
        <f>Table11[[#This Row],['#Planted]]*Table11[[#This Row],[USA Allocation %]]</f>
        <v>352</v>
      </c>
      <c r="AA55" s="34">
        <v>0.36</v>
      </c>
      <c r="AB55" s="163">
        <f>Table11[[#This Row],['#TreesContract]]*0.36</f>
        <v>198</v>
      </c>
      <c r="AC55" s="34"/>
      <c r="AD55" s="163"/>
      <c r="AE55" s="163">
        <f>Table11[[#This Row],[Canada Allocation-tree '#''s]]+Table11[[#This Row],[Can trees/Allocation 2017]]</f>
        <v>198</v>
      </c>
      <c r="AF55" s="5">
        <v>0</v>
      </c>
      <c r="AG55" s="35">
        <v>0</v>
      </c>
      <c r="AH55" s="35">
        <f>Table11[[#This Row],['#Trees as of 12/31/23]]*Table11[[#This Row],[USA Allocation %]]</f>
        <v>0</v>
      </c>
      <c r="AI55" s="404">
        <f>Table11[[#This Row],['#TreesContract]]*Table11[[#This Row],[2024 Inventory Survival%-master]]</f>
        <v>0</v>
      </c>
      <c r="AJ55" s="5">
        <v>0</v>
      </c>
      <c r="AK55" s="5">
        <v>0</v>
      </c>
      <c r="AL55" s="5">
        <v>0</v>
      </c>
      <c r="AM55" s="35">
        <f>AK55*Table11[[#This Row],['#TreesContract]]</f>
        <v>0</v>
      </c>
      <c r="AN55" s="35">
        <v>0</v>
      </c>
      <c r="AO55" s="35">
        <f>Table11[[#This Row],[2024 '#Trees Inventory + Estimate]]*Table11[[#This Row],[Canada Allocation %]]</f>
        <v>0</v>
      </c>
      <c r="AP55" s="35">
        <f>Table11[[#This Row],[2024 '#Trees Inventory + Estimate]]*Table11[[#This Row],[Canada Allocation2017 %]]</f>
        <v>0</v>
      </c>
      <c r="AQ55" s="35">
        <f>Table11[[#This Row],['#Trees as of 2024/estimate-Can allocation]]+Table11[[#This Row],['#Trees as of 2024/estimate-Can allocation 2017]]</f>
        <v>0</v>
      </c>
      <c r="AR55" s="1" t="s">
        <v>152</v>
      </c>
      <c r="AS55" s="2"/>
      <c r="AT55" s="6">
        <f>IFERROR(Table11[[#This Row],['#Total Replacements]]/Table11[[#This Row],['#TreesContract]],"")</f>
        <v>0</v>
      </c>
      <c r="AU55" s="4">
        <f>IF(SUM(Table11[[#This Row],['#Replace 24]:['#Replace 16]])=0,0,SUM(Table11[[#This Row],['#Replace 24]:['#Replace 16]]))</f>
        <v>0</v>
      </c>
      <c r="AV55" s="2"/>
      <c r="AW55" s="2"/>
      <c r="AX55" s="3"/>
      <c r="AY55" s="2"/>
      <c r="AZ55" s="2"/>
      <c r="BA55" s="2"/>
      <c r="BB55" s="2"/>
      <c r="BC55" s="2"/>
      <c r="BD55" s="2"/>
      <c r="BE55" s="2"/>
      <c r="BF55" s="3">
        <v>1</v>
      </c>
      <c r="BG55" s="3"/>
      <c r="BH55" s="2"/>
      <c r="BI55" s="158"/>
      <c r="BJ55" s="158"/>
      <c r="BK55" s="139">
        <f>Table11[[#This Row],[Average MHT
(Feet)]]/16</f>
        <v>0</v>
      </c>
      <c r="BL55" s="2"/>
      <c r="BM55" s="139">
        <f>Table11[[#This Row],[Average DBH
(inches)]]/18</f>
        <v>0</v>
      </c>
      <c r="BN55" s="235">
        <f>((Table11[[#This Row],[Average DBH
(inches)]]-4)^2)*(Table11[[#This Row],[Average MHT
(Feet)]]/16)</f>
        <v>0</v>
      </c>
      <c r="BO55" s="235">
        <f>Table11[[#This Row],[Average BF]]*Table11[[#This Row],[2024 '#Trees Inventory + Estimate]]</f>
        <v>0</v>
      </c>
      <c r="BP55" s="240">
        <f>(Table11[[#This Row],[Harvest Year
(10 year)]]-Table11[[#This Row],[Year of Inventory]]+1)*(Table11[[#This Row],[Average DBH
(inches)]]/(Table11[[#This Row],[Harvest Year
(10 year)]]-Table11[[#This Row],[Year of Inventory]]+1))+Table11[[#This Row],[Average DBH
(inches)]]</f>
        <v>0</v>
      </c>
      <c r="BQ55" s="235">
        <f>((Table11[[#This Row],[Projected DBH
(Extrapolated Growth/Year)]]-4)^2)*(Table11[[#This Row],[Average MHT
(Feet)]]/16)</f>
        <v>0</v>
      </c>
      <c r="BR55" s="235">
        <f>Table11[[#This Row],[Projected Average BF]]*Table11[[#This Row],[2024 '#Trees Inventory + Estimate]]</f>
        <v>0</v>
      </c>
      <c r="BS55" s="235">
        <f>196*Table11[[#This Row],[2024 '#Trees Inventory + Estimate]]</f>
        <v>0</v>
      </c>
      <c r="BT55" s="235">
        <f>Table11[[#This Row],[ETP Offering Expected BF]]-Table11[[#This Row],[Projected Total BF]]</f>
        <v>0</v>
      </c>
      <c r="BU55" s="235">
        <f>(18-Table11[[#This Row],[Average DBH
(inches)]])/(D55-Table11[[#This Row],[Year of Inventory]]+1)</f>
        <v>18</v>
      </c>
    </row>
    <row r="56" spans="1:73" hidden="1" x14ac:dyDescent="0.25">
      <c r="A56" s="7" t="s">
        <v>335</v>
      </c>
      <c r="B56" s="2">
        <v>2016</v>
      </c>
      <c r="C56" s="2">
        <v>2018</v>
      </c>
      <c r="D56" s="2">
        <f>Table11[[#This Row],[Planting Year]]+9</f>
        <v>2027</v>
      </c>
      <c r="E56" s="97" t="s">
        <v>336</v>
      </c>
      <c r="F56" s="161">
        <v>10024</v>
      </c>
      <c r="G56" t="s">
        <v>336</v>
      </c>
      <c r="H56" s="357" t="s">
        <v>337</v>
      </c>
      <c r="I56" t="s">
        <v>155</v>
      </c>
      <c r="J56" s="1" t="s">
        <v>338</v>
      </c>
      <c r="K56" s="1" t="s">
        <v>339</v>
      </c>
      <c r="L56" s="1" t="s">
        <v>339</v>
      </c>
      <c r="M56" s="1" t="s">
        <v>150</v>
      </c>
      <c r="N56" t="s">
        <v>340</v>
      </c>
      <c r="O56">
        <v>32.674238000000003</v>
      </c>
      <c r="P56">
        <v>-85.847949</v>
      </c>
      <c r="Q56" s="2"/>
      <c r="R56" s="86"/>
      <c r="S56" s="2"/>
      <c r="T56" s="1">
        <v>550</v>
      </c>
      <c r="U56" s="1">
        <v>550</v>
      </c>
      <c r="V56" s="1" t="str">
        <f>IF(Table11[[#This Row],['#TreesContract]]-Table11[[#This Row],['#Planted]]=0,"",Table11[[#This Row],['#TreesContract]]-Table11[[#This Row],['#Planted]])</f>
        <v/>
      </c>
      <c r="W56" s="2"/>
      <c r="X56" s="34">
        <v>0.11272727272727273</v>
      </c>
      <c r="Y56" s="163">
        <f>Table11[[#This Row],['#TreesContract]]*Table11[[#This Row],[USA Allocation %]]</f>
        <v>62</v>
      </c>
      <c r="Z56" s="163">
        <f>Table11[[#This Row],['#Planted]]*Table11[[#This Row],[USA Allocation %]]</f>
        <v>62</v>
      </c>
      <c r="AA56" s="34">
        <v>0.3327272727272727</v>
      </c>
      <c r="AB56" s="163">
        <f>Table11[[#This Row],['#TreesContract]]*0.33</f>
        <v>181.5</v>
      </c>
      <c r="AC56" s="34">
        <v>0.55454545454545456</v>
      </c>
      <c r="AD56" s="163">
        <f>Table11[[#This Row],['#TreesContract]]*0.55</f>
        <v>302.5</v>
      </c>
      <c r="AE56" s="163">
        <f>Table11[[#This Row],[Canada Allocation-tree '#''s]]+Table11[[#This Row],[Can trees/Allocation 2017]]</f>
        <v>484</v>
      </c>
      <c r="AF56" s="5">
        <v>0.89130434782608703</v>
      </c>
      <c r="AG56" s="35">
        <v>490.21739130434787</v>
      </c>
      <c r="AH56" s="35">
        <f>Table11[[#This Row],['#Trees as of 12/31/23]]*Table11[[#This Row],[USA Allocation %]]</f>
        <v>55.260869565217398</v>
      </c>
      <c r="AI56" s="437">
        <f>Table11[[#This Row],['#TreesContract]]*Table11[[#This Row],[2024 Inventory Survival%-master]]</f>
        <v>0</v>
      </c>
      <c r="AJ56" s="436"/>
      <c r="AK56" s="5">
        <v>0.89130434782608703</v>
      </c>
      <c r="AL56" s="5">
        <v>0.89130434782608703</v>
      </c>
      <c r="AM56" s="35">
        <f>AK56*Table11[[#This Row],['#TreesContract]]</f>
        <v>490.21739130434787</v>
      </c>
      <c r="AN56" s="35">
        <f>Table11[[#This Row],[2024 '#Trees Inventory + Estimate]]*Table11[[#This Row],[USA Allocation %]]</f>
        <v>55.260869565217398</v>
      </c>
      <c r="AO56" s="35">
        <f>Table11[[#This Row],[2024 '#Trees Inventory + Estimate]]*Table11[[#This Row],[Canada Allocation %]]</f>
        <v>163.10869565217391</v>
      </c>
      <c r="AP56" s="35">
        <f>Table11[[#This Row],[2024 '#Trees Inventory + Estimate]]*Table11[[#This Row],[Canada Allocation2017 %]]</f>
        <v>271.84782608695656</v>
      </c>
      <c r="AQ56" s="35">
        <f>Table11[[#This Row],['#Trees as of 2024/estimate-Can allocation]]+Table11[[#This Row],['#Trees as of 2024/estimate-Can allocation 2017]]</f>
        <v>434.95652173913049</v>
      </c>
      <c r="AR56" s="1" t="s">
        <v>152</v>
      </c>
      <c r="AS56" s="2" t="s">
        <v>341</v>
      </c>
      <c r="AT56" s="6">
        <f>IFERROR(Table11[[#This Row],['#Total Replacements]]/Table11[[#This Row],['#TreesContract]],"")</f>
        <v>0</v>
      </c>
      <c r="AU56" s="4">
        <f>IF(SUM(Table11[[#This Row],['#Replace 24]:['#Replace 16]])=0,0,SUM(Table11[[#This Row],['#Replace 24]:['#Replace 16]]))</f>
        <v>0</v>
      </c>
      <c r="AV56" s="2"/>
      <c r="AW56" s="2"/>
      <c r="AX56" s="3"/>
      <c r="AY56" s="2"/>
      <c r="AZ56" s="2"/>
      <c r="BA56" s="2"/>
      <c r="BB56" s="2"/>
      <c r="BC56" s="2"/>
      <c r="BD56" s="2"/>
      <c r="BE56" s="2"/>
      <c r="BF56" s="3">
        <v>1</v>
      </c>
      <c r="BG56" s="3">
        <v>1</v>
      </c>
      <c r="BH56" s="2"/>
      <c r="BI56" s="158"/>
      <c r="BJ56" s="158"/>
      <c r="BK56" s="139">
        <f>Table11[[#This Row],[Average MHT
(Feet)]]/16</f>
        <v>0</v>
      </c>
      <c r="BL56" s="2"/>
      <c r="BM56" s="139">
        <f>Table11[[#This Row],[Average DBH
(inches)]]/18</f>
        <v>0</v>
      </c>
      <c r="BN56" s="235">
        <f>((Table11[[#This Row],[Average DBH
(inches)]]-4)^2)*(Table11[[#This Row],[Average MHT
(Feet)]]/16)</f>
        <v>0</v>
      </c>
      <c r="BO56" s="235">
        <f>Table11[[#This Row],[Average BF]]*Table11[[#This Row],[2024 '#Trees Inventory + Estimate]]</f>
        <v>0</v>
      </c>
      <c r="BP56" s="240">
        <f>(Table11[[#This Row],[Harvest Year
(10 year)]]-Table11[[#This Row],[Year of Inventory]]+1)*(Table11[[#This Row],[Average DBH
(inches)]]/(Table11[[#This Row],[Harvest Year
(10 year)]]-Table11[[#This Row],[Year of Inventory]]+1))+Table11[[#This Row],[Average DBH
(inches)]]</f>
        <v>0</v>
      </c>
      <c r="BQ56" s="235">
        <f>((Table11[[#This Row],[Projected DBH
(Extrapolated Growth/Year)]]-4)^2)*(Table11[[#This Row],[Average MHT
(Feet)]]/16)</f>
        <v>0</v>
      </c>
      <c r="BR56" s="235">
        <f>Table11[[#This Row],[Projected Average BF]]*Table11[[#This Row],[2024 '#Trees Inventory + Estimate]]</f>
        <v>0</v>
      </c>
      <c r="BS56" s="235">
        <f>196*Table11[[#This Row],[2024 '#Trees Inventory + Estimate]]</f>
        <v>96082.608695652176</v>
      </c>
      <c r="BT56" s="243">
        <f>Table11[[#This Row],[ETP Offering Expected BF]]-Table11[[#This Row],[Projected Total BF]]</f>
        <v>96082.608695652176</v>
      </c>
      <c r="BU56" s="235">
        <f>(18-Table11[[#This Row],[Average DBH
(inches)]])/(D56-Table11[[#This Row],[Year of Inventory]]+1)</f>
        <v>8.8757396449704144E-3</v>
      </c>
    </row>
    <row r="57" spans="1:73" hidden="1" x14ac:dyDescent="0.25">
      <c r="A57" s="7" t="s">
        <v>342</v>
      </c>
      <c r="B57" s="2">
        <v>2016</v>
      </c>
      <c r="C57" s="2">
        <v>2018</v>
      </c>
      <c r="D57" s="2">
        <f>Table11[[#This Row],[Planting Year]]+9</f>
        <v>2027</v>
      </c>
      <c r="E57" s="97" t="s">
        <v>343</v>
      </c>
      <c r="F57" s="161">
        <v>10025</v>
      </c>
      <c r="G57" t="s">
        <v>343</v>
      </c>
      <c r="H57" s="357" t="s">
        <v>344</v>
      </c>
      <c r="I57" t="s">
        <v>147</v>
      </c>
      <c r="J57" s="1" t="s">
        <v>345</v>
      </c>
      <c r="K57" s="1" t="s">
        <v>346</v>
      </c>
      <c r="L57" s="1" t="s">
        <v>347</v>
      </c>
      <c r="M57" s="1" t="s">
        <v>150</v>
      </c>
      <c r="N57" t="s">
        <v>348</v>
      </c>
      <c r="O57">
        <v>34.702317999999998</v>
      </c>
      <c r="P57">
        <v>-95.141474000000002</v>
      </c>
      <c r="Q57" s="2"/>
      <c r="R57" s="86"/>
      <c r="S57" s="2"/>
      <c r="T57" s="1">
        <v>1100</v>
      </c>
      <c r="U57" s="1">
        <v>1100</v>
      </c>
      <c r="V57" s="1" t="str">
        <f>IF(Table11[[#This Row],['#TreesContract]]-Table11[[#This Row],['#Planted]]=0,"",Table11[[#This Row],['#TreesContract]]-Table11[[#This Row],['#Planted]])</f>
        <v/>
      </c>
      <c r="W57" s="2"/>
      <c r="X57" s="34">
        <v>0.11272727272727273</v>
      </c>
      <c r="Y57" s="163">
        <f>Table11[[#This Row],['#TreesContract]]*Table11[[#This Row],[USA Allocation %]]</f>
        <v>124</v>
      </c>
      <c r="Z57" s="163">
        <f>Table11[[#This Row],['#Planted]]*Table11[[#This Row],[USA Allocation %]]</f>
        <v>124</v>
      </c>
      <c r="AA57" s="34">
        <v>0.33181818181818185</v>
      </c>
      <c r="AB57" s="163">
        <f>Table11[[#This Row],['#TreesContract]]*0.33</f>
        <v>363</v>
      </c>
      <c r="AC57" s="34">
        <v>0.55545454545454542</v>
      </c>
      <c r="AD57" s="163">
        <f>Table11[[#This Row],['#TreesContract]]*0.56</f>
        <v>616.00000000000011</v>
      </c>
      <c r="AE57" s="163">
        <f>Table11[[#This Row],[Canada Allocation-tree '#''s]]+Table11[[#This Row],[Can trees/Allocation 2017]]</f>
        <v>979.00000000000011</v>
      </c>
      <c r="AF57" s="5">
        <v>0.47499999999999998</v>
      </c>
      <c r="AG57" s="35">
        <v>522.5</v>
      </c>
      <c r="AH57" s="35">
        <f>Table11[[#This Row],['#Trees as of 12/31/23]]*Table11[[#This Row],[USA Allocation %]]</f>
        <v>58.900000000000006</v>
      </c>
      <c r="AI57" s="404">
        <f>Table11[[#This Row],['#TreesContract]]*Table11[[#This Row],[2024 Inventory Survival%-master]]</f>
        <v>0</v>
      </c>
      <c r="AJ57" s="5"/>
      <c r="AK57" s="5">
        <v>0.47499999999999998</v>
      </c>
      <c r="AL57" s="5">
        <v>0.48</v>
      </c>
      <c r="AM57" s="35">
        <f>AK57*Table11[[#This Row],['#TreesContract]]</f>
        <v>522.5</v>
      </c>
      <c r="AN57" s="35">
        <v>0</v>
      </c>
      <c r="AO57" s="35">
        <f>Table11[[#This Row],[2024 '#Trees Inventory + Estimate]]*Table11[[#This Row],[Canada Allocation %]]</f>
        <v>173.37500000000003</v>
      </c>
      <c r="AP57" s="35">
        <f>Table11[[#This Row],[2024 '#Trees Inventory + Estimate]]*Table11[[#This Row],[Canada Allocation2017 %]]</f>
        <v>290.22499999999997</v>
      </c>
      <c r="AQ57" s="35">
        <f>Table11[[#This Row],['#Trees as of 2024/estimate-Can allocation]]+Table11[[#This Row],['#Trees as of 2024/estimate-Can allocation 2017]]</f>
        <v>463.6</v>
      </c>
      <c r="AR57" s="1" t="s">
        <v>152</v>
      </c>
      <c r="AS57" s="2" t="s">
        <v>153</v>
      </c>
      <c r="AT57" s="6">
        <f>IFERROR(Table11[[#This Row],['#Total Replacements]]/Table11[[#This Row],['#TreesContract]],"")</f>
        <v>0.6454545454545455</v>
      </c>
      <c r="AU57" s="4">
        <f>IF(SUM(Table11[[#This Row],['#Replace 24]:['#Replace 16]])=0,0,SUM(Table11[[#This Row],['#Replace 24]:['#Replace 16]]))</f>
        <v>710</v>
      </c>
      <c r="AV57" s="2"/>
      <c r="AW57" s="2"/>
      <c r="AX57" s="3"/>
      <c r="AY57" s="2">
        <v>110</v>
      </c>
      <c r="AZ57" s="2"/>
      <c r="BA57" s="2"/>
      <c r="BB57" s="2">
        <v>600</v>
      </c>
      <c r="BC57" s="2"/>
      <c r="BD57" s="2"/>
      <c r="BE57" s="2"/>
      <c r="BF57" s="3">
        <v>1</v>
      </c>
      <c r="BG57" s="3">
        <v>1</v>
      </c>
      <c r="BH57" s="2"/>
      <c r="BI57" s="158"/>
      <c r="BJ57" s="158"/>
      <c r="BK57" s="139">
        <f>Table11[[#This Row],[Average MHT
(Feet)]]/16</f>
        <v>0</v>
      </c>
      <c r="BL57" s="2"/>
      <c r="BM57" s="139">
        <f>Table11[[#This Row],[Average DBH
(inches)]]/18</f>
        <v>0</v>
      </c>
      <c r="BN57" s="235">
        <f>((Table11[[#This Row],[Average DBH
(inches)]]-4)^2)*(Table11[[#This Row],[Average MHT
(Feet)]]/16)</f>
        <v>0</v>
      </c>
      <c r="BO57" s="235">
        <f>Table11[[#This Row],[Average BF]]*Table11[[#This Row],[2024 '#Trees Inventory + Estimate]]</f>
        <v>0</v>
      </c>
      <c r="BP57" s="240">
        <f>(Table11[[#This Row],[Harvest Year
(10 year)]]-Table11[[#This Row],[Year of Inventory]]+1)*(Table11[[#This Row],[Average DBH
(inches)]]/(Table11[[#This Row],[Harvest Year
(10 year)]]-Table11[[#This Row],[Year of Inventory]]+1))+Table11[[#This Row],[Average DBH
(inches)]]</f>
        <v>0</v>
      </c>
      <c r="BQ57" s="235">
        <f>((Table11[[#This Row],[Projected DBH
(Extrapolated Growth/Year)]]-4)^2)*(Table11[[#This Row],[Average MHT
(Feet)]]/16)</f>
        <v>0</v>
      </c>
      <c r="BR57" s="235">
        <f>Table11[[#This Row],[Projected Average BF]]*Table11[[#This Row],[2024 '#Trees Inventory + Estimate]]</f>
        <v>0</v>
      </c>
      <c r="BS57" s="235">
        <f>196*Table11[[#This Row],[2024 '#Trees Inventory + Estimate]]</f>
        <v>102410</v>
      </c>
      <c r="BT57" s="235">
        <f>Table11[[#This Row],[ETP Offering Expected BF]]-Table11[[#This Row],[Projected Total BF]]</f>
        <v>102410</v>
      </c>
      <c r="BU57" s="235">
        <f>(18-Table11[[#This Row],[Average DBH
(inches)]])/(D57-Table11[[#This Row],[Year of Inventory]]+1)</f>
        <v>8.8757396449704144E-3</v>
      </c>
    </row>
    <row r="58" spans="1:73" hidden="1" x14ac:dyDescent="0.25">
      <c r="A58" s="7" t="s">
        <v>349</v>
      </c>
      <c r="B58" s="2">
        <v>2016</v>
      </c>
      <c r="C58" s="2">
        <v>2018</v>
      </c>
      <c r="D58" s="2">
        <f>Table11[[#This Row],[Planting Year]]+9</f>
        <v>2027</v>
      </c>
      <c r="E58" s="97" t="s">
        <v>350</v>
      </c>
      <c r="F58" s="161">
        <v>10026</v>
      </c>
      <c r="G58" t="s">
        <v>350</v>
      </c>
      <c r="H58" s="357" t="s">
        <v>351</v>
      </c>
      <c r="I58" t="s">
        <v>155</v>
      </c>
      <c r="J58" s="1" t="s">
        <v>352</v>
      </c>
      <c r="K58" s="1" t="s">
        <v>353</v>
      </c>
      <c r="L58" s="1" t="s">
        <v>353</v>
      </c>
      <c r="M58" s="1" t="s">
        <v>150</v>
      </c>
      <c r="N58" t="s">
        <v>354</v>
      </c>
      <c r="O58">
        <v>30.424531000000002</v>
      </c>
      <c r="P58">
        <v>-83.201936000000003</v>
      </c>
      <c r="Q58" s="2"/>
      <c r="R58" s="86"/>
      <c r="S58" s="2"/>
      <c r="T58" s="1">
        <v>2530</v>
      </c>
      <c r="U58" s="1">
        <v>2530</v>
      </c>
      <c r="V58" s="1" t="str">
        <f>IF(Table11[[#This Row],['#TreesContract]]-Table11[[#This Row],['#Planted]]=0,"",Table11[[#This Row],['#TreesContract]]-Table11[[#This Row],['#Planted]])</f>
        <v/>
      </c>
      <c r="W58" s="2"/>
      <c r="X58" s="34">
        <v>0.11304347826086956</v>
      </c>
      <c r="Y58" s="163">
        <f>Table11[[#This Row],['#TreesContract]]*Table11[[#This Row],[USA Allocation %]]</f>
        <v>286</v>
      </c>
      <c r="Z58" s="163">
        <f>Table11[[#This Row],['#Planted]]*Table11[[#This Row],[USA Allocation %]]</f>
        <v>286</v>
      </c>
      <c r="AA58" s="34">
        <v>0.33201581027667987</v>
      </c>
      <c r="AB58" s="163">
        <f>Table11[[#This Row],['#TreesContract]]*0.33</f>
        <v>834.90000000000009</v>
      </c>
      <c r="AC58" s="34">
        <v>0.55494071146245061</v>
      </c>
      <c r="AD58" s="163">
        <f>Table11[[#This Row],['#TreesContract]]*0.55</f>
        <v>1391.5</v>
      </c>
      <c r="AE58" s="163">
        <f>Table11[[#This Row],[Canada Allocation-tree '#''s]]+Table11[[#This Row],[Can trees/Allocation 2017]]</f>
        <v>2226.4</v>
      </c>
      <c r="AF58" s="5">
        <v>0.92206828861120005</v>
      </c>
      <c r="AG58" s="35">
        <v>2332.8327701863363</v>
      </c>
      <c r="AH58" s="35">
        <f>Table11[[#This Row],['#Trees as of 12/31/23]]*Table11[[#This Row],[USA Allocation %]]</f>
        <v>263.71153054280325</v>
      </c>
      <c r="AI58" s="437">
        <f>Table11[[#This Row],['#TreesContract]]*Table11[[#This Row],[2024 Inventory Survival%-master]]</f>
        <v>0</v>
      </c>
      <c r="AJ58" s="436"/>
      <c r="AK58" s="5">
        <v>0.92206828861120005</v>
      </c>
      <c r="AL58" s="5">
        <v>0.92206828861120005</v>
      </c>
      <c r="AM58" s="35">
        <f>AK58*Table11[[#This Row],['#TreesContract]]</f>
        <v>2332.8327701863363</v>
      </c>
      <c r="AN58" s="35">
        <f>Table11[[#This Row],[2024 '#Trees Inventory + Estimate]]*Table11[[#This Row],[USA Allocation %]]</f>
        <v>263.71153054280325</v>
      </c>
      <c r="AO58" s="35">
        <f>Table11[[#This Row],[2024 '#Trees Inventory + Estimate]]*Table11[[#This Row],[Canada Allocation %]]</f>
        <v>774.53736243340813</v>
      </c>
      <c r="AP58" s="35">
        <f>Table11[[#This Row],[2024 '#Trees Inventory + Estimate]]*Table11[[#This Row],[Canada Allocation2017 %]]</f>
        <v>1294.5838772101251</v>
      </c>
      <c r="AQ58" s="35">
        <f>Table11[[#This Row],['#Trees as of 2024/estimate-Can allocation]]+Table11[[#This Row],['#Trees as of 2024/estimate-Can allocation 2017]]</f>
        <v>2069.121239643533</v>
      </c>
      <c r="AR58" s="1" t="s">
        <v>152</v>
      </c>
      <c r="AS58" s="2" t="s">
        <v>355</v>
      </c>
      <c r="AT58" s="6">
        <f>IFERROR(Table11[[#This Row],['#Total Replacements]]/Table11[[#This Row],['#TreesContract]],"")</f>
        <v>0.55019762845849807</v>
      </c>
      <c r="AU58" s="4">
        <f>IF(SUM(Table11[[#This Row],['#Replace 24]:['#Replace 16]])=0,0,SUM(Table11[[#This Row],['#Replace 24]:['#Replace 16]]))</f>
        <v>1392</v>
      </c>
      <c r="AV58" s="2"/>
      <c r="AW58" s="2"/>
      <c r="AX58" s="3"/>
      <c r="AY58" s="2"/>
      <c r="AZ58" s="2">
        <v>100</v>
      </c>
      <c r="BA58" s="2"/>
      <c r="BB58" s="2">
        <v>150</v>
      </c>
      <c r="BC58" s="2">
        <v>1142</v>
      </c>
      <c r="BD58" s="2"/>
      <c r="BE58" s="2"/>
      <c r="BF58" s="3">
        <v>1</v>
      </c>
      <c r="BG58" s="3">
        <v>1</v>
      </c>
      <c r="BH58" s="2"/>
      <c r="BI58" s="2"/>
      <c r="BJ58" s="2"/>
      <c r="BK58" s="139">
        <f>Table11[[#This Row],[Average MHT
(Feet)]]/16</f>
        <v>0</v>
      </c>
      <c r="BL58" s="2"/>
      <c r="BM58" s="139">
        <f>Table11[[#This Row],[Average DBH
(inches)]]/18</f>
        <v>0</v>
      </c>
      <c r="BN58" s="235">
        <f>((Table11[[#This Row],[Average DBH
(inches)]]-4)^2)*(Table11[[#This Row],[Average MHT
(Feet)]]/16)</f>
        <v>0</v>
      </c>
      <c r="BO58" s="235">
        <f>Table11[[#This Row],[Average BF]]*Table11[[#This Row],[2024 '#Trees Inventory + Estimate]]</f>
        <v>0</v>
      </c>
      <c r="BP58" s="240">
        <f>(Table11[[#This Row],[Harvest Year
(10 year)]]-Table11[[#This Row],[Year of Inventory]]+1)*(Table11[[#This Row],[Average DBH
(inches)]]/(Table11[[#This Row],[Harvest Year
(10 year)]]-Table11[[#This Row],[Year of Inventory]]+1))+Table11[[#This Row],[Average DBH
(inches)]]</f>
        <v>0</v>
      </c>
      <c r="BQ58" s="235">
        <f>((Table11[[#This Row],[Projected DBH
(Extrapolated Growth/Year)]]-4)^2)*(Table11[[#This Row],[Average MHT
(Feet)]]/16)</f>
        <v>0</v>
      </c>
      <c r="BR58" s="235">
        <f>Table11[[#This Row],[Projected Average BF]]*Table11[[#This Row],[2024 '#Trees Inventory + Estimate]]</f>
        <v>0</v>
      </c>
      <c r="BS58" s="235">
        <f>196*Table11[[#This Row],[2024 '#Trees Inventory + Estimate]]</f>
        <v>457235.2229565219</v>
      </c>
      <c r="BT58" s="243">
        <f>Table11[[#This Row],[ETP Offering Expected BF]]-Table11[[#This Row],[Projected Total BF]]</f>
        <v>457235.2229565219</v>
      </c>
      <c r="BU58" s="235">
        <f>(18-Table11[[#This Row],[Average DBH
(inches)]])/(D58-Table11[[#This Row],[Year of Inventory]]+1)</f>
        <v>8.8757396449704144E-3</v>
      </c>
    </row>
    <row r="59" spans="1:73" hidden="1" x14ac:dyDescent="0.25">
      <c r="A59" s="7" t="s">
        <v>356</v>
      </c>
      <c r="B59" s="2">
        <v>2016</v>
      </c>
      <c r="C59" s="2">
        <v>2018</v>
      </c>
      <c r="D59" s="2">
        <f>Table11[[#This Row],[Planting Year]]+9</f>
        <v>2027</v>
      </c>
      <c r="E59" s="97" t="s">
        <v>357</v>
      </c>
      <c r="F59" s="161">
        <v>10027</v>
      </c>
      <c r="G59" t="s">
        <v>357</v>
      </c>
      <c r="H59" s="357" t="s">
        <v>358</v>
      </c>
      <c r="I59" t="s">
        <v>155</v>
      </c>
      <c r="J59" s="1" t="s">
        <v>359</v>
      </c>
      <c r="K59" s="1" t="s">
        <v>360</v>
      </c>
      <c r="L59" s="1" t="s">
        <v>361</v>
      </c>
      <c r="M59" s="1" t="s">
        <v>150</v>
      </c>
      <c r="N59" t="s">
        <v>362</v>
      </c>
      <c r="O59">
        <v>32.226497000000002</v>
      </c>
      <c r="P59">
        <v>-82.098965000000007</v>
      </c>
      <c r="Q59" s="2"/>
      <c r="R59" s="86"/>
      <c r="S59" s="2"/>
      <c r="T59" s="1">
        <v>550</v>
      </c>
      <c r="U59" s="1">
        <v>550</v>
      </c>
      <c r="V59" s="1" t="str">
        <f>IF(Table11[[#This Row],['#TreesContract]]-Table11[[#This Row],['#Planted]]=0,"",Table11[[#This Row],['#TreesContract]]-Table11[[#This Row],['#Planted]])</f>
        <v/>
      </c>
      <c r="W59" s="2"/>
      <c r="X59" s="34">
        <v>0.11272727272727273</v>
      </c>
      <c r="Y59" s="163">
        <f>Table11[[#This Row],['#TreesContract]]*Table11[[#This Row],[USA Allocation %]]</f>
        <v>62</v>
      </c>
      <c r="Z59" s="163">
        <f>Table11[[#This Row],['#Planted]]*Table11[[#This Row],[USA Allocation %]]</f>
        <v>62</v>
      </c>
      <c r="AA59" s="34">
        <v>0.3327272727272727</v>
      </c>
      <c r="AB59" s="163">
        <f>Table11[[#This Row],['#TreesContract]]*0.33</f>
        <v>181.5</v>
      </c>
      <c r="AC59" s="34">
        <v>0.55454545454545456</v>
      </c>
      <c r="AD59" s="163">
        <f>Table11[[#This Row],['#TreesContract]]*0.55</f>
        <v>302.5</v>
      </c>
      <c r="AE59" s="163">
        <f>Table11[[#This Row],[Canada Allocation-tree '#''s]]+Table11[[#This Row],[Can trees/Allocation 2017]]</f>
        <v>484</v>
      </c>
      <c r="AF59" s="5">
        <v>0.78260869565217395</v>
      </c>
      <c r="AG59" s="35">
        <v>430.43478260869568</v>
      </c>
      <c r="AH59" s="35">
        <f>Table11[[#This Row],['#Trees as of 12/31/23]]*Table11[[#This Row],[USA Allocation %]]</f>
        <v>48.521739130434788</v>
      </c>
      <c r="AI59" s="437">
        <f>Table11[[#This Row],['#TreesContract]]*Table11[[#This Row],[2024 Inventory Survival%-master]]</f>
        <v>0</v>
      </c>
      <c r="AJ59" s="436"/>
      <c r="AK59" s="5">
        <v>0.78260869565217395</v>
      </c>
      <c r="AL59" s="5">
        <v>0.78260869565217395</v>
      </c>
      <c r="AM59" s="35">
        <f>AK59*Table11[[#This Row],['#TreesContract]]</f>
        <v>430.43478260869568</v>
      </c>
      <c r="AN59" s="35">
        <f>Table11[[#This Row],[2024 '#Trees Inventory + Estimate]]*Table11[[#This Row],[USA Allocation %]]</f>
        <v>48.521739130434788</v>
      </c>
      <c r="AO59" s="35">
        <f>Table11[[#This Row],[2024 '#Trees Inventory + Estimate]]*Table11[[#This Row],[Canada Allocation %]]</f>
        <v>143.21739130434781</v>
      </c>
      <c r="AP59" s="35">
        <f>Table11[[#This Row],[2024 '#Trees Inventory + Estimate]]*Table11[[#This Row],[Canada Allocation2017 %]]</f>
        <v>238.69565217391306</v>
      </c>
      <c r="AQ59" s="35">
        <f>Table11[[#This Row],['#Trees as of 2024/estimate-Can allocation]]+Table11[[#This Row],['#Trees as of 2024/estimate-Can allocation 2017]]</f>
        <v>381.91304347826087</v>
      </c>
      <c r="AR59" s="1" t="s">
        <v>152</v>
      </c>
      <c r="AS59" s="2" t="s">
        <v>363</v>
      </c>
      <c r="AT59" s="6">
        <f>IFERROR(Table11[[#This Row],['#Total Replacements]]/Table11[[#This Row],['#TreesContract]],"")</f>
        <v>0.36363636363636365</v>
      </c>
      <c r="AU59" s="4">
        <f>IF(SUM(Table11[[#This Row],['#Replace 24]:['#Replace 16]])=0,0,SUM(Table11[[#This Row],['#Replace 24]:['#Replace 16]]))</f>
        <v>200</v>
      </c>
      <c r="AV59" s="2"/>
      <c r="AW59" s="2"/>
      <c r="AX59" s="3"/>
      <c r="AY59" s="2"/>
      <c r="AZ59" s="2"/>
      <c r="BA59" s="2"/>
      <c r="BB59" s="2">
        <v>200</v>
      </c>
      <c r="BC59" s="2"/>
      <c r="BD59" s="2"/>
      <c r="BE59" s="2"/>
      <c r="BF59" s="3">
        <v>1</v>
      </c>
      <c r="BG59" s="3">
        <v>1</v>
      </c>
      <c r="BH59" s="2"/>
      <c r="BI59" s="158"/>
      <c r="BJ59" s="158"/>
      <c r="BK59" s="139">
        <f>Table11[[#This Row],[Average MHT
(Feet)]]/16</f>
        <v>0</v>
      </c>
      <c r="BL59" s="2"/>
      <c r="BM59" s="139">
        <f>Table11[[#This Row],[Average DBH
(inches)]]/18</f>
        <v>0</v>
      </c>
      <c r="BN59" s="235">
        <f>((Table11[[#This Row],[Average DBH
(inches)]]-4)^2)*(Table11[[#This Row],[Average MHT
(Feet)]]/16)</f>
        <v>0</v>
      </c>
      <c r="BO59" s="235">
        <f>Table11[[#This Row],[Average BF]]*Table11[[#This Row],[2024 '#Trees Inventory + Estimate]]</f>
        <v>0</v>
      </c>
      <c r="BP59" s="240">
        <f>(Table11[[#This Row],[Harvest Year
(10 year)]]-Table11[[#This Row],[Year of Inventory]]+1)*(Table11[[#This Row],[Average DBH
(inches)]]/(Table11[[#This Row],[Harvest Year
(10 year)]]-Table11[[#This Row],[Year of Inventory]]+1))+Table11[[#This Row],[Average DBH
(inches)]]</f>
        <v>0</v>
      </c>
      <c r="BQ59" s="235">
        <f>((Table11[[#This Row],[Projected DBH
(Extrapolated Growth/Year)]]-4)^2)*(Table11[[#This Row],[Average MHT
(Feet)]]/16)</f>
        <v>0</v>
      </c>
      <c r="BR59" s="235">
        <f>Table11[[#This Row],[Projected Average BF]]*Table11[[#This Row],[2024 '#Trees Inventory + Estimate]]</f>
        <v>0</v>
      </c>
      <c r="BS59" s="235">
        <f>196*Table11[[#This Row],[2024 '#Trees Inventory + Estimate]]</f>
        <v>84365.217391304352</v>
      </c>
      <c r="BT59" s="243">
        <f>Table11[[#This Row],[ETP Offering Expected BF]]-Table11[[#This Row],[Projected Total BF]]</f>
        <v>84365.217391304352</v>
      </c>
      <c r="BU59" s="235">
        <f>(18-Table11[[#This Row],[Average DBH
(inches)]])/(D59-Table11[[#This Row],[Year of Inventory]]+1)</f>
        <v>8.8757396449704144E-3</v>
      </c>
    </row>
    <row r="60" spans="1:73" hidden="1" x14ac:dyDescent="0.25">
      <c r="A60" s="7" t="s">
        <v>364</v>
      </c>
      <c r="B60" s="2">
        <v>2016</v>
      </c>
      <c r="C60" s="2">
        <v>2018</v>
      </c>
      <c r="D60" s="2">
        <f>Table11[[#This Row],[Planting Year]]+9</f>
        <v>2027</v>
      </c>
      <c r="E60" s="97" t="s">
        <v>365</v>
      </c>
      <c r="F60" s="161">
        <v>10028</v>
      </c>
      <c r="G60" t="s">
        <v>366</v>
      </c>
      <c r="H60" s="357" t="s">
        <v>367</v>
      </c>
      <c r="I60" t="s">
        <v>155</v>
      </c>
      <c r="J60" s="1" t="s">
        <v>368</v>
      </c>
      <c r="K60" s="1" t="s">
        <v>369</v>
      </c>
      <c r="L60" s="1" t="s">
        <v>369</v>
      </c>
      <c r="M60" s="1" t="s">
        <v>150</v>
      </c>
      <c r="N60" t="s">
        <v>370</v>
      </c>
      <c r="O60">
        <v>30.090810000000001</v>
      </c>
      <c r="P60">
        <v>-82.909627999999998</v>
      </c>
      <c r="Q60" s="2"/>
      <c r="R60" s="86"/>
      <c r="S60" s="2"/>
      <c r="T60" s="1">
        <v>1166</v>
      </c>
      <c r="U60" s="1">
        <v>1166</v>
      </c>
      <c r="V60" s="1" t="str">
        <f>IF(Table11[[#This Row],['#TreesContract]]-Table11[[#This Row],['#Planted]]=0,"",Table11[[#This Row],['#TreesContract]]-Table11[[#This Row],['#Planted]])</f>
        <v/>
      </c>
      <c r="W60" s="2"/>
      <c r="X60" s="34">
        <v>0.11318</v>
      </c>
      <c r="Y60" s="163">
        <f>Table11[[#This Row],['#TreesContract]]*Table11[[#This Row],[USA Allocation %]]</f>
        <v>131.96788000000001</v>
      </c>
      <c r="Z60" s="163">
        <f>Table11[[#This Row],['#Planted]]*Table11[[#This Row],[USA Allocation %]]</f>
        <v>131.96788000000001</v>
      </c>
      <c r="AA60" s="34">
        <v>0.33179999999999998</v>
      </c>
      <c r="AB60" s="163">
        <f>Table11[[#This Row],['#TreesContract]]*0.33</f>
        <v>384.78000000000003</v>
      </c>
      <c r="AC60" s="34">
        <v>0.55500000000000005</v>
      </c>
      <c r="AD60" s="163">
        <f>Table11[[#This Row],['#TreesContract]]*0.56</f>
        <v>652.96</v>
      </c>
      <c r="AE60" s="163">
        <f>Table11[[#This Row],[Canada Allocation-tree '#''s]]+Table11[[#This Row],[Can trees/Allocation 2017]]</f>
        <v>1037.74</v>
      </c>
      <c r="AF60" s="5">
        <v>0.93548387096774199</v>
      </c>
      <c r="AG60" s="35">
        <v>1090.7741935483871</v>
      </c>
      <c r="AH60" s="35">
        <f>Table11[[#This Row],['#Trees as of 12/31/23]]*Table11[[#This Row],[USA Allocation %]]</f>
        <v>123.45382322580645</v>
      </c>
      <c r="AI60" s="437">
        <f>Table11[[#This Row],['#TreesContract]]*Table11[[#This Row],[2024 Inventory Survival%-master]]</f>
        <v>0</v>
      </c>
      <c r="AJ60" s="436"/>
      <c r="AK60" s="5">
        <v>0.93548387096774199</v>
      </c>
      <c r="AL60" s="5">
        <v>0.93548387096774199</v>
      </c>
      <c r="AM60" s="35">
        <f>AK60*Table11[[#This Row],['#TreesContract]]</f>
        <v>1090.7741935483871</v>
      </c>
      <c r="AN60" s="35">
        <f>Table11[[#This Row],[2024 '#Trees Inventory + Estimate]]*Table11[[#This Row],[USA Allocation %]]</f>
        <v>123.45382322580645</v>
      </c>
      <c r="AO60" s="35">
        <f>Table11[[#This Row],[2024 '#Trees Inventory + Estimate]]*Table11[[#This Row],[Canada Allocation %]]</f>
        <v>361.91887741935483</v>
      </c>
      <c r="AP60" s="35">
        <f>Table11[[#This Row],[2024 '#Trees Inventory + Estimate]]*Table11[[#This Row],[Canada Allocation2017 %]]</f>
        <v>605.37967741935483</v>
      </c>
      <c r="AQ60" s="35">
        <f>Table11[[#This Row],['#Trees as of 2024/estimate-Can allocation]]+Table11[[#This Row],['#Trees as of 2024/estimate-Can allocation 2017]]</f>
        <v>967.29855483870961</v>
      </c>
      <c r="AR60" s="1" t="s">
        <v>152</v>
      </c>
      <c r="AS60" s="2" t="s">
        <v>371</v>
      </c>
      <c r="AT60" s="6">
        <f>IFERROR(Table11[[#This Row],['#Total Replacements]]/Table11[[#This Row],['#TreesContract]],"")</f>
        <v>0</v>
      </c>
      <c r="AU60" s="4">
        <f>IF(SUM(Table11[[#This Row],['#Replace 24]:['#Replace 16]])=0,0,SUM(Table11[[#This Row],['#Replace 24]:['#Replace 16]]))</f>
        <v>0</v>
      </c>
      <c r="AV60" s="2"/>
      <c r="AW60" s="2"/>
      <c r="AX60" s="3"/>
      <c r="AY60" s="2"/>
      <c r="AZ60" s="2"/>
      <c r="BA60" s="2"/>
      <c r="BB60" s="2"/>
      <c r="BC60" s="2"/>
      <c r="BD60" s="2"/>
      <c r="BE60" s="2"/>
      <c r="BF60" s="3">
        <v>1</v>
      </c>
      <c r="BG60" s="3">
        <v>1</v>
      </c>
      <c r="BH60" s="2"/>
      <c r="BI60" s="2"/>
      <c r="BJ60" s="2"/>
      <c r="BK60" s="139">
        <f>Table11[[#This Row],[Average MHT
(Feet)]]/16</f>
        <v>0</v>
      </c>
      <c r="BL60" s="2"/>
      <c r="BM60" s="139">
        <f>Table11[[#This Row],[Average DBH
(inches)]]/18</f>
        <v>0</v>
      </c>
      <c r="BN60" s="235">
        <f>((Table11[[#This Row],[Average DBH
(inches)]]-4)^2)*(Table11[[#This Row],[Average MHT
(Feet)]]/16)</f>
        <v>0</v>
      </c>
      <c r="BO60" s="235">
        <f>Table11[[#This Row],[Average BF]]*Table11[[#This Row],[2024 '#Trees Inventory + Estimate]]</f>
        <v>0</v>
      </c>
      <c r="BP60" s="240">
        <f>(Table11[[#This Row],[Harvest Year
(10 year)]]-Table11[[#This Row],[Year of Inventory]]+1)*(Table11[[#This Row],[Average DBH
(inches)]]/(Table11[[#This Row],[Harvest Year
(10 year)]]-Table11[[#This Row],[Year of Inventory]]+1))+Table11[[#This Row],[Average DBH
(inches)]]</f>
        <v>0</v>
      </c>
      <c r="BQ60" s="235">
        <f>((Table11[[#This Row],[Projected DBH
(Extrapolated Growth/Year)]]-4)^2)*(Table11[[#This Row],[Average MHT
(Feet)]]/16)</f>
        <v>0</v>
      </c>
      <c r="BR60" s="235">
        <f>Table11[[#This Row],[Projected Average BF]]*Table11[[#This Row],[2024 '#Trees Inventory + Estimate]]</f>
        <v>0</v>
      </c>
      <c r="BS60" s="235">
        <f>196*Table11[[#This Row],[2024 '#Trees Inventory + Estimate]]</f>
        <v>213791.74193548388</v>
      </c>
      <c r="BT60" s="243">
        <f>Table11[[#This Row],[ETP Offering Expected BF]]-Table11[[#This Row],[Projected Total BF]]</f>
        <v>213791.74193548388</v>
      </c>
      <c r="BU60" s="235">
        <f>(18-Table11[[#This Row],[Average DBH
(inches)]])/(D60-Table11[[#This Row],[Year of Inventory]]+1)</f>
        <v>8.8757396449704144E-3</v>
      </c>
    </row>
    <row r="61" spans="1:73" x14ac:dyDescent="0.25">
      <c r="A61" s="7" t="s">
        <v>372</v>
      </c>
      <c r="B61" s="2">
        <v>2016</v>
      </c>
      <c r="C61" s="2">
        <v>2018</v>
      </c>
      <c r="D61" s="2">
        <v>0</v>
      </c>
      <c r="E61" t="s">
        <v>267</v>
      </c>
      <c r="F61" s="161">
        <v>20008</v>
      </c>
      <c r="G61" t="s">
        <v>267</v>
      </c>
      <c r="H61" s="357"/>
      <c r="I61" t="s">
        <v>160</v>
      </c>
      <c r="J61" s="1"/>
      <c r="K61" s="1"/>
      <c r="L61" s="1"/>
      <c r="M61" s="1" t="s">
        <v>213</v>
      </c>
      <c r="Q61" s="2"/>
      <c r="R61" s="86"/>
      <c r="S61" s="2"/>
      <c r="T61" s="1">
        <v>350</v>
      </c>
      <c r="U61" s="1">
        <v>350</v>
      </c>
      <c r="V61" s="1" t="str">
        <f>IF(Table11[[#This Row],['#TreesContract]]-Table11[[#This Row],['#Planted]]=0,"",Table11[[#This Row],['#TreesContract]]-Table11[[#This Row],['#Planted]])</f>
        <v/>
      </c>
      <c r="W61" s="2"/>
      <c r="X61" s="34">
        <v>0.11428571428571428</v>
      </c>
      <c r="Y61" s="163">
        <f>Table11[[#This Row],['#TreesContract]]*Table11[[#This Row],[USA Allocation %]]</f>
        <v>40</v>
      </c>
      <c r="Z61" s="163">
        <f>Table11[[#This Row],['#Planted]]*Table11[[#This Row],[USA Allocation %]]</f>
        <v>40</v>
      </c>
      <c r="AA61" s="34">
        <v>0.33142857142857141</v>
      </c>
      <c r="AB61" s="163">
        <f>Table11[[#This Row],['#TreesContract]]*0.33</f>
        <v>115.5</v>
      </c>
      <c r="AC61" s="34">
        <v>0.55428571428571427</v>
      </c>
      <c r="AD61" s="163">
        <f>Table11[[#This Row],['#TreesContract]]*0.55</f>
        <v>192.50000000000003</v>
      </c>
      <c r="AE61" s="163">
        <f>Table11[[#This Row],[Canada Allocation-tree '#''s]]+Table11[[#This Row],[Can trees/Allocation 2017]]</f>
        <v>308</v>
      </c>
      <c r="AF61" s="5">
        <v>0</v>
      </c>
      <c r="AG61" s="35">
        <v>0</v>
      </c>
      <c r="AH61" s="35">
        <f>Table11[[#This Row],['#Trees as of 12/31/23]]*Table11[[#This Row],[USA Allocation %]]</f>
        <v>0</v>
      </c>
      <c r="AI61" s="404">
        <v>0</v>
      </c>
      <c r="AJ61" s="5">
        <v>0</v>
      </c>
      <c r="AK61" s="5">
        <v>0</v>
      </c>
      <c r="AL61" s="5">
        <v>0</v>
      </c>
      <c r="AM61" s="35">
        <f>AK61*Table11[[#This Row],['#TreesContract]]</f>
        <v>0</v>
      </c>
      <c r="AN61" s="35">
        <f>Table11[[#This Row],[2024 '#Trees Inventory + Estimate]]*Table11[[#This Row],[USA Allocation %]]</f>
        <v>0</v>
      </c>
      <c r="AO61" s="35">
        <f>Table11[[#This Row],[2024 '#Trees Inventory + Estimate]]*Table11[[#This Row],[Canada Allocation %]]</f>
        <v>0</v>
      </c>
      <c r="AP61" s="35">
        <f>Table11[[#This Row],[2024 '#Trees Inventory + Estimate]]*Table11[[#This Row],[Canada Allocation2017 %]]</f>
        <v>0</v>
      </c>
      <c r="AQ61" s="35">
        <f>Table11[[#This Row],['#Trees as of 2024/estimate-Can allocation]]+Table11[[#This Row],['#Trees as of 2024/estimate-Can allocation 2017]]</f>
        <v>0</v>
      </c>
      <c r="AR61" s="1" t="s">
        <v>214</v>
      </c>
      <c r="AS61" s="2"/>
      <c r="AT61" s="6">
        <f>IFERROR(Table11[[#This Row],['#Total Replacements]]/Table11[[#This Row],['#TreesContract]],"")</f>
        <v>0</v>
      </c>
      <c r="AU61" s="4">
        <f>IF(SUM(Table11[[#This Row],['#Replace 24]:['#Replace 16]])=0,0,SUM(Table11[[#This Row],['#Replace 24]:['#Replace 16]]))</f>
        <v>0</v>
      </c>
      <c r="AV61" s="2"/>
      <c r="AW61" s="2"/>
      <c r="AX61" s="3"/>
      <c r="AY61" s="2"/>
      <c r="AZ61" s="2"/>
      <c r="BA61" s="2"/>
      <c r="BB61" s="2"/>
      <c r="BC61" s="2"/>
      <c r="BD61" s="2"/>
      <c r="BE61" s="2"/>
      <c r="BF61" s="3">
        <v>1</v>
      </c>
      <c r="BG61" s="3">
        <v>1</v>
      </c>
      <c r="BH61" s="2"/>
      <c r="BI61" s="2"/>
      <c r="BJ61" s="2"/>
      <c r="BK61" s="139">
        <f>Table11[[#This Row],[Average MHT
(Feet)]]/16</f>
        <v>0</v>
      </c>
      <c r="BL61" s="2"/>
      <c r="BM61" s="139">
        <f>Table11[[#This Row],[Average DBH
(inches)]]/18</f>
        <v>0</v>
      </c>
      <c r="BN61" s="235">
        <f>((Table11[[#This Row],[Average DBH
(inches)]]-4)^2)*(Table11[[#This Row],[Average MHT
(Feet)]]/16)</f>
        <v>0</v>
      </c>
      <c r="BO61" s="235">
        <f>Table11[[#This Row],[Average BF]]*Table11[[#This Row],[2024 '#Trees Inventory + Estimate]]</f>
        <v>0</v>
      </c>
      <c r="BP61" s="240">
        <f>(Table11[[#This Row],[Harvest Year
(10 year)]]-Table11[[#This Row],[Year of Inventory]]+1)*(Table11[[#This Row],[Average DBH
(inches)]]/(Table11[[#This Row],[Harvest Year
(10 year)]]-Table11[[#This Row],[Year of Inventory]]+1))+Table11[[#This Row],[Average DBH
(inches)]]</f>
        <v>0</v>
      </c>
      <c r="BQ61" s="235">
        <f>((Table11[[#This Row],[Projected DBH
(Extrapolated Growth/Year)]]-4)^2)*(Table11[[#This Row],[Average MHT
(Feet)]]/16)</f>
        <v>0</v>
      </c>
      <c r="BR61" s="235">
        <f>Table11[[#This Row],[Projected Average BF]]*Table11[[#This Row],[2024 '#Trees Inventory + Estimate]]</f>
        <v>0</v>
      </c>
      <c r="BS61" s="235">
        <f>196*Table11[[#This Row],[2024 '#Trees Inventory + Estimate]]</f>
        <v>0</v>
      </c>
      <c r="BT61" s="235">
        <f>Table11[[#This Row],[ETP Offering Expected BF]]-Table11[[#This Row],[Projected Total BF]]</f>
        <v>0</v>
      </c>
      <c r="BU61" s="235">
        <f>(18-Table11[[#This Row],[Average DBH
(inches)]])/(D61-Table11[[#This Row],[Year of Inventory]]+1)</f>
        <v>18</v>
      </c>
    </row>
    <row r="62" spans="1:73" ht="15" customHeight="1" x14ac:dyDescent="0.25">
      <c r="A62" s="7" t="s">
        <v>373</v>
      </c>
      <c r="B62" s="2">
        <v>2016</v>
      </c>
      <c r="C62" s="2">
        <v>2018</v>
      </c>
      <c r="D62" s="2">
        <v>0</v>
      </c>
      <c r="E62" t="s">
        <v>374</v>
      </c>
      <c r="F62" s="161">
        <v>20009</v>
      </c>
      <c r="G62" t="s">
        <v>270</v>
      </c>
      <c r="H62" s="357"/>
      <c r="I62" t="s">
        <v>160</v>
      </c>
      <c r="J62" s="1"/>
      <c r="K62" s="1"/>
      <c r="L62" s="1"/>
      <c r="M62" s="1" t="s">
        <v>213</v>
      </c>
      <c r="Q62" s="2"/>
      <c r="R62" s="86"/>
      <c r="S62" s="2"/>
      <c r="T62" s="1">
        <v>500</v>
      </c>
      <c r="U62" s="1">
        <v>500</v>
      </c>
      <c r="V62" s="1" t="str">
        <f>IF(Table11[[#This Row],['#TreesContract]]-Table11[[#This Row],['#Planted]]=0,"",Table11[[#This Row],['#TreesContract]]-Table11[[#This Row],['#Planted]])</f>
        <v/>
      </c>
      <c r="W62" s="2"/>
      <c r="X62" s="34">
        <v>0.114</v>
      </c>
      <c r="Y62" s="163">
        <f>Table11[[#This Row],['#TreesContract]]*Table11[[#This Row],[USA Allocation %]]</f>
        <v>57</v>
      </c>
      <c r="Z62" s="163">
        <f>Table11[[#This Row],['#Planted]]*Table11[[#This Row],[USA Allocation %]]</f>
        <v>57</v>
      </c>
      <c r="AA62" s="34">
        <v>0.33200000000000002</v>
      </c>
      <c r="AB62" s="163">
        <f>Table11[[#This Row],['#TreesContract]]*0.33</f>
        <v>165</v>
      </c>
      <c r="AC62" s="34">
        <v>0.55600000000000005</v>
      </c>
      <c r="AD62" s="163">
        <f>Table11[[#This Row],['#TreesContract]]*0.56</f>
        <v>280</v>
      </c>
      <c r="AE62" s="163">
        <f>Table11[[#This Row],[Canada Allocation-tree '#''s]]+Table11[[#This Row],[Can trees/Allocation 2017]]</f>
        <v>445</v>
      </c>
      <c r="AF62" s="5">
        <v>0</v>
      </c>
      <c r="AG62" s="35">
        <v>0</v>
      </c>
      <c r="AH62" s="35">
        <f>Table11[[#This Row],['#Trees as of 12/31/23]]*Table11[[#This Row],[USA Allocation %]]</f>
        <v>0</v>
      </c>
      <c r="AI62" s="404">
        <v>0</v>
      </c>
      <c r="AJ62" s="5">
        <v>0</v>
      </c>
      <c r="AK62" s="5">
        <v>0</v>
      </c>
      <c r="AL62" s="5">
        <v>0</v>
      </c>
      <c r="AM62" s="35">
        <f>AK62*Table11[[#This Row],['#TreesContract]]</f>
        <v>0</v>
      </c>
      <c r="AN62" s="35">
        <f>Table11[[#This Row],[2024 '#Trees Inventory + Estimate]]*Table11[[#This Row],[USA Allocation %]]</f>
        <v>0</v>
      </c>
      <c r="AO62" s="35">
        <f>Table11[[#This Row],[2024 '#Trees Inventory + Estimate]]*Table11[[#This Row],[Canada Allocation %]]</f>
        <v>0</v>
      </c>
      <c r="AP62" s="35">
        <f>Table11[[#This Row],[2024 '#Trees Inventory + Estimate]]*Table11[[#This Row],[Canada Allocation2017 %]]</f>
        <v>0</v>
      </c>
      <c r="AQ62" s="35">
        <f>Table11[[#This Row],['#Trees as of 2024/estimate-Can allocation]]+Table11[[#This Row],['#Trees as of 2024/estimate-Can allocation 2017]]</f>
        <v>0</v>
      </c>
      <c r="AR62" s="1" t="s">
        <v>214</v>
      </c>
      <c r="AS62" s="2"/>
      <c r="AT62" s="6">
        <f>IFERROR(Table11[[#This Row],['#Total Replacements]]/Table11[[#This Row],['#TreesContract]],"")</f>
        <v>0</v>
      </c>
      <c r="AU62" s="4">
        <f>IF(SUM(Table11[[#This Row],['#Replace 24]:['#Replace 16]])=0,0,SUM(Table11[[#This Row],['#Replace 24]:['#Replace 16]]))</f>
        <v>0</v>
      </c>
      <c r="AV62" s="2"/>
      <c r="AW62" s="2"/>
      <c r="AX62" s="3"/>
      <c r="AY62" s="2"/>
      <c r="AZ62" s="2"/>
      <c r="BA62" s="2"/>
      <c r="BB62" s="2"/>
      <c r="BC62" s="2"/>
      <c r="BD62" s="2"/>
      <c r="BE62" s="2"/>
      <c r="BF62" s="3">
        <v>1</v>
      </c>
      <c r="BG62" s="3"/>
      <c r="BH62" s="2"/>
      <c r="BI62" s="158"/>
      <c r="BJ62" s="158"/>
      <c r="BK62" s="139">
        <f>Table11[[#This Row],[Average MHT
(Feet)]]/16</f>
        <v>0</v>
      </c>
      <c r="BL62" s="2"/>
      <c r="BM62" s="139">
        <f>Table11[[#This Row],[Average DBH
(inches)]]/18</f>
        <v>0</v>
      </c>
      <c r="BN62" s="235">
        <f>((Table11[[#This Row],[Average DBH
(inches)]]-4)^2)*(Table11[[#This Row],[Average MHT
(Feet)]]/16)</f>
        <v>0</v>
      </c>
      <c r="BO62" s="235">
        <f>Table11[[#This Row],[Average BF]]*Table11[[#This Row],[2024 '#Trees Inventory + Estimate]]</f>
        <v>0</v>
      </c>
      <c r="BP62" s="240">
        <f>(Table11[[#This Row],[Harvest Year
(10 year)]]-Table11[[#This Row],[Year of Inventory]]+1)*(Table11[[#This Row],[Average DBH
(inches)]]/(Table11[[#This Row],[Harvest Year
(10 year)]]-Table11[[#This Row],[Year of Inventory]]+1))+Table11[[#This Row],[Average DBH
(inches)]]</f>
        <v>0</v>
      </c>
      <c r="BQ62" s="235">
        <f>((Table11[[#This Row],[Projected DBH
(Extrapolated Growth/Year)]]-4)^2)*(Table11[[#This Row],[Average MHT
(Feet)]]/16)</f>
        <v>0</v>
      </c>
      <c r="BR62" s="235">
        <f>Table11[[#This Row],[Projected Average BF]]*Table11[[#This Row],[2024 '#Trees Inventory + Estimate]]</f>
        <v>0</v>
      </c>
      <c r="BS62" s="235">
        <f>196*Table11[[#This Row],[2024 '#Trees Inventory + Estimate]]</f>
        <v>0</v>
      </c>
      <c r="BT62" s="235">
        <f>Table11[[#This Row],[ETP Offering Expected BF]]-Table11[[#This Row],[Projected Total BF]]</f>
        <v>0</v>
      </c>
      <c r="BU62" s="235">
        <f>(18-Table11[[#This Row],[Average DBH
(inches)]])/(D62-Table11[[#This Row],[Year of Inventory]]+1)</f>
        <v>18</v>
      </c>
    </row>
    <row r="63" spans="1:73" x14ac:dyDescent="0.25">
      <c r="A63" s="7" t="s">
        <v>375</v>
      </c>
      <c r="B63" s="2">
        <v>2016</v>
      </c>
      <c r="C63" s="2">
        <v>2018</v>
      </c>
      <c r="D63" s="2">
        <v>0</v>
      </c>
      <c r="E63" t="s">
        <v>376</v>
      </c>
      <c r="F63" s="161">
        <v>20020</v>
      </c>
      <c r="G63" t="s">
        <v>299</v>
      </c>
      <c r="H63" s="357"/>
      <c r="I63" t="s">
        <v>160</v>
      </c>
      <c r="J63" s="1"/>
      <c r="K63" s="1"/>
      <c r="L63" s="1"/>
      <c r="M63" s="1" t="s">
        <v>213</v>
      </c>
      <c r="Q63" s="2"/>
      <c r="R63" s="86"/>
      <c r="S63" s="2"/>
      <c r="T63" s="1">
        <v>1000</v>
      </c>
      <c r="U63" s="1">
        <v>1000</v>
      </c>
      <c r="V63" s="1" t="str">
        <f>IF(Table11[[#This Row],['#TreesContract]]-Table11[[#This Row],['#Planted]]=0,"",Table11[[#This Row],['#TreesContract]]-Table11[[#This Row],['#Planted]])</f>
        <v/>
      </c>
      <c r="W63" s="2"/>
      <c r="X63" s="34">
        <v>0.113</v>
      </c>
      <c r="Y63" s="163">
        <f>Table11[[#This Row],['#TreesContract]]*Table11[[#This Row],[USA Allocation %]]</f>
        <v>113</v>
      </c>
      <c r="Z63" s="163">
        <f>Table11[[#This Row],['#Planted]]*Table11[[#This Row],[USA Allocation %]]</f>
        <v>113</v>
      </c>
      <c r="AA63" s="34">
        <v>0.33200000000000002</v>
      </c>
      <c r="AB63" s="163">
        <f>Table11[[#This Row],['#TreesContract]]*0.33</f>
        <v>330</v>
      </c>
      <c r="AC63" s="34">
        <v>0.55500000000000005</v>
      </c>
      <c r="AD63" s="163">
        <f>Table11[[#This Row],['#TreesContract]]*0.56</f>
        <v>560</v>
      </c>
      <c r="AE63" s="163">
        <f>Table11[[#This Row],[Canada Allocation-tree '#''s]]+Table11[[#This Row],[Can trees/Allocation 2017]]</f>
        <v>890</v>
      </c>
      <c r="AF63" s="5">
        <v>0</v>
      </c>
      <c r="AG63" s="35">
        <v>0</v>
      </c>
      <c r="AH63" s="35">
        <f>Table11[[#This Row],['#Trees as of 12/31/23]]*Table11[[#This Row],[USA Allocation %]]</f>
        <v>0</v>
      </c>
      <c r="AI63" s="404">
        <v>0</v>
      </c>
      <c r="AJ63" s="5">
        <v>0</v>
      </c>
      <c r="AK63" s="5">
        <v>0</v>
      </c>
      <c r="AL63" s="5">
        <v>0</v>
      </c>
      <c r="AM63" s="35">
        <f>AK63*Table11[[#This Row],['#TreesContract]]</f>
        <v>0</v>
      </c>
      <c r="AN63" s="35">
        <f>Table11[[#This Row],[2024 '#Trees Inventory + Estimate]]*Table11[[#This Row],[USA Allocation %]]</f>
        <v>0</v>
      </c>
      <c r="AO63" s="35">
        <f>Table11[[#This Row],[2024 '#Trees Inventory + Estimate]]*Table11[[#This Row],[Canada Allocation %]]</f>
        <v>0</v>
      </c>
      <c r="AP63" s="35">
        <f>Table11[[#This Row],[2024 '#Trees Inventory + Estimate]]*Table11[[#This Row],[Canada Allocation2017 %]]</f>
        <v>0</v>
      </c>
      <c r="AQ63" s="35">
        <f>Table11[[#This Row],['#Trees as of 2024/estimate-Can allocation]]+Table11[[#This Row],['#Trees as of 2024/estimate-Can allocation 2017]]</f>
        <v>0</v>
      </c>
      <c r="AR63" s="1" t="s">
        <v>234</v>
      </c>
      <c r="AS63" s="2"/>
      <c r="AT63" s="6">
        <f>IFERROR(Table11[[#This Row],['#Total Replacements]]/Table11[[#This Row],['#TreesContract]],"")</f>
        <v>0</v>
      </c>
      <c r="AU63" s="4">
        <f>IF(SUM(Table11[[#This Row],['#Replace 24]:['#Replace 16]])=0,0,SUM(Table11[[#This Row],['#Replace 24]:['#Replace 16]]))</f>
        <v>0</v>
      </c>
      <c r="AV63" s="2"/>
      <c r="AW63" s="2"/>
      <c r="AX63" s="3"/>
      <c r="AY63" s="2"/>
      <c r="AZ63" s="2"/>
      <c r="BA63" s="2"/>
      <c r="BB63" s="2"/>
      <c r="BC63" s="2"/>
      <c r="BD63" s="2"/>
      <c r="BE63" s="2"/>
      <c r="BF63" s="3">
        <v>1</v>
      </c>
      <c r="BG63" s="3">
        <v>1</v>
      </c>
      <c r="BH63" s="2"/>
      <c r="BI63" s="158"/>
      <c r="BJ63" s="158"/>
      <c r="BK63" s="139">
        <f>Table11[[#This Row],[Average MHT
(Feet)]]/16</f>
        <v>0</v>
      </c>
      <c r="BL63" s="2"/>
      <c r="BM63" s="139">
        <f>Table11[[#This Row],[Average DBH
(inches)]]/18</f>
        <v>0</v>
      </c>
      <c r="BN63" s="235">
        <f>((Table11[[#This Row],[Average DBH
(inches)]]-4)^2)*(Table11[[#This Row],[Average MHT
(Feet)]]/16)</f>
        <v>0</v>
      </c>
      <c r="BO63" s="235">
        <f>Table11[[#This Row],[Average BF]]*Table11[[#This Row],[2024 '#Trees Inventory + Estimate]]</f>
        <v>0</v>
      </c>
      <c r="BP63" s="240">
        <f>(Table11[[#This Row],[Harvest Year
(10 year)]]-Table11[[#This Row],[Year of Inventory]]+1)*(Table11[[#This Row],[Average DBH
(inches)]]/(Table11[[#This Row],[Harvest Year
(10 year)]]-Table11[[#This Row],[Year of Inventory]]+1))+Table11[[#This Row],[Average DBH
(inches)]]</f>
        <v>0</v>
      </c>
      <c r="BQ63" s="235">
        <f>((Table11[[#This Row],[Projected DBH
(Extrapolated Growth/Year)]]-4)^2)*(Table11[[#This Row],[Average MHT
(Feet)]]/16)</f>
        <v>0</v>
      </c>
      <c r="BR63" s="235">
        <f>Table11[[#This Row],[Projected Average BF]]*Table11[[#This Row],[2024 '#Trees Inventory + Estimate]]</f>
        <v>0</v>
      </c>
      <c r="BS63" s="235">
        <f>196*Table11[[#This Row],[2024 '#Trees Inventory + Estimate]]</f>
        <v>0</v>
      </c>
      <c r="BT63" s="235">
        <f>Table11[[#This Row],[ETP Offering Expected BF]]-Table11[[#This Row],[Projected Total BF]]</f>
        <v>0</v>
      </c>
      <c r="BU63" s="235">
        <f>(18-Table11[[#This Row],[Average DBH
(inches)]])/(D63-Table11[[#This Row],[Year of Inventory]]+1)</f>
        <v>18</v>
      </c>
    </row>
    <row r="64" spans="1:73" x14ac:dyDescent="0.25">
      <c r="A64" s="7" t="s">
        <v>377</v>
      </c>
      <c r="B64" s="2">
        <v>2016</v>
      </c>
      <c r="C64" s="2">
        <v>2018</v>
      </c>
      <c r="D64" s="2">
        <v>0</v>
      </c>
      <c r="E64" t="s">
        <v>378</v>
      </c>
      <c r="F64" s="161">
        <v>20022</v>
      </c>
      <c r="G64" t="s">
        <v>378</v>
      </c>
      <c r="H64" s="357"/>
      <c r="I64" t="s">
        <v>160</v>
      </c>
      <c r="J64" s="1"/>
      <c r="K64" s="1"/>
      <c r="L64" s="1"/>
      <c r="M64" s="1" t="s">
        <v>213</v>
      </c>
      <c r="Q64" s="2"/>
      <c r="R64" s="86"/>
      <c r="S64" s="2"/>
      <c r="T64" s="1">
        <v>750</v>
      </c>
      <c r="U64" s="1">
        <v>750</v>
      </c>
      <c r="V64" s="1" t="str">
        <f>IF(Table11[[#This Row],['#TreesContract]]-Table11[[#This Row],['#Planted]]=0,"",Table11[[#This Row],['#TreesContract]]-Table11[[#This Row],['#Planted]])</f>
        <v/>
      </c>
      <c r="W64" s="2"/>
      <c r="X64" s="34">
        <v>0.11333333333333333</v>
      </c>
      <c r="Y64" s="163">
        <f>Table11[[#This Row],['#TreesContract]]*Table11[[#This Row],[USA Allocation %]]</f>
        <v>85</v>
      </c>
      <c r="Z64" s="163">
        <f>Table11[[#This Row],['#Planted]]*Table11[[#This Row],[USA Allocation %]]</f>
        <v>85</v>
      </c>
      <c r="AA64" s="34">
        <v>0.33200000000000002</v>
      </c>
      <c r="AB64" s="163">
        <f>Table11[[#This Row],['#TreesContract]]*0.33</f>
        <v>247.5</v>
      </c>
      <c r="AC64" s="34">
        <v>0.55466666666666664</v>
      </c>
      <c r="AD64" s="163">
        <f>Table11[[#This Row],['#TreesContract]]*0.55</f>
        <v>412.50000000000006</v>
      </c>
      <c r="AE64" s="163">
        <f>Table11[[#This Row],[Canada Allocation-tree '#''s]]+Table11[[#This Row],[Can trees/Allocation 2017]]</f>
        <v>660</v>
      </c>
      <c r="AF64" s="5">
        <v>0</v>
      </c>
      <c r="AG64" s="35">
        <v>0</v>
      </c>
      <c r="AH64" s="35">
        <f>Table11[[#This Row],['#Trees as of 12/31/23]]*Table11[[#This Row],[USA Allocation %]]</f>
        <v>0</v>
      </c>
      <c r="AI64" s="404">
        <v>0</v>
      </c>
      <c r="AJ64" s="5">
        <v>0</v>
      </c>
      <c r="AK64" s="5">
        <v>0</v>
      </c>
      <c r="AL64" s="5">
        <v>0</v>
      </c>
      <c r="AM64" s="35">
        <f>AK64*Table11[[#This Row],['#TreesContract]]</f>
        <v>0</v>
      </c>
      <c r="AN64" s="35">
        <f>Table11[[#This Row],[2024 '#Trees Inventory + Estimate]]*Table11[[#This Row],[USA Allocation %]]</f>
        <v>0</v>
      </c>
      <c r="AO64" s="35">
        <f>Table11[[#This Row],[2024 '#Trees Inventory + Estimate]]*Table11[[#This Row],[Canada Allocation %]]</f>
        <v>0</v>
      </c>
      <c r="AP64" s="35">
        <f>Table11[[#This Row],[2024 '#Trees Inventory + Estimate]]*Table11[[#This Row],[Canada Allocation2017 %]]</f>
        <v>0</v>
      </c>
      <c r="AQ64" s="35">
        <f>Table11[[#This Row],['#Trees as of 2024/estimate-Can allocation]]+Table11[[#This Row],['#Trees as of 2024/estimate-Can allocation 2017]]</f>
        <v>0</v>
      </c>
      <c r="AR64" s="1" t="s">
        <v>214</v>
      </c>
      <c r="AS64" s="2"/>
      <c r="AT64" s="6">
        <f>IFERROR(Table11[[#This Row],['#Total Replacements]]/Table11[[#This Row],['#TreesContract]],"")</f>
        <v>6.6666666666666666E-2</v>
      </c>
      <c r="AU64" s="4">
        <f>IF(SUM(Table11[[#This Row],['#Replace 24]:['#Replace 16]])=0,0,SUM(Table11[[#This Row],['#Replace 24]:['#Replace 16]]))</f>
        <v>50</v>
      </c>
      <c r="AV64" s="2"/>
      <c r="AW64" s="2"/>
      <c r="AX64" s="3"/>
      <c r="AY64" s="2"/>
      <c r="AZ64" s="2"/>
      <c r="BA64" s="2">
        <v>50</v>
      </c>
      <c r="BB64" s="2"/>
      <c r="BC64" s="2"/>
      <c r="BD64" s="2"/>
      <c r="BE64" s="2"/>
      <c r="BF64" s="3">
        <v>1</v>
      </c>
      <c r="BG64" s="3"/>
      <c r="BH64" s="2"/>
      <c r="BI64" s="2"/>
      <c r="BJ64" s="2"/>
      <c r="BK64" s="139">
        <f>Table11[[#This Row],[Average MHT
(Feet)]]/16</f>
        <v>0</v>
      </c>
      <c r="BL64" s="2"/>
      <c r="BM64" s="139">
        <f>Table11[[#This Row],[Average DBH
(inches)]]/18</f>
        <v>0</v>
      </c>
      <c r="BN64" s="235">
        <f>((Table11[[#This Row],[Average DBH
(inches)]]-4)^2)*(Table11[[#This Row],[Average MHT
(Feet)]]/16)</f>
        <v>0</v>
      </c>
      <c r="BO64" s="235">
        <f>Table11[[#This Row],[Average BF]]*Table11[[#This Row],[2024 '#Trees Inventory + Estimate]]</f>
        <v>0</v>
      </c>
      <c r="BP64" s="240">
        <f>(Table11[[#This Row],[Harvest Year
(10 year)]]-Table11[[#This Row],[Year of Inventory]]+1)*(Table11[[#This Row],[Average DBH
(inches)]]/(Table11[[#This Row],[Harvest Year
(10 year)]]-Table11[[#This Row],[Year of Inventory]]+1))+Table11[[#This Row],[Average DBH
(inches)]]</f>
        <v>0</v>
      </c>
      <c r="BQ64" s="235">
        <f>((Table11[[#This Row],[Projected DBH
(Extrapolated Growth/Year)]]-4)^2)*(Table11[[#This Row],[Average MHT
(Feet)]]/16)</f>
        <v>0</v>
      </c>
      <c r="BR64" s="235">
        <f>Table11[[#This Row],[Projected Average BF]]*Table11[[#This Row],[2024 '#Trees Inventory + Estimate]]</f>
        <v>0</v>
      </c>
      <c r="BS64" s="235">
        <f>196*Table11[[#This Row],[2024 '#Trees Inventory + Estimate]]</f>
        <v>0</v>
      </c>
      <c r="BT64" s="235">
        <f>Table11[[#This Row],[ETP Offering Expected BF]]-Table11[[#This Row],[Projected Total BF]]</f>
        <v>0</v>
      </c>
      <c r="BU64" s="235">
        <f>(18-Table11[[#This Row],[Average DBH
(inches)]])/(D64-Table11[[#This Row],[Year of Inventory]]+1)</f>
        <v>18</v>
      </c>
    </row>
    <row r="65" spans="1:73" x14ac:dyDescent="0.25">
      <c r="A65" s="7" t="s">
        <v>379</v>
      </c>
      <c r="B65" s="2">
        <v>2016</v>
      </c>
      <c r="C65" s="2">
        <v>2018</v>
      </c>
      <c r="D65" s="2">
        <v>0</v>
      </c>
      <c r="E65" t="s">
        <v>380</v>
      </c>
      <c r="F65" s="161">
        <v>20023</v>
      </c>
      <c r="G65" t="s">
        <v>380</v>
      </c>
      <c r="H65" s="357"/>
      <c r="I65" t="s">
        <v>160</v>
      </c>
      <c r="J65" s="1"/>
      <c r="K65" s="1"/>
      <c r="L65" s="1"/>
      <c r="M65" s="1" t="s">
        <v>213</v>
      </c>
      <c r="Q65" s="2"/>
      <c r="R65" s="86"/>
      <c r="S65" s="2"/>
      <c r="T65" s="1">
        <v>2500</v>
      </c>
      <c r="U65" s="1">
        <v>2500</v>
      </c>
      <c r="V65" s="1" t="str">
        <f>IF(Table11[[#This Row],['#TreesContract]]-Table11[[#This Row],['#Planted]]=0,"",Table11[[#This Row],['#TreesContract]]-Table11[[#This Row],['#Planted]])</f>
        <v/>
      </c>
      <c r="W65" s="2"/>
      <c r="X65" s="34">
        <v>0.1132</v>
      </c>
      <c r="Y65" s="163">
        <f>Table11[[#This Row],['#TreesContract]]*Table11[[#This Row],[USA Allocation %]]</f>
        <v>283</v>
      </c>
      <c r="Z65" s="163">
        <f>Table11[[#This Row],['#Planted]]*Table11[[#This Row],[USA Allocation %]]</f>
        <v>283</v>
      </c>
      <c r="AA65" s="34">
        <v>0.33200000000000002</v>
      </c>
      <c r="AB65" s="163">
        <f>Table11[[#This Row],['#TreesContract]]*0.33</f>
        <v>825</v>
      </c>
      <c r="AC65" s="34">
        <v>0.55520000000000003</v>
      </c>
      <c r="AD65" s="163">
        <f>Table11[[#This Row],['#TreesContract]]*0.56</f>
        <v>1400.0000000000002</v>
      </c>
      <c r="AE65" s="163">
        <f>Table11[[#This Row],[Canada Allocation-tree '#''s]]+Table11[[#This Row],[Can trees/Allocation 2017]]</f>
        <v>2225</v>
      </c>
      <c r="AF65" s="5">
        <v>0</v>
      </c>
      <c r="AG65" s="35">
        <v>0</v>
      </c>
      <c r="AH65" s="35">
        <f>Table11[[#This Row],['#Trees as of 12/31/23]]*Table11[[#This Row],[USA Allocation %]]</f>
        <v>0</v>
      </c>
      <c r="AI65" s="404">
        <v>0</v>
      </c>
      <c r="AJ65" s="5">
        <v>0</v>
      </c>
      <c r="AK65" s="5">
        <v>0</v>
      </c>
      <c r="AL65" s="5">
        <v>0</v>
      </c>
      <c r="AM65" s="35">
        <f>AK65*Table11[[#This Row],['#TreesContract]]</f>
        <v>0</v>
      </c>
      <c r="AN65" s="35">
        <f>Table11[[#This Row],[2024 '#Trees Inventory + Estimate]]*Table11[[#This Row],[USA Allocation %]]</f>
        <v>0</v>
      </c>
      <c r="AO65" s="35">
        <f>Table11[[#This Row],[2024 '#Trees Inventory + Estimate]]*Table11[[#This Row],[Canada Allocation %]]</f>
        <v>0</v>
      </c>
      <c r="AP65" s="35">
        <f>Table11[[#This Row],[2024 '#Trees Inventory + Estimate]]*Table11[[#This Row],[Canada Allocation2017 %]]</f>
        <v>0</v>
      </c>
      <c r="AQ65" s="35">
        <f>Table11[[#This Row],['#Trees as of 2024/estimate-Can allocation]]+Table11[[#This Row],['#Trees as of 2024/estimate-Can allocation 2017]]</f>
        <v>0</v>
      </c>
      <c r="AR65" s="1" t="s">
        <v>214</v>
      </c>
      <c r="AS65" s="2"/>
      <c r="AT65" s="6">
        <f>IFERROR(Table11[[#This Row],['#Total Replacements]]/Table11[[#This Row],['#TreesContract]],"")</f>
        <v>0</v>
      </c>
      <c r="AU65" s="4">
        <f>IF(SUM(Table11[[#This Row],['#Replace 24]:['#Replace 16]])=0,0,SUM(Table11[[#This Row],['#Replace 24]:['#Replace 16]]))</f>
        <v>0</v>
      </c>
      <c r="AV65" s="2"/>
      <c r="AW65" s="2"/>
      <c r="AX65" s="3"/>
      <c r="AY65" s="2"/>
      <c r="AZ65" s="2"/>
      <c r="BA65" s="2"/>
      <c r="BB65" s="2"/>
      <c r="BC65" s="2"/>
      <c r="BD65" s="2"/>
      <c r="BE65" s="2"/>
      <c r="BF65" s="3">
        <v>1</v>
      </c>
      <c r="BG65" s="3">
        <v>1</v>
      </c>
      <c r="BH65" s="2"/>
      <c r="BI65" s="158"/>
      <c r="BJ65" s="158"/>
      <c r="BK65" s="139">
        <f>Table11[[#This Row],[Average MHT
(Feet)]]/16</f>
        <v>0</v>
      </c>
      <c r="BL65" s="2"/>
      <c r="BM65" s="139">
        <f>Table11[[#This Row],[Average DBH
(inches)]]/18</f>
        <v>0</v>
      </c>
      <c r="BN65" s="235">
        <f>((Table11[[#This Row],[Average DBH
(inches)]]-4)^2)*(Table11[[#This Row],[Average MHT
(Feet)]]/16)</f>
        <v>0</v>
      </c>
      <c r="BO65" s="235">
        <f>Table11[[#This Row],[Average BF]]*Table11[[#This Row],[2024 '#Trees Inventory + Estimate]]</f>
        <v>0</v>
      </c>
      <c r="BP65" s="240">
        <f>(Table11[[#This Row],[Harvest Year
(10 year)]]-Table11[[#This Row],[Year of Inventory]]+1)*(Table11[[#This Row],[Average DBH
(inches)]]/(Table11[[#This Row],[Harvest Year
(10 year)]]-Table11[[#This Row],[Year of Inventory]]+1))+Table11[[#This Row],[Average DBH
(inches)]]</f>
        <v>0</v>
      </c>
      <c r="BQ65" s="235">
        <f>((Table11[[#This Row],[Projected DBH
(Extrapolated Growth/Year)]]-4)^2)*(Table11[[#This Row],[Average MHT
(Feet)]]/16)</f>
        <v>0</v>
      </c>
      <c r="BR65" s="235">
        <f>Table11[[#This Row],[Projected Average BF]]*Table11[[#This Row],[2024 '#Trees Inventory + Estimate]]</f>
        <v>0</v>
      </c>
      <c r="BS65" s="235">
        <f>196*Table11[[#This Row],[2024 '#Trees Inventory + Estimate]]</f>
        <v>0</v>
      </c>
      <c r="BT65" s="235">
        <f>Table11[[#This Row],[ETP Offering Expected BF]]-Table11[[#This Row],[Projected Total BF]]</f>
        <v>0</v>
      </c>
      <c r="BU65" s="235">
        <f>(18-Table11[[#This Row],[Average DBH
(inches)]])/(D65-Table11[[#This Row],[Year of Inventory]]+1)</f>
        <v>18</v>
      </c>
    </row>
    <row r="66" spans="1:73" x14ac:dyDescent="0.25">
      <c r="A66" s="7" t="s">
        <v>381</v>
      </c>
      <c r="B66" s="2">
        <v>2016</v>
      </c>
      <c r="C66" s="2">
        <v>2018</v>
      </c>
      <c r="D66" s="2">
        <v>0</v>
      </c>
      <c r="E66" t="s">
        <v>382</v>
      </c>
      <c r="F66" s="161">
        <v>20024</v>
      </c>
      <c r="G66" t="s">
        <v>382</v>
      </c>
      <c r="H66" s="357"/>
      <c r="I66" t="s">
        <v>160</v>
      </c>
      <c r="J66" s="1"/>
      <c r="K66" s="1"/>
      <c r="L66" s="1"/>
      <c r="M66" s="1" t="s">
        <v>213</v>
      </c>
      <c r="Q66" s="2"/>
      <c r="R66" s="86"/>
      <c r="S66" s="2"/>
      <c r="T66" s="1">
        <v>500</v>
      </c>
      <c r="U66" s="1">
        <v>500</v>
      </c>
      <c r="V66" s="1" t="str">
        <f>IF(Table11[[#This Row],['#TreesContract]]-Table11[[#This Row],['#Planted]]=0,"",Table11[[#This Row],['#TreesContract]]-Table11[[#This Row],['#Planted]])</f>
        <v/>
      </c>
      <c r="W66" s="2"/>
      <c r="X66" s="34">
        <v>0.114</v>
      </c>
      <c r="Y66" s="163">
        <f>Table11[[#This Row],['#TreesContract]]*Table11[[#This Row],[USA Allocation %]]</f>
        <v>57</v>
      </c>
      <c r="Z66" s="163">
        <f>Table11[[#This Row],['#Planted]]*Table11[[#This Row],[USA Allocation %]]</f>
        <v>57</v>
      </c>
      <c r="AA66" s="34">
        <v>0.33200000000000002</v>
      </c>
      <c r="AB66" s="163">
        <f>Table11[[#This Row],['#TreesContract]]*0.33</f>
        <v>165</v>
      </c>
      <c r="AC66" s="34">
        <v>0.55600000000000005</v>
      </c>
      <c r="AD66" s="163">
        <f>Table11[[#This Row],['#TreesContract]]*0.56</f>
        <v>280</v>
      </c>
      <c r="AE66" s="163">
        <f>Table11[[#This Row],[Canada Allocation-tree '#''s]]+Table11[[#This Row],[Can trees/Allocation 2017]]</f>
        <v>445</v>
      </c>
      <c r="AF66" s="5">
        <v>0</v>
      </c>
      <c r="AG66" s="35">
        <v>0</v>
      </c>
      <c r="AH66" s="35">
        <f>Table11[[#This Row],['#Trees as of 12/31/23]]*Table11[[#This Row],[USA Allocation %]]</f>
        <v>0</v>
      </c>
      <c r="AI66" s="404">
        <v>0</v>
      </c>
      <c r="AJ66" s="5">
        <v>0</v>
      </c>
      <c r="AK66" s="5">
        <v>0</v>
      </c>
      <c r="AL66" s="5">
        <v>0</v>
      </c>
      <c r="AM66" s="35">
        <f>AK66*Table11[[#This Row],['#TreesContract]]</f>
        <v>0</v>
      </c>
      <c r="AN66" s="35">
        <f>Table11[[#This Row],[2024 '#Trees Inventory + Estimate]]*Table11[[#This Row],[USA Allocation %]]</f>
        <v>0</v>
      </c>
      <c r="AO66" s="35">
        <f>Table11[[#This Row],[2024 '#Trees Inventory + Estimate]]*Table11[[#This Row],[Canada Allocation %]]</f>
        <v>0</v>
      </c>
      <c r="AP66" s="35">
        <f>Table11[[#This Row],[2024 '#Trees Inventory + Estimate]]*Table11[[#This Row],[Canada Allocation2017 %]]</f>
        <v>0</v>
      </c>
      <c r="AQ66" s="35">
        <f>Table11[[#This Row],['#Trees as of 2024/estimate-Can allocation]]+Table11[[#This Row],['#Trees as of 2024/estimate-Can allocation 2017]]</f>
        <v>0</v>
      </c>
      <c r="AR66" s="1" t="s">
        <v>214</v>
      </c>
      <c r="AS66" s="2"/>
      <c r="AT66" s="6">
        <f>IFERROR(Table11[[#This Row],['#Total Replacements]]/Table11[[#This Row],['#TreesContract]],"")</f>
        <v>0</v>
      </c>
      <c r="AU66" s="4">
        <f>IF(SUM(Table11[[#This Row],['#Replace 24]:['#Replace 16]])=0,0,SUM(Table11[[#This Row],['#Replace 24]:['#Replace 16]]))</f>
        <v>0</v>
      </c>
      <c r="AV66" s="2"/>
      <c r="AW66" s="2"/>
      <c r="AX66" s="3"/>
      <c r="AY66" s="2"/>
      <c r="AZ66" s="2"/>
      <c r="BA66" s="2"/>
      <c r="BB66" s="2"/>
      <c r="BC66" s="2"/>
      <c r="BD66" s="2"/>
      <c r="BE66" s="2"/>
      <c r="BF66" s="3">
        <v>1</v>
      </c>
      <c r="BG66" s="3"/>
      <c r="BH66" s="2"/>
      <c r="BI66" s="2"/>
      <c r="BJ66" s="2"/>
      <c r="BK66" s="139">
        <f>Table11[[#This Row],[Average MHT
(Feet)]]/16</f>
        <v>0</v>
      </c>
      <c r="BL66" s="2"/>
      <c r="BM66" s="139">
        <f>Table11[[#This Row],[Average DBH
(inches)]]/18</f>
        <v>0</v>
      </c>
      <c r="BN66" s="235">
        <f>((Table11[[#This Row],[Average DBH
(inches)]]-4)^2)*(Table11[[#This Row],[Average MHT
(Feet)]]/16)</f>
        <v>0</v>
      </c>
      <c r="BO66" s="235">
        <f>Table11[[#This Row],[Average BF]]*Table11[[#This Row],[2024 '#Trees Inventory + Estimate]]</f>
        <v>0</v>
      </c>
      <c r="BP66" s="240">
        <f>(Table11[[#This Row],[Harvest Year
(10 year)]]-Table11[[#This Row],[Year of Inventory]]+1)*(Table11[[#This Row],[Average DBH
(inches)]]/(Table11[[#This Row],[Harvest Year
(10 year)]]-Table11[[#This Row],[Year of Inventory]]+1))+Table11[[#This Row],[Average DBH
(inches)]]</f>
        <v>0</v>
      </c>
      <c r="BQ66" s="235">
        <f>((Table11[[#This Row],[Projected DBH
(Extrapolated Growth/Year)]]-4)^2)*(Table11[[#This Row],[Average MHT
(Feet)]]/16)</f>
        <v>0</v>
      </c>
      <c r="BR66" s="235">
        <f>Table11[[#This Row],[Projected Average BF]]*Table11[[#This Row],[2024 '#Trees Inventory + Estimate]]</f>
        <v>0</v>
      </c>
      <c r="BS66" s="235">
        <f>196*Table11[[#This Row],[2024 '#Trees Inventory + Estimate]]</f>
        <v>0</v>
      </c>
      <c r="BT66" s="235">
        <f>Table11[[#This Row],[ETP Offering Expected BF]]-Table11[[#This Row],[Projected Total BF]]</f>
        <v>0</v>
      </c>
      <c r="BU66" s="235">
        <f>(18-Table11[[#This Row],[Average DBH
(inches)]])/(D66-Table11[[#This Row],[Year of Inventory]]+1)</f>
        <v>18</v>
      </c>
    </row>
    <row r="67" spans="1:73" x14ac:dyDescent="0.25">
      <c r="A67" s="343" t="s">
        <v>383</v>
      </c>
      <c r="B67" s="2">
        <v>2016</v>
      </c>
      <c r="C67" s="2">
        <v>2018</v>
      </c>
      <c r="D67" s="2">
        <f>Table11[[#This Row],[Planting Year]]+9</f>
        <v>2027</v>
      </c>
      <c r="E67" t="s">
        <v>384</v>
      </c>
      <c r="F67" s="161">
        <v>20025</v>
      </c>
      <c r="G67" t="s">
        <v>385</v>
      </c>
      <c r="H67" s="357" t="s">
        <v>386</v>
      </c>
      <c r="I67" t="s">
        <v>155</v>
      </c>
      <c r="J67" s="1" t="s">
        <v>387</v>
      </c>
      <c r="K67" s="1" t="s">
        <v>388</v>
      </c>
      <c r="L67" s="1" t="s">
        <v>389</v>
      </c>
      <c r="M67" s="1" t="s">
        <v>213</v>
      </c>
      <c r="N67" t="s">
        <v>390</v>
      </c>
      <c r="O67">
        <v>10.011592139799999</v>
      </c>
      <c r="P67">
        <v>-84.083666722700002</v>
      </c>
      <c r="Q67" s="2"/>
      <c r="R67" s="86"/>
      <c r="S67" s="2"/>
      <c r="T67" s="1">
        <v>2000</v>
      </c>
      <c r="U67" s="1">
        <v>2000</v>
      </c>
      <c r="V67" s="1" t="str">
        <f>IF(Table11[[#This Row],['#TreesContract]]-Table11[[#This Row],['#Planted]]=0,"",Table11[[#This Row],['#TreesContract]]-Table11[[#This Row],['#Planted]])</f>
        <v/>
      </c>
      <c r="W67" s="2"/>
      <c r="X67" s="34">
        <v>0.113</v>
      </c>
      <c r="Y67" s="163">
        <f>Table11[[#This Row],['#TreesContract]]*Table11[[#This Row],[USA Allocation %]]</f>
        <v>226</v>
      </c>
      <c r="Z67" s="163">
        <f>Table11[[#This Row],['#Planted]]*Table11[[#This Row],[USA Allocation %]]</f>
        <v>226</v>
      </c>
      <c r="AA67" s="34">
        <v>0.33200000000000002</v>
      </c>
      <c r="AB67" s="163">
        <f>Table11[[#This Row],['#TreesContract]]*0.33</f>
        <v>660</v>
      </c>
      <c r="AC67" s="34">
        <v>0.55500000000000005</v>
      </c>
      <c r="AD67" s="163">
        <f>Table11[[#This Row],['#TreesContract]]*0.56</f>
        <v>1120</v>
      </c>
      <c r="AE67" s="163">
        <f>Table11[[#This Row],[Canada Allocation-tree '#''s]]+Table11[[#This Row],[Can trees/Allocation 2017]]</f>
        <v>1780</v>
      </c>
      <c r="AF67" s="5">
        <v>0.56000000000000005</v>
      </c>
      <c r="AG67" s="35">
        <v>1120</v>
      </c>
      <c r="AH67" s="35">
        <f>Table11[[#This Row],['#Trees as of 12/31/23]]*Table11[[#This Row],[USA Allocation %]]</f>
        <v>126.56</v>
      </c>
      <c r="AI67" s="437">
        <f>Table11[[#This Row],['#TreesContract]]*Table11[[#This Row],[2024 Inventory Survival%-master]]</f>
        <v>0</v>
      </c>
      <c r="AJ67" s="436"/>
      <c r="AK67" s="5">
        <v>0.56000000000000005</v>
      </c>
      <c r="AL67" s="5">
        <v>0.56000000000000005</v>
      </c>
      <c r="AM67" s="35">
        <f>AK67*Table11[[#This Row],['#TreesContract]]</f>
        <v>1120</v>
      </c>
      <c r="AN67" s="35">
        <f>Table11[[#This Row],[2024 '#Trees Inventory + Estimate]]*Table11[[#This Row],[USA Allocation %]]</f>
        <v>126.56</v>
      </c>
      <c r="AO67" s="35">
        <f>Table11[[#This Row],[2024 '#Trees Inventory + Estimate]]*Table11[[#This Row],[Canada Allocation %]]</f>
        <v>371.84000000000003</v>
      </c>
      <c r="AP67" s="35">
        <f>Table11[[#This Row],[2024 '#Trees Inventory + Estimate]]*Table11[[#This Row],[Canada Allocation2017 %]]</f>
        <v>621.6</v>
      </c>
      <c r="AQ67" s="35">
        <f>Table11[[#This Row],['#Trees as of 2024/estimate-Can allocation]]+Table11[[#This Row],['#Trees as of 2024/estimate-Can allocation 2017]]</f>
        <v>993.44</v>
      </c>
      <c r="AR67" s="1" t="s">
        <v>214</v>
      </c>
      <c r="AS67" s="2"/>
      <c r="AT67" s="6">
        <f>IFERROR(Table11[[#This Row],['#Total Replacements]]/Table11[[#This Row],['#TreesContract]],"")</f>
        <v>0.85</v>
      </c>
      <c r="AU67" s="4">
        <f>IF(SUM(Table11[[#This Row],['#Replace 24]:['#Replace 16]])=0,0,SUM(Table11[[#This Row],['#Replace 24]:['#Replace 16]]))</f>
        <v>1700</v>
      </c>
      <c r="AV67" s="2"/>
      <c r="AW67" s="2"/>
      <c r="AX67" s="3"/>
      <c r="AY67" s="2"/>
      <c r="AZ67" s="2"/>
      <c r="BA67" s="2"/>
      <c r="BB67" s="2">
        <v>1700</v>
      </c>
      <c r="BC67" s="2"/>
      <c r="BD67" s="2"/>
      <c r="BE67" s="2"/>
      <c r="BF67" s="3">
        <v>1</v>
      </c>
      <c r="BG67" s="3">
        <v>1</v>
      </c>
      <c r="BH67" s="2"/>
      <c r="BI67" s="158"/>
      <c r="BJ67" s="158"/>
      <c r="BK67" s="139">
        <f>Table11[[#This Row],[Average MHT
(Feet)]]/16</f>
        <v>0</v>
      </c>
      <c r="BL67" s="2"/>
      <c r="BM67" s="139">
        <f>Table11[[#This Row],[Average DBH
(inches)]]/18</f>
        <v>0</v>
      </c>
      <c r="BN67" s="235">
        <f>((Table11[[#This Row],[Average DBH
(inches)]]-4)^2)*(Table11[[#This Row],[Average MHT
(Feet)]]/16)</f>
        <v>0</v>
      </c>
      <c r="BO67" s="235">
        <f>Table11[[#This Row],[Average BF]]*Table11[[#This Row],[2024 '#Trees Inventory + Estimate]]</f>
        <v>0</v>
      </c>
      <c r="BP67" s="240">
        <f>(Table11[[#This Row],[Harvest Year
(10 year)]]-Table11[[#This Row],[Year of Inventory]]+1)*(Table11[[#This Row],[Average DBH
(inches)]]/(Table11[[#This Row],[Harvest Year
(10 year)]]-Table11[[#This Row],[Year of Inventory]]+1))+Table11[[#This Row],[Average DBH
(inches)]]</f>
        <v>0</v>
      </c>
      <c r="BQ67" s="235">
        <f>((Table11[[#This Row],[Projected DBH
(Extrapolated Growth/Year)]]-4)^2)*(Table11[[#This Row],[Average MHT
(Feet)]]/16)</f>
        <v>0</v>
      </c>
      <c r="BR67" s="235">
        <f>Table11[[#This Row],[Projected Average BF]]*Table11[[#This Row],[2024 '#Trees Inventory + Estimate]]</f>
        <v>0</v>
      </c>
      <c r="BS67" s="235">
        <f>196*Table11[[#This Row],[2024 '#Trees Inventory + Estimate]]</f>
        <v>219520</v>
      </c>
      <c r="BT67" s="243">
        <f>Table11[[#This Row],[ETP Offering Expected BF]]-Table11[[#This Row],[Projected Total BF]]</f>
        <v>219520</v>
      </c>
      <c r="BU67" s="235">
        <f>(18-Table11[[#This Row],[Average DBH
(inches)]])/(D67-Table11[[#This Row],[Year of Inventory]]+1)</f>
        <v>8.8757396449704144E-3</v>
      </c>
    </row>
    <row r="68" spans="1:73" x14ac:dyDescent="0.25">
      <c r="A68" s="343" t="s">
        <v>391</v>
      </c>
      <c r="B68" s="2">
        <v>2016</v>
      </c>
      <c r="C68" s="2">
        <v>2018</v>
      </c>
      <c r="D68" s="2">
        <f>Table11[[#This Row],[Planting Year]]+9</f>
        <v>2027</v>
      </c>
      <c r="E68" t="s">
        <v>392</v>
      </c>
      <c r="F68" s="161">
        <v>20026</v>
      </c>
      <c r="G68" t="s">
        <v>392</v>
      </c>
      <c r="H68" s="357" t="s">
        <v>393</v>
      </c>
      <c r="I68" t="s">
        <v>155</v>
      </c>
      <c r="J68" s="1" t="s">
        <v>394</v>
      </c>
      <c r="K68" s="1" t="s">
        <v>395</v>
      </c>
      <c r="L68" s="1" t="s">
        <v>396</v>
      </c>
      <c r="M68" s="1" t="s">
        <v>213</v>
      </c>
      <c r="N68" t="s">
        <v>397</v>
      </c>
      <c r="O68">
        <v>10.1081763406</v>
      </c>
      <c r="P68">
        <v>-84.381114022600002</v>
      </c>
      <c r="Q68" s="2"/>
      <c r="R68" s="86"/>
      <c r="S68" s="2"/>
      <c r="T68" s="1">
        <v>500</v>
      </c>
      <c r="U68" s="1">
        <v>500</v>
      </c>
      <c r="V68" s="1" t="str">
        <f>IF(Table11[[#This Row],['#TreesContract]]-Table11[[#This Row],['#Planted]]=0,"",Table11[[#This Row],['#TreesContract]]-Table11[[#This Row],['#Planted]])</f>
        <v/>
      </c>
      <c r="W68" s="2"/>
      <c r="X68" s="34">
        <v>0.114</v>
      </c>
      <c r="Y68" s="163">
        <f>Table11[[#This Row],['#TreesContract]]*Table11[[#This Row],[USA Allocation %]]</f>
        <v>57</v>
      </c>
      <c r="Z68" s="163">
        <f>Table11[[#This Row],['#Planted]]*Table11[[#This Row],[USA Allocation %]]</f>
        <v>57</v>
      </c>
      <c r="AA68" s="34">
        <v>0.33200000000000002</v>
      </c>
      <c r="AB68" s="163">
        <f>Table11[[#This Row],['#TreesContract]]*0.33</f>
        <v>165</v>
      </c>
      <c r="AC68" s="34">
        <v>0.55600000000000005</v>
      </c>
      <c r="AD68" s="163">
        <f>Table11[[#This Row],['#TreesContract]]*0.56</f>
        <v>280</v>
      </c>
      <c r="AE68" s="163">
        <f>Table11[[#This Row],[Canada Allocation-tree '#''s]]+Table11[[#This Row],[Can trees/Allocation 2017]]</f>
        <v>445</v>
      </c>
      <c r="AF68" s="5">
        <v>0.6</v>
      </c>
      <c r="AG68" s="35">
        <v>300</v>
      </c>
      <c r="AH68" s="35">
        <f>Table11[[#This Row],['#Trees as of 12/31/23]]*Table11[[#This Row],[USA Allocation %]]</f>
        <v>34.200000000000003</v>
      </c>
      <c r="AI68" s="437">
        <f>Table11[[#This Row],['#TreesContract]]*Table11[[#This Row],[2024 Inventory Survival%-master]]</f>
        <v>0</v>
      </c>
      <c r="AJ68" s="436"/>
      <c r="AK68" s="5">
        <v>0.6</v>
      </c>
      <c r="AL68" s="5">
        <v>0.6</v>
      </c>
      <c r="AM68" s="35">
        <f>AK68*Table11[[#This Row],['#TreesContract]]</f>
        <v>300</v>
      </c>
      <c r="AN68" s="35">
        <f>Table11[[#This Row],[2024 '#Trees Inventory + Estimate]]*Table11[[#This Row],[USA Allocation %]]</f>
        <v>34.200000000000003</v>
      </c>
      <c r="AO68" s="35">
        <f>Table11[[#This Row],[2024 '#Trees Inventory + Estimate]]*Table11[[#This Row],[Canada Allocation %]]</f>
        <v>99.600000000000009</v>
      </c>
      <c r="AP68" s="35">
        <f>Table11[[#This Row],[2024 '#Trees Inventory + Estimate]]*Table11[[#This Row],[Canada Allocation2017 %]]</f>
        <v>166.8</v>
      </c>
      <c r="AQ68" s="35">
        <f>Table11[[#This Row],['#Trees as of 2024/estimate-Can allocation]]+Table11[[#This Row],['#Trees as of 2024/estimate-Can allocation 2017]]</f>
        <v>266.40000000000003</v>
      </c>
      <c r="AR68" s="1" t="s">
        <v>398</v>
      </c>
      <c r="AS68" s="2"/>
      <c r="AT68" s="6">
        <f>IFERROR(Table11[[#This Row],['#Total Replacements]]/Table11[[#This Row],['#TreesContract]],"")</f>
        <v>0.8</v>
      </c>
      <c r="AU68" s="4">
        <f>IF(SUM(Table11[[#This Row],['#Replace 24]:['#Replace 16]])=0,0,SUM(Table11[[#This Row],['#Replace 24]:['#Replace 16]]))</f>
        <v>400</v>
      </c>
      <c r="AV68" s="2"/>
      <c r="AW68" s="2"/>
      <c r="AX68" s="3"/>
      <c r="AY68" s="2"/>
      <c r="AZ68" s="2"/>
      <c r="BA68" s="2">
        <v>100</v>
      </c>
      <c r="BB68" s="2">
        <v>300</v>
      </c>
      <c r="BC68" s="2"/>
      <c r="BD68" s="2"/>
      <c r="BE68" s="2"/>
      <c r="BF68" s="3">
        <v>1</v>
      </c>
      <c r="BG68" s="3">
        <v>1</v>
      </c>
      <c r="BH68" s="2"/>
      <c r="BI68" s="2"/>
      <c r="BJ68" s="2"/>
      <c r="BK68" s="139">
        <f>Table11[[#This Row],[Average MHT
(Feet)]]/16</f>
        <v>0</v>
      </c>
      <c r="BL68" s="2"/>
      <c r="BM68" s="139">
        <f>Table11[[#This Row],[Average DBH
(inches)]]/18</f>
        <v>0</v>
      </c>
      <c r="BN68" s="235">
        <f>((Table11[[#This Row],[Average DBH
(inches)]]-4)^2)*(Table11[[#This Row],[Average MHT
(Feet)]]/16)</f>
        <v>0</v>
      </c>
      <c r="BO68" s="235">
        <f>Table11[[#This Row],[Average BF]]*Table11[[#This Row],[2024 '#Trees Inventory + Estimate]]</f>
        <v>0</v>
      </c>
      <c r="BP68" s="240">
        <f>(Table11[[#This Row],[Harvest Year
(10 year)]]-Table11[[#This Row],[Year of Inventory]]+1)*(Table11[[#This Row],[Average DBH
(inches)]]/(Table11[[#This Row],[Harvest Year
(10 year)]]-Table11[[#This Row],[Year of Inventory]]+1))+Table11[[#This Row],[Average DBH
(inches)]]</f>
        <v>0</v>
      </c>
      <c r="BQ68" s="235">
        <f>((Table11[[#This Row],[Projected DBH
(Extrapolated Growth/Year)]]-4)^2)*(Table11[[#This Row],[Average MHT
(Feet)]]/16)</f>
        <v>0</v>
      </c>
      <c r="BR68" s="235">
        <f>Table11[[#This Row],[Projected Average BF]]*Table11[[#This Row],[2024 '#Trees Inventory + Estimate]]</f>
        <v>0</v>
      </c>
      <c r="BS68" s="235">
        <f>196*Table11[[#This Row],[2024 '#Trees Inventory + Estimate]]</f>
        <v>58800</v>
      </c>
      <c r="BT68" s="243">
        <f>Table11[[#This Row],[ETP Offering Expected BF]]-Table11[[#This Row],[Projected Total BF]]</f>
        <v>58800</v>
      </c>
      <c r="BU68" s="235">
        <f>(18-Table11[[#This Row],[Average DBH
(inches)]])/(D68-Table11[[#This Row],[Year of Inventory]]+1)</f>
        <v>8.8757396449704144E-3</v>
      </c>
    </row>
    <row r="69" spans="1:73" x14ac:dyDescent="0.25">
      <c r="A69" s="7" t="s">
        <v>399</v>
      </c>
      <c r="B69" s="2">
        <v>2016</v>
      </c>
      <c r="C69" s="2">
        <v>2018</v>
      </c>
      <c r="D69" s="2">
        <f>Table11[[#This Row],[Planting Year]]+9</f>
        <v>2027</v>
      </c>
      <c r="E69" t="s">
        <v>400</v>
      </c>
      <c r="F69" s="161">
        <v>20027</v>
      </c>
      <c r="G69" t="s">
        <v>400</v>
      </c>
      <c r="H69" s="357" t="s">
        <v>401</v>
      </c>
      <c r="I69" t="s">
        <v>155</v>
      </c>
      <c r="J69" s="1" t="s">
        <v>402</v>
      </c>
      <c r="K69" s="1" t="s">
        <v>403</v>
      </c>
      <c r="L69" s="1" t="s">
        <v>404</v>
      </c>
      <c r="M69" s="1" t="s">
        <v>213</v>
      </c>
      <c r="N69" t="s">
        <v>405</v>
      </c>
      <c r="O69">
        <v>10.1525978335</v>
      </c>
      <c r="P69">
        <v>-84.358619769200004</v>
      </c>
      <c r="Q69" s="2"/>
      <c r="R69" s="86"/>
      <c r="S69" s="2"/>
      <c r="T69" s="1">
        <v>1000</v>
      </c>
      <c r="U69" s="1">
        <v>1000</v>
      </c>
      <c r="V69" s="1" t="str">
        <f>IF(Table11[[#This Row],['#TreesContract]]-Table11[[#This Row],['#Planted]]=0,"",Table11[[#This Row],['#TreesContract]]-Table11[[#This Row],['#Planted]])</f>
        <v/>
      </c>
      <c r="W69" s="2"/>
      <c r="X69" s="34">
        <v>0.113</v>
      </c>
      <c r="Y69" s="163">
        <f>Table11[[#This Row],['#TreesContract]]*Table11[[#This Row],[USA Allocation %]]</f>
        <v>113</v>
      </c>
      <c r="Z69" s="163">
        <f>Table11[[#This Row],['#Planted]]*Table11[[#This Row],[USA Allocation %]]</f>
        <v>113</v>
      </c>
      <c r="AA69" s="34">
        <v>0.33200000000000002</v>
      </c>
      <c r="AB69" s="163">
        <f>Table11[[#This Row],['#TreesContract]]*0.33</f>
        <v>330</v>
      </c>
      <c r="AC69" s="34">
        <v>0.55500000000000005</v>
      </c>
      <c r="AD69" s="163">
        <f>Table11[[#This Row],['#TreesContract]]*0.56</f>
        <v>560</v>
      </c>
      <c r="AE69" s="163">
        <f>Table11[[#This Row],[Canada Allocation-tree '#''s]]+Table11[[#This Row],[Can trees/Allocation 2017]]</f>
        <v>890</v>
      </c>
      <c r="AF69" s="5">
        <v>0.6</v>
      </c>
      <c r="AG69" s="35">
        <v>600</v>
      </c>
      <c r="AH69" s="35">
        <f>Table11[[#This Row],['#Trees as of 12/31/23]]*Table11[[#This Row],[USA Allocation %]]</f>
        <v>67.8</v>
      </c>
      <c r="AI69" s="437">
        <f>Table11[[#This Row],['#TreesContract]]*Table11[[#This Row],[2024 Inventory Survival%-master]]</f>
        <v>0</v>
      </c>
      <c r="AJ69" s="436"/>
      <c r="AK69" s="5">
        <v>0.6</v>
      </c>
      <c r="AL69" s="5">
        <v>0.6</v>
      </c>
      <c r="AM69" s="35">
        <f>AK69*Table11[[#This Row],['#TreesContract]]</f>
        <v>600</v>
      </c>
      <c r="AN69" s="35">
        <f>Table11[[#This Row],[2024 '#Trees Inventory + Estimate]]*Table11[[#This Row],[USA Allocation %]]</f>
        <v>67.8</v>
      </c>
      <c r="AO69" s="35">
        <f>Table11[[#This Row],[2024 '#Trees Inventory + Estimate]]*Table11[[#This Row],[Canada Allocation %]]</f>
        <v>199.20000000000002</v>
      </c>
      <c r="AP69" s="35">
        <f>Table11[[#This Row],[2024 '#Trees Inventory + Estimate]]*Table11[[#This Row],[Canada Allocation2017 %]]</f>
        <v>333.00000000000006</v>
      </c>
      <c r="AQ69" s="35">
        <f>Table11[[#This Row],['#Trees as of 2024/estimate-Can allocation]]+Table11[[#This Row],['#Trees as of 2024/estimate-Can allocation 2017]]</f>
        <v>532.20000000000005</v>
      </c>
      <c r="AR69" s="1" t="s">
        <v>398</v>
      </c>
      <c r="AS69" s="2"/>
      <c r="AT69" s="6">
        <f>IFERROR(Table11[[#This Row],['#Total Replacements]]/Table11[[#This Row],['#TreesContract]],"")</f>
        <v>0.94</v>
      </c>
      <c r="AU69" s="4">
        <f>IF(SUM(Table11[[#This Row],['#Replace 24]:['#Replace 16]])=0,0,SUM(Table11[[#This Row],['#Replace 24]:['#Replace 16]]))</f>
        <v>940</v>
      </c>
      <c r="AV69" s="2"/>
      <c r="AW69" s="2"/>
      <c r="AX69" s="3"/>
      <c r="AY69" s="2"/>
      <c r="AZ69" s="2"/>
      <c r="BA69" s="2">
        <v>300</v>
      </c>
      <c r="BB69" s="2">
        <v>640</v>
      </c>
      <c r="BC69" s="2"/>
      <c r="BD69" s="2"/>
      <c r="BE69" s="2"/>
      <c r="BF69" s="3">
        <v>1</v>
      </c>
      <c r="BG69" s="3">
        <v>1</v>
      </c>
      <c r="BH69" s="2"/>
      <c r="BI69" s="158"/>
      <c r="BJ69" s="158"/>
      <c r="BK69" s="139">
        <f>Table11[[#This Row],[Average MHT
(Feet)]]/16</f>
        <v>0</v>
      </c>
      <c r="BL69" s="2"/>
      <c r="BM69" s="139">
        <f>Table11[[#This Row],[Average DBH
(inches)]]/18</f>
        <v>0</v>
      </c>
      <c r="BN69" s="235">
        <f>((Table11[[#This Row],[Average DBH
(inches)]]-4)^2)*(Table11[[#This Row],[Average MHT
(Feet)]]/16)</f>
        <v>0</v>
      </c>
      <c r="BO69" s="235">
        <f>Table11[[#This Row],[Average BF]]*Table11[[#This Row],[2024 '#Trees Inventory + Estimate]]</f>
        <v>0</v>
      </c>
      <c r="BP69" s="240">
        <f>(Table11[[#This Row],[Harvest Year
(10 year)]]-Table11[[#This Row],[Year of Inventory]]+1)*(Table11[[#This Row],[Average DBH
(inches)]]/(Table11[[#This Row],[Harvest Year
(10 year)]]-Table11[[#This Row],[Year of Inventory]]+1))+Table11[[#This Row],[Average DBH
(inches)]]</f>
        <v>0</v>
      </c>
      <c r="BQ69" s="235">
        <f>((Table11[[#This Row],[Projected DBH
(Extrapolated Growth/Year)]]-4)^2)*(Table11[[#This Row],[Average MHT
(Feet)]]/16)</f>
        <v>0</v>
      </c>
      <c r="BR69" s="235">
        <f>Table11[[#This Row],[Projected Average BF]]*Table11[[#This Row],[2024 '#Trees Inventory + Estimate]]</f>
        <v>0</v>
      </c>
      <c r="BS69" s="235">
        <f>196*Table11[[#This Row],[2024 '#Trees Inventory + Estimate]]</f>
        <v>117600</v>
      </c>
      <c r="BT69" s="243">
        <f>Table11[[#This Row],[ETP Offering Expected BF]]-Table11[[#This Row],[Projected Total BF]]</f>
        <v>117600</v>
      </c>
      <c r="BU69" s="235">
        <f>(18-Table11[[#This Row],[Average DBH
(inches)]])/(D69-Table11[[#This Row],[Year of Inventory]]+1)</f>
        <v>8.8757396449704144E-3</v>
      </c>
    </row>
    <row r="70" spans="1:73" x14ac:dyDescent="0.25">
      <c r="A70" s="7" t="s">
        <v>406</v>
      </c>
      <c r="B70" s="2">
        <v>2016</v>
      </c>
      <c r="C70" s="2">
        <v>2018</v>
      </c>
      <c r="D70" s="2">
        <v>0</v>
      </c>
      <c r="E70" t="s">
        <v>407</v>
      </c>
      <c r="F70" s="161">
        <v>20028</v>
      </c>
      <c r="G70" t="s">
        <v>408</v>
      </c>
      <c r="H70" s="357"/>
      <c r="I70" t="s">
        <v>160</v>
      </c>
      <c r="J70" s="1"/>
      <c r="K70" s="1"/>
      <c r="L70" s="1"/>
      <c r="M70" s="1" t="s">
        <v>213</v>
      </c>
      <c r="Q70" s="2"/>
      <c r="R70" s="86"/>
      <c r="S70" s="2"/>
      <c r="T70" s="1">
        <v>1000</v>
      </c>
      <c r="U70" s="1">
        <v>1000</v>
      </c>
      <c r="V70" s="1" t="str">
        <f>IF(Table11[[#This Row],['#TreesContract]]-Table11[[#This Row],['#Planted]]=0,"",Table11[[#This Row],['#TreesContract]]-Table11[[#This Row],['#Planted]])</f>
        <v/>
      </c>
      <c r="W70" s="2"/>
      <c r="X70" s="34">
        <v>0.113</v>
      </c>
      <c r="Y70" s="163">
        <f>Table11[[#This Row],['#TreesContract]]*Table11[[#This Row],[USA Allocation %]]</f>
        <v>113</v>
      </c>
      <c r="Z70" s="163">
        <f>Table11[[#This Row],['#Planted]]*Table11[[#This Row],[USA Allocation %]]</f>
        <v>113</v>
      </c>
      <c r="AA70" s="34">
        <v>0.33200000000000002</v>
      </c>
      <c r="AB70" s="163">
        <f>Table11[[#This Row],['#TreesContract]]*0.33</f>
        <v>330</v>
      </c>
      <c r="AC70" s="34">
        <v>0.55500000000000005</v>
      </c>
      <c r="AD70" s="163">
        <f>Table11[[#This Row],['#TreesContract]]*0.56</f>
        <v>560</v>
      </c>
      <c r="AE70" s="163">
        <f>Table11[[#This Row],[Canada Allocation-tree '#''s]]+Table11[[#This Row],[Can trees/Allocation 2017]]</f>
        <v>890</v>
      </c>
      <c r="AF70" s="5">
        <v>0</v>
      </c>
      <c r="AG70" s="35">
        <v>0</v>
      </c>
      <c r="AH70" s="35">
        <f>Table11[[#This Row],['#Trees as of 12/31/23]]*Table11[[#This Row],[USA Allocation %]]</f>
        <v>0</v>
      </c>
      <c r="AI70" s="404">
        <v>0</v>
      </c>
      <c r="AJ70" s="5">
        <v>0</v>
      </c>
      <c r="AK70" s="5">
        <v>0</v>
      </c>
      <c r="AL70" s="5">
        <v>0</v>
      </c>
      <c r="AM70" s="35">
        <f>AK70*Table11[[#This Row],['#TreesContract]]</f>
        <v>0</v>
      </c>
      <c r="AN70" s="35">
        <f>Table11[[#This Row],[2024 '#Trees Inventory + Estimate]]*Table11[[#This Row],[USA Allocation %]]</f>
        <v>0</v>
      </c>
      <c r="AO70" s="35">
        <f>Table11[[#This Row],[2024 '#Trees Inventory + Estimate]]*Table11[[#This Row],[Canada Allocation %]]</f>
        <v>0</v>
      </c>
      <c r="AP70" s="35">
        <f>Table11[[#This Row],[2024 '#Trees Inventory + Estimate]]*Table11[[#This Row],[Canada Allocation2017 %]]</f>
        <v>0</v>
      </c>
      <c r="AQ70" s="35">
        <f>Table11[[#This Row],['#Trees as of 2024/estimate-Can allocation]]+Table11[[#This Row],['#Trees as of 2024/estimate-Can allocation 2017]]</f>
        <v>0</v>
      </c>
      <c r="AR70" s="1" t="s">
        <v>398</v>
      </c>
      <c r="AS70" s="2"/>
      <c r="AT70" s="6">
        <f>IFERROR(Table11[[#This Row],['#Total Replacements]]/Table11[[#This Row],['#TreesContract]],"")</f>
        <v>0.5</v>
      </c>
      <c r="AU70" s="4">
        <f>IF(SUM(Table11[[#This Row],['#Replace 24]:['#Replace 16]])=0,0,SUM(Table11[[#This Row],['#Replace 24]:['#Replace 16]]))</f>
        <v>500</v>
      </c>
      <c r="AV70" s="2"/>
      <c r="AW70" s="2"/>
      <c r="AX70" s="3"/>
      <c r="AY70" s="2"/>
      <c r="AZ70" s="2"/>
      <c r="BA70" s="2">
        <v>250</v>
      </c>
      <c r="BB70" s="2">
        <v>250</v>
      </c>
      <c r="BC70" s="2"/>
      <c r="BD70" s="2"/>
      <c r="BE70" s="2"/>
      <c r="BF70" s="3">
        <v>1</v>
      </c>
      <c r="BG70" s="3">
        <v>1</v>
      </c>
      <c r="BH70" s="2"/>
      <c r="BI70" s="2"/>
      <c r="BJ70" s="2"/>
      <c r="BK70" s="139">
        <f>Table11[[#This Row],[Average MHT
(Feet)]]/16</f>
        <v>0</v>
      </c>
      <c r="BL70" s="2"/>
      <c r="BM70" s="139">
        <f>Table11[[#This Row],[Average DBH
(inches)]]/18</f>
        <v>0</v>
      </c>
      <c r="BN70" s="235">
        <f>((Table11[[#This Row],[Average DBH
(inches)]]-4)^2)*(Table11[[#This Row],[Average MHT
(Feet)]]/16)</f>
        <v>0</v>
      </c>
      <c r="BO70" s="235">
        <f>Table11[[#This Row],[Average BF]]*Table11[[#This Row],[2024 '#Trees Inventory + Estimate]]</f>
        <v>0</v>
      </c>
      <c r="BP70" s="240">
        <f>(Table11[[#This Row],[Harvest Year
(10 year)]]-Table11[[#This Row],[Year of Inventory]]+1)*(Table11[[#This Row],[Average DBH
(inches)]]/(Table11[[#This Row],[Harvest Year
(10 year)]]-Table11[[#This Row],[Year of Inventory]]+1))+Table11[[#This Row],[Average DBH
(inches)]]</f>
        <v>0</v>
      </c>
      <c r="BQ70" s="235">
        <f>((Table11[[#This Row],[Projected DBH
(Extrapolated Growth/Year)]]-4)^2)*(Table11[[#This Row],[Average MHT
(Feet)]]/16)</f>
        <v>0</v>
      </c>
      <c r="BR70" s="235">
        <f>Table11[[#This Row],[Projected Average BF]]*Table11[[#This Row],[2024 '#Trees Inventory + Estimate]]</f>
        <v>0</v>
      </c>
      <c r="BS70" s="235">
        <f>196*Table11[[#This Row],[2024 '#Trees Inventory + Estimate]]</f>
        <v>0</v>
      </c>
      <c r="BT70" s="235">
        <f>Table11[[#This Row],[ETP Offering Expected BF]]-Table11[[#This Row],[Projected Total BF]]</f>
        <v>0</v>
      </c>
      <c r="BU70" s="235">
        <f>(18-Table11[[#This Row],[Average DBH
(inches)]])/(D70-Table11[[#This Row],[Year of Inventory]]+1)</f>
        <v>18</v>
      </c>
    </row>
    <row r="71" spans="1:73" x14ac:dyDescent="0.25">
      <c r="A71" s="7" t="s">
        <v>409</v>
      </c>
      <c r="B71" s="2">
        <v>2016</v>
      </c>
      <c r="C71" s="2">
        <v>2018</v>
      </c>
      <c r="D71" s="2">
        <v>0</v>
      </c>
      <c r="E71" t="s">
        <v>410</v>
      </c>
      <c r="F71" s="161">
        <v>20029</v>
      </c>
      <c r="G71" t="s">
        <v>410</v>
      </c>
      <c r="H71" s="357"/>
      <c r="I71" t="s">
        <v>160</v>
      </c>
      <c r="J71" s="1"/>
      <c r="K71" s="1"/>
      <c r="L71" s="1"/>
      <c r="M71" s="1" t="s">
        <v>213</v>
      </c>
      <c r="Q71" s="2"/>
      <c r="R71" s="86"/>
      <c r="S71" s="2"/>
      <c r="T71" s="1">
        <v>1100</v>
      </c>
      <c r="U71" s="1">
        <v>1100</v>
      </c>
      <c r="V71" s="1" t="str">
        <f>IF(Table11[[#This Row],['#TreesContract]]-Table11[[#This Row],['#Planted]]=0,"",Table11[[#This Row],['#TreesContract]]-Table11[[#This Row],['#Planted]])</f>
        <v/>
      </c>
      <c r="W71" s="2"/>
      <c r="X71" s="34">
        <v>0.11272727272727273</v>
      </c>
      <c r="Y71" s="163">
        <f>Table11[[#This Row],['#TreesContract]]*Table11[[#This Row],[USA Allocation %]]</f>
        <v>124</v>
      </c>
      <c r="Z71" s="163">
        <f>Table11[[#This Row],['#Planted]]*Table11[[#This Row],[USA Allocation %]]</f>
        <v>124</v>
      </c>
      <c r="AA71" s="34">
        <v>0.33181818181818185</v>
      </c>
      <c r="AB71" s="163">
        <f>Table11[[#This Row],['#TreesContract]]*0.33</f>
        <v>363</v>
      </c>
      <c r="AC71" s="34">
        <v>0.55545454545454542</v>
      </c>
      <c r="AD71" s="163">
        <f>Table11[[#This Row],['#TreesContract]]*0.56</f>
        <v>616.00000000000011</v>
      </c>
      <c r="AE71" s="163">
        <f>Table11[[#This Row],[Canada Allocation-tree '#''s]]+Table11[[#This Row],[Can trees/Allocation 2017]]</f>
        <v>979.00000000000011</v>
      </c>
      <c r="AF71" s="5">
        <v>0</v>
      </c>
      <c r="AG71" s="35">
        <v>0</v>
      </c>
      <c r="AH71" s="35">
        <f>Table11[[#This Row],['#Trees as of 12/31/23]]*Table11[[#This Row],[USA Allocation %]]</f>
        <v>0</v>
      </c>
      <c r="AI71" s="404">
        <v>0</v>
      </c>
      <c r="AJ71" s="5">
        <v>0</v>
      </c>
      <c r="AK71" s="5">
        <v>0</v>
      </c>
      <c r="AL71" s="5">
        <v>0</v>
      </c>
      <c r="AM71" s="35">
        <f>AK71*Table11[[#This Row],['#TreesContract]]</f>
        <v>0</v>
      </c>
      <c r="AN71" s="35">
        <f>Table11[[#This Row],[2024 '#Trees Inventory + Estimate]]*Table11[[#This Row],[USA Allocation %]]</f>
        <v>0</v>
      </c>
      <c r="AO71" s="35">
        <f>Table11[[#This Row],[2024 '#Trees Inventory + Estimate]]*Table11[[#This Row],[Canada Allocation %]]</f>
        <v>0</v>
      </c>
      <c r="AP71" s="35">
        <f>Table11[[#This Row],[2024 '#Trees Inventory + Estimate]]*Table11[[#This Row],[Canada Allocation2017 %]]</f>
        <v>0</v>
      </c>
      <c r="AQ71" s="35">
        <f>Table11[[#This Row],['#Trees as of 2024/estimate-Can allocation]]+Table11[[#This Row],['#Trees as of 2024/estimate-Can allocation 2017]]</f>
        <v>0</v>
      </c>
      <c r="AR71" s="1" t="s">
        <v>234</v>
      </c>
      <c r="AS71" s="2"/>
      <c r="AT71" s="6">
        <f>IFERROR(Table11[[#This Row],['#Total Replacements]]/Table11[[#This Row],['#TreesContract]],"")</f>
        <v>0.27272727272727271</v>
      </c>
      <c r="AU71" s="4">
        <f>IF(SUM(Table11[[#This Row],['#Replace 24]:['#Replace 16]])=0,0,SUM(Table11[[#This Row],['#Replace 24]:['#Replace 16]]))</f>
        <v>300</v>
      </c>
      <c r="AV71" s="2"/>
      <c r="AW71" s="2"/>
      <c r="AX71" s="3"/>
      <c r="AY71" s="2"/>
      <c r="AZ71" s="2"/>
      <c r="BA71" s="2">
        <v>0</v>
      </c>
      <c r="BB71" s="2">
        <v>300</v>
      </c>
      <c r="BC71" s="2"/>
      <c r="BD71" s="2"/>
      <c r="BE71" s="2"/>
      <c r="BF71" s="3">
        <v>1</v>
      </c>
      <c r="BG71" s="3">
        <v>1</v>
      </c>
      <c r="BH71" s="2"/>
      <c r="BI71" s="158"/>
      <c r="BJ71" s="158"/>
      <c r="BK71" s="139">
        <f>Table11[[#This Row],[Average MHT
(Feet)]]/16</f>
        <v>0</v>
      </c>
      <c r="BL71" s="2"/>
      <c r="BM71" s="139">
        <f>Table11[[#This Row],[Average DBH
(inches)]]/18</f>
        <v>0</v>
      </c>
      <c r="BN71" s="235">
        <f>((Table11[[#This Row],[Average DBH
(inches)]]-4)^2)*(Table11[[#This Row],[Average MHT
(Feet)]]/16)</f>
        <v>0</v>
      </c>
      <c r="BO71" s="235">
        <f>Table11[[#This Row],[Average BF]]*Table11[[#This Row],[2024 '#Trees Inventory + Estimate]]</f>
        <v>0</v>
      </c>
      <c r="BP71" s="240">
        <f>(Table11[[#This Row],[Harvest Year
(10 year)]]-Table11[[#This Row],[Year of Inventory]]+1)*(Table11[[#This Row],[Average DBH
(inches)]]/(Table11[[#This Row],[Harvest Year
(10 year)]]-Table11[[#This Row],[Year of Inventory]]+1))+Table11[[#This Row],[Average DBH
(inches)]]</f>
        <v>0</v>
      </c>
      <c r="BQ71" s="235">
        <f>((Table11[[#This Row],[Projected DBH
(Extrapolated Growth/Year)]]-4)^2)*(Table11[[#This Row],[Average MHT
(Feet)]]/16)</f>
        <v>0</v>
      </c>
      <c r="BR71" s="235">
        <f>Table11[[#This Row],[Projected Average BF]]*Table11[[#This Row],[2024 '#Trees Inventory + Estimate]]</f>
        <v>0</v>
      </c>
      <c r="BS71" s="235">
        <f>196*Table11[[#This Row],[2024 '#Trees Inventory + Estimate]]</f>
        <v>0</v>
      </c>
      <c r="BT71" s="235">
        <f>Table11[[#This Row],[ETP Offering Expected BF]]-Table11[[#This Row],[Projected Total BF]]</f>
        <v>0</v>
      </c>
      <c r="BU71" s="235">
        <f>(18-Table11[[#This Row],[Average DBH
(inches)]])/(D71-Table11[[#This Row],[Year of Inventory]]+1)</f>
        <v>18</v>
      </c>
    </row>
    <row r="72" spans="1:73" x14ac:dyDescent="0.25">
      <c r="A72" s="7" t="s">
        <v>411</v>
      </c>
      <c r="B72" s="2">
        <v>2016</v>
      </c>
      <c r="C72" s="2">
        <v>2018</v>
      </c>
      <c r="D72" s="2">
        <v>0</v>
      </c>
      <c r="E72" t="s">
        <v>412</v>
      </c>
      <c r="F72" s="161">
        <v>20030</v>
      </c>
      <c r="G72" t="s">
        <v>412</v>
      </c>
      <c r="H72" s="357"/>
      <c r="I72" t="s">
        <v>160</v>
      </c>
      <c r="J72" s="1"/>
      <c r="K72" s="1"/>
      <c r="L72" s="1"/>
      <c r="M72" s="1" t="s">
        <v>213</v>
      </c>
      <c r="Q72" s="2"/>
      <c r="R72" s="86"/>
      <c r="S72" s="2"/>
      <c r="T72" s="1">
        <v>1100</v>
      </c>
      <c r="U72" s="1">
        <v>1100</v>
      </c>
      <c r="V72" s="1" t="str">
        <f>IF(Table11[[#This Row],['#TreesContract]]-Table11[[#This Row],['#Planted]]=0,"",Table11[[#This Row],['#TreesContract]]-Table11[[#This Row],['#Planted]])</f>
        <v/>
      </c>
      <c r="W72" s="2"/>
      <c r="X72" s="34">
        <v>0.11363636363636363</v>
      </c>
      <c r="Y72" s="163">
        <f>Table11[[#This Row],['#TreesContract]]*Table11[[#This Row],[USA Allocation %]]</f>
        <v>125</v>
      </c>
      <c r="Z72" s="163">
        <f>Table11[[#This Row],['#Planted]]*Table11[[#This Row],[USA Allocation %]]</f>
        <v>125</v>
      </c>
      <c r="AA72" s="34">
        <v>0.33</v>
      </c>
      <c r="AB72" s="163">
        <f>Table11[[#This Row],['#TreesContract]]*0.33</f>
        <v>363</v>
      </c>
      <c r="AC72" s="34">
        <v>0.55636363636363639</v>
      </c>
      <c r="AD72" s="163">
        <f>Table11[[#This Row],['#TreesContract]]*0.56</f>
        <v>616.00000000000011</v>
      </c>
      <c r="AE72" s="163">
        <f>Table11[[#This Row],[Canada Allocation-tree '#''s]]+Table11[[#This Row],[Can trees/Allocation 2017]]</f>
        <v>979.00000000000011</v>
      </c>
      <c r="AF72" s="5">
        <v>0</v>
      </c>
      <c r="AG72" s="35">
        <v>0</v>
      </c>
      <c r="AH72" s="35">
        <f>Table11[[#This Row],['#Trees as of 12/31/23]]*Table11[[#This Row],[USA Allocation %]]</f>
        <v>0</v>
      </c>
      <c r="AI72" s="404">
        <v>0</v>
      </c>
      <c r="AJ72" s="5">
        <v>0</v>
      </c>
      <c r="AK72" s="5">
        <v>0</v>
      </c>
      <c r="AL72" s="5">
        <v>0</v>
      </c>
      <c r="AM72" s="35">
        <f>AK72*Table11[[#This Row],['#TreesContract]]</f>
        <v>0</v>
      </c>
      <c r="AN72" s="35">
        <f>Table11[[#This Row],[2024 '#Trees Inventory + Estimate]]*Table11[[#This Row],[USA Allocation %]]</f>
        <v>0</v>
      </c>
      <c r="AO72" s="35">
        <f>Table11[[#This Row],[2024 '#Trees Inventory + Estimate]]*Table11[[#This Row],[Canada Allocation %]]</f>
        <v>0</v>
      </c>
      <c r="AP72" s="35">
        <f>Table11[[#This Row],[2024 '#Trees Inventory + Estimate]]*Table11[[#This Row],[Canada Allocation2017 %]]</f>
        <v>0</v>
      </c>
      <c r="AQ72" s="35">
        <f>Table11[[#This Row],['#Trees as of 2024/estimate-Can allocation]]+Table11[[#This Row],['#Trees as of 2024/estimate-Can allocation 2017]]</f>
        <v>0</v>
      </c>
      <c r="AR72" s="1" t="s">
        <v>234</v>
      </c>
      <c r="AS72" s="2"/>
      <c r="AT72" s="6">
        <f>IFERROR(Table11[[#This Row],['#Total Replacements]]/Table11[[#This Row],['#TreesContract]],"")</f>
        <v>0</v>
      </c>
      <c r="AU72" s="4">
        <f>IF(SUM(Table11[[#This Row],['#Replace 24]:['#Replace 16]])=0,0,SUM(Table11[[#This Row],['#Replace 24]:['#Replace 16]]))</f>
        <v>0</v>
      </c>
      <c r="AV72" s="2"/>
      <c r="AW72" s="2"/>
      <c r="AX72" s="3"/>
      <c r="AY72" s="2"/>
      <c r="AZ72" s="2"/>
      <c r="BA72" s="2"/>
      <c r="BB72" s="2"/>
      <c r="BC72" s="2"/>
      <c r="BD72" s="2"/>
      <c r="BE72" s="2"/>
      <c r="BF72" s="3">
        <v>1</v>
      </c>
      <c r="BG72" s="3"/>
      <c r="BH72" s="2"/>
      <c r="BI72" s="2"/>
      <c r="BJ72" s="2"/>
      <c r="BK72" s="139">
        <f>Table11[[#This Row],[Average MHT
(Feet)]]/16</f>
        <v>0</v>
      </c>
      <c r="BL72" s="2"/>
      <c r="BM72" s="139">
        <f>Table11[[#This Row],[Average DBH
(inches)]]/18</f>
        <v>0</v>
      </c>
      <c r="BN72" s="235">
        <f>((Table11[[#This Row],[Average DBH
(inches)]]-4)^2)*(Table11[[#This Row],[Average MHT
(Feet)]]/16)</f>
        <v>0</v>
      </c>
      <c r="BO72" s="235">
        <f>Table11[[#This Row],[Average BF]]*Table11[[#This Row],[2024 '#Trees Inventory + Estimate]]</f>
        <v>0</v>
      </c>
      <c r="BP72" s="240">
        <f>(Table11[[#This Row],[Harvest Year
(10 year)]]-Table11[[#This Row],[Year of Inventory]]+1)*(Table11[[#This Row],[Average DBH
(inches)]]/(Table11[[#This Row],[Harvest Year
(10 year)]]-Table11[[#This Row],[Year of Inventory]]+1))+Table11[[#This Row],[Average DBH
(inches)]]</f>
        <v>0</v>
      </c>
      <c r="BQ72" s="235">
        <f>((Table11[[#This Row],[Projected DBH
(Extrapolated Growth/Year)]]-4)^2)*(Table11[[#This Row],[Average MHT
(Feet)]]/16)</f>
        <v>0</v>
      </c>
      <c r="BR72" s="235">
        <f>Table11[[#This Row],[Projected Average BF]]*Table11[[#This Row],[2024 '#Trees Inventory + Estimate]]</f>
        <v>0</v>
      </c>
      <c r="BS72" s="235">
        <f>196*Table11[[#This Row],[2024 '#Trees Inventory + Estimate]]</f>
        <v>0</v>
      </c>
      <c r="BT72" s="235">
        <f>Table11[[#This Row],[ETP Offering Expected BF]]-Table11[[#This Row],[Projected Total BF]]</f>
        <v>0</v>
      </c>
      <c r="BU72" s="235">
        <f>(18-Table11[[#This Row],[Average DBH
(inches)]])/(D72-Table11[[#This Row],[Year of Inventory]]+1)</f>
        <v>18</v>
      </c>
    </row>
    <row r="73" spans="1:73" hidden="1" x14ac:dyDescent="0.25">
      <c r="A73" s="7" t="s">
        <v>413</v>
      </c>
      <c r="B73" s="2">
        <v>2017</v>
      </c>
      <c r="C73" s="2">
        <v>2019</v>
      </c>
      <c r="D73" s="2">
        <f>Table11[[#This Row],[Planting Year]]+9</f>
        <v>2028</v>
      </c>
      <c r="E73" s="97" t="s">
        <v>320</v>
      </c>
      <c r="F73" s="161">
        <v>10021</v>
      </c>
      <c r="G73" t="s">
        <v>321</v>
      </c>
      <c r="H73" s="357" t="s">
        <v>322</v>
      </c>
      <c r="I73" t="s">
        <v>155</v>
      </c>
      <c r="J73" s="1" t="s">
        <v>323</v>
      </c>
      <c r="K73" s="1" t="s">
        <v>324</v>
      </c>
      <c r="L73" s="1" t="s">
        <v>325</v>
      </c>
      <c r="M73" s="1" t="s">
        <v>150</v>
      </c>
      <c r="N73" t="s">
        <v>414</v>
      </c>
      <c r="O73">
        <v>34.241776000000002</v>
      </c>
      <c r="P73">
        <v>-86.527479</v>
      </c>
      <c r="Q73" s="2"/>
      <c r="R73" s="86"/>
      <c r="S73" s="2"/>
      <c r="T73" s="1">
        <v>15620</v>
      </c>
      <c r="U73" s="1">
        <v>15620</v>
      </c>
      <c r="V73" s="1" t="str">
        <f>IF(Table11[[#This Row],['#TreesContract]]-Table11[[#This Row],['#Planted]]=0,"",Table11[[#This Row],['#TreesContract]]-Table11[[#This Row],['#Planted]])</f>
        <v/>
      </c>
      <c r="W73" s="2"/>
      <c r="X73" s="34"/>
      <c r="Y73" s="163"/>
      <c r="Z73" s="163"/>
      <c r="AA73" s="34"/>
      <c r="AB73" s="163"/>
      <c r="AC73" s="34">
        <v>1</v>
      </c>
      <c r="AD73" s="163">
        <f>Table11[[#This Row],['#TreesContract]]*1</f>
        <v>15620</v>
      </c>
      <c r="AE73" s="163">
        <f>Table11[[#This Row],[Canada Allocation-tree '#''s]]+Table11[[#This Row],[Can trees/Allocation 2017]]</f>
        <v>15620</v>
      </c>
      <c r="AF73" s="5">
        <v>0.4152352481607674</v>
      </c>
      <c r="AG73" s="35">
        <v>6485.9745762711864</v>
      </c>
      <c r="AH73" s="35">
        <f>Table11[[#This Row],['#Trees as of 12/31/23]]*Table11[[#This Row],[USA Allocation %]]</f>
        <v>0</v>
      </c>
      <c r="AI73" s="437">
        <f>Table11[[#This Row],['#TreesContract]]*Table11[[#This Row],[2024 Inventory Survival%-master]]</f>
        <v>0</v>
      </c>
      <c r="AJ73" s="436"/>
      <c r="AK73" s="5">
        <v>0.4152352481607674</v>
      </c>
      <c r="AL73" s="5">
        <v>0.4152352481607674</v>
      </c>
      <c r="AM73" s="35">
        <f>AK73*Table11[[#This Row],['#TreesContract]]</f>
        <v>6485.9745762711864</v>
      </c>
      <c r="AN73" s="35">
        <f>Table11[[#This Row],[2024 '#Trees Inventory + Estimate]]*Table11[[#This Row],[USA Allocation %]]</f>
        <v>0</v>
      </c>
      <c r="AO73" s="35">
        <f>Table11[[#This Row],[2024 '#Trees Inventory + Estimate]]*Table11[[#This Row],[Canada Allocation %]]</f>
        <v>0</v>
      </c>
      <c r="AP73" s="35">
        <f>Table11[[#This Row],[2024 '#Trees Inventory + Estimate]]*Table11[[#This Row],[Canada Allocation2017 %]]</f>
        <v>6485.9745762711864</v>
      </c>
      <c r="AQ73" s="35">
        <f>Table11[[#This Row],['#Trees as of 2024/estimate-Can allocation]]+Table11[[#This Row],['#Trees as of 2024/estimate-Can allocation 2017]]</f>
        <v>6485.9745762711864</v>
      </c>
      <c r="AR73" s="1" t="s">
        <v>152</v>
      </c>
      <c r="AS73" s="2" t="s">
        <v>327</v>
      </c>
      <c r="AT73" s="6">
        <f>IFERROR(Table11[[#This Row],['#Total Replacements]]/Table11[[#This Row],['#TreesContract]],"")</f>
        <v>0</v>
      </c>
      <c r="AU73" s="4">
        <f>IF(SUM(Table11[[#This Row],['#Replace 24]:['#Replace 16]])=0,0,SUM(Table11[[#This Row],['#Replace 24]:['#Replace 16]]))</f>
        <v>0</v>
      </c>
      <c r="AV73" s="2"/>
      <c r="AW73" s="2"/>
      <c r="AX73" s="3"/>
      <c r="AY73" s="2"/>
      <c r="AZ73" s="2"/>
      <c r="BA73" s="2"/>
      <c r="BB73" s="2"/>
      <c r="BC73" s="2"/>
      <c r="BD73" s="2"/>
      <c r="BE73" s="2"/>
      <c r="BF73" s="3">
        <v>1</v>
      </c>
      <c r="BG73" s="3"/>
      <c r="BH73" s="2"/>
      <c r="BI73" s="158"/>
      <c r="BJ73" s="158"/>
      <c r="BK73" s="139">
        <f>Table11[[#This Row],[Average MHT
(Feet)]]/16</f>
        <v>0</v>
      </c>
      <c r="BL73" s="2"/>
      <c r="BM73" s="139">
        <f>Table11[[#This Row],[Average DBH
(inches)]]/18</f>
        <v>0</v>
      </c>
      <c r="BN73" s="235">
        <f>((Table11[[#This Row],[Average DBH
(inches)]]-4)^2)*(Table11[[#This Row],[Average MHT
(Feet)]]/16)</f>
        <v>0</v>
      </c>
      <c r="BO73" s="235">
        <f>Table11[[#This Row],[Average BF]]*Table11[[#This Row],[2024 '#Trees Inventory + Estimate]]</f>
        <v>0</v>
      </c>
      <c r="BP73" s="240">
        <f>(Table11[[#This Row],[Harvest Year
(10 year)]]-Table11[[#This Row],[Year of Inventory]]+1)*(Table11[[#This Row],[Average DBH
(inches)]]/(Table11[[#This Row],[Harvest Year
(10 year)]]-Table11[[#This Row],[Year of Inventory]]+1))+Table11[[#This Row],[Average DBH
(inches)]]</f>
        <v>0</v>
      </c>
      <c r="BQ73" s="235">
        <f>((Table11[[#This Row],[Projected DBH
(Extrapolated Growth/Year)]]-4)^2)*(Table11[[#This Row],[Average MHT
(Feet)]]/16)</f>
        <v>0</v>
      </c>
      <c r="BR73" s="235">
        <f>Table11[[#This Row],[Projected Average BF]]*Table11[[#This Row],[2024 '#Trees Inventory + Estimate]]</f>
        <v>0</v>
      </c>
      <c r="BS73" s="235">
        <f>196*Table11[[#This Row],[2024 '#Trees Inventory + Estimate]]</f>
        <v>1271251.0169491526</v>
      </c>
      <c r="BT73" s="243">
        <f>Table11[[#This Row],[ETP Offering Expected BF]]-Table11[[#This Row],[Projected Total BF]]</f>
        <v>1271251.0169491526</v>
      </c>
      <c r="BU73" s="235">
        <f>(18-Table11[[#This Row],[Average DBH
(inches)]])/(D73-Table11[[#This Row],[Year of Inventory]]+1)</f>
        <v>8.8713652045342532E-3</v>
      </c>
    </row>
    <row r="74" spans="1:73" hidden="1" x14ac:dyDescent="0.25">
      <c r="A74" s="7" t="s">
        <v>415</v>
      </c>
      <c r="B74" s="2">
        <v>2018</v>
      </c>
      <c r="C74" s="2">
        <v>2019</v>
      </c>
      <c r="D74" s="2">
        <v>0</v>
      </c>
      <c r="E74" s="97" t="s">
        <v>416</v>
      </c>
      <c r="F74" s="161">
        <v>10029</v>
      </c>
      <c r="G74" t="s">
        <v>416</v>
      </c>
      <c r="H74" s="357"/>
      <c r="I74" t="s">
        <v>160</v>
      </c>
      <c r="J74" s="1"/>
      <c r="K74" s="1"/>
      <c r="L74" s="1"/>
      <c r="M74" s="1" t="s">
        <v>150</v>
      </c>
      <c r="Q74" s="2"/>
      <c r="R74" s="86"/>
      <c r="S74" s="2"/>
      <c r="T74" s="1">
        <v>4400</v>
      </c>
      <c r="U74" s="1">
        <v>4400</v>
      </c>
      <c r="V74" s="1" t="str">
        <f>IF(Table11[[#This Row],['#TreesContract]]-Table11[[#This Row],['#Planted]]=0,"",Table11[[#This Row],['#TreesContract]]-Table11[[#This Row],['#Planted]])</f>
        <v/>
      </c>
      <c r="W74" s="2"/>
      <c r="X74" s="34">
        <v>0.64</v>
      </c>
      <c r="Y74" s="163">
        <f>Table11[[#This Row],['#TreesContract]]*Table11[[#This Row],[USA Allocation %]]</f>
        <v>2816</v>
      </c>
      <c r="Z74" s="163">
        <f>Table11[[#This Row],['#Planted]]*Table11[[#This Row],[USA Allocation %]]</f>
        <v>2816</v>
      </c>
      <c r="AA74" s="34">
        <v>0.36</v>
      </c>
      <c r="AB74" s="163">
        <f>Table11[[#This Row],['#TreesContract]]*0.36</f>
        <v>1584</v>
      </c>
      <c r="AC74" s="34"/>
      <c r="AD74" s="163"/>
      <c r="AE74" s="163">
        <f>Table11[[#This Row],[Canada Allocation-tree '#''s]]+Table11[[#This Row],[Can trees/Allocation 2017]]</f>
        <v>1584</v>
      </c>
      <c r="AF74" s="5">
        <v>0</v>
      </c>
      <c r="AG74" s="35">
        <v>0</v>
      </c>
      <c r="AH74" s="35">
        <f>Table11[[#This Row],['#Trees as of 12/31/23]]*Table11[[#This Row],[USA Allocation %]]</f>
        <v>0</v>
      </c>
      <c r="AI74" s="404">
        <f>Table11[[#This Row],['#TreesContract]]*Table11[[#This Row],[2024 Inventory Survival%-master]]</f>
        <v>0</v>
      </c>
      <c r="AJ74" s="5">
        <v>0</v>
      </c>
      <c r="AK74" s="5">
        <v>0</v>
      </c>
      <c r="AL74" s="5">
        <v>0</v>
      </c>
      <c r="AM74" s="35">
        <f>AK74*Table11[[#This Row],['#TreesContract]]</f>
        <v>0</v>
      </c>
      <c r="AN74" s="35">
        <f>Table11[[#This Row],[2024 '#Trees Inventory + Estimate]]*Table11[[#This Row],[USA Allocation %]]</f>
        <v>0</v>
      </c>
      <c r="AO74" s="35">
        <f>Table11[[#This Row],[2024 '#Trees Inventory + Estimate]]*Table11[[#This Row],[Canada Allocation %]]</f>
        <v>0</v>
      </c>
      <c r="AP74" s="35">
        <f>Table11[[#This Row],[2024 '#Trees Inventory + Estimate]]*Table11[[#This Row],[Canada Allocation2017 %]]</f>
        <v>0</v>
      </c>
      <c r="AQ74" s="35">
        <f>Table11[[#This Row],['#Trees as of 2024/estimate-Can allocation]]+Table11[[#This Row],['#Trees as of 2024/estimate-Can allocation 2017]]</f>
        <v>0</v>
      </c>
      <c r="AR74" s="1" t="s">
        <v>152</v>
      </c>
      <c r="AS74" s="2"/>
      <c r="AT74" s="6">
        <f>IFERROR(Table11[[#This Row],['#Total Replacements]]/Table11[[#This Row],['#TreesContract]],"")</f>
        <v>0.5</v>
      </c>
      <c r="AU74" s="4">
        <f>IF(SUM(Table11[[#This Row],['#Replace 24]:['#Replace 16]])=0,0,SUM(Table11[[#This Row],['#Replace 24]:['#Replace 16]]))</f>
        <v>2200</v>
      </c>
      <c r="AV74" s="2"/>
      <c r="AW74" s="2"/>
      <c r="AX74" s="3"/>
      <c r="AY74" s="2"/>
      <c r="AZ74" s="2"/>
      <c r="BA74" s="2">
        <v>2200</v>
      </c>
      <c r="BB74" s="2"/>
      <c r="BC74" s="2"/>
      <c r="BD74" s="2"/>
      <c r="BE74" s="2"/>
      <c r="BF74" s="3">
        <v>1</v>
      </c>
      <c r="BG74" s="3"/>
      <c r="BH74" s="2"/>
      <c r="BI74" s="2"/>
      <c r="BJ74" s="2"/>
      <c r="BK74" s="139">
        <f>Table11[[#This Row],[Average MHT
(Feet)]]/16</f>
        <v>0</v>
      </c>
      <c r="BL74" s="2"/>
      <c r="BM74" s="139">
        <f>Table11[[#This Row],[Average DBH
(inches)]]/18</f>
        <v>0</v>
      </c>
      <c r="BN74" s="235">
        <f>((Table11[[#This Row],[Average DBH
(inches)]]-4)^2)*(Table11[[#This Row],[Average MHT
(Feet)]]/16)</f>
        <v>0</v>
      </c>
      <c r="BO74" s="235">
        <f>Table11[[#This Row],[Average BF]]*Table11[[#This Row],[2024 '#Trees Inventory + Estimate]]</f>
        <v>0</v>
      </c>
      <c r="BP74" s="240">
        <f>(Table11[[#This Row],[Harvest Year
(10 year)]]-Table11[[#This Row],[Year of Inventory]]+1)*(Table11[[#This Row],[Average DBH
(inches)]]/(Table11[[#This Row],[Harvest Year
(10 year)]]-Table11[[#This Row],[Year of Inventory]]+1))+Table11[[#This Row],[Average DBH
(inches)]]</f>
        <v>0</v>
      </c>
      <c r="BQ74" s="235">
        <f>((Table11[[#This Row],[Projected DBH
(Extrapolated Growth/Year)]]-4)^2)*(Table11[[#This Row],[Average MHT
(Feet)]]/16)</f>
        <v>0</v>
      </c>
      <c r="BR74" s="235">
        <f>Table11[[#This Row],[Projected Average BF]]*Table11[[#This Row],[2024 '#Trees Inventory + Estimate]]</f>
        <v>0</v>
      </c>
      <c r="BS74" s="235">
        <f>196*Table11[[#This Row],[2024 '#Trees Inventory + Estimate]]</f>
        <v>0</v>
      </c>
      <c r="BT74" s="235">
        <f>Table11[[#This Row],[ETP Offering Expected BF]]-Table11[[#This Row],[Projected Total BF]]</f>
        <v>0</v>
      </c>
      <c r="BU74" s="235">
        <f>(18-Table11[[#This Row],[Average DBH
(inches)]])/(D74-Table11[[#This Row],[Year of Inventory]]+1)</f>
        <v>18</v>
      </c>
    </row>
    <row r="75" spans="1:73" hidden="1" x14ac:dyDescent="0.25">
      <c r="A75" s="7" t="s">
        <v>417</v>
      </c>
      <c r="B75" s="2">
        <v>2018</v>
      </c>
      <c r="C75" s="2">
        <v>2019</v>
      </c>
      <c r="D75" s="2">
        <f>Table11[[#This Row],[Planting Year]]+9</f>
        <v>2028</v>
      </c>
      <c r="E75" s="97" t="s">
        <v>418</v>
      </c>
      <c r="F75" s="161">
        <v>10030</v>
      </c>
      <c r="G75" t="s">
        <v>418</v>
      </c>
      <c r="H75" s="357" t="s">
        <v>419</v>
      </c>
      <c r="I75" t="s">
        <v>155</v>
      </c>
      <c r="J75" s="1" t="s">
        <v>420</v>
      </c>
      <c r="K75" s="1" t="s">
        <v>421</v>
      </c>
      <c r="L75" s="1" t="s">
        <v>421</v>
      </c>
      <c r="M75" s="1" t="s">
        <v>150</v>
      </c>
      <c r="N75" t="s">
        <v>422</v>
      </c>
      <c r="O75">
        <v>30.820767</v>
      </c>
      <c r="P75">
        <v>-84.808611999999997</v>
      </c>
      <c r="Q75" s="2"/>
      <c r="R75" s="86"/>
      <c r="S75" s="2"/>
      <c r="T75" s="1">
        <v>1100</v>
      </c>
      <c r="U75" s="1">
        <v>1100</v>
      </c>
      <c r="V75" s="1" t="str">
        <f>IF(Table11[[#This Row],['#TreesContract]]-Table11[[#This Row],['#Planted]]=0,"",Table11[[#This Row],['#TreesContract]]-Table11[[#This Row],['#Planted]])</f>
        <v/>
      </c>
      <c r="W75" s="2"/>
      <c r="X75" s="34">
        <v>0.64</v>
      </c>
      <c r="Y75" s="163">
        <f>Table11[[#This Row],['#TreesContract]]*Table11[[#This Row],[USA Allocation %]]</f>
        <v>704</v>
      </c>
      <c r="Z75" s="163">
        <f>Table11[[#This Row],['#Planted]]*Table11[[#This Row],[USA Allocation %]]</f>
        <v>704</v>
      </c>
      <c r="AA75" s="34">
        <v>0.36</v>
      </c>
      <c r="AB75" s="163">
        <f>Table11[[#This Row],['#TreesContract]]*0.36</f>
        <v>396</v>
      </c>
      <c r="AC75" s="34"/>
      <c r="AD75" s="163"/>
      <c r="AE75" s="163">
        <f>Table11[[#This Row],[Canada Allocation-tree '#''s]]+Table11[[#This Row],[Can trees/Allocation 2017]]</f>
        <v>396</v>
      </c>
      <c r="AF75" s="5">
        <v>0.9550545454545456</v>
      </c>
      <c r="AG75" s="35">
        <v>1050.5600000000002</v>
      </c>
      <c r="AH75" s="35">
        <f>Table11[[#This Row],['#Trees as of 12/31/23]]*Table11[[#This Row],[USA Allocation %]]</f>
        <v>672.35840000000007</v>
      </c>
      <c r="AI75" s="437">
        <f>Table11[[#This Row],['#TreesContract]]*Table11[[#This Row],[2024 Inventory Survival%-master]]</f>
        <v>0</v>
      </c>
      <c r="AJ75" s="436"/>
      <c r="AK75" s="5">
        <v>0.9550545454545456</v>
      </c>
      <c r="AL75" s="5">
        <v>0.9550545454545456</v>
      </c>
      <c r="AM75" s="35">
        <f>AK75*Table11[[#This Row],['#TreesContract]]</f>
        <v>1050.5600000000002</v>
      </c>
      <c r="AN75" s="35">
        <f>Table11[[#This Row],[2024 '#Trees Inventory + Estimate]]*Table11[[#This Row],[USA Allocation %]]</f>
        <v>672.35840000000007</v>
      </c>
      <c r="AO75" s="35">
        <f>Table11[[#This Row],[2024 '#Trees Inventory + Estimate]]*Table11[[#This Row],[Canada Allocation %]]</f>
        <v>378.20160000000004</v>
      </c>
      <c r="AP75" s="35">
        <f>Table11[[#This Row],[2024 '#Trees Inventory + Estimate]]*Table11[[#This Row],[Canada Allocation2017 %]]</f>
        <v>0</v>
      </c>
      <c r="AQ75" s="35">
        <f>Table11[[#This Row],['#Trees as of 2024/estimate-Can allocation]]+Table11[[#This Row],['#Trees as of 2024/estimate-Can allocation 2017]]</f>
        <v>378.20160000000004</v>
      </c>
      <c r="AR75" s="1" t="s">
        <v>152</v>
      </c>
      <c r="AS75" s="2" t="s">
        <v>355</v>
      </c>
      <c r="AT75" s="6">
        <f>IFERROR(Table11[[#This Row],['#Total Replacements]]/Table11[[#This Row],['#TreesContract]],"")</f>
        <v>1.5772727272727274</v>
      </c>
      <c r="AU75" s="4">
        <f>IF(SUM(Table11[[#This Row],['#Replace 24]:['#Replace 16]])=0,0,SUM(Table11[[#This Row],['#Replace 24]:['#Replace 16]]))</f>
        <v>1735</v>
      </c>
      <c r="AV75" s="2"/>
      <c r="AW75" s="2"/>
      <c r="AX75" s="3"/>
      <c r="AY75" s="2"/>
      <c r="AZ75" s="2">
        <v>363</v>
      </c>
      <c r="BA75" s="2">
        <v>1372</v>
      </c>
      <c r="BB75" s="2"/>
      <c r="BC75" s="2"/>
      <c r="BD75" s="2"/>
      <c r="BE75" s="2"/>
      <c r="BF75" s="3">
        <v>1</v>
      </c>
      <c r="BG75" s="3">
        <v>1</v>
      </c>
      <c r="BH75" s="2"/>
      <c r="BI75" s="2"/>
      <c r="BJ75" s="2"/>
      <c r="BK75" s="139">
        <f>Table11[[#This Row],[Average MHT
(Feet)]]/16</f>
        <v>0</v>
      </c>
      <c r="BL75" s="2"/>
      <c r="BM75" s="139">
        <f>Table11[[#This Row],[Average DBH
(inches)]]/18</f>
        <v>0</v>
      </c>
      <c r="BN75" s="235">
        <f>((Table11[[#This Row],[Average DBH
(inches)]]-4)^2)*(Table11[[#This Row],[Average MHT
(Feet)]]/16)</f>
        <v>0</v>
      </c>
      <c r="BO75" s="235">
        <f>Table11[[#This Row],[Average BF]]*Table11[[#This Row],[2024 '#Trees Inventory + Estimate]]</f>
        <v>0</v>
      </c>
      <c r="BP75" s="240">
        <f>(Table11[[#This Row],[Harvest Year
(10 year)]]-Table11[[#This Row],[Year of Inventory]]+1)*(Table11[[#This Row],[Average DBH
(inches)]]/(Table11[[#This Row],[Harvest Year
(10 year)]]-Table11[[#This Row],[Year of Inventory]]+1))+Table11[[#This Row],[Average DBH
(inches)]]</f>
        <v>0</v>
      </c>
      <c r="BQ75" s="235">
        <f>((Table11[[#This Row],[Projected DBH
(Extrapolated Growth/Year)]]-4)^2)*(Table11[[#This Row],[Average MHT
(Feet)]]/16)</f>
        <v>0</v>
      </c>
      <c r="BR75" s="235">
        <f>Table11[[#This Row],[Projected Average BF]]*Table11[[#This Row],[2024 '#Trees Inventory + Estimate]]</f>
        <v>0</v>
      </c>
      <c r="BS75" s="235">
        <f>196*Table11[[#This Row],[2024 '#Trees Inventory + Estimate]]</f>
        <v>205909.76000000004</v>
      </c>
      <c r="BT75" s="243">
        <f>Table11[[#This Row],[ETP Offering Expected BF]]-Table11[[#This Row],[Projected Total BF]]</f>
        <v>205909.76000000004</v>
      </c>
      <c r="BU75" s="235">
        <f>(18-Table11[[#This Row],[Average DBH
(inches)]])/(D75-Table11[[#This Row],[Year of Inventory]]+1)</f>
        <v>8.8713652045342532E-3</v>
      </c>
    </row>
    <row r="76" spans="1:73" hidden="1" x14ac:dyDescent="0.25">
      <c r="A76" s="7" t="s">
        <v>423</v>
      </c>
      <c r="B76" s="2">
        <v>2018</v>
      </c>
      <c r="C76" s="2">
        <v>2019</v>
      </c>
      <c r="D76" s="2">
        <f>Table11[[#This Row],[Planting Year]]+9</f>
        <v>2028</v>
      </c>
      <c r="E76" s="97" t="s">
        <v>418</v>
      </c>
      <c r="F76" s="161">
        <v>10030</v>
      </c>
      <c r="G76" t="s">
        <v>424</v>
      </c>
      <c r="H76" s="357" t="s">
        <v>419</v>
      </c>
      <c r="I76" t="s">
        <v>155</v>
      </c>
      <c r="J76" s="1" t="s">
        <v>420</v>
      </c>
      <c r="K76" s="1" t="s">
        <v>421</v>
      </c>
      <c r="L76" s="1" t="s">
        <v>421</v>
      </c>
      <c r="M76" s="1" t="s">
        <v>150</v>
      </c>
      <c r="N76" t="s">
        <v>425</v>
      </c>
      <c r="O76">
        <v>30.836335999999999</v>
      </c>
      <c r="P76">
        <v>-84.884128000000004</v>
      </c>
      <c r="Q76" s="2"/>
      <c r="R76" s="86"/>
      <c r="S76" s="2"/>
      <c r="T76" s="1">
        <v>460</v>
      </c>
      <c r="U76" s="1">
        <v>460</v>
      </c>
      <c r="V76" s="1" t="str">
        <f>IF(Table11[[#This Row],['#TreesContract]]-Table11[[#This Row],['#Planted]]=0,"",Table11[[#This Row],['#TreesContract]]-Table11[[#This Row],['#Planted]])</f>
        <v/>
      </c>
      <c r="W76" s="2"/>
      <c r="X76" s="34">
        <v>0.63913043478260867</v>
      </c>
      <c r="Y76" s="163">
        <f>Table11[[#This Row],['#TreesContract]]*Table11[[#This Row],[USA Allocation %]]</f>
        <v>294</v>
      </c>
      <c r="Z76" s="163">
        <f>Table11[[#This Row],['#Planted]]*Table11[[#This Row],[USA Allocation %]]</f>
        <v>294</v>
      </c>
      <c r="AA76" s="34">
        <v>0.36</v>
      </c>
      <c r="AB76" s="163">
        <f>Table11[[#This Row],['#TreesContract]]*0.36</f>
        <v>165.6</v>
      </c>
      <c r="AC76" s="34"/>
      <c r="AD76" s="163"/>
      <c r="AE76" s="163">
        <f>Table11[[#This Row],[Canada Allocation-tree '#''s]]+Table11[[#This Row],[Can trees/Allocation 2017]]</f>
        <v>165.6</v>
      </c>
      <c r="AF76" s="5">
        <v>0.1521739130434783</v>
      </c>
      <c r="AG76" s="35">
        <v>70.000000000000014</v>
      </c>
      <c r="AH76" s="35">
        <f>Table11[[#This Row],['#Trees as of 12/31/23]]*Table11[[#This Row],[USA Allocation %]]</f>
        <v>44.739130434782616</v>
      </c>
      <c r="AI76" s="437">
        <f>Table11[[#This Row],['#TreesContract]]*Table11[[#This Row],[2024 Inventory Survival%-master]]</f>
        <v>0</v>
      </c>
      <c r="AJ76" s="436"/>
      <c r="AK76" s="5">
        <v>0.1521739130434783</v>
      </c>
      <c r="AL76" s="5">
        <v>0.1521739130434783</v>
      </c>
      <c r="AM76" s="35">
        <f>AK76*Table11[[#This Row],['#TreesContract]]</f>
        <v>70.000000000000014</v>
      </c>
      <c r="AN76" s="35">
        <f>Table11[[#This Row],[2024 '#Trees Inventory + Estimate]]*Table11[[#This Row],[USA Allocation %]]</f>
        <v>44.739130434782616</v>
      </c>
      <c r="AO76" s="35">
        <f>Table11[[#This Row],[2024 '#Trees Inventory + Estimate]]*Table11[[#This Row],[Canada Allocation %]]</f>
        <v>25.200000000000003</v>
      </c>
      <c r="AP76" s="35">
        <f>Table11[[#This Row],[2024 '#Trees Inventory + Estimate]]*Table11[[#This Row],[Canada Allocation2017 %]]</f>
        <v>0</v>
      </c>
      <c r="AQ76" s="35">
        <f>Table11[[#This Row],['#Trees as of 2024/estimate-Can allocation]]+Table11[[#This Row],['#Trees as of 2024/estimate-Can allocation 2017]]</f>
        <v>25.200000000000003</v>
      </c>
      <c r="AR76" s="1" t="s">
        <v>152</v>
      </c>
      <c r="AS76" s="2" t="s">
        <v>355</v>
      </c>
      <c r="AT76" s="6">
        <f>IFERROR(Table11[[#This Row],['#Total Replacements]]/Table11[[#This Row],['#TreesContract]],"")</f>
        <v>0.80217391304347829</v>
      </c>
      <c r="AU76" s="4">
        <f>IF(SUM(Table11[[#This Row],['#Replace 24]:['#Replace 16]])=0,0,SUM(Table11[[#This Row],['#Replace 24]:['#Replace 16]]))</f>
        <v>369</v>
      </c>
      <c r="AV76" s="2"/>
      <c r="AW76" s="2"/>
      <c r="AX76" s="3"/>
      <c r="AY76" s="2"/>
      <c r="AZ76" s="2">
        <v>62</v>
      </c>
      <c r="BA76" s="2">
        <v>307</v>
      </c>
      <c r="BB76" s="2"/>
      <c r="BC76" s="2"/>
      <c r="BD76" s="2"/>
      <c r="BE76" s="2"/>
      <c r="BF76" s="3">
        <v>1</v>
      </c>
      <c r="BG76" s="3">
        <v>1</v>
      </c>
      <c r="BH76" s="2"/>
      <c r="BI76" s="158"/>
      <c r="BJ76" s="158"/>
      <c r="BK76" s="139">
        <f>Table11[[#This Row],[Average MHT
(Feet)]]/16</f>
        <v>0</v>
      </c>
      <c r="BL76" s="2"/>
      <c r="BM76" s="139">
        <f>Table11[[#This Row],[Average DBH
(inches)]]/18</f>
        <v>0</v>
      </c>
      <c r="BN76" s="235">
        <f>((Table11[[#This Row],[Average DBH
(inches)]]-4)^2)*(Table11[[#This Row],[Average MHT
(Feet)]]/16)</f>
        <v>0</v>
      </c>
      <c r="BO76" s="235">
        <f>Table11[[#This Row],[Average BF]]*Table11[[#This Row],[2024 '#Trees Inventory + Estimate]]</f>
        <v>0</v>
      </c>
      <c r="BP76" s="240">
        <f>(Table11[[#This Row],[Harvest Year
(10 year)]]-Table11[[#This Row],[Year of Inventory]]+1)*(Table11[[#This Row],[Average DBH
(inches)]]/(Table11[[#This Row],[Harvest Year
(10 year)]]-Table11[[#This Row],[Year of Inventory]]+1))+Table11[[#This Row],[Average DBH
(inches)]]</f>
        <v>0</v>
      </c>
      <c r="BQ76" s="235">
        <f>((Table11[[#This Row],[Projected DBH
(Extrapolated Growth/Year)]]-4)^2)*(Table11[[#This Row],[Average MHT
(Feet)]]/16)</f>
        <v>0</v>
      </c>
      <c r="BR76" s="235">
        <f>Table11[[#This Row],[Projected Average BF]]*Table11[[#This Row],[2024 '#Trees Inventory + Estimate]]</f>
        <v>0</v>
      </c>
      <c r="BS76" s="235">
        <f>196*Table11[[#This Row],[2024 '#Trees Inventory + Estimate]]</f>
        <v>13720.000000000004</v>
      </c>
      <c r="BT76" s="243">
        <f>Table11[[#This Row],[ETP Offering Expected BF]]-Table11[[#This Row],[Projected Total BF]]</f>
        <v>13720.000000000004</v>
      </c>
      <c r="BU76" s="235">
        <f>(18-Table11[[#This Row],[Average DBH
(inches)]])/(D76-Table11[[#This Row],[Year of Inventory]]+1)</f>
        <v>8.8713652045342532E-3</v>
      </c>
    </row>
    <row r="77" spans="1:73" hidden="1" x14ac:dyDescent="0.25">
      <c r="A77" s="7" t="s">
        <v>426</v>
      </c>
      <c r="B77" s="2">
        <v>2018</v>
      </c>
      <c r="C77" s="2">
        <v>2019</v>
      </c>
      <c r="D77" s="2">
        <v>0</v>
      </c>
      <c r="E77" s="97" t="s">
        <v>418</v>
      </c>
      <c r="F77" s="161">
        <v>10030</v>
      </c>
      <c r="G77" t="s">
        <v>427</v>
      </c>
      <c r="H77" s="357" t="s">
        <v>419</v>
      </c>
      <c r="I77" t="s">
        <v>160</v>
      </c>
      <c r="J77" s="1" t="s">
        <v>420</v>
      </c>
      <c r="K77" s="1" t="s">
        <v>421</v>
      </c>
      <c r="L77" s="1" t="s">
        <v>421</v>
      </c>
      <c r="M77" s="1" t="s">
        <v>150</v>
      </c>
      <c r="Q77" s="2"/>
      <c r="R77" s="86"/>
      <c r="S77" s="2"/>
      <c r="T77" s="1">
        <v>1300</v>
      </c>
      <c r="U77" s="1">
        <v>1300</v>
      </c>
      <c r="V77" s="1" t="str">
        <f>IF(Table11[[#This Row],['#TreesContract]]-Table11[[#This Row],['#Planted]]=0,"",Table11[[#This Row],['#TreesContract]]-Table11[[#This Row],['#Planted]])</f>
        <v/>
      </c>
      <c r="W77" s="2"/>
      <c r="X77" s="34">
        <v>0.64</v>
      </c>
      <c r="Y77" s="163">
        <f>Table11[[#This Row],['#TreesContract]]*Table11[[#This Row],[USA Allocation %]]</f>
        <v>832</v>
      </c>
      <c r="Z77" s="163">
        <f>Table11[[#This Row],['#Planted]]*Table11[[#This Row],[USA Allocation %]]</f>
        <v>832</v>
      </c>
      <c r="AA77" s="34">
        <v>0.36</v>
      </c>
      <c r="AB77" s="163">
        <f>Table11[[#This Row],['#TreesContract]]*0.36</f>
        <v>468</v>
      </c>
      <c r="AC77" s="34"/>
      <c r="AD77" s="163"/>
      <c r="AE77" s="163">
        <f>Table11[[#This Row],[Canada Allocation-tree '#''s]]+Table11[[#This Row],[Can trees/Allocation 2017]]</f>
        <v>468</v>
      </c>
      <c r="AF77" s="5">
        <v>0</v>
      </c>
      <c r="AG77" s="35">
        <v>0</v>
      </c>
      <c r="AH77" s="35">
        <f>Table11[[#This Row],['#Trees as of 12/31/23]]*Table11[[#This Row],[USA Allocation %]]</f>
        <v>0</v>
      </c>
      <c r="AI77" s="404">
        <f>Table11[[#This Row],['#TreesContract]]*Table11[[#This Row],[2024 Inventory Survival%-master]]</f>
        <v>0</v>
      </c>
      <c r="AJ77" s="5">
        <v>0</v>
      </c>
      <c r="AK77" s="5">
        <v>0</v>
      </c>
      <c r="AL77" s="5">
        <v>0</v>
      </c>
      <c r="AM77" s="35">
        <f>AK77*Table11[[#This Row],['#TreesContract]]</f>
        <v>0</v>
      </c>
      <c r="AN77" s="35">
        <f>Table11[[#This Row],[2024 '#Trees Inventory + Estimate]]*Table11[[#This Row],[USA Allocation %]]</f>
        <v>0</v>
      </c>
      <c r="AO77" s="35">
        <f>Table11[[#This Row],[2024 '#Trees Inventory + Estimate]]*Table11[[#This Row],[Canada Allocation %]]</f>
        <v>0</v>
      </c>
      <c r="AP77" s="35">
        <f>Table11[[#This Row],[2024 '#Trees Inventory + Estimate]]*Table11[[#This Row],[Canada Allocation2017 %]]</f>
        <v>0</v>
      </c>
      <c r="AQ77" s="35">
        <f>Table11[[#This Row],['#Trees as of 2024/estimate-Can allocation]]+Table11[[#This Row],['#Trees as of 2024/estimate-Can allocation 2017]]</f>
        <v>0</v>
      </c>
      <c r="AR77" s="1" t="s">
        <v>152</v>
      </c>
      <c r="AS77" s="2" t="s">
        <v>355</v>
      </c>
      <c r="AT77" s="6">
        <f>IFERROR(Table11[[#This Row],['#Total Replacements]]/Table11[[#This Row],['#TreesContract]],"")</f>
        <v>0</v>
      </c>
      <c r="AU77" s="4">
        <f>IF(SUM(Table11[[#This Row],['#Replace 24]:['#Replace 16]])=0,0,SUM(Table11[[#This Row],['#Replace 24]:['#Replace 16]]))</f>
        <v>0</v>
      </c>
      <c r="AV77" s="2"/>
      <c r="AW77" s="2"/>
      <c r="AX77" s="3"/>
      <c r="AY77" s="2"/>
      <c r="AZ77" s="2"/>
      <c r="BA77" s="2"/>
      <c r="BB77" s="2"/>
      <c r="BC77" s="2"/>
      <c r="BD77" s="2"/>
      <c r="BE77" s="2"/>
      <c r="BF77" s="3">
        <v>1</v>
      </c>
      <c r="BG77" s="3">
        <v>1</v>
      </c>
      <c r="BH77" s="2"/>
      <c r="BI77" s="158"/>
      <c r="BJ77" s="158"/>
      <c r="BK77" s="139">
        <f>Table11[[#This Row],[Average MHT
(Feet)]]/16</f>
        <v>0</v>
      </c>
      <c r="BL77" s="2"/>
      <c r="BM77" s="139">
        <f>Table11[[#This Row],[Average DBH
(inches)]]/18</f>
        <v>0</v>
      </c>
      <c r="BN77" s="235">
        <f>((Table11[[#This Row],[Average DBH
(inches)]]-4)^2)*(Table11[[#This Row],[Average MHT
(Feet)]]/16)</f>
        <v>0</v>
      </c>
      <c r="BO77" s="235">
        <f>Table11[[#This Row],[Average BF]]*Table11[[#This Row],[2024 '#Trees Inventory + Estimate]]</f>
        <v>0</v>
      </c>
      <c r="BP77" s="240">
        <f>(Table11[[#This Row],[Harvest Year
(10 year)]]-Table11[[#This Row],[Year of Inventory]]+1)*(Table11[[#This Row],[Average DBH
(inches)]]/(Table11[[#This Row],[Harvest Year
(10 year)]]-Table11[[#This Row],[Year of Inventory]]+1))+Table11[[#This Row],[Average DBH
(inches)]]</f>
        <v>0</v>
      </c>
      <c r="BQ77" s="235">
        <f>((Table11[[#This Row],[Projected DBH
(Extrapolated Growth/Year)]]-4)^2)*(Table11[[#This Row],[Average MHT
(Feet)]]/16)</f>
        <v>0</v>
      </c>
      <c r="BR77" s="235">
        <f>Table11[[#This Row],[Projected Average BF]]*Table11[[#This Row],[2024 '#Trees Inventory + Estimate]]</f>
        <v>0</v>
      </c>
      <c r="BS77" s="235">
        <f>196*Table11[[#This Row],[2024 '#Trees Inventory + Estimate]]</f>
        <v>0</v>
      </c>
      <c r="BT77" s="235">
        <f>Table11[[#This Row],[ETP Offering Expected BF]]-Table11[[#This Row],[Projected Total BF]]</f>
        <v>0</v>
      </c>
      <c r="BU77" s="235">
        <f>(18-Table11[[#This Row],[Average DBH
(inches)]])/(D77-Table11[[#This Row],[Year of Inventory]]+1)</f>
        <v>18</v>
      </c>
    </row>
    <row r="78" spans="1:73" hidden="1" x14ac:dyDescent="0.25">
      <c r="A78" s="7" t="s">
        <v>428</v>
      </c>
      <c r="B78" s="2">
        <v>2018</v>
      </c>
      <c r="C78" s="2">
        <v>2019</v>
      </c>
      <c r="D78" s="2">
        <f>Table11[[#This Row],[Planting Year]]+9</f>
        <v>2028</v>
      </c>
      <c r="E78" s="97" t="s">
        <v>429</v>
      </c>
      <c r="F78" s="161">
        <v>10031</v>
      </c>
      <c r="G78" t="s">
        <v>429</v>
      </c>
      <c r="H78" s="357" t="s">
        <v>430</v>
      </c>
      <c r="I78" t="s">
        <v>155</v>
      </c>
      <c r="J78" s="1" t="s">
        <v>431</v>
      </c>
      <c r="K78" s="1" t="s">
        <v>432</v>
      </c>
      <c r="L78" s="1" t="s">
        <v>432</v>
      </c>
      <c r="M78" s="1" t="s">
        <v>150</v>
      </c>
      <c r="N78" t="s">
        <v>433</v>
      </c>
      <c r="O78">
        <v>33.151431000000002</v>
      </c>
      <c r="P78">
        <v>-85.297488999999999</v>
      </c>
      <c r="Q78" s="2"/>
      <c r="R78" s="86"/>
      <c r="S78" s="2"/>
      <c r="T78" s="1">
        <v>550</v>
      </c>
      <c r="U78" s="1">
        <v>550</v>
      </c>
      <c r="V78" s="1" t="str">
        <f>IF(Table11[[#This Row],['#TreesContract]]-Table11[[#This Row],['#Planted]]=0,"",Table11[[#This Row],['#TreesContract]]-Table11[[#This Row],['#Planted]])</f>
        <v/>
      </c>
      <c r="W78" s="2"/>
      <c r="X78" s="34">
        <v>0.64</v>
      </c>
      <c r="Y78" s="163">
        <f>Table11[[#This Row],['#TreesContract]]*Table11[[#This Row],[USA Allocation %]]</f>
        <v>352</v>
      </c>
      <c r="Z78" s="163">
        <f>Table11[[#This Row],['#Planted]]*Table11[[#This Row],[USA Allocation %]]</f>
        <v>352</v>
      </c>
      <c r="AA78" s="34">
        <v>0.36</v>
      </c>
      <c r="AB78" s="163">
        <f>Table11[[#This Row],['#TreesContract]]*0.36</f>
        <v>198</v>
      </c>
      <c r="AC78" s="34"/>
      <c r="AD78" s="163"/>
      <c r="AE78" s="163">
        <f>Table11[[#This Row],[Canada Allocation-tree '#''s]]+Table11[[#This Row],[Can trees/Allocation 2017]]</f>
        <v>198</v>
      </c>
      <c r="AF78" s="5">
        <v>0.98399999999999987</v>
      </c>
      <c r="AG78" s="35">
        <v>541.19999999999993</v>
      </c>
      <c r="AH78" s="35">
        <f>Table11[[#This Row],['#Trees as of 12/31/23]]*Table11[[#This Row],[USA Allocation %]]</f>
        <v>346.36799999999994</v>
      </c>
      <c r="AI78" s="437">
        <f>Table11[[#This Row],['#TreesContract]]*Table11[[#This Row],[2024 Inventory Survival%-master]]</f>
        <v>0</v>
      </c>
      <c r="AJ78" s="436"/>
      <c r="AK78" s="5">
        <v>0.98399999999999987</v>
      </c>
      <c r="AL78" s="5">
        <v>0.98399999999999987</v>
      </c>
      <c r="AM78" s="35">
        <f>AK78*Table11[[#This Row],['#TreesContract]]</f>
        <v>541.19999999999993</v>
      </c>
      <c r="AN78" s="35">
        <f>Table11[[#This Row],[2024 '#Trees Inventory + Estimate]]*Table11[[#This Row],[USA Allocation %]]</f>
        <v>346.36799999999994</v>
      </c>
      <c r="AO78" s="35">
        <f>Table11[[#This Row],[2024 '#Trees Inventory + Estimate]]*Table11[[#This Row],[Canada Allocation %]]</f>
        <v>194.83199999999997</v>
      </c>
      <c r="AP78" s="35">
        <f>Table11[[#This Row],[2024 '#Trees Inventory + Estimate]]*Table11[[#This Row],[Canada Allocation2017 %]]</f>
        <v>0</v>
      </c>
      <c r="AQ78" s="35">
        <f>Table11[[#This Row],['#Trees as of 2024/estimate-Can allocation]]+Table11[[#This Row],['#Trees as of 2024/estimate-Can allocation 2017]]</f>
        <v>194.83199999999997</v>
      </c>
      <c r="AR78" s="1" t="s">
        <v>152</v>
      </c>
      <c r="AS78" s="2" t="s">
        <v>355</v>
      </c>
      <c r="AT78" s="6">
        <f>IFERROR(Table11[[#This Row],['#Total Replacements]]/Table11[[#This Row],['#TreesContract]],"")</f>
        <v>1.1181818181818182</v>
      </c>
      <c r="AU78" s="4">
        <f>IF(SUM(Table11[[#This Row],['#Replace 24]:['#Replace 16]])=0,0,SUM(Table11[[#This Row],['#Replace 24]:['#Replace 16]]))</f>
        <v>615</v>
      </c>
      <c r="AV78" s="2"/>
      <c r="AW78" s="2"/>
      <c r="AX78" s="3"/>
      <c r="AY78" s="2">
        <v>105</v>
      </c>
      <c r="AZ78" s="2">
        <v>200</v>
      </c>
      <c r="BA78" s="2">
        <v>310</v>
      </c>
      <c r="BB78" s="2"/>
      <c r="BC78" s="2"/>
      <c r="BD78" s="2"/>
      <c r="BE78" s="2"/>
      <c r="BF78" s="3">
        <v>1</v>
      </c>
      <c r="BG78" s="3">
        <v>1</v>
      </c>
      <c r="BH78" s="2"/>
      <c r="BI78" s="2"/>
      <c r="BJ78" s="2"/>
      <c r="BK78" s="139">
        <f>Table11[[#This Row],[Average MHT
(Feet)]]/16</f>
        <v>0</v>
      </c>
      <c r="BL78" s="2"/>
      <c r="BM78" s="139">
        <f>Table11[[#This Row],[Average DBH
(inches)]]/18</f>
        <v>0</v>
      </c>
      <c r="BN78" s="235">
        <f>((Table11[[#This Row],[Average DBH
(inches)]]-4)^2)*(Table11[[#This Row],[Average MHT
(Feet)]]/16)</f>
        <v>0</v>
      </c>
      <c r="BO78" s="235">
        <f>Table11[[#This Row],[Average BF]]*Table11[[#This Row],[2024 '#Trees Inventory + Estimate]]</f>
        <v>0</v>
      </c>
      <c r="BP78" s="240">
        <f>(Table11[[#This Row],[Harvest Year
(10 year)]]-Table11[[#This Row],[Year of Inventory]]+1)*(Table11[[#This Row],[Average DBH
(inches)]]/(Table11[[#This Row],[Harvest Year
(10 year)]]-Table11[[#This Row],[Year of Inventory]]+1))+Table11[[#This Row],[Average DBH
(inches)]]</f>
        <v>0</v>
      </c>
      <c r="BQ78" s="235">
        <f>((Table11[[#This Row],[Projected DBH
(Extrapolated Growth/Year)]]-4)^2)*(Table11[[#This Row],[Average MHT
(Feet)]]/16)</f>
        <v>0</v>
      </c>
      <c r="BR78" s="235">
        <f>Table11[[#This Row],[Projected Average BF]]*Table11[[#This Row],[2024 '#Trees Inventory + Estimate]]</f>
        <v>0</v>
      </c>
      <c r="BS78" s="235">
        <f>196*Table11[[#This Row],[2024 '#Trees Inventory + Estimate]]</f>
        <v>106075.19999999998</v>
      </c>
      <c r="BT78" s="243">
        <f>Table11[[#This Row],[ETP Offering Expected BF]]-Table11[[#This Row],[Projected Total BF]]</f>
        <v>106075.19999999998</v>
      </c>
      <c r="BU78" s="235">
        <f>(18-Table11[[#This Row],[Average DBH
(inches)]])/(D78-Table11[[#This Row],[Year of Inventory]]+1)</f>
        <v>8.8713652045342532E-3</v>
      </c>
    </row>
    <row r="79" spans="1:73" hidden="1" x14ac:dyDescent="0.25">
      <c r="A79" s="7" t="s">
        <v>434</v>
      </c>
      <c r="B79" s="2">
        <v>2018</v>
      </c>
      <c r="C79" s="2">
        <v>2019</v>
      </c>
      <c r="D79" s="2">
        <f>Table11[[#This Row],[Planting Year]]+9</f>
        <v>2028</v>
      </c>
      <c r="E79" s="97" t="s">
        <v>435</v>
      </c>
      <c r="F79" s="161">
        <v>10032</v>
      </c>
      <c r="G79" t="s">
        <v>436</v>
      </c>
      <c r="H79" s="357" t="s">
        <v>437</v>
      </c>
      <c r="I79" t="s">
        <v>155</v>
      </c>
      <c r="J79" s="1" t="s">
        <v>438</v>
      </c>
      <c r="K79" s="1">
        <v>0</v>
      </c>
      <c r="L79" s="1" t="s">
        <v>439</v>
      </c>
      <c r="M79" s="1" t="s">
        <v>150</v>
      </c>
      <c r="N79" t="s">
        <v>440</v>
      </c>
      <c r="O79">
        <v>46.018121000000001</v>
      </c>
      <c r="P79">
        <v>-118.63106500000001</v>
      </c>
      <c r="Q79" s="2"/>
      <c r="R79" s="86"/>
      <c r="S79" s="2"/>
      <c r="T79" s="1">
        <v>3400</v>
      </c>
      <c r="U79" s="1">
        <v>3400</v>
      </c>
      <c r="V79" s="1" t="str">
        <f>IF(Table11[[#This Row],['#TreesContract]]-Table11[[#This Row],['#Planted]]=0,"",Table11[[#This Row],['#TreesContract]]-Table11[[#This Row],['#Planted]])</f>
        <v/>
      </c>
      <c r="W79" s="2"/>
      <c r="X79" s="34">
        <v>0.64</v>
      </c>
      <c r="Y79" s="163">
        <f>Table11[[#This Row],['#TreesContract]]*Table11[[#This Row],[USA Allocation %]]</f>
        <v>2176</v>
      </c>
      <c r="Z79" s="163">
        <f>Table11[[#This Row],['#Planted]]*Table11[[#This Row],[USA Allocation %]]</f>
        <v>2176</v>
      </c>
      <c r="AA79" s="34">
        <v>0.36</v>
      </c>
      <c r="AB79" s="163">
        <f>Table11[[#This Row],['#TreesContract]]*0.36</f>
        <v>1224</v>
      </c>
      <c r="AC79" s="34"/>
      <c r="AD79" s="163"/>
      <c r="AE79" s="163">
        <f>Table11[[#This Row],[Canada Allocation-tree '#''s]]+Table11[[#This Row],[Can trees/Allocation 2017]]</f>
        <v>1224</v>
      </c>
      <c r="AF79" s="5">
        <v>0.625</v>
      </c>
      <c r="AG79" s="35">
        <v>2125</v>
      </c>
      <c r="AH79" s="35">
        <f>Table11[[#This Row],['#Trees as of 12/31/23]]*Table11[[#This Row],[USA Allocation %]]</f>
        <v>1360</v>
      </c>
      <c r="AI79" s="437">
        <f>Table11[[#This Row],['#TreesContract]]*Table11[[#This Row],[2024 Inventory Survival%-master]]</f>
        <v>0</v>
      </c>
      <c r="AJ79" s="436"/>
      <c r="AK79" s="5">
        <v>0.625</v>
      </c>
      <c r="AL79" s="5">
        <v>0.625</v>
      </c>
      <c r="AM79" s="35">
        <f>AK79*Table11[[#This Row],['#TreesContract]]</f>
        <v>2125</v>
      </c>
      <c r="AN79" s="35">
        <f>Table11[[#This Row],[2024 '#Trees Inventory + Estimate]]*Table11[[#This Row],[USA Allocation %]]</f>
        <v>1360</v>
      </c>
      <c r="AO79" s="35">
        <f>Table11[[#This Row],[2024 '#Trees Inventory + Estimate]]*Table11[[#This Row],[Canada Allocation %]]</f>
        <v>765</v>
      </c>
      <c r="AP79" s="35">
        <f>Table11[[#This Row],[2024 '#Trees Inventory + Estimate]]*Table11[[#This Row],[Canada Allocation2017 %]]</f>
        <v>0</v>
      </c>
      <c r="AQ79" s="35">
        <f>Table11[[#This Row],['#Trees as of 2024/estimate-Can allocation]]+Table11[[#This Row],['#Trees as of 2024/estimate-Can allocation 2017]]</f>
        <v>765</v>
      </c>
      <c r="AR79" s="1" t="s">
        <v>152</v>
      </c>
      <c r="AS79" s="2" t="s">
        <v>441</v>
      </c>
      <c r="AT79" s="6">
        <f>IFERROR(Table11[[#This Row],['#Total Replacements]]/Table11[[#This Row],['#TreesContract]],"")</f>
        <v>1.0505882352941176</v>
      </c>
      <c r="AU79" s="4">
        <f>IF(SUM(Table11[[#This Row],['#Replace 24]:['#Replace 16]])=0,0,SUM(Table11[[#This Row],['#Replace 24]:['#Replace 16]]))</f>
        <v>3572</v>
      </c>
      <c r="AV79" s="2"/>
      <c r="AW79" s="2"/>
      <c r="AX79" s="3"/>
      <c r="AY79" s="2"/>
      <c r="AZ79" s="2">
        <v>1890</v>
      </c>
      <c r="BA79" s="2">
        <v>532</v>
      </c>
      <c r="BB79" s="2">
        <v>1150</v>
      </c>
      <c r="BC79" s="2"/>
      <c r="BD79" s="2"/>
      <c r="BE79" s="2"/>
      <c r="BF79" s="3">
        <v>1</v>
      </c>
      <c r="BG79" s="3">
        <v>1</v>
      </c>
      <c r="BH79" s="2"/>
      <c r="BI79" s="158"/>
      <c r="BJ79" s="158"/>
      <c r="BK79" s="139">
        <f>Table11[[#This Row],[Average MHT
(Feet)]]/16</f>
        <v>0</v>
      </c>
      <c r="BL79" s="2"/>
      <c r="BM79" s="139">
        <f>Table11[[#This Row],[Average DBH
(inches)]]/18</f>
        <v>0</v>
      </c>
      <c r="BN79" s="235">
        <f>((Table11[[#This Row],[Average DBH
(inches)]]-4)^2)*(Table11[[#This Row],[Average MHT
(Feet)]]/16)</f>
        <v>0</v>
      </c>
      <c r="BO79" s="235">
        <f>Table11[[#This Row],[Average BF]]*Table11[[#This Row],[2024 '#Trees Inventory + Estimate]]</f>
        <v>0</v>
      </c>
      <c r="BP79" s="240">
        <f>(Table11[[#This Row],[Harvest Year
(10 year)]]-Table11[[#This Row],[Year of Inventory]]+1)*(Table11[[#This Row],[Average DBH
(inches)]]/(Table11[[#This Row],[Harvest Year
(10 year)]]-Table11[[#This Row],[Year of Inventory]]+1))+Table11[[#This Row],[Average DBH
(inches)]]</f>
        <v>0</v>
      </c>
      <c r="BQ79" s="235">
        <f>((Table11[[#This Row],[Projected DBH
(Extrapolated Growth/Year)]]-4)^2)*(Table11[[#This Row],[Average MHT
(Feet)]]/16)</f>
        <v>0</v>
      </c>
      <c r="BR79" s="235">
        <f>Table11[[#This Row],[Projected Average BF]]*Table11[[#This Row],[2024 '#Trees Inventory + Estimate]]</f>
        <v>0</v>
      </c>
      <c r="BS79" s="235">
        <f>196*Table11[[#This Row],[2024 '#Trees Inventory + Estimate]]</f>
        <v>416500</v>
      </c>
      <c r="BT79" s="243">
        <f>Table11[[#This Row],[ETP Offering Expected BF]]-Table11[[#This Row],[Projected Total BF]]</f>
        <v>416500</v>
      </c>
      <c r="BU79" s="235">
        <f>(18-Table11[[#This Row],[Average DBH
(inches)]])/(D79-Table11[[#This Row],[Year of Inventory]]+1)</f>
        <v>8.8713652045342532E-3</v>
      </c>
    </row>
    <row r="80" spans="1:73" hidden="1" x14ac:dyDescent="0.25">
      <c r="A80" s="7" t="s">
        <v>442</v>
      </c>
      <c r="B80" s="2">
        <v>2018</v>
      </c>
      <c r="C80" s="2">
        <v>2019</v>
      </c>
      <c r="D80" s="2">
        <f>Table11[[#This Row],[Planting Year]]+9</f>
        <v>2028</v>
      </c>
      <c r="E80" s="97" t="s">
        <v>443</v>
      </c>
      <c r="F80" s="161">
        <v>10033</v>
      </c>
      <c r="G80" t="s">
        <v>443</v>
      </c>
      <c r="H80" s="357" t="s">
        <v>444</v>
      </c>
      <c r="I80" t="s">
        <v>155</v>
      </c>
      <c r="J80" s="1" t="s">
        <v>445</v>
      </c>
      <c r="K80" s="1" t="s">
        <v>446</v>
      </c>
      <c r="L80" s="1" t="s">
        <v>447</v>
      </c>
      <c r="M80" s="1" t="s">
        <v>150</v>
      </c>
      <c r="N80" t="s">
        <v>448</v>
      </c>
      <c r="O80">
        <v>31.046150000000001</v>
      </c>
      <c r="P80">
        <v>-88.514616000000004</v>
      </c>
      <c r="Q80" s="2"/>
      <c r="R80" s="86"/>
      <c r="S80" s="2"/>
      <c r="T80" s="1">
        <v>1100</v>
      </c>
      <c r="U80" s="1">
        <v>1100</v>
      </c>
      <c r="V80" s="1" t="str">
        <f>IF(Table11[[#This Row],['#TreesContract]]-Table11[[#This Row],['#Planted]]=0,"",Table11[[#This Row],['#TreesContract]]-Table11[[#This Row],['#Planted]])</f>
        <v/>
      </c>
      <c r="W80" s="2"/>
      <c r="X80" s="34">
        <v>0.64</v>
      </c>
      <c r="Y80" s="163">
        <f>Table11[[#This Row],['#TreesContract]]*Table11[[#This Row],[USA Allocation %]]</f>
        <v>704</v>
      </c>
      <c r="Z80" s="163">
        <f>Table11[[#This Row],['#Planted]]*Table11[[#This Row],[USA Allocation %]]</f>
        <v>704</v>
      </c>
      <c r="AA80" s="34">
        <v>0.36</v>
      </c>
      <c r="AB80" s="163">
        <f>Table11[[#This Row],['#TreesContract]]*0.36</f>
        <v>396</v>
      </c>
      <c r="AC80" s="34"/>
      <c r="AD80" s="163"/>
      <c r="AE80" s="163">
        <f>Table11[[#This Row],[Canada Allocation-tree '#''s]]+Table11[[#This Row],[Can trees/Allocation 2017]]</f>
        <v>396</v>
      </c>
      <c r="AF80" s="5">
        <v>0.96193846153846152</v>
      </c>
      <c r="AG80" s="35">
        <v>1058.1323076923077</v>
      </c>
      <c r="AH80" s="35">
        <f>Table11[[#This Row],['#Trees as of 12/31/23]]*Table11[[#This Row],[USA Allocation %]]</f>
        <v>677.20467692307693</v>
      </c>
      <c r="AI80" s="437">
        <f>Table11[[#This Row],['#TreesContract]]*Table11[[#This Row],[2024 Inventory Survival%-master]]</f>
        <v>0</v>
      </c>
      <c r="AJ80" s="436"/>
      <c r="AK80" s="5">
        <v>0.96193846153846152</v>
      </c>
      <c r="AL80" s="5">
        <v>0.96193846153846152</v>
      </c>
      <c r="AM80" s="35">
        <f>AK80*Table11[[#This Row],['#TreesContract]]</f>
        <v>1058.1323076923077</v>
      </c>
      <c r="AN80" s="35">
        <f>Table11[[#This Row],[2024 '#Trees Inventory + Estimate]]*Table11[[#This Row],[USA Allocation %]]</f>
        <v>677.20467692307693</v>
      </c>
      <c r="AO80" s="35">
        <f>Table11[[#This Row],[2024 '#Trees Inventory + Estimate]]*Table11[[#This Row],[Canada Allocation %]]</f>
        <v>380.92763076923075</v>
      </c>
      <c r="AP80" s="35">
        <f>Table11[[#This Row],[2024 '#Trees Inventory + Estimate]]*Table11[[#This Row],[Canada Allocation2017 %]]</f>
        <v>0</v>
      </c>
      <c r="AQ80" s="35">
        <f>Table11[[#This Row],['#Trees as of 2024/estimate-Can allocation]]+Table11[[#This Row],['#Trees as of 2024/estimate-Can allocation 2017]]</f>
        <v>380.92763076923075</v>
      </c>
      <c r="AR80" s="1" t="s">
        <v>152</v>
      </c>
      <c r="AS80" s="2" t="s">
        <v>209</v>
      </c>
      <c r="AT80" s="6">
        <f>IFERROR(Table11[[#This Row],['#Total Replacements]]/Table11[[#This Row],['#TreesContract]],"")</f>
        <v>0.14545454545454545</v>
      </c>
      <c r="AU80" s="4">
        <f>IF(SUM(Table11[[#This Row],['#Replace 24]:['#Replace 16]])=0,0,SUM(Table11[[#This Row],['#Replace 24]:['#Replace 16]]))</f>
        <v>160</v>
      </c>
      <c r="AV80" s="2"/>
      <c r="AW80" s="2"/>
      <c r="AX80" s="3"/>
      <c r="AY80" s="2"/>
      <c r="AZ80" s="2"/>
      <c r="BA80" s="2">
        <v>110</v>
      </c>
      <c r="BB80" s="2">
        <v>50</v>
      </c>
      <c r="BC80" s="2"/>
      <c r="BD80" s="2"/>
      <c r="BE80" s="2"/>
      <c r="BF80" s="3">
        <v>1</v>
      </c>
      <c r="BG80" s="3">
        <v>1</v>
      </c>
      <c r="BH80" s="2"/>
      <c r="BI80" s="2"/>
      <c r="BJ80" s="2"/>
      <c r="BK80" s="139">
        <f>Table11[[#This Row],[Average MHT
(Feet)]]/16</f>
        <v>0</v>
      </c>
      <c r="BL80" s="2"/>
      <c r="BM80" s="139">
        <f>Table11[[#This Row],[Average DBH
(inches)]]/18</f>
        <v>0</v>
      </c>
      <c r="BN80" s="235">
        <f>((Table11[[#This Row],[Average DBH
(inches)]]-4)^2)*(Table11[[#This Row],[Average MHT
(Feet)]]/16)</f>
        <v>0</v>
      </c>
      <c r="BO80" s="235">
        <f>Table11[[#This Row],[Average BF]]*Table11[[#This Row],[2024 '#Trees Inventory + Estimate]]</f>
        <v>0</v>
      </c>
      <c r="BP80" s="240">
        <f>(Table11[[#This Row],[Harvest Year
(10 year)]]-Table11[[#This Row],[Year of Inventory]]+1)*(Table11[[#This Row],[Average DBH
(inches)]]/(Table11[[#This Row],[Harvest Year
(10 year)]]-Table11[[#This Row],[Year of Inventory]]+1))+Table11[[#This Row],[Average DBH
(inches)]]</f>
        <v>0</v>
      </c>
      <c r="BQ80" s="235">
        <f>((Table11[[#This Row],[Projected DBH
(Extrapolated Growth/Year)]]-4)^2)*(Table11[[#This Row],[Average MHT
(Feet)]]/16)</f>
        <v>0</v>
      </c>
      <c r="BR80" s="235">
        <f>Table11[[#This Row],[Projected Average BF]]*Table11[[#This Row],[2024 '#Trees Inventory + Estimate]]</f>
        <v>0</v>
      </c>
      <c r="BS80" s="235">
        <f>196*Table11[[#This Row],[2024 '#Trees Inventory + Estimate]]</f>
        <v>207393.9323076923</v>
      </c>
      <c r="BT80" s="243">
        <f>Table11[[#This Row],[ETP Offering Expected BF]]-Table11[[#This Row],[Projected Total BF]]</f>
        <v>207393.9323076923</v>
      </c>
      <c r="BU80" s="235">
        <f>(18-Table11[[#This Row],[Average DBH
(inches)]])/(D80-Table11[[#This Row],[Year of Inventory]]+1)</f>
        <v>8.8713652045342532E-3</v>
      </c>
    </row>
    <row r="81" spans="1:73" hidden="1" x14ac:dyDescent="0.25">
      <c r="A81" s="7" t="s">
        <v>449</v>
      </c>
      <c r="B81" s="2">
        <v>2018</v>
      </c>
      <c r="C81" s="2">
        <v>2019</v>
      </c>
      <c r="D81" s="2">
        <f>Table11[[#This Row],[Planting Year]]+9</f>
        <v>2028</v>
      </c>
      <c r="E81" s="97" t="s">
        <v>450</v>
      </c>
      <c r="F81" s="161">
        <v>10034</v>
      </c>
      <c r="G81" t="s">
        <v>450</v>
      </c>
      <c r="H81" s="357" t="s">
        <v>451</v>
      </c>
      <c r="I81" t="s">
        <v>155</v>
      </c>
      <c r="J81" s="1" t="s">
        <v>452</v>
      </c>
      <c r="K81" s="1">
        <v>0</v>
      </c>
      <c r="L81" s="1" t="s">
        <v>453</v>
      </c>
      <c r="M81" s="1" t="s">
        <v>150</v>
      </c>
      <c r="N81" t="s">
        <v>454</v>
      </c>
      <c r="O81">
        <v>32.570194000000001</v>
      </c>
      <c r="P81">
        <v>-86.139343999999994</v>
      </c>
      <c r="Q81" s="2"/>
      <c r="R81" s="86"/>
      <c r="S81" s="2"/>
      <c r="T81" s="1">
        <v>1320</v>
      </c>
      <c r="U81" s="1">
        <v>1320</v>
      </c>
      <c r="V81" s="1" t="str">
        <f>IF(Table11[[#This Row],['#TreesContract]]-Table11[[#This Row],['#Planted]]=0,"",Table11[[#This Row],['#TreesContract]]-Table11[[#This Row],['#Planted]])</f>
        <v/>
      </c>
      <c r="W81" s="2"/>
      <c r="X81" s="34">
        <v>0.64015151515151514</v>
      </c>
      <c r="Y81" s="163">
        <f>Table11[[#This Row],['#TreesContract]]*Table11[[#This Row],[USA Allocation %]]</f>
        <v>845</v>
      </c>
      <c r="Z81" s="163">
        <f>Table11[[#This Row],['#Planted]]*Table11[[#This Row],[USA Allocation %]]</f>
        <v>845</v>
      </c>
      <c r="AA81" s="34">
        <v>0.35984848484848486</v>
      </c>
      <c r="AB81" s="163">
        <f>Table11[[#This Row],['#TreesContract]]*0.36</f>
        <v>475.2</v>
      </c>
      <c r="AC81" s="34"/>
      <c r="AD81" s="163"/>
      <c r="AE81" s="163">
        <f>Table11[[#This Row],[Canada Allocation-tree '#''s]]+Table11[[#This Row],[Can trees/Allocation 2017]]</f>
        <v>475.2</v>
      </c>
      <c r="AF81" s="5">
        <v>0.93502418363529483</v>
      </c>
      <c r="AG81" s="35">
        <v>1234.2319223985892</v>
      </c>
      <c r="AH81" s="35">
        <f>Table11[[#This Row],['#Trees as of 12/31/23]]*Table11[[#This Row],[USA Allocation %]]</f>
        <v>790.09543517182408</v>
      </c>
      <c r="AI81" s="437">
        <f>Table11[[#This Row],['#TreesContract]]*Table11[[#This Row],[2024 Inventory Survival%-master]]</f>
        <v>0</v>
      </c>
      <c r="AJ81" s="436"/>
      <c r="AK81" s="5">
        <v>0.93502418363529483</v>
      </c>
      <c r="AL81" s="5">
        <v>0.93502418363529483</v>
      </c>
      <c r="AM81" s="35">
        <f>AK81*Table11[[#This Row],['#TreesContract]]</f>
        <v>1234.2319223985892</v>
      </c>
      <c r="AN81" s="35">
        <f>Table11[[#This Row],[2024 '#Trees Inventory + Estimate]]*Table11[[#This Row],[USA Allocation %]]</f>
        <v>790.09543517182408</v>
      </c>
      <c r="AO81" s="35">
        <f>Table11[[#This Row],[2024 '#Trees Inventory + Estimate]]*Table11[[#This Row],[Canada Allocation %]]</f>
        <v>444.13648722676504</v>
      </c>
      <c r="AP81" s="35">
        <f>Table11[[#This Row],[2024 '#Trees Inventory + Estimate]]*Table11[[#This Row],[Canada Allocation2017 %]]</f>
        <v>0</v>
      </c>
      <c r="AQ81" s="35">
        <f>Table11[[#This Row],['#Trees as of 2024/estimate-Can allocation]]+Table11[[#This Row],['#Trees as of 2024/estimate-Can allocation 2017]]</f>
        <v>444.13648722676504</v>
      </c>
      <c r="AR81" s="1" t="s">
        <v>152</v>
      </c>
      <c r="AS81" s="2" t="s">
        <v>455</v>
      </c>
      <c r="AT81" s="6">
        <f>IFERROR(Table11[[#This Row],['#Total Replacements]]/Table11[[#This Row],['#TreesContract]],"")</f>
        <v>0</v>
      </c>
      <c r="AU81" s="4">
        <f>IF(SUM(Table11[[#This Row],['#Replace 24]:['#Replace 16]])=0,0,SUM(Table11[[#This Row],['#Replace 24]:['#Replace 16]]))</f>
        <v>0</v>
      </c>
      <c r="AV81" s="2"/>
      <c r="AW81" s="2"/>
      <c r="AX81" s="3"/>
      <c r="AY81" s="2"/>
      <c r="AZ81" s="2"/>
      <c r="BA81" s="2"/>
      <c r="BB81" s="2"/>
      <c r="BC81" s="2"/>
      <c r="BD81" s="2"/>
      <c r="BE81" s="2"/>
      <c r="BF81" s="3">
        <v>1</v>
      </c>
      <c r="BG81" s="3">
        <v>1</v>
      </c>
      <c r="BH81" s="2"/>
      <c r="BI81" s="158"/>
      <c r="BJ81" s="158"/>
      <c r="BK81" s="139">
        <f>Table11[[#This Row],[Average MHT
(Feet)]]/16</f>
        <v>0</v>
      </c>
      <c r="BL81" s="2"/>
      <c r="BM81" s="139">
        <f>Table11[[#This Row],[Average DBH
(inches)]]/18</f>
        <v>0</v>
      </c>
      <c r="BN81" s="235">
        <f>((Table11[[#This Row],[Average DBH
(inches)]]-4)^2)*(Table11[[#This Row],[Average MHT
(Feet)]]/16)</f>
        <v>0</v>
      </c>
      <c r="BO81" s="235">
        <f>Table11[[#This Row],[Average BF]]*Table11[[#This Row],[2024 '#Trees Inventory + Estimate]]</f>
        <v>0</v>
      </c>
      <c r="BP81" s="240">
        <f>(Table11[[#This Row],[Harvest Year
(10 year)]]-Table11[[#This Row],[Year of Inventory]]+1)*(Table11[[#This Row],[Average DBH
(inches)]]/(Table11[[#This Row],[Harvest Year
(10 year)]]-Table11[[#This Row],[Year of Inventory]]+1))+Table11[[#This Row],[Average DBH
(inches)]]</f>
        <v>0</v>
      </c>
      <c r="BQ81" s="235">
        <f>((Table11[[#This Row],[Projected DBH
(Extrapolated Growth/Year)]]-4)^2)*(Table11[[#This Row],[Average MHT
(Feet)]]/16)</f>
        <v>0</v>
      </c>
      <c r="BR81" s="235">
        <f>Table11[[#This Row],[Projected Average BF]]*Table11[[#This Row],[2024 '#Trees Inventory + Estimate]]</f>
        <v>0</v>
      </c>
      <c r="BS81" s="235">
        <f>196*Table11[[#This Row],[2024 '#Trees Inventory + Estimate]]</f>
        <v>241909.45679012348</v>
      </c>
      <c r="BT81" s="243">
        <f>Table11[[#This Row],[ETP Offering Expected BF]]-Table11[[#This Row],[Projected Total BF]]</f>
        <v>241909.45679012348</v>
      </c>
      <c r="BU81" s="235">
        <f>(18-Table11[[#This Row],[Average DBH
(inches)]])/(D81-Table11[[#This Row],[Year of Inventory]]+1)</f>
        <v>8.8713652045342532E-3</v>
      </c>
    </row>
    <row r="82" spans="1:73" hidden="1" x14ac:dyDescent="0.25">
      <c r="A82" s="7" t="s">
        <v>456</v>
      </c>
      <c r="B82" s="2">
        <v>2018</v>
      </c>
      <c r="C82" s="2">
        <v>2019</v>
      </c>
      <c r="D82" s="2">
        <f>Table11[[#This Row],[Planting Year]]+9</f>
        <v>2028</v>
      </c>
      <c r="E82" s="97" t="s">
        <v>457</v>
      </c>
      <c r="F82" s="161">
        <v>10035</v>
      </c>
      <c r="G82" t="s">
        <v>457</v>
      </c>
      <c r="H82" s="357" t="s">
        <v>458</v>
      </c>
      <c r="I82" t="s">
        <v>155</v>
      </c>
      <c r="J82" s="1" t="s">
        <v>459</v>
      </c>
      <c r="K82" s="1" t="s">
        <v>460</v>
      </c>
      <c r="L82" s="1" t="s">
        <v>460</v>
      </c>
      <c r="M82" s="1" t="s">
        <v>150</v>
      </c>
      <c r="N82" t="s">
        <v>461</v>
      </c>
      <c r="O82">
        <v>32.64385</v>
      </c>
      <c r="P82">
        <v>-86.087210999999996</v>
      </c>
      <c r="Q82" s="2"/>
      <c r="R82" s="86"/>
      <c r="S82" s="2"/>
      <c r="T82" s="1">
        <v>1100</v>
      </c>
      <c r="U82" s="1">
        <v>1100</v>
      </c>
      <c r="V82" s="1" t="str">
        <f>IF(Table11[[#This Row],['#TreesContract]]-Table11[[#This Row],['#Planted]]=0,"",Table11[[#This Row],['#TreesContract]]-Table11[[#This Row],['#Planted]])</f>
        <v/>
      </c>
      <c r="W82" s="2"/>
      <c r="X82" s="34">
        <v>0.64</v>
      </c>
      <c r="Y82" s="163">
        <f>Table11[[#This Row],['#TreesContract]]*Table11[[#This Row],[USA Allocation %]]</f>
        <v>704</v>
      </c>
      <c r="Z82" s="163">
        <f>Table11[[#This Row],['#Planted]]*Table11[[#This Row],[USA Allocation %]]</f>
        <v>704</v>
      </c>
      <c r="AA82" s="34">
        <v>0.36</v>
      </c>
      <c r="AB82" s="163">
        <f>Table11[[#This Row],['#TreesContract]]*0.36</f>
        <v>396</v>
      </c>
      <c r="AC82" s="34"/>
      <c r="AD82" s="163"/>
      <c r="AE82" s="163">
        <f>Table11[[#This Row],[Canada Allocation-tree '#''s]]+Table11[[#This Row],[Can trees/Allocation 2017]]</f>
        <v>396</v>
      </c>
      <c r="AF82" s="5">
        <v>0.79071177226813594</v>
      </c>
      <c r="AG82" s="35">
        <v>869.78294949494955</v>
      </c>
      <c r="AH82" s="35">
        <f>Table11[[#This Row],['#Trees as of 12/31/23]]*Table11[[#This Row],[USA Allocation %]]</f>
        <v>556.66108767676769</v>
      </c>
      <c r="AI82" s="437">
        <f>Table11[[#This Row],['#TreesContract]]*Table11[[#This Row],[2024 Inventory Survival%-master]]</f>
        <v>0</v>
      </c>
      <c r="AJ82" s="436"/>
      <c r="AK82" s="5">
        <v>0.79071177226813594</v>
      </c>
      <c r="AL82" s="5">
        <v>0.79071177226813594</v>
      </c>
      <c r="AM82" s="35">
        <f>AK82*Table11[[#This Row],['#TreesContract]]</f>
        <v>869.78294949494955</v>
      </c>
      <c r="AN82" s="35">
        <f>Table11[[#This Row],[2024 '#Trees Inventory + Estimate]]*Table11[[#This Row],[USA Allocation %]]</f>
        <v>556.66108767676769</v>
      </c>
      <c r="AO82" s="35">
        <f>Table11[[#This Row],[2024 '#Trees Inventory + Estimate]]*Table11[[#This Row],[Canada Allocation %]]</f>
        <v>313.1218618181818</v>
      </c>
      <c r="AP82" s="35">
        <f>Table11[[#This Row],[2024 '#Trees Inventory + Estimate]]*Table11[[#This Row],[Canada Allocation2017 %]]</f>
        <v>0</v>
      </c>
      <c r="AQ82" s="35">
        <f>Table11[[#This Row],['#Trees as of 2024/estimate-Can allocation]]+Table11[[#This Row],['#Trees as of 2024/estimate-Can allocation 2017]]</f>
        <v>313.1218618181818</v>
      </c>
      <c r="AR82" s="1" t="s">
        <v>152</v>
      </c>
      <c r="AS82" s="2" t="s">
        <v>355</v>
      </c>
      <c r="AT82" s="6">
        <f>IFERROR(Table11[[#This Row],['#Total Replacements]]/Table11[[#This Row],['#TreesContract]],"")</f>
        <v>0.48818181818181816</v>
      </c>
      <c r="AU82" s="4">
        <f>IF(SUM(Table11[[#This Row],['#Replace 24]:['#Replace 16]])=0,0,SUM(Table11[[#This Row],['#Replace 24]:['#Replace 16]]))</f>
        <v>537</v>
      </c>
      <c r="AV82" s="2"/>
      <c r="AW82" s="2"/>
      <c r="AX82" s="3"/>
      <c r="AY82" s="2"/>
      <c r="AZ82" s="2">
        <v>356</v>
      </c>
      <c r="BA82" s="2">
        <v>181</v>
      </c>
      <c r="BB82" s="2"/>
      <c r="BC82" s="2"/>
      <c r="BD82" s="2"/>
      <c r="BE82" s="2"/>
      <c r="BF82" s="3">
        <v>1</v>
      </c>
      <c r="BG82" s="3">
        <v>1</v>
      </c>
      <c r="BH82" s="2"/>
      <c r="BI82" s="2"/>
      <c r="BJ82" s="2"/>
      <c r="BK82" s="139">
        <f>Table11[[#This Row],[Average MHT
(Feet)]]/16</f>
        <v>0</v>
      </c>
      <c r="BL82" s="2"/>
      <c r="BM82" s="139">
        <f>Table11[[#This Row],[Average DBH
(inches)]]/18</f>
        <v>0</v>
      </c>
      <c r="BN82" s="235">
        <f>((Table11[[#This Row],[Average DBH
(inches)]]-4)^2)*(Table11[[#This Row],[Average MHT
(Feet)]]/16)</f>
        <v>0</v>
      </c>
      <c r="BO82" s="235">
        <f>Table11[[#This Row],[Average BF]]*Table11[[#This Row],[2024 '#Trees Inventory + Estimate]]</f>
        <v>0</v>
      </c>
      <c r="BP82" s="240">
        <f>(Table11[[#This Row],[Harvest Year
(10 year)]]-Table11[[#This Row],[Year of Inventory]]+1)*(Table11[[#This Row],[Average DBH
(inches)]]/(Table11[[#This Row],[Harvest Year
(10 year)]]-Table11[[#This Row],[Year of Inventory]]+1))+Table11[[#This Row],[Average DBH
(inches)]]</f>
        <v>0</v>
      </c>
      <c r="BQ82" s="235">
        <f>((Table11[[#This Row],[Projected DBH
(Extrapolated Growth/Year)]]-4)^2)*(Table11[[#This Row],[Average MHT
(Feet)]]/16)</f>
        <v>0</v>
      </c>
      <c r="BR82" s="235">
        <f>Table11[[#This Row],[Projected Average BF]]*Table11[[#This Row],[2024 '#Trees Inventory + Estimate]]</f>
        <v>0</v>
      </c>
      <c r="BS82" s="235">
        <f>196*Table11[[#This Row],[2024 '#Trees Inventory + Estimate]]</f>
        <v>170477.45810101012</v>
      </c>
      <c r="BT82" s="243">
        <f>Table11[[#This Row],[ETP Offering Expected BF]]-Table11[[#This Row],[Projected Total BF]]</f>
        <v>170477.45810101012</v>
      </c>
      <c r="BU82" s="235">
        <f>(18-Table11[[#This Row],[Average DBH
(inches)]])/(D82-Table11[[#This Row],[Year of Inventory]]+1)</f>
        <v>8.8713652045342532E-3</v>
      </c>
    </row>
    <row r="83" spans="1:73" hidden="1" x14ac:dyDescent="0.25">
      <c r="A83" s="7" t="s">
        <v>462</v>
      </c>
      <c r="B83" s="2">
        <v>2018</v>
      </c>
      <c r="C83" s="2">
        <v>2019</v>
      </c>
      <c r="D83" s="2">
        <f>Table11[[#This Row],[Planting Year]]+9</f>
        <v>2028</v>
      </c>
      <c r="E83" s="97" t="s">
        <v>463</v>
      </c>
      <c r="F83" s="161">
        <v>10036</v>
      </c>
      <c r="G83" t="s">
        <v>463</v>
      </c>
      <c r="H83" s="357" t="s">
        <v>464</v>
      </c>
      <c r="I83" t="s">
        <v>155</v>
      </c>
      <c r="J83" s="1" t="s">
        <v>465</v>
      </c>
      <c r="K83" s="1" t="s">
        <v>466</v>
      </c>
      <c r="L83" s="1" t="s">
        <v>467</v>
      </c>
      <c r="M83" s="1" t="s">
        <v>150</v>
      </c>
      <c r="N83" t="s">
        <v>468</v>
      </c>
      <c r="O83">
        <v>32.493119</v>
      </c>
      <c r="P83">
        <v>-87.035615000000007</v>
      </c>
      <c r="Q83" s="2"/>
      <c r="R83" s="86"/>
      <c r="S83" s="2"/>
      <c r="T83" s="1">
        <v>3170</v>
      </c>
      <c r="U83" s="1">
        <v>3170</v>
      </c>
      <c r="V83" s="1" t="str">
        <f>IF(Table11[[#This Row],['#TreesContract]]-Table11[[#This Row],['#Planted]]=0,"",Table11[[#This Row],['#TreesContract]]-Table11[[#This Row],['#Planted]])</f>
        <v/>
      </c>
      <c r="W83" s="2"/>
      <c r="X83" s="34">
        <v>0.64006309148264984</v>
      </c>
      <c r="Y83" s="163">
        <f>Table11[[#This Row],['#TreesContract]]*Table11[[#This Row],[USA Allocation %]]</f>
        <v>2029</v>
      </c>
      <c r="Z83" s="163">
        <f>Table11[[#This Row],['#Planted]]*Table11[[#This Row],[USA Allocation %]]</f>
        <v>2029</v>
      </c>
      <c r="AA83" s="34">
        <v>0.35993690851735016</v>
      </c>
      <c r="AB83" s="163">
        <f>Table11[[#This Row],['#TreesContract]]*0.36</f>
        <v>1141.2</v>
      </c>
      <c r="AC83" s="34"/>
      <c r="AD83" s="163"/>
      <c r="AE83" s="163">
        <f>Table11[[#This Row],[Canada Allocation-tree '#''s]]+Table11[[#This Row],[Can trees/Allocation 2017]]</f>
        <v>1141.2</v>
      </c>
      <c r="AF83" s="5">
        <v>0.97915080314732228</v>
      </c>
      <c r="AG83" s="35">
        <v>3103.9080459770116</v>
      </c>
      <c r="AH83" s="35">
        <f>Table11[[#This Row],['#Trees as of 12/31/23]]*Table11[[#This Row],[USA Allocation %]]</f>
        <v>1986.6969795859168</v>
      </c>
      <c r="AI83" s="437">
        <f>Table11[[#This Row],['#TreesContract]]*Table11[[#This Row],[2024 Inventory Survival%-master]]</f>
        <v>0</v>
      </c>
      <c r="AJ83" s="436"/>
      <c r="AK83" s="5">
        <v>0.97915080314732228</v>
      </c>
      <c r="AL83" s="5">
        <v>0.97915080314732228</v>
      </c>
      <c r="AM83" s="35">
        <f>AK83*Table11[[#This Row],['#TreesContract]]</f>
        <v>3103.9080459770116</v>
      </c>
      <c r="AN83" s="35">
        <f>Table11[[#This Row],[2024 '#Trees Inventory + Estimate]]*Table11[[#This Row],[USA Allocation %]]</f>
        <v>1986.6969795859168</v>
      </c>
      <c r="AO83" s="35">
        <f>Table11[[#This Row],[2024 '#Trees Inventory + Estimate]]*Table11[[#This Row],[Canada Allocation %]]</f>
        <v>1117.2110663910948</v>
      </c>
      <c r="AP83" s="35">
        <f>Table11[[#This Row],[2024 '#Trees Inventory + Estimate]]*Table11[[#This Row],[Canada Allocation2017 %]]</f>
        <v>0</v>
      </c>
      <c r="AQ83" s="35">
        <f>Table11[[#This Row],['#Trees as of 2024/estimate-Can allocation]]+Table11[[#This Row],['#Trees as of 2024/estimate-Can allocation 2017]]</f>
        <v>1117.2110663910948</v>
      </c>
      <c r="AR83" s="1" t="s">
        <v>152</v>
      </c>
      <c r="AS83" s="2" t="s">
        <v>469</v>
      </c>
      <c r="AT83" s="6">
        <f>IFERROR(Table11[[#This Row],['#Total Replacements]]/Table11[[#This Row],['#TreesContract]],"")</f>
        <v>7.8864353312302835E-2</v>
      </c>
      <c r="AU83" s="4">
        <f>IF(SUM(Table11[[#This Row],['#Replace 24]:['#Replace 16]])=0,0,SUM(Table11[[#This Row],['#Replace 24]:['#Replace 16]]))</f>
        <v>250</v>
      </c>
      <c r="AV83" s="2"/>
      <c r="AW83" s="2"/>
      <c r="AX83" s="3"/>
      <c r="AY83" s="2"/>
      <c r="AZ83" s="2"/>
      <c r="BA83" s="2">
        <v>250</v>
      </c>
      <c r="BB83" s="2"/>
      <c r="BC83" s="2"/>
      <c r="BD83" s="2"/>
      <c r="BE83" s="2"/>
      <c r="BF83" s="3">
        <v>1</v>
      </c>
      <c r="BG83" s="3">
        <v>1</v>
      </c>
      <c r="BH83" s="2"/>
      <c r="BI83" s="2"/>
      <c r="BJ83" s="2"/>
      <c r="BK83" s="139">
        <f>Table11[[#This Row],[Average MHT
(Feet)]]/16</f>
        <v>0</v>
      </c>
      <c r="BL83" s="2"/>
      <c r="BM83" s="139">
        <f>Table11[[#This Row],[Average DBH
(inches)]]/18</f>
        <v>0</v>
      </c>
      <c r="BN83" s="235">
        <f>((Table11[[#This Row],[Average DBH
(inches)]]-4)^2)*(Table11[[#This Row],[Average MHT
(Feet)]]/16)</f>
        <v>0</v>
      </c>
      <c r="BO83" s="235">
        <f>Table11[[#This Row],[Average BF]]*Table11[[#This Row],[2024 '#Trees Inventory + Estimate]]</f>
        <v>0</v>
      </c>
      <c r="BP83" s="240">
        <f>(Table11[[#This Row],[Harvest Year
(10 year)]]-Table11[[#This Row],[Year of Inventory]]+1)*(Table11[[#This Row],[Average DBH
(inches)]]/(Table11[[#This Row],[Harvest Year
(10 year)]]-Table11[[#This Row],[Year of Inventory]]+1))+Table11[[#This Row],[Average DBH
(inches)]]</f>
        <v>0</v>
      </c>
      <c r="BQ83" s="235">
        <f>((Table11[[#This Row],[Projected DBH
(Extrapolated Growth/Year)]]-4)^2)*(Table11[[#This Row],[Average MHT
(Feet)]]/16)</f>
        <v>0</v>
      </c>
      <c r="BR83" s="235">
        <f>Table11[[#This Row],[Projected Average BF]]*Table11[[#This Row],[2024 '#Trees Inventory + Estimate]]</f>
        <v>0</v>
      </c>
      <c r="BS83" s="235">
        <f>196*Table11[[#This Row],[2024 '#Trees Inventory + Estimate]]</f>
        <v>608365.97701149422</v>
      </c>
      <c r="BT83" s="243">
        <f>Table11[[#This Row],[ETP Offering Expected BF]]-Table11[[#This Row],[Projected Total BF]]</f>
        <v>608365.97701149422</v>
      </c>
      <c r="BU83" s="235">
        <f>(18-Table11[[#This Row],[Average DBH
(inches)]])/(D83-Table11[[#This Row],[Year of Inventory]]+1)</f>
        <v>8.8713652045342532E-3</v>
      </c>
    </row>
    <row r="84" spans="1:73" hidden="1" x14ac:dyDescent="0.25">
      <c r="A84" s="7" t="s">
        <v>470</v>
      </c>
      <c r="B84" s="2">
        <v>2018</v>
      </c>
      <c r="C84" s="2">
        <v>2019</v>
      </c>
      <c r="D84" s="2">
        <v>0</v>
      </c>
      <c r="E84" s="97" t="s">
        <v>471</v>
      </c>
      <c r="F84" s="161">
        <v>10037</v>
      </c>
      <c r="G84" t="s">
        <v>471</v>
      </c>
      <c r="H84" s="357"/>
      <c r="I84" t="s">
        <v>160</v>
      </c>
      <c r="J84" s="1"/>
      <c r="K84" s="1"/>
      <c r="L84" s="1"/>
      <c r="M84" s="1" t="s">
        <v>150</v>
      </c>
      <c r="Q84" s="2"/>
      <c r="R84" s="86"/>
      <c r="S84" s="2"/>
      <c r="T84" s="1">
        <v>1100</v>
      </c>
      <c r="U84" s="1">
        <v>1100</v>
      </c>
      <c r="V84" s="1" t="str">
        <f>IF(Table11[[#This Row],['#TreesContract]]-Table11[[#This Row],['#Planted]]=0,"",Table11[[#This Row],['#TreesContract]]-Table11[[#This Row],['#Planted]])</f>
        <v/>
      </c>
      <c r="W84" s="2"/>
      <c r="X84" s="34">
        <v>0.64</v>
      </c>
      <c r="Y84" s="163">
        <f>Table11[[#This Row],['#TreesContract]]*Table11[[#This Row],[USA Allocation %]]</f>
        <v>704</v>
      </c>
      <c r="Z84" s="163">
        <f>Table11[[#This Row],['#Planted]]*Table11[[#This Row],[USA Allocation %]]</f>
        <v>704</v>
      </c>
      <c r="AA84" s="34">
        <v>0.36</v>
      </c>
      <c r="AB84" s="163">
        <f>Table11[[#This Row],['#TreesContract]]*0.36</f>
        <v>396</v>
      </c>
      <c r="AC84" s="34"/>
      <c r="AD84" s="163"/>
      <c r="AE84" s="163">
        <f>Table11[[#This Row],[Canada Allocation-tree '#''s]]+Table11[[#This Row],[Can trees/Allocation 2017]]</f>
        <v>396</v>
      </c>
      <c r="AF84" s="5">
        <v>0</v>
      </c>
      <c r="AG84" s="35">
        <v>0</v>
      </c>
      <c r="AH84" s="35">
        <f>Table11[[#This Row],['#Trees as of 12/31/23]]*Table11[[#This Row],[USA Allocation %]]</f>
        <v>0</v>
      </c>
      <c r="AI84" s="404">
        <f>Table11[[#This Row],['#TreesContract]]*Table11[[#This Row],[2024 Inventory Survival%-master]]</f>
        <v>0</v>
      </c>
      <c r="AJ84" s="5">
        <v>0</v>
      </c>
      <c r="AK84" s="5">
        <v>0</v>
      </c>
      <c r="AL84" s="5">
        <v>0</v>
      </c>
      <c r="AM84" s="35">
        <f>AK84*Table11[[#This Row],['#TreesContract]]</f>
        <v>0</v>
      </c>
      <c r="AN84" s="35">
        <f>Table11[[#This Row],[2024 '#Trees Inventory + Estimate]]*Table11[[#This Row],[USA Allocation %]]</f>
        <v>0</v>
      </c>
      <c r="AO84" s="35">
        <f>Table11[[#This Row],[2024 '#Trees Inventory + Estimate]]*Table11[[#This Row],[Canada Allocation %]]</f>
        <v>0</v>
      </c>
      <c r="AP84" s="35">
        <f>Table11[[#This Row],[2024 '#Trees Inventory + Estimate]]*Table11[[#This Row],[Canada Allocation2017 %]]</f>
        <v>0</v>
      </c>
      <c r="AQ84" s="35">
        <f>Table11[[#This Row],['#Trees as of 2024/estimate-Can allocation]]+Table11[[#This Row],['#Trees as of 2024/estimate-Can allocation 2017]]</f>
        <v>0</v>
      </c>
      <c r="AR84" s="1" t="s">
        <v>152</v>
      </c>
      <c r="AS84" s="2"/>
      <c r="AT84" s="6">
        <f>IFERROR(Table11[[#This Row],['#Total Replacements]]/Table11[[#This Row],['#TreesContract]],"")</f>
        <v>1</v>
      </c>
      <c r="AU84" s="4">
        <f>IF(SUM(Table11[[#This Row],['#Replace 24]:['#Replace 16]])=0,0,SUM(Table11[[#This Row],['#Replace 24]:['#Replace 16]]))</f>
        <v>1100</v>
      </c>
      <c r="AV84" s="2"/>
      <c r="AW84" s="2"/>
      <c r="AX84" s="3"/>
      <c r="AY84" s="2"/>
      <c r="AZ84" s="2"/>
      <c r="BA84" s="2">
        <v>1100</v>
      </c>
      <c r="BB84" s="2"/>
      <c r="BC84" s="2"/>
      <c r="BD84" s="2"/>
      <c r="BE84" s="2"/>
      <c r="BF84" s="3">
        <v>1</v>
      </c>
      <c r="BG84" s="3"/>
      <c r="BH84" s="2"/>
      <c r="BI84" s="2"/>
      <c r="BJ84" s="2"/>
      <c r="BK84" s="139">
        <f>Table11[[#This Row],[Average MHT
(Feet)]]/16</f>
        <v>0</v>
      </c>
      <c r="BL84" s="2"/>
      <c r="BM84" s="139">
        <f>Table11[[#This Row],[Average DBH
(inches)]]/18</f>
        <v>0</v>
      </c>
      <c r="BN84" s="235">
        <f>((Table11[[#This Row],[Average DBH
(inches)]]-4)^2)*(Table11[[#This Row],[Average MHT
(Feet)]]/16)</f>
        <v>0</v>
      </c>
      <c r="BO84" s="235">
        <f>Table11[[#This Row],[Average BF]]*Table11[[#This Row],[2024 '#Trees Inventory + Estimate]]</f>
        <v>0</v>
      </c>
      <c r="BP84" s="240">
        <f>(Table11[[#This Row],[Harvest Year
(10 year)]]-Table11[[#This Row],[Year of Inventory]]+1)*(Table11[[#This Row],[Average DBH
(inches)]]/(Table11[[#This Row],[Harvest Year
(10 year)]]-Table11[[#This Row],[Year of Inventory]]+1))+Table11[[#This Row],[Average DBH
(inches)]]</f>
        <v>0</v>
      </c>
      <c r="BQ84" s="235">
        <f>((Table11[[#This Row],[Projected DBH
(Extrapolated Growth/Year)]]-4)^2)*(Table11[[#This Row],[Average MHT
(Feet)]]/16)</f>
        <v>0</v>
      </c>
      <c r="BR84" s="235">
        <f>Table11[[#This Row],[Projected Average BF]]*Table11[[#This Row],[2024 '#Trees Inventory + Estimate]]</f>
        <v>0</v>
      </c>
      <c r="BS84" s="235">
        <f>196*Table11[[#This Row],[2024 '#Trees Inventory + Estimate]]</f>
        <v>0</v>
      </c>
      <c r="BT84" s="235">
        <f>Table11[[#This Row],[ETP Offering Expected BF]]-Table11[[#This Row],[Projected Total BF]]</f>
        <v>0</v>
      </c>
      <c r="BU84" s="235">
        <f>(18-Table11[[#This Row],[Average DBH
(inches)]])/(D84-Table11[[#This Row],[Year of Inventory]]+1)</f>
        <v>18</v>
      </c>
    </row>
    <row r="85" spans="1:73" hidden="1" x14ac:dyDescent="0.25">
      <c r="A85" s="7" t="s">
        <v>472</v>
      </c>
      <c r="B85" s="2">
        <v>2018</v>
      </c>
      <c r="C85" s="2">
        <v>2019</v>
      </c>
      <c r="D85" s="2">
        <f>Table11[[#This Row],[Planting Year]]+9</f>
        <v>2028</v>
      </c>
      <c r="E85" s="97" t="s">
        <v>473</v>
      </c>
      <c r="F85" s="161">
        <v>10038</v>
      </c>
      <c r="G85" t="s">
        <v>473</v>
      </c>
      <c r="H85" s="357" t="s">
        <v>474</v>
      </c>
      <c r="I85" t="s">
        <v>155</v>
      </c>
      <c r="J85" s="1" t="s">
        <v>475</v>
      </c>
      <c r="K85" s="1" t="s">
        <v>476</v>
      </c>
      <c r="L85" s="1" t="s">
        <v>476</v>
      </c>
      <c r="M85" s="1" t="s">
        <v>150</v>
      </c>
      <c r="N85" t="s">
        <v>477</v>
      </c>
      <c r="O85">
        <v>35.414436000000002</v>
      </c>
      <c r="P85">
        <v>-84.455698999999996</v>
      </c>
      <c r="Q85" s="2"/>
      <c r="R85" s="86"/>
      <c r="S85" s="2"/>
      <c r="T85" s="1">
        <v>1100</v>
      </c>
      <c r="U85" s="1">
        <v>1100</v>
      </c>
      <c r="V85" s="1" t="str">
        <f>IF(Table11[[#This Row],['#TreesContract]]-Table11[[#This Row],['#Planted]]=0,"",Table11[[#This Row],['#TreesContract]]-Table11[[#This Row],['#Planted]])</f>
        <v/>
      </c>
      <c r="W85" s="2"/>
      <c r="X85" s="34">
        <v>0.64</v>
      </c>
      <c r="Y85" s="163">
        <f>Table11[[#This Row],['#TreesContract]]*Table11[[#This Row],[USA Allocation %]]</f>
        <v>704</v>
      </c>
      <c r="Z85" s="163">
        <f>Table11[[#This Row],['#Planted]]*Table11[[#This Row],[USA Allocation %]]</f>
        <v>704</v>
      </c>
      <c r="AA85" s="34">
        <v>0.36</v>
      </c>
      <c r="AB85" s="163">
        <f>Table11[[#This Row],['#TreesContract]]*0.36</f>
        <v>396</v>
      </c>
      <c r="AC85" s="34"/>
      <c r="AD85" s="163"/>
      <c r="AE85" s="163">
        <f>Table11[[#This Row],[Canada Allocation-tree '#''s]]+Table11[[#This Row],[Can trees/Allocation 2017]]</f>
        <v>396</v>
      </c>
      <c r="AF85" s="5">
        <v>0.84739022435897426</v>
      </c>
      <c r="AG85" s="35">
        <v>932.12924679487173</v>
      </c>
      <c r="AH85" s="35">
        <f>Table11[[#This Row],['#Trees as of 12/31/23]]*Table11[[#This Row],[USA Allocation %]]</f>
        <v>596.56271794871793</v>
      </c>
      <c r="AI85" s="437">
        <f>Table11[[#This Row],['#TreesContract]]*Table11[[#This Row],[2024 Inventory Survival%-master]]</f>
        <v>0</v>
      </c>
      <c r="AJ85" s="436"/>
      <c r="AK85" s="5">
        <v>0.84739022435897426</v>
      </c>
      <c r="AL85" s="5">
        <v>0.84739022435897426</v>
      </c>
      <c r="AM85" s="35">
        <f>AK85*Table11[[#This Row],['#TreesContract]]</f>
        <v>932.12924679487173</v>
      </c>
      <c r="AN85" s="35">
        <f>Table11[[#This Row],[2024 '#Trees Inventory + Estimate]]*Table11[[#This Row],[USA Allocation %]]</f>
        <v>596.56271794871793</v>
      </c>
      <c r="AO85" s="35">
        <f>Table11[[#This Row],[2024 '#Trees Inventory + Estimate]]*Table11[[#This Row],[Canada Allocation %]]</f>
        <v>335.5665288461538</v>
      </c>
      <c r="AP85" s="35">
        <f>Table11[[#This Row],[2024 '#Trees Inventory + Estimate]]*Table11[[#This Row],[Canada Allocation2017 %]]</f>
        <v>0</v>
      </c>
      <c r="AQ85" s="35">
        <f>Table11[[#This Row],['#Trees as of 2024/estimate-Can allocation]]+Table11[[#This Row],['#Trees as of 2024/estimate-Can allocation 2017]]</f>
        <v>335.5665288461538</v>
      </c>
      <c r="AR85" s="1" t="s">
        <v>152</v>
      </c>
      <c r="AS85" s="2" t="s">
        <v>478</v>
      </c>
      <c r="AT85" s="6">
        <f>IFERROR(Table11[[#This Row],['#Total Replacements]]/Table11[[#This Row],['#TreesContract]],"")</f>
        <v>0.80636363636363639</v>
      </c>
      <c r="AU85" s="4">
        <f>IF(SUM(Table11[[#This Row],['#Replace 24]:['#Replace 16]])=0,0,SUM(Table11[[#This Row],['#Replace 24]:['#Replace 16]]))</f>
        <v>887</v>
      </c>
      <c r="AV85" s="2"/>
      <c r="AW85" s="2"/>
      <c r="AX85" s="3"/>
      <c r="AY85" s="2"/>
      <c r="AZ85" s="2">
        <v>337</v>
      </c>
      <c r="BA85" s="2">
        <v>550</v>
      </c>
      <c r="BB85" s="2"/>
      <c r="BC85" s="2"/>
      <c r="BD85" s="2"/>
      <c r="BE85" s="2"/>
      <c r="BF85" s="3">
        <v>1</v>
      </c>
      <c r="BG85" s="3">
        <v>1</v>
      </c>
      <c r="BH85" s="2"/>
      <c r="BI85" s="158"/>
      <c r="BJ85" s="158"/>
      <c r="BK85" s="139">
        <f>Table11[[#This Row],[Average MHT
(Feet)]]/16</f>
        <v>0</v>
      </c>
      <c r="BL85" s="2"/>
      <c r="BM85" s="139">
        <f>Table11[[#This Row],[Average DBH
(inches)]]/18</f>
        <v>0</v>
      </c>
      <c r="BN85" s="235">
        <f>((Table11[[#This Row],[Average DBH
(inches)]]-4)^2)*(Table11[[#This Row],[Average MHT
(Feet)]]/16)</f>
        <v>0</v>
      </c>
      <c r="BO85" s="235">
        <f>Table11[[#This Row],[Average BF]]*Table11[[#This Row],[2024 '#Trees Inventory + Estimate]]</f>
        <v>0</v>
      </c>
      <c r="BP85" s="240">
        <f>(Table11[[#This Row],[Harvest Year
(10 year)]]-Table11[[#This Row],[Year of Inventory]]+1)*(Table11[[#This Row],[Average DBH
(inches)]]/(Table11[[#This Row],[Harvest Year
(10 year)]]-Table11[[#This Row],[Year of Inventory]]+1))+Table11[[#This Row],[Average DBH
(inches)]]</f>
        <v>0</v>
      </c>
      <c r="BQ85" s="235">
        <f>((Table11[[#This Row],[Projected DBH
(Extrapolated Growth/Year)]]-4)^2)*(Table11[[#This Row],[Average MHT
(Feet)]]/16)</f>
        <v>0</v>
      </c>
      <c r="BR85" s="235">
        <f>Table11[[#This Row],[Projected Average BF]]*Table11[[#This Row],[2024 '#Trees Inventory + Estimate]]</f>
        <v>0</v>
      </c>
      <c r="BS85" s="235">
        <f>196*Table11[[#This Row],[2024 '#Trees Inventory + Estimate]]</f>
        <v>182697.33237179485</v>
      </c>
      <c r="BT85" s="243">
        <f>Table11[[#This Row],[ETP Offering Expected BF]]-Table11[[#This Row],[Projected Total BF]]</f>
        <v>182697.33237179485</v>
      </c>
      <c r="BU85" s="235">
        <f>(18-Table11[[#This Row],[Average DBH
(inches)]])/(D85-Table11[[#This Row],[Year of Inventory]]+1)</f>
        <v>8.8713652045342532E-3</v>
      </c>
    </row>
    <row r="86" spans="1:73" hidden="1" x14ac:dyDescent="0.25">
      <c r="A86" s="7" t="s">
        <v>479</v>
      </c>
      <c r="B86" s="2">
        <v>2018</v>
      </c>
      <c r="C86" s="2">
        <v>2019</v>
      </c>
      <c r="D86" s="2">
        <v>0</v>
      </c>
      <c r="E86" s="97" t="s">
        <v>480</v>
      </c>
      <c r="F86" s="161">
        <v>10039</v>
      </c>
      <c r="G86" t="s">
        <v>481</v>
      </c>
      <c r="H86" s="357" t="s">
        <v>482</v>
      </c>
      <c r="I86" t="s">
        <v>160</v>
      </c>
      <c r="J86" s="1" t="s">
        <v>483</v>
      </c>
      <c r="K86" s="1" t="s">
        <v>484</v>
      </c>
      <c r="L86" s="1" t="s">
        <v>484</v>
      </c>
      <c r="M86" s="1" t="s">
        <v>150</v>
      </c>
      <c r="N86" t="s">
        <v>485</v>
      </c>
      <c r="O86">
        <v>34.606751000000003</v>
      </c>
      <c r="P86">
        <v>-94.057800999999998</v>
      </c>
      <c r="Q86" s="2"/>
      <c r="R86" s="86"/>
      <c r="S86" s="2"/>
      <c r="T86" s="1">
        <v>1100</v>
      </c>
      <c r="U86" s="1">
        <v>1100</v>
      </c>
      <c r="V86" s="1" t="str">
        <f>IF(Table11[[#This Row],['#TreesContract]]-Table11[[#This Row],['#Planted]]=0,"",Table11[[#This Row],['#TreesContract]]-Table11[[#This Row],['#Planted]])</f>
        <v/>
      </c>
      <c r="W86" s="2"/>
      <c r="X86" s="34">
        <v>0.64</v>
      </c>
      <c r="Y86" s="163">
        <f>Table11[[#This Row],['#TreesContract]]*Table11[[#This Row],[USA Allocation %]]</f>
        <v>704</v>
      </c>
      <c r="Z86" s="163">
        <f>Table11[[#This Row],['#Planted]]*Table11[[#This Row],[USA Allocation %]]</f>
        <v>704</v>
      </c>
      <c r="AA86" s="34">
        <v>0.36</v>
      </c>
      <c r="AB86" s="163">
        <f>Table11[[#This Row],['#TreesContract]]*0.36</f>
        <v>396</v>
      </c>
      <c r="AC86" s="34"/>
      <c r="AD86" s="163"/>
      <c r="AE86" s="163">
        <f>Table11[[#This Row],[Canada Allocation-tree '#''s]]+Table11[[#This Row],[Can trees/Allocation 2017]]</f>
        <v>396</v>
      </c>
      <c r="AF86" s="5">
        <v>0.43659090909090909</v>
      </c>
      <c r="AG86" s="35">
        <v>480.24999989999998</v>
      </c>
      <c r="AH86" s="35">
        <f>Table11[[#This Row],['#Trees as of 12/31/23]]*Table11[[#This Row],[USA Allocation %]]</f>
        <v>307.35999993600001</v>
      </c>
      <c r="AI86" s="404">
        <f>Table11[[#This Row],['#TreesContract]]*Table11[[#This Row],[2024 Inventory Survival%-master]]</f>
        <v>0</v>
      </c>
      <c r="AJ86" s="5">
        <v>0</v>
      </c>
      <c r="AK86" s="5">
        <v>0</v>
      </c>
      <c r="AL86" s="5">
        <v>0</v>
      </c>
      <c r="AM86" s="35">
        <f>AK86*Table11[[#This Row],['#TreesContract]]</f>
        <v>0</v>
      </c>
      <c r="AN86" s="35">
        <f>Table11[[#This Row],[2024 '#Trees Inventory + Estimate]]*Table11[[#This Row],[USA Allocation %]]</f>
        <v>0</v>
      </c>
      <c r="AO86" s="35">
        <f>Table11[[#This Row],[2024 '#Trees Inventory + Estimate]]*Table11[[#This Row],[Canada Allocation %]]</f>
        <v>0</v>
      </c>
      <c r="AP86" s="35">
        <f>Table11[[#This Row],[2024 '#Trees Inventory + Estimate]]*Table11[[#This Row],[Canada Allocation2017 %]]</f>
        <v>0</v>
      </c>
      <c r="AQ86" s="35">
        <f>Table11[[#This Row],['#Trees as of 2024/estimate-Can allocation]]+Table11[[#This Row],['#Trees as of 2024/estimate-Can allocation 2017]]</f>
        <v>0</v>
      </c>
      <c r="AR86" s="1" t="s">
        <v>152</v>
      </c>
      <c r="AS86" s="2" t="s">
        <v>486</v>
      </c>
      <c r="AT86" s="6">
        <f>IFERROR(Table11[[#This Row],['#Total Replacements]]/Table11[[#This Row],['#TreesContract]],"")</f>
        <v>1.1127272727272728</v>
      </c>
      <c r="AU86" s="4">
        <f>IF(SUM(Table11[[#This Row],['#Replace 24]:['#Replace 16]])=0,0,SUM(Table11[[#This Row],['#Replace 24]:['#Replace 16]]))</f>
        <v>1224</v>
      </c>
      <c r="AV86" s="2"/>
      <c r="AW86" s="2"/>
      <c r="AX86" s="3"/>
      <c r="AY86" s="2"/>
      <c r="AZ86" s="2">
        <v>604</v>
      </c>
      <c r="BA86" s="2">
        <v>425</v>
      </c>
      <c r="BB86" s="2">
        <v>195</v>
      </c>
      <c r="BC86" s="2"/>
      <c r="BD86" s="2"/>
      <c r="BE86" s="2"/>
      <c r="BF86" s="3">
        <v>1</v>
      </c>
      <c r="BG86" s="3">
        <v>1</v>
      </c>
      <c r="BH86" s="2"/>
      <c r="BI86" s="158"/>
      <c r="BJ86" s="158"/>
      <c r="BK86" s="139">
        <f>Table11[[#This Row],[Average MHT
(Feet)]]/16</f>
        <v>0</v>
      </c>
      <c r="BL86" s="2"/>
      <c r="BM86" s="139">
        <f>Table11[[#This Row],[Average DBH
(inches)]]/18</f>
        <v>0</v>
      </c>
      <c r="BN86" s="235">
        <f>((Table11[[#This Row],[Average DBH
(inches)]]-4)^2)*(Table11[[#This Row],[Average MHT
(Feet)]]/16)</f>
        <v>0</v>
      </c>
      <c r="BO86" s="235">
        <f>Table11[[#This Row],[Average BF]]*Table11[[#This Row],[2024 '#Trees Inventory + Estimate]]</f>
        <v>0</v>
      </c>
      <c r="BP86" s="240">
        <f>(Table11[[#This Row],[Harvest Year
(10 year)]]-Table11[[#This Row],[Year of Inventory]]+1)*(Table11[[#This Row],[Average DBH
(inches)]]/(Table11[[#This Row],[Harvest Year
(10 year)]]-Table11[[#This Row],[Year of Inventory]]+1))+Table11[[#This Row],[Average DBH
(inches)]]</f>
        <v>0</v>
      </c>
      <c r="BQ86" s="235">
        <f>((Table11[[#This Row],[Projected DBH
(Extrapolated Growth/Year)]]-4)^2)*(Table11[[#This Row],[Average MHT
(Feet)]]/16)</f>
        <v>0</v>
      </c>
      <c r="BR86" s="235">
        <f>Table11[[#This Row],[Projected Average BF]]*Table11[[#This Row],[2024 '#Trees Inventory + Estimate]]</f>
        <v>0</v>
      </c>
      <c r="BS86" s="235">
        <f>196*Table11[[#This Row],[2024 '#Trees Inventory + Estimate]]</f>
        <v>0</v>
      </c>
      <c r="BT86" s="235">
        <f>Table11[[#This Row],[ETP Offering Expected BF]]-Table11[[#This Row],[Projected Total BF]]</f>
        <v>0</v>
      </c>
      <c r="BU86" s="235">
        <f>(18-Table11[[#This Row],[Average DBH
(inches)]])/(D86-Table11[[#This Row],[Year of Inventory]]+1)</f>
        <v>18</v>
      </c>
    </row>
    <row r="87" spans="1:73" hidden="1" x14ac:dyDescent="0.25">
      <c r="A87" s="7" t="s">
        <v>487</v>
      </c>
      <c r="B87" s="2">
        <v>2018</v>
      </c>
      <c r="C87" s="2">
        <v>2019</v>
      </c>
      <c r="D87" s="2">
        <f>Table11[[#This Row],[Planting Year]]+9</f>
        <v>2028</v>
      </c>
      <c r="E87" s="97" t="s">
        <v>488</v>
      </c>
      <c r="F87" s="161">
        <v>10040</v>
      </c>
      <c r="G87" t="s">
        <v>488</v>
      </c>
      <c r="H87" s="357" t="s">
        <v>489</v>
      </c>
      <c r="I87" t="s">
        <v>155</v>
      </c>
      <c r="J87" s="1" t="s">
        <v>490</v>
      </c>
      <c r="K87" s="1" t="s">
        <v>491</v>
      </c>
      <c r="L87" s="1" t="s">
        <v>492</v>
      </c>
      <c r="M87" s="1" t="s">
        <v>150</v>
      </c>
      <c r="N87" t="s">
        <v>493</v>
      </c>
      <c r="O87">
        <v>32.718296000000002</v>
      </c>
      <c r="P87">
        <v>-86.462519</v>
      </c>
      <c r="Q87" s="2"/>
      <c r="R87" s="86"/>
      <c r="S87" s="2"/>
      <c r="T87" s="1">
        <v>1100</v>
      </c>
      <c r="U87" s="1">
        <v>1100</v>
      </c>
      <c r="V87" s="1" t="str">
        <f>IF(Table11[[#This Row],['#TreesContract]]-Table11[[#This Row],['#Planted]]=0,"",Table11[[#This Row],['#TreesContract]]-Table11[[#This Row],['#Planted]])</f>
        <v/>
      </c>
      <c r="W87" s="2"/>
      <c r="X87" s="34">
        <v>0.64</v>
      </c>
      <c r="Y87" s="163">
        <f>Table11[[#This Row],['#TreesContract]]*Table11[[#This Row],[USA Allocation %]]</f>
        <v>704</v>
      </c>
      <c r="Z87" s="163">
        <f>Table11[[#This Row],['#Planted]]*Table11[[#This Row],[USA Allocation %]]</f>
        <v>704</v>
      </c>
      <c r="AA87" s="34">
        <v>0.36</v>
      </c>
      <c r="AB87" s="163">
        <f>Table11[[#This Row],['#TreesContract]]*0.36</f>
        <v>396</v>
      </c>
      <c r="AC87" s="34"/>
      <c r="AD87" s="163"/>
      <c r="AE87" s="163">
        <f>Table11[[#This Row],[Canada Allocation-tree '#''s]]+Table11[[#This Row],[Can trees/Allocation 2017]]</f>
        <v>396</v>
      </c>
      <c r="AF87" s="5">
        <v>0.97496103896103914</v>
      </c>
      <c r="AG87" s="35">
        <v>1072.457142857143</v>
      </c>
      <c r="AH87" s="35">
        <f>Table11[[#This Row],['#Trees as of 12/31/23]]*Table11[[#This Row],[USA Allocation %]]</f>
        <v>686.37257142857152</v>
      </c>
      <c r="AI87" s="437">
        <f>Table11[[#This Row],['#TreesContract]]*Table11[[#This Row],[2024 Inventory Survival%-master]]</f>
        <v>0</v>
      </c>
      <c r="AJ87" s="436"/>
      <c r="AK87" s="5">
        <v>0.97496103896103914</v>
      </c>
      <c r="AL87" s="5">
        <v>0.97496103896103914</v>
      </c>
      <c r="AM87" s="35">
        <f>AK87*Table11[[#This Row],['#TreesContract]]</f>
        <v>1072.457142857143</v>
      </c>
      <c r="AN87" s="35">
        <f>Table11[[#This Row],[2024 '#Trees Inventory + Estimate]]*Table11[[#This Row],[USA Allocation %]]</f>
        <v>686.37257142857152</v>
      </c>
      <c r="AO87" s="35">
        <f>Table11[[#This Row],[2024 '#Trees Inventory + Estimate]]*Table11[[#This Row],[Canada Allocation %]]</f>
        <v>386.08457142857145</v>
      </c>
      <c r="AP87" s="35">
        <f>Table11[[#This Row],[2024 '#Trees Inventory + Estimate]]*Table11[[#This Row],[Canada Allocation2017 %]]</f>
        <v>0</v>
      </c>
      <c r="AQ87" s="35">
        <f>Table11[[#This Row],['#Trees as of 2024/estimate-Can allocation]]+Table11[[#This Row],['#Trees as of 2024/estimate-Can allocation 2017]]</f>
        <v>386.08457142857145</v>
      </c>
      <c r="AR87" s="1" t="s">
        <v>152</v>
      </c>
      <c r="AS87" s="2" t="s">
        <v>341</v>
      </c>
      <c r="AT87" s="6">
        <f>IFERROR(Table11[[#This Row],['#Total Replacements]]/Table11[[#This Row],['#TreesContract]],"")</f>
        <v>0.13090909090909092</v>
      </c>
      <c r="AU87" s="4">
        <f>IF(SUM(Table11[[#This Row],['#Replace 24]:['#Replace 16]])=0,0,SUM(Table11[[#This Row],['#Replace 24]:['#Replace 16]]))</f>
        <v>144</v>
      </c>
      <c r="AV87" s="2"/>
      <c r="AW87" s="2"/>
      <c r="AX87" s="3"/>
      <c r="AY87" s="2"/>
      <c r="AZ87" s="2">
        <v>32</v>
      </c>
      <c r="BA87" s="2">
        <v>112</v>
      </c>
      <c r="BB87" s="2"/>
      <c r="BC87" s="2"/>
      <c r="BD87" s="2"/>
      <c r="BE87" s="2"/>
      <c r="BF87" s="3">
        <v>1</v>
      </c>
      <c r="BG87" s="3">
        <v>1</v>
      </c>
      <c r="BH87" s="2"/>
      <c r="BI87" s="2"/>
      <c r="BJ87" s="2"/>
      <c r="BK87" s="139">
        <f>Table11[[#This Row],[Average MHT
(Feet)]]/16</f>
        <v>0</v>
      </c>
      <c r="BL87" s="2"/>
      <c r="BM87" s="139">
        <f>Table11[[#This Row],[Average DBH
(inches)]]/18</f>
        <v>0</v>
      </c>
      <c r="BN87" s="235">
        <f>((Table11[[#This Row],[Average DBH
(inches)]]-4)^2)*(Table11[[#This Row],[Average MHT
(Feet)]]/16)</f>
        <v>0</v>
      </c>
      <c r="BO87" s="235">
        <f>Table11[[#This Row],[Average BF]]*Table11[[#This Row],[2024 '#Trees Inventory + Estimate]]</f>
        <v>0</v>
      </c>
      <c r="BP87" s="240">
        <f>(Table11[[#This Row],[Harvest Year
(10 year)]]-Table11[[#This Row],[Year of Inventory]]+1)*(Table11[[#This Row],[Average DBH
(inches)]]/(Table11[[#This Row],[Harvest Year
(10 year)]]-Table11[[#This Row],[Year of Inventory]]+1))+Table11[[#This Row],[Average DBH
(inches)]]</f>
        <v>0</v>
      </c>
      <c r="BQ87" s="235">
        <f>((Table11[[#This Row],[Projected DBH
(Extrapolated Growth/Year)]]-4)^2)*(Table11[[#This Row],[Average MHT
(Feet)]]/16)</f>
        <v>0</v>
      </c>
      <c r="BR87" s="235">
        <f>Table11[[#This Row],[Projected Average BF]]*Table11[[#This Row],[2024 '#Trees Inventory + Estimate]]</f>
        <v>0</v>
      </c>
      <c r="BS87" s="235">
        <f>196*Table11[[#This Row],[2024 '#Trees Inventory + Estimate]]</f>
        <v>210201.60000000003</v>
      </c>
      <c r="BT87" s="243">
        <f>Table11[[#This Row],[ETP Offering Expected BF]]-Table11[[#This Row],[Projected Total BF]]</f>
        <v>210201.60000000003</v>
      </c>
      <c r="BU87" s="235">
        <f>(18-Table11[[#This Row],[Average DBH
(inches)]])/(D87-Table11[[#This Row],[Year of Inventory]]+1)</f>
        <v>8.8713652045342532E-3</v>
      </c>
    </row>
    <row r="88" spans="1:73" hidden="1" x14ac:dyDescent="0.25">
      <c r="A88" s="7" t="s">
        <v>494</v>
      </c>
      <c r="B88" s="2">
        <v>2018</v>
      </c>
      <c r="C88" s="2">
        <v>2019</v>
      </c>
      <c r="D88" s="2">
        <v>0</v>
      </c>
      <c r="E88" s="97" t="s">
        <v>495</v>
      </c>
      <c r="F88" s="161">
        <v>10041</v>
      </c>
      <c r="G88" t="s">
        <v>495</v>
      </c>
      <c r="H88" s="357"/>
      <c r="I88" t="s">
        <v>160</v>
      </c>
      <c r="J88" s="1"/>
      <c r="K88" s="1"/>
      <c r="L88" s="1"/>
      <c r="M88" s="1" t="s">
        <v>150</v>
      </c>
      <c r="Q88" s="2"/>
      <c r="R88" s="86"/>
      <c r="S88" s="2"/>
      <c r="T88" s="1">
        <v>1100</v>
      </c>
      <c r="U88" s="1">
        <v>1100</v>
      </c>
      <c r="V88" s="1" t="str">
        <f>IF(Table11[[#This Row],['#TreesContract]]-Table11[[#This Row],['#Planted]]=0,"",Table11[[#This Row],['#TreesContract]]-Table11[[#This Row],['#Planted]])</f>
        <v/>
      </c>
      <c r="W88" s="2"/>
      <c r="X88" s="34">
        <v>0.64</v>
      </c>
      <c r="Y88" s="163">
        <f>Table11[[#This Row],['#TreesContract]]*Table11[[#This Row],[USA Allocation %]]</f>
        <v>704</v>
      </c>
      <c r="Z88" s="163">
        <f>Table11[[#This Row],['#Planted]]*Table11[[#This Row],[USA Allocation %]]</f>
        <v>704</v>
      </c>
      <c r="AA88" s="34">
        <v>0.36</v>
      </c>
      <c r="AB88" s="163">
        <f>Table11[[#This Row],['#TreesContract]]*0.36</f>
        <v>396</v>
      </c>
      <c r="AC88" s="34"/>
      <c r="AD88" s="163"/>
      <c r="AE88" s="163">
        <f>Table11[[#This Row],[Canada Allocation-tree '#''s]]+Table11[[#This Row],[Can trees/Allocation 2017]]</f>
        <v>396</v>
      </c>
      <c r="AF88" s="5">
        <v>0</v>
      </c>
      <c r="AG88" s="35">
        <v>0</v>
      </c>
      <c r="AH88" s="35">
        <f>Table11[[#This Row],['#Trees as of 12/31/23]]*Table11[[#This Row],[USA Allocation %]]</f>
        <v>0</v>
      </c>
      <c r="AI88" s="404">
        <f>Table11[[#This Row],['#TreesContract]]*Table11[[#This Row],[2024 Inventory Survival%-master]]</f>
        <v>0</v>
      </c>
      <c r="AJ88" s="5">
        <v>0</v>
      </c>
      <c r="AK88" s="5">
        <v>0</v>
      </c>
      <c r="AL88" s="5">
        <v>0</v>
      </c>
      <c r="AM88" s="35">
        <f>AK88*Table11[[#This Row],['#TreesContract]]</f>
        <v>0</v>
      </c>
      <c r="AN88" s="35">
        <f>Table11[[#This Row],[2024 '#Trees Inventory + Estimate]]*Table11[[#This Row],[USA Allocation %]]</f>
        <v>0</v>
      </c>
      <c r="AO88" s="35">
        <f>Table11[[#This Row],[2024 '#Trees Inventory + Estimate]]*Table11[[#This Row],[Canada Allocation %]]</f>
        <v>0</v>
      </c>
      <c r="AP88" s="35">
        <f>Table11[[#This Row],[2024 '#Trees Inventory + Estimate]]*Table11[[#This Row],[Canada Allocation2017 %]]</f>
        <v>0</v>
      </c>
      <c r="AQ88" s="35">
        <f>Table11[[#This Row],['#Trees as of 2024/estimate-Can allocation]]+Table11[[#This Row],['#Trees as of 2024/estimate-Can allocation 2017]]</f>
        <v>0</v>
      </c>
      <c r="AR88" s="1" t="s">
        <v>152</v>
      </c>
      <c r="AS88" s="2"/>
      <c r="AT88" s="6">
        <f>IFERROR(Table11[[#This Row],['#Total Replacements]]/Table11[[#This Row],['#TreesContract]],"")</f>
        <v>5.8181818181818182E-2</v>
      </c>
      <c r="AU88" s="4">
        <f>IF(SUM(Table11[[#This Row],['#Replace 24]:['#Replace 16]])=0,0,SUM(Table11[[#This Row],['#Replace 24]:['#Replace 16]]))</f>
        <v>64</v>
      </c>
      <c r="AV88" s="2"/>
      <c r="AW88" s="2"/>
      <c r="AX88" s="3"/>
      <c r="AY88" s="2"/>
      <c r="AZ88" s="2"/>
      <c r="BA88" s="2"/>
      <c r="BB88" s="2">
        <v>64</v>
      </c>
      <c r="BC88" s="2"/>
      <c r="BD88" s="2"/>
      <c r="BE88" s="2"/>
      <c r="BF88" s="3">
        <v>1</v>
      </c>
      <c r="BG88" s="3"/>
      <c r="BH88" s="2"/>
      <c r="BI88" s="2"/>
      <c r="BJ88" s="2"/>
      <c r="BK88" s="139">
        <f>Table11[[#This Row],[Average MHT
(Feet)]]/16</f>
        <v>0</v>
      </c>
      <c r="BL88" s="2"/>
      <c r="BM88" s="139">
        <f>Table11[[#This Row],[Average DBH
(inches)]]/18</f>
        <v>0</v>
      </c>
      <c r="BN88" s="235">
        <f>((Table11[[#This Row],[Average DBH
(inches)]]-4)^2)*(Table11[[#This Row],[Average MHT
(Feet)]]/16)</f>
        <v>0</v>
      </c>
      <c r="BO88" s="235">
        <f>Table11[[#This Row],[Average BF]]*Table11[[#This Row],[2024 '#Trees Inventory + Estimate]]</f>
        <v>0</v>
      </c>
      <c r="BP88" s="240">
        <f>(Table11[[#This Row],[Harvest Year
(10 year)]]-Table11[[#This Row],[Year of Inventory]]+1)*(Table11[[#This Row],[Average DBH
(inches)]]/(Table11[[#This Row],[Harvest Year
(10 year)]]-Table11[[#This Row],[Year of Inventory]]+1))+Table11[[#This Row],[Average DBH
(inches)]]</f>
        <v>0</v>
      </c>
      <c r="BQ88" s="235">
        <f>((Table11[[#This Row],[Projected DBH
(Extrapolated Growth/Year)]]-4)^2)*(Table11[[#This Row],[Average MHT
(Feet)]]/16)</f>
        <v>0</v>
      </c>
      <c r="BR88" s="235">
        <f>Table11[[#This Row],[Projected Average BF]]*Table11[[#This Row],[2024 '#Trees Inventory + Estimate]]</f>
        <v>0</v>
      </c>
      <c r="BS88" s="235">
        <f>196*Table11[[#This Row],[2024 '#Trees Inventory + Estimate]]</f>
        <v>0</v>
      </c>
      <c r="BT88" s="235">
        <f>Table11[[#This Row],[ETP Offering Expected BF]]-Table11[[#This Row],[Projected Total BF]]</f>
        <v>0</v>
      </c>
      <c r="BU88" s="235">
        <f>(18-Table11[[#This Row],[Average DBH
(inches)]])/(D88-Table11[[#This Row],[Year of Inventory]]+1)</f>
        <v>18</v>
      </c>
    </row>
    <row r="89" spans="1:73" hidden="1" x14ac:dyDescent="0.25">
      <c r="A89" s="7" t="s">
        <v>496</v>
      </c>
      <c r="B89" s="2">
        <v>2018</v>
      </c>
      <c r="C89" s="2">
        <v>2019</v>
      </c>
      <c r="D89" s="2">
        <f>Table11[[#This Row],[Planting Year]]+9</f>
        <v>2028</v>
      </c>
      <c r="E89" s="97" t="s">
        <v>497</v>
      </c>
      <c r="F89" s="161">
        <v>10042</v>
      </c>
      <c r="G89" t="s">
        <v>497</v>
      </c>
      <c r="H89" s="357" t="s">
        <v>498</v>
      </c>
      <c r="I89" t="s">
        <v>155</v>
      </c>
      <c r="J89" s="1" t="s">
        <v>499</v>
      </c>
      <c r="K89" s="1" t="s">
        <v>500</v>
      </c>
      <c r="L89" s="1" t="s">
        <v>500</v>
      </c>
      <c r="M89" s="1" t="s">
        <v>150</v>
      </c>
      <c r="N89" t="s">
        <v>501</v>
      </c>
      <c r="O89">
        <v>30.822035</v>
      </c>
      <c r="P89">
        <v>-84.810526999999993</v>
      </c>
      <c r="Q89" s="2"/>
      <c r="R89" s="86"/>
      <c r="S89" s="2"/>
      <c r="T89" s="1">
        <v>880</v>
      </c>
      <c r="U89" s="1">
        <v>880</v>
      </c>
      <c r="V89" s="1" t="str">
        <f>IF(Table11[[#This Row],['#TreesContract]]-Table11[[#This Row],['#Planted]]=0,"",Table11[[#This Row],['#TreesContract]]-Table11[[#This Row],['#Planted]])</f>
        <v/>
      </c>
      <c r="W89" s="2"/>
      <c r="X89" s="34">
        <v>0.64</v>
      </c>
      <c r="Y89" s="163">
        <f>Table11[[#This Row],['#TreesContract]]*Table11[[#This Row],[USA Allocation %]]</f>
        <v>563.20000000000005</v>
      </c>
      <c r="Z89" s="163">
        <f>Table11[[#This Row],['#Planted]]*Table11[[#This Row],[USA Allocation %]]</f>
        <v>563.20000000000005</v>
      </c>
      <c r="AA89" s="34">
        <v>0.36</v>
      </c>
      <c r="AB89" s="163">
        <f>Table11[[#This Row],['#TreesContract]]*0.36</f>
        <v>316.8</v>
      </c>
      <c r="AC89" s="34"/>
      <c r="AD89" s="163"/>
      <c r="AE89" s="163">
        <f>Table11[[#This Row],[Canada Allocation-tree '#''s]]+Table11[[#This Row],[Can trees/Allocation 2017]]</f>
        <v>316.8</v>
      </c>
      <c r="AF89" s="5">
        <v>1</v>
      </c>
      <c r="AG89" s="35">
        <v>880</v>
      </c>
      <c r="AH89" s="35">
        <f>Table11[[#This Row],['#Trees as of 12/31/23]]*Table11[[#This Row],[USA Allocation %]]</f>
        <v>563.20000000000005</v>
      </c>
      <c r="AI89" s="437">
        <f>Table11[[#This Row],['#TreesContract]]*Table11[[#This Row],[2024 Inventory Survival%-master]]</f>
        <v>0</v>
      </c>
      <c r="AJ89" s="436"/>
      <c r="AK89" s="5">
        <v>1</v>
      </c>
      <c r="AL89" s="5">
        <v>1</v>
      </c>
      <c r="AM89" s="35">
        <f>AK89*Table11[[#This Row],['#TreesContract]]</f>
        <v>880</v>
      </c>
      <c r="AN89" s="35">
        <f>Table11[[#This Row],[2024 '#Trees Inventory + Estimate]]*Table11[[#This Row],[USA Allocation %]]</f>
        <v>563.20000000000005</v>
      </c>
      <c r="AO89" s="35">
        <f>Table11[[#This Row],[2024 '#Trees Inventory + Estimate]]*Table11[[#This Row],[Canada Allocation %]]</f>
        <v>316.8</v>
      </c>
      <c r="AP89" s="35">
        <f>Table11[[#This Row],[2024 '#Trees Inventory + Estimate]]*Table11[[#This Row],[Canada Allocation2017 %]]</f>
        <v>0</v>
      </c>
      <c r="AQ89" s="35">
        <f>Table11[[#This Row],['#Trees as of 2024/estimate-Can allocation]]+Table11[[#This Row],['#Trees as of 2024/estimate-Can allocation 2017]]</f>
        <v>316.8</v>
      </c>
      <c r="AR89" s="1" t="s">
        <v>152</v>
      </c>
      <c r="AS89" s="2" t="s">
        <v>209</v>
      </c>
      <c r="AT89" s="6">
        <f>IFERROR(Table11[[#This Row],['#Total Replacements]]/Table11[[#This Row],['#TreesContract]],"")</f>
        <v>0.36477272727272725</v>
      </c>
      <c r="AU89" s="4">
        <f>IF(SUM(Table11[[#This Row],['#Replace 24]:['#Replace 16]])=0,0,SUM(Table11[[#This Row],['#Replace 24]:['#Replace 16]]))</f>
        <v>321</v>
      </c>
      <c r="AV89" s="2"/>
      <c r="AW89" s="2"/>
      <c r="AX89" s="3"/>
      <c r="AY89" s="2"/>
      <c r="AZ89" s="2">
        <v>50</v>
      </c>
      <c r="BA89" s="2">
        <v>271</v>
      </c>
      <c r="BB89" s="2"/>
      <c r="BC89" s="2"/>
      <c r="BD89" s="2"/>
      <c r="BE89" s="2"/>
      <c r="BF89" s="3">
        <v>1</v>
      </c>
      <c r="BG89" s="3">
        <v>1</v>
      </c>
      <c r="BH89" s="2"/>
      <c r="BI89" s="158"/>
      <c r="BJ89" s="158"/>
      <c r="BK89" s="139">
        <f>Table11[[#This Row],[Average MHT
(Feet)]]/16</f>
        <v>0</v>
      </c>
      <c r="BL89" s="2"/>
      <c r="BM89" s="139">
        <f>Table11[[#This Row],[Average DBH
(inches)]]/18</f>
        <v>0</v>
      </c>
      <c r="BN89" s="235">
        <f>((Table11[[#This Row],[Average DBH
(inches)]]-4)^2)*(Table11[[#This Row],[Average MHT
(Feet)]]/16)</f>
        <v>0</v>
      </c>
      <c r="BO89" s="235">
        <f>Table11[[#This Row],[Average BF]]*Table11[[#This Row],[2024 '#Trees Inventory + Estimate]]</f>
        <v>0</v>
      </c>
      <c r="BP89" s="240">
        <f>(Table11[[#This Row],[Harvest Year
(10 year)]]-Table11[[#This Row],[Year of Inventory]]+1)*(Table11[[#This Row],[Average DBH
(inches)]]/(Table11[[#This Row],[Harvest Year
(10 year)]]-Table11[[#This Row],[Year of Inventory]]+1))+Table11[[#This Row],[Average DBH
(inches)]]</f>
        <v>0</v>
      </c>
      <c r="BQ89" s="235">
        <f>((Table11[[#This Row],[Projected DBH
(Extrapolated Growth/Year)]]-4)^2)*(Table11[[#This Row],[Average MHT
(Feet)]]/16)</f>
        <v>0</v>
      </c>
      <c r="BR89" s="235">
        <f>Table11[[#This Row],[Projected Average BF]]*Table11[[#This Row],[2024 '#Trees Inventory + Estimate]]</f>
        <v>0</v>
      </c>
      <c r="BS89" s="235">
        <f>196*Table11[[#This Row],[2024 '#Trees Inventory + Estimate]]</f>
        <v>172480</v>
      </c>
      <c r="BT89" s="243">
        <f>Table11[[#This Row],[ETP Offering Expected BF]]-Table11[[#This Row],[Projected Total BF]]</f>
        <v>172480</v>
      </c>
      <c r="BU89" s="235">
        <f>(18-Table11[[#This Row],[Average DBH
(inches)]])/(D89-Table11[[#This Row],[Year of Inventory]]+1)</f>
        <v>8.8713652045342532E-3</v>
      </c>
    </row>
    <row r="90" spans="1:73" hidden="1" x14ac:dyDescent="0.25">
      <c r="A90" s="7" t="s">
        <v>502</v>
      </c>
      <c r="B90" s="2">
        <v>2018</v>
      </c>
      <c r="C90" s="2">
        <v>2019</v>
      </c>
      <c r="D90" s="2">
        <f>Table11[[#This Row],[Planting Year]]+9</f>
        <v>2028</v>
      </c>
      <c r="E90" s="97" t="s">
        <v>503</v>
      </c>
      <c r="F90" s="161">
        <v>10043</v>
      </c>
      <c r="G90" t="s">
        <v>503</v>
      </c>
      <c r="H90" s="357" t="s">
        <v>504</v>
      </c>
      <c r="I90" t="s">
        <v>147</v>
      </c>
      <c r="J90" s="1" t="s">
        <v>505</v>
      </c>
      <c r="K90" s="1" t="s">
        <v>506</v>
      </c>
      <c r="L90" s="1" t="s">
        <v>507</v>
      </c>
      <c r="M90" s="1" t="s">
        <v>150</v>
      </c>
      <c r="Q90" s="2"/>
      <c r="R90" s="86"/>
      <c r="S90" s="2"/>
      <c r="T90" s="1">
        <v>1100</v>
      </c>
      <c r="U90" s="1">
        <v>1100</v>
      </c>
      <c r="V90" s="1" t="str">
        <f>IF(Table11[[#This Row],['#TreesContract]]-Table11[[#This Row],['#Planted]]=0,"",Table11[[#This Row],['#TreesContract]]-Table11[[#This Row],['#Planted]])</f>
        <v/>
      </c>
      <c r="W90" s="2"/>
      <c r="X90" s="34">
        <v>0.64</v>
      </c>
      <c r="Y90" s="163">
        <f>Table11[[#This Row],['#TreesContract]]*Table11[[#This Row],[USA Allocation %]]</f>
        <v>704</v>
      </c>
      <c r="Z90" s="163">
        <f>Table11[[#This Row],['#Planted]]*Table11[[#This Row],[USA Allocation %]]</f>
        <v>704</v>
      </c>
      <c r="AA90" s="34">
        <v>0.36</v>
      </c>
      <c r="AB90" s="163">
        <f>Table11[[#This Row],['#TreesContract]]*0.36</f>
        <v>396</v>
      </c>
      <c r="AC90" s="34"/>
      <c r="AD90" s="163"/>
      <c r="AE90" s="163">
        <f>Table11[[#This Row],[Canada Allocation-tree '#''s]]+Table11[[#This Row],[Can trees/Allocation 2017]]</f>
        <v>396</v>
      </c>
      <c r="AF90" s="5">
        <v>0</v>
      </c>
      <c r="AG90" s="35">
        <v>0</v>
      </c>
      <c r="AH90" s="35">
        <f>Table11[[#This Row],['#Trees as of 12/31/23]]*Table11[[#This Row],[USA Allocation %]]</f>
        <v>0</v>
      </c>
      <c r="AI90" s="404">
        <f>Table11[[#This Row],['#TreesContract]]*Table11[[#This Row],[2024 Inventory Survival%-master]]</f>
        <v>0</v>
      </c>
      <c r="AJ90" s="5"/>
      <c r="AK90" s="5">
        <v>0</v>
      </c>
      <c r="AL90" s="5">
        <v>0</v>
      </c>
      <c r="AM90" s="35">
        <f>AK90*Table11[[#This Row],['#TreesContract]]</f>
        <v>0</v>
      </c>
      <c r="AN90" s="35">
        <f>Table11[[#This Row],[2024 '#Trees Inventory + Estimate]]*Table11[[#This Row],[USA Allocation %]]</f>
        <v>0</v>
      </c>
      <c r="AO90" s="35">
        <f>Table11[[#This Row],[2024 '#Trees Inventory + Estimate]]*Table11[[#This Row],[Canada Allocation %]]</f>
        <v>0</v>
      </c>
      <c r="AP90" s="35">
        <f>Table11[[#This Row],[2024 '#Trees Inventory + Estimate]]*Table11[[#This Row],[Canada Allocation2017 %]]</f>
        <v>0</v>
      </c>
      <c r="AQ90" s="35">
        <f>Table11[[#This Row],['#Trees as of 2024/estimate-Can allocation]]+Table11[[#This Row],['#Trees as of 2024/estimate-Can allocation 2017]]</f>
        <v>0</v>
      </c>
      <c r="AR90" s="1" t="s">
        <v>152</v>
      </c>
      <c r="AS90" s="2" t="s">
        <v>508</v>
      </c>
      <c r="AT90" s="6">
        <f>IFERROR(Table11[[#This Row],['#Total Replacements]]/Table11[[#This Row],['#TreesContract]],"")</f>
        <v>0.80181818181818176</v>
      </c>
      <c r="AU90" s="4">
        <f>IF(SUM(Table11[[#This Row],['#Replace 24]:['#Replace 16]])=0,0,SUM(Table11[[#This Row],['#Replace 24]:['#Replace 16]]))</f>
        <v>882</v>
      </c>
      <c r="AV90" s="2"/>
      <c r="AW90" s="2"/>
      <c r="AX90" s="3"/>
      <c r="AY90" s="2"/>
      <c r="AZ90" s="2"/>
      <c r="BA90" s="2">
        <v>800</v>
      </c>
      <c r="BB90" s="2">
        <v>82</v>
      </c>
      <c r="BC90" s="2"/>
      <c r="BD90" s="2"/>
      <c r="BE90" s="2"/>
      <c r="BF90" s="3">
        <v>1</v>
      </c>
      <c r="BG90" s="3">
        <v>1</v>
      </c>
      <c r="BH90" s="2"/>
      <c r="BI90" s="158"/>
      <c r="BJ90" s="158"/>
      <c r="BK90" s="139">
        <f>Table11[[#This Row],[Average MHT
(Feet)]]/16</f>
        <v>0</v>
      </c>
      <c r="BL90" s="2"/>
      <c r="BM90" s="139">
        <f>Table11[[#This Row],[Average DBH
(inches)]]/18</f>
        <v>0</v>
      </c>
      <c r="BN90" s="235">
        <f>((Table11[[#This Row],[Average DBH
(inches)]]-4)^2)*(Table11[[#This Row],[Average MHT
(Feet)]]/16)</f>
        <v>0</v>
      </c>
      <c r="BO90" s="235">
        <f>Table11[[#This Row],[Average BF]]*Table11[[#This Row],[2024 '#Trees Inventory + Estimate]]</f>
        <v>0</v>
      </c>
      <c r="BP90" s="240">
        <f>(Table11[[#This Row],[Harvest Year
(10 year)]]-Table11[[#This Row],[Year of Inventory]]+1)*(Table11[[#This Row],[Average DBH
(inches)]]/(Table11[[#This Row],[Harvest Year
(10 year)]]-Table11[[#This Row],[Year of Inventory]]+1))+Table11[[#This Row],[Average DBH
(inches)]]</f>
        <v>0</v>
      </c>
      <c r="BQ90" s="235">
        <f>((Table11[[#This Row],[Projected DBH
(Extrapolated Growth/Year)]]-4)^2)*(Table11[[#This Row],[Average MHT
(Feet)]]/16)</f>
        <v>0</v>
      </c>
      <c r="BR90" s="235">
        <f>Table11[[#This Row],[Projected Average BF]]*Table11[[#This Row],[2024 '#Trees Inventory + Estimate]]</f>
        <v>0</v>
      </c>
      <c r="BS90" s="235">
        <f>196*Table11[[#This Row],[2024 '#Trees Inventory + Estimate]]</f>
        <v>0</v>
      </c>
      <c r="BT90" s="235">
        <f>Table11[[#This Row],[ETP Offering Expected BF]]-Table11[[#This Row],[Projected Total BF]]</f>
        <v>0</v>
      </c>
      <c r="BU90" s="235">
        <f>(18-Table11[[#This Row],[Average DBH
(inches)]])/(D90-Table11[[#This Row],[Year of Inventory]]+1)</f>
        <v>8.8713652045342532E-3</v>
      </c>
    </row>
    <row r="91" spans="1:73" hidden="1" x14ac:dyDescent="0.25">
      <c r="A91" s="7" t="s">
        <v>509</v>
      </c>
      <c r="B91" s="2">
        <v>2018</v>
      </c>
      <c r="C91" s="2">
        <v>2019</v>
      </c>
      <c r="D91" s="2">
        <f>Table11[[#This Row],[Planting Year]]+9</f>
        <v>2028</v>
      </c>
      <c r="E91" s="97" t="s">
        <v>510</v>
      </c>
      <c r="F91" s="161">
        <v>10044</v>
      </c>
      <c r="G91" t="s">
        <v>510</v>
      </c>
      <c r="H91" s="357" t="s">
        <v>511</v>
      </c>
      <c r="I91" t="s">
        <v>155</v>
      </c>
      <c r="J91" s="1">
        <v>0</v>
      </c>
      <c r="K91" s="1" t="s">
        <v>512</v>
      </c>
      <c r="L91" s="1" t="s">
        <v>512</v>
      </c>
      <c r="M91" s="1" t="s">
        <v>150</v>
      </c>
      <c r="N91" t="s">
        <v>513</v>
      </c>
      <c r="O91">
        <v>31.507085</v>
      </c>
      <c r="P91">
        <v>-88.018129000000002</v>
      </c>
      <c r="Q91" s="2"/>
      <c r="R91" s="86"/>
      <c r="S91" s="2"/>
      <c r="T91" s="1">
        <v>1100</v>
      </c>
      <c r="U91" s="1">
        <v>1100</v>
      </c>
      <c r="V91" s="1" t="str">
        <f>IF(Table11[[#This Row],['#TreesContract]]-Table11[[#This Row],['#Planted]]=0,"",Table11[[#This Row],['#TreesContract]]-Table11[[#This Row],['#Planted]])</f>
        <v/>
      </c>
      <c r="W91" s="2"/>
      <c r="X91" s="34">
        <v>0.64</v>
      </c>
      <c r="Y91" s="163">
        <f>Table11[[#This Row],['#TreesContract]]*Table11[[#This Row],[USA Allocation %]]</f>
        <v>704</v>
      </c>
      <c r="Z91" s="163">
        <f>Table11[[#This Row],['#Planted]]*Table11[[#This Row],[USA Allocation %]]</f>
        <v>704</v>
      </c>
      <c r="AA91" s="34">
        <v>0.36</v>
      </c>
      <c r="AB91" s="163">
        <f>Table11[[#This Row],['#TreesContract]]*0.36</f>
        <v>396</v>
      </c>
      <c r="AC91" s="34"/>
      <c r="AD91" s="163"/>
      <c r="AE91" s="163">
        <f>Table11[[#This Row],[Canada Allocation-tree '#''s]]+Table11[[#This Row],[Can trees/Allocation 2017]]</f>
        <v>396</v>
      </c>
      <c r="AF91" s="5">
        <v>0.35181818181818175</v>
      </c>
      <c r="AG91" s="35">
        <v>386.99999999999994</v>
      </c>
      <c r="AH91" s="35">
        <f>Table11[[#This Row],['#Trees as of 12/31/23]]*Table11[[#This Row],[USA Allocation %]]</f>
        <v>247.67999999999998</v>
      </c>
      <c r="AI91" s="437">
        <f>Table11[[#This Row],['#TreesContract]]*Table11[[#This Row],[2024 Inventory Survival%-master]]</f>
        <v>0</v>
      </c>
      <c r="AJ91" s="436"/>
      <c r="AK91" s="5">
        <v>0.35181818181818175</v>
      </c>
      <c r="AL91" s="5">
        <v>0.35181818181818175</v>
      </c>
      <c r="AM91" s="35">
        <f>AK91*Table11[[#This Row],['#TreesContract]]</f>
        <v>386.99999999999994</v>
      </c>
      <c r="AN91" s="35">
        <f>Table11[[#This Row],[2024 '#Trees Inventory + Estimate]]*Table11[[#This Row],[USA Allocation %]]</f>
        <v>247.67999999999998</v>
      </c>
      <c r="AO91" s="35">
        <f>Table11[[#This Row],[2024 '#Trees Inventory + Estimate]]*Table11[[#This Row],[Canada Allocation %]]</f>
        <v>139.31999999999996</v>
      </c>
      <c r="AP91" s="35">
        <f>Table11[[#This Row],[2024 '#Trees Inventory + Estimate]]*Table11[[#This Row],[Canada Allocation2017 %]]</f>
        <v>0</v>
      </c>
      <c r="AQ91" s="35">
        <f>Table11[[#This Row],['#Trees as of 2024/estimate-Can allocation]]+Table11[[#This Row],['#Trees as of 2024/estimate-Can allocation 2017]]</f>
        <v>139.31999999999996</v>
      </c>
      <c r="AR91" s="1" t="s">
        <v>152</v>
      </c>
      <c r="AS91" s="2" t="s">
        <v>209</v>
      </c>
      <c r="AT91" s="6">
        <f>IFERROR(Table11[[#This Row],['#Total Replacements]]/Table11[[#This Row],['#TreesContract]],"")</f>
        <v>0.65454545454545454</v>
      </c>
      <c r="AU91" s="4">
        <f>IF(SUM(Table11[[#This Row],['#Replace 24]:['#Replace 16]])=0,0,SUM(Table11[[#This Row],['#Replace 24]:['#Replace 16]]))</f>
        <v>720</v>
      </c>
      <c r="AV91" s="2"/>
      <c r="AW91" s="2"/>
      <c r="AX91" s="3"/>
      <c r="AY91" s="2"/>
      <c r="AZ91" s="2">
        <v>400</v>
      </c>
      <c r="BA91" s="2"/>
      <c r="BB91" s="2">
        <v>320</v>
      </c>
      <c r="BC91" s="2"/>
      <c r="BD91" s="2"/>
      <c r="BE91" s="2"/>
      <c r="BF91" s="3">
        <v>1</v>
      </c>
      <c r="BG91" s="3">
        <v>1</v>
      </c>
      <c r="BH91" s="2"/>
      <c r="BI91" s="2"/>
      <c r="BJ91" s="2"/>
      <c r="BK91" s="139">
        <f>Table11[[#This Row],[Average MHT
(Feet)]]/16</f>
        <v>0</v>
      </c>
      <c r="BL91" s="2"/>
      <c r="BM91" s="139">
        <f>Table11[[#This Row],[Average DBH
(inches)]]/18</f>
        <v>0</v>
      </c>
      <c r="BN91" s="235">
        <f>((Table11[[#This Row],[Average DBH
(inches)]]-4)^2)*(Table11[[#This Row],[Average MHT
(Feet)]]/16)</f>
        <v>0</v>
      </c>
      <c r="BO91" s="235">
        <f>Table11[[#This Row],[Average BF]]*Table11[[#This Row],[2024 '#Trees Inventory + Estimate]]</f>
        <v>0</v>
      </c>
      <c r="BP91" s="240">
        <f>(Table11[[#This Row],[Harvest Year
(10 year)]]-Table11[[#This Row],[Year of Inventory]]+1)*(Table11[[#This Row],[Average DBH
(inches)]]/(Table11[[#This Row],[Harvest Year
(10 year)]]-Table11[[#This Row],[Year of Inventory]]+1))+Table11[[#This Row],[Average DBH
(inches)]]</f>
        <v>0</v>
      </c>
      <c r="BQ91" s="235">
        <f>((Table11[[#This Row],[Projected DBH
(Extrapolated Growth/Year)]]-4)^2)*(Table11[[#This Row],[Average MHT
(Feet)]]/16)</f>
        <v>0</v>
      </c>
      <c r="BR91" s="235">
        <f>Table11[[#This Row],[Projected Average BF]]*Table11[[#This Row],[2024 '#Trees Inventory + Estimate]]</f>
        <v>0</v>
      </c>
      <c r="BS91" s="235">
        <f>196*Table11[[#This Row],[2024 '#Trees Inventory + Estimate]]</f>
        <v>75851.999999999985</v>
      </c>
      <c r="BT91" s="243">
        <f>Table11[[#This Row],[ETP Offering Expected BF]]-Table11[[#This Row],[Projected Total BF]]</f>
        <v>75851.999999999985</v>
      </c>
      <c r="BU91" s="235">
        <f>(18-Table11[[#This Row],[Average DBH
(inches)]])/(D91-Table11[[#This Row],[Year of Inventory]]+1)</f>
        <v>8.8713652045342532E-3</v>
      </c>
    </row>
    <row r="92" spans="1:73" x14ac:dyDescent="0.25">
      <c r="A92" s="7" t="s">
        <v>514</v>
      </c>
      <c r="B92" s="2">
        <v>2018</v>
      </c>
      <c r="C92" s="2">
        <v>2019</v>
      </c>
      <c r="D92" s="2">
        <v>0</v>
      </c>
      <c r="E92" t="s">
        <v>269</v>
      </c>
      <c r="F92" s="161">
        <v>20009</v>
      </c>
      <c r="G92" t="s">
        <v>270</v>
      </c>
      <c r="H92" s="357"/>
      <c r="I92" t="s">
        <v>160</v>
      </c>
      <c r="J92" s="1"/>
      <c r="K92" s="1"/>
      <c r="L92" s="1"/>
      <c r="M92" s="1" t="s">
        <v>213</v>
      </c>
      <c r="Q92" s="2"/>
      <c r="R92" s="86"/>
      <c r="S92" s="2"/>
      <c r="T92" s="1">
        <v>285</v>
      </c>
      <c r="U92" s="1">
        <v>285</v>
      </c>
      <c r="V92" s="1" t="str">
        <f>IF(Table11[[#This Row],['#TreesContract]]-Table11[[#This Row],['#Planted]]=0,"",Table11[[#This Row],['#TreesContract]]-Table11[[#This Row],['#Planted]])</f>
        <v/>
      </c>
      <c r="W92" s="2"/>
      <c r="X92" s="34">
        <v>0.64</v>
      </c>
      <c r="Y92" s="163">
        <f>Table11[[#This Row],['#TreesContract]]*Table11[[#This Row],[USA Allocation %]]</f>
        <v>182.4</v>
      </c>
      <c r="Z92" s="163">
        <f>Table11[[#This Row],['#Planted]]*Table11[[#This Row],[USA Allocation %]]</f>
        <v>182.4</v>
      </c>
      <c r="AA92" s="34">
        <v>0.36</v>
      </c>
      <c r="AB92" s="163">
        <f>Table11[[#This Row],['#TreesContract]]*0.36</f>
        <v>102.6</v>
      </c>
      <c r="AC92" s="34"/>
      <c r="AD92" s="163"/>
      <c r="AE92" s="163">
        <f>Table11[[#This Row],[Canada Allocation-tree '#''s]]+Table11[[#This Row],[Can trees/Allocation 2017]]</f>
        <v>102.6</v>
      </c>
      <c r="AF92" s="5">
        <v>0</v>
      </c>
      <c r="AG92" s="35">
        <v>0</v>
      </c>
      <c r="AH92" s="35">
        <f>Table11[[#This Row],['#Trees as of 12/31/23]]*Table11[[#This Row],[USA Allocation %]]</f>
        <v>0</v>
      </c>
      <c r="AI92" s="404">
        <f>Table11[[#This Row],['#TreesContract]]*Table11[[#This Row],[2024 Inventory Survival%-master]]</f>
        <v>0</v>
      </c>
      <c r="AJ92" s="5">
        <v>0</v>
      </c>
      <c r="AK92" s="5">
        <v>0</v>
      </c>
      <c r="AL92" s="5">
        <v>0</v>
      </c>
      <c r="AM92" s="35">
        <f>AK92*Table11[[#This Row],['#TreesContract]]</f>
        <v>0</v>
      </c>
      <c r="AN92" s="35">
        <f>Table11[[#This Row],[2024 '#Trees Inventory + Estimate]]*Table11[[#This Row],[USA Allocation %]]</f>
        <v>0</v>
      </c>
      <c r="AO92" s="35">
        <f>Table11[[#This Row],[2024 '#Trees Inventory + Estimate]]*Table11[[#This Row],[Canada Allocation %]]</f>
        <v>0</v>
      </c>
      <c r="AP92" s="35">
        <f>Table11[[#This Row],[2024 '#Trees Inventory + Estimate]]*Table11[[#This Row],[Canada Allocation2017 %]]</f>
        <v>0</v>
      </c>
      <c r="AQ92" s="35">
        <f>Table11[[#This Row],['#Trees as of 2024/estimate-Can allocation]]+Table11[[#This Row],['#Trees as of 2024/estimate-Can allocation 2017]]</f>
        <v>0</v>
      </c>
      <c r="AR92" s="1" t="s">
        <v>234</v>
      </c>
      <c r="AS92" s="2"/>
      <c r="AT92" s="6">
        <f>IFERROR(Table11[[#This Row],['#Total Replacements]]/Table11[[#This Row],['#TreesContract]],"")</f>
        <v>0</v>
      </c>
      <c r="AU92" s="4">
        <f>IF(SUM(Table11[[#This Row],['#Replace 24]:['#Replace 16]])=0,0,SUM(Table11[[#This Row],['#Replace 24]:['#Replace 16]]))</f>
        <v>0</v>
      </c>
      <c r="AV92" s="2"/>
      <c r="AW92" s="2"/>
      <c r="AX92" s="3"/>
      <c r="AY92" s="2"/>
      <c r="AZ92" s="2"/>
      <c r="BA92" s="2"/>
      <c r="BB92" s="2"/>
      <c r="BC92" s="2"/>
      <c r="BD92" s="2"/>
      <c r="BE92" s="2"/>
      <c r="BF92" s="3">
        <v>1</v>
      </c>
      <c r="BG92" s="3"/>
      <c r="BH92" s="2"/>
      <c r="BI92" s="2"/>
      <c r="BJ92" s="2"/>
      <c r="BK92" s="139">
        <f>Table11[[#This Row],[Average MHT
(Feet)]]/16</f>
        <v>0</v>
      </c>
      <c r="BL92" s="2"/>
      <c r="BM92" s="139">
        <f>Table11[[#This Row],[Average DBH
(inches)]]/18</f>
        <v>0</v>
      </c>
      <c r="BN92" s="235">
        <f>((Table11[[#This Row],[Average DBH
(inches)]]-4)^2)*(Table11[[#This Row],[Average MHT
(Feet)]]/16)</f>
        <v>0</v>
      </c>
      <c r="BO92" s="235">
        <f>Table11[[#This Row],[Average BF]]*Table11[[#This Row],[2024 '#Trees Inventory + Estimate]]</f>
        <v>0</v>
      </c>
      <c r="BP92" s="240">
        <f>(Table11[[#This Row],[Harvest Year
(10 year)]]-Table11[[#This Row],[Year of Inventory]]+1)*(Table11[[#This Row],[Average DBH
(inches)]]/(Table11[[#This Row],[Harvest Year
(10 year)]]-Table11[[#This Row],[Year of Inventory]]+1))+Table11[[#This Row],[Average DBH
(inches)]]</f>
        <v>0</v>
      </c>
      <c r="BQ92" s="235">
        <f>((Table11[[#This Row],[Projected DBH
(Extrapolated Growth/Year)]]-4)^2)*(Table11[[#This Row],[Average MHT
(Feet)]]/16)</f>
        <v>0</v>
      </c>
      <c r="BR92" s="235">
        <f>Table11[[#This Row],[Projected Average BF]]*Table11[[#This Row],[2024 '#Trees Inventory + Estimate]]</f>
        <v>0</v>
      </c>
      <c r="BS92" s="235">
        <f>196*Table11[[#This Row],[2024 '#Trees Inventory + Estimate]]</f>
        <v>0</v>
      </c>
      <c r="BT92" s="235">
        <f>Table11[[#This Row],[ETP Offering Expected BF]]-Table11[[#This Row],[Projected Total BF]]</f>
        <v>0</v>
      </c>
      <c r="BU92" s="235">
        <f>(18-Table11[[#This Row],[Average DBH
(inches)]])/(D92-Table11[[#This Row],[Year of Inventory]]+1)</f>
        <v>18</v>
      </c>
    </row>
    <row r="93" spans="1:73" ht="18" customHeight="1" x14ac:dyDescent="0.25">
      <c r="A93" s="7" t="s">
        <v>515</v>
      </c>
      <c r="B93" s="2">
        <v>2018</v>
      </c>
      <c r="C93" s="2">
        <v>2019</v>
      </c>
      <c r="D93" s="2">
        <f>Table11[[#This Row],[Planting Year]]+9</f>
        <v>2028</v>
      </c>
      <c r="E93" t="s">
        <v>380</v>
      </c>
      <c r="F93" s="161">
        <v>20023</v>
      </c>
      <c r="G93" t="s">
        <v>380</v>
      </c>
      <c r="H93" s="357"/>
      <c r="I93" t="s">
        <v>147</v>
      </c>
      <c r="J93" s="1"/>
      <c r="K93" s="1"/>
      <c r="L93" s="1"/>
      <c r="M93" s="1" t="s">
        <v>213</v>
      </c>
      <c r="Q93" s="2"/>
      <c r="R93" s="86"/>
      <c r="S93" s="2"/>
      <c r="T93" s="1">
        <v>4000</v>
      </c>
      <c r="U93" s="1">
        <v>4000</v>
      </c>
      <c r="V93" s="1" t="str">
        <f>IF(Table11[[#This Row],['#TreesContract]]-Table11[[#This Row],['#Planted]]=0,"",Table11[[#This Row],['#TreesContract]]-Table11[[#This Row],['#Planted]])</f>
        <v/>
      </c>
      <c r="W93" s="2"/>
      <c r="X93" s="34">
        <v>0.64</v>
      </c>
      <c r="Y93" s="163">
        <f>Table11[[#This Row],['#TreesContract]]*Table11[[#This Row],[USA Allocation %]]</f>
        <v>2560</v>
      </c>
      <c r="Z93" s="163">
        <f>Table11[[#This Row],['#Planted]]*Table11[[#This Row],[USA Allocation %]]</f>
        <v>2560</v>
      </c>
      <c r="AA93" s="34">
        <v>0.36</v>
      </c>
      <c r="AB93" s="163">
        <f>Table11[[#This Row],['#TreesContract]]*0.36</f>
        <v>1440</v>
      </c>
      <c r="AC93" s="34"/>
      <c r="AD93" s="163"/>
      <c r="AE93" s="163">
        <f>Table11[[#This Row],[Canada Allocation-tree '#''s]]+Table11[[#This Row],[Can trees/Allocation 2017]]</f>
        <v>1440</v>
      </c>
      <c r="AF93" s="5">
        <v>0</v>
      </c>
      <c r="AG93" s="35">
        <v>0</v>
      </c>
      <c r="AH93" s="35">
        <f>Table11[[#This Row],['#Trees as of 12/31/23]]*Table11[[#This Row],[USA Allocation %]]</f>
        <v>0</v>
      </c>
      <c r="AI93" s="404">
        <f>Table11[[#This Row],['#TreesContract]]*Table11[[#This Row],[2024 Inventory Survival%-master]]</f>
        <v>0</v>
      </c>
      <c r="AJ93" s="5"/>
      <c r="AK93" s="5">
        <v>0</v>
      </c>
      <c r="AL93" s="5">
        <v>0</v>
      </c>
      <c r="AM93" s="35">
        <f>AK93*Table11[[#This Row],['#TreesContract]]</f>
        <v>0</v>
      </c>
      <c r="AN93" s="35">
        <f>Table11[[#This Row],[2024 '#Trees Inventory + Estimate]]*Table11[[#This Row],[USA Allocation %]]</f>
        <v>0</v>
      </c>
      <c r="AO93" s="35">
        <f>Table11[[#This Row],[2024 '#Trees Inventory + Estimate]]*Table11[[#This Row],[Canada Allocation %]]</f>
        <v>0</v>
      </c>
      <c r="AP93" s="35">
        <f>Table11[[#This Row],[2024 '#Trees Inventory + Estimate]]*Table11[[#This Row],[Canada Allocation2017 %]]</f>
        <v>0</v>
      </c>
      <c r="AQ93" s="35">
        <f>Table11[[#This Row],['#Trees as of 2024/estimate-Can allocation]]+Table11[[#This Row],['#Trees as of 2024/estimate-Can allocation 2017]]</f>
        <v>0</v>
      </c>
      <c r="AR93" s="1" t="s">
        <v>234</v>
      </c>
      <c r="AS93" s="2"/>
      <c r="AT93" s="6">
        <f>IFERROR(Table11[[#This Row],['#Total Replacements]]/Table11[[#This Row],['#TreesContract]],"")</f>
        <v>0</v>
      </c>
      <c r="AU93" s="4">
        <f>IF(SUM(Table11[[#This Row],['#Replace 24]:['#Replace 16]])=0,0,SUM(Table11[[#This Row],['#Replace 24]:['#Replace 16]]))</f>
        <v>0</v>
      </c>
      <c r="AV93" s="2"/>
      <c r="AW93" s="2"/>
      <c r="AX93" s="3"/>
      <c r="AY93" s="2"/>
      <c r="AZ93" s="2"/>
      <c r="BA93" s="2"/>
      <c r="BB93" s="2"/>
      <c r="BC93" s="2"/>
      <c r="BD93" s="2"/>
      <c r="BE93" s="2"/>
      <c r="BF93" s="3">
        <v>1</v>
      </c>
      <c r="BG93" s="3">
        <v>1</v>
      </c>
      <c r="BH93" s="2"/>
      <c r="BI93" s="2"/>
      <c r="BJ93" s="2"/>
      <c r="BK93" s="139">
        <f>Table11[[#This Row],[Average MHT
(Feet)]]/16</f>
        <v>0</v>
      </c>
      <c r="BL93" s="2"/>
      <c r="BM93" s="139">
        <f>Table11[[#This Row],[Average DBH
(inches)]]/18</f>
        <v>0</v>
      </c>
      <c r="BN93" s="235">
        <f>((Table11[[#This Row],[Average DBH
(inches)]]-4)^2)*(Table11[[#This Row],[Average MHT
(Feet)]]/16)</f>
        <v>0</v>
      </c>
      <c r="BO93" s="235">
        <f>Table11[[#This Row],[Average BF]]*Table11[[#This Row],[2024 '#Trees Inventory + Estimate]]</f>
        <v>0</v>
      </c>
      <c r="BP93" s="240">
        <f>(Table11[[#This Row],[Harvest Year
(10 year)]]-Table11[[#This Row],[Year of Inventory]]+1)*(Table11[[#This Row],[Average DBH
(inches)]]/(Table11[[#This Row],[Harvest Year
(10 year)]]-Table11[[#This Row],[Year of Inventory]]+1))+Table11[[#This Row],[Average DBH
(inches)]]</f>
        <v>0</v>
      </c>
      <c r="BQ93" s="235">
        <f>((Table11[[#This Row],[Projected DBH
(Extrapolated Growth/Year)]]-4)^2)*(Table11[[#This Row],[Average MHT
(Feet)]]/16)</f>
        <v>0</v>
      </c>
      <c r="BR93" s="235">
        <f>Table11[[#This Row],[Projected Average BF]]*Table11[[#This Row],[2024 '#Trees Inventory + Estimate]]</f>
        <v>0</v>
      </c>
      <c r="BS93" s="235">
        <f>196*Table11[[#This Row],[2024 '#Trees Inventory + Estimate]]</f>
        <v>0</v>
      </c>
      <c r="BT93" s="235">
        <f>Table11[[#This Row],[ETP Offering Expected BF]]-Table11[[#This Row],[Projected Total BF]]</f>
        <v>0</v>
      </c>
      <c r="BU93" s="235">
        <f>(18-Table11[[#This Row],[Average DBH
(inches)]])/(D93-Table11[[#This Row],[Year of Inventory]]+1)</f>
        <v>8.8713652045342532E-3</v>
      </c>
    </row>
    <row r="94" spans="1:73" x14ac:dyDescent="0.25">
      <c r="A94" s="7" t="s">
        <v>516</v>
      </c>
      <c r="B94" s="2">
        <v>2018</v>
      </c>
      <c r="C94" s="2">
        <v>2019</v>
      </c>
      <c r="D94" s="2">
        <v>0</v>
      </c>
      <c r="E94" t="s">
        <v>517</v>
      </c>
      <c r="F94" s="161">
        <v>20074</v>
      </c>
      <c r="G94" t="s">
        <v>517</v>
      </c>
      <c r="H94" s="357"/>
      <c r="I94" t="s">
        <v>160</v>
      </c>
      <c r="J94" s="1"/>
      <c r="K94" s="1"/>
      <c r="L94" s="1"/>
      <c r="M94" s="1" t="s">
        <v>213</v>
      </c>
      <c r="Q94" s="2"/>
      <c r="R94" s="86"/>
      <c r="S94" s="2"/>
      <c r="T94" s="1">
        <v>500</v>
      </c>
      <c r="U94" s="1">
        <v>500</v>
      </c>
      <c r="V94" s="1" t="str">
        <f>IF(Table11[[#This Row],['#TreesContract]]-Table11[[#This Row],['#Planted]]=0,"",Table11[[#This Row],['#TreesContract]]-Table11[[#This Row],['#Planted]])</f>
        <v/>
      </c>
      <c r="W94" s="2"/>
      <c r="X94" s="34">
        <v>0.64</v>
      </c>
      <c r="Y94" s="163">
        <f>Table11[[#This Row],['#TreesContract]]*Table11[[#This Row],[USA Allocation %]]</f>
        <v>320</v>
      </c>
      <c r="Z94" s="163">
        <f>Table11[[#This Row],['#Planted]]*Table11[[#This Row],[USA Allocation %]]</f>
        <v>320</v>
      </c>
      <c r="AA94" s="34">
        <v>0.36</v>
      </c>
      <c r="AB94" s="163">
        <f>Table11[[#This Row],['#TreesContract]]*0.36</f>
        <v>180</v>
      </c>
      <c r="AC94" s="34"/>
      <c r="AD94" s="163"/>
      <c r="AE94" s="163">
        <f>Table11[[#This Row],[Canada Allocation-tree '#''s]]+Table11[[#This Row],[Can trees/Allocation 2017]]</f>
        <v>180</v>
      </c>
      <c r="AF94" s="5">
        <v>0</v>
      </c>
      <c r="AG94" s="35">
        <v>0</v>
      </c>
      <c r="AH94" s="35">
        <f>Table11[[#This Row],['#Trees as of 12/31/23]]*Table11[[#This Row],[USA Allocation %]]</f>
        <v>0</v>
      </c>
      <c r="AI94" s="404">
        <f>Table11[[#This Row],['#TreesContract]]*Table11[[#This Row],[2024 Inventory Survival%-master]]</f>
        <v>0</v>
      </c>
      <c r="AJ94" s="5">
        <v>0</v>
      </c>
      <c r="AK94" s="5">
        <v>0</v>
      </c>
      <c r="AL94" s="5">
        <v>0</v>
      </c>
      <c r="AM94" s="35">
        <v>0</v>
      </c>
      <c r="AN94" s="35">
        <f>Table11[[#This Row],[2024 '#Trees Inventory + Estimate]]*Table11[[#This Row],[USA Allocation %]]</f>
        <v>0</v>
      </c>
      <c r="AO94" s="35">
        <f>Table11[[#This Row],[2024 '#Trees Inventory + Estimate]]*Table11[[#This Row],[Canada Allocation %]]</f>
        <v>0</v>
      </c>
      <c r="AP94" s="35">
        <f>Table11[[#This Row],[2024 '#Trees Inventory + Estimate]]*Table11[[#This Row],[Canada Allocation2017 %]]</f>
        <v>0</v>
      </c>
      <c r="AQ94" s="35">
        <f>Table11[[#This Row],['#Trees as of 2024/estimate-Can allocation]]+Table11[[#This Row],['#Trees as of 2024/estimate-Can allocation 2017]]</f>
        <v>0</v>
      </c>
      <c r="AR94" s="1" t="s">
        <v>234</v>
      </c>
      <c r="AS94" s="2"/>
      <c r="AT94" s="6">
        <f>IFERROR(Table11[[#This Row],['#Total Replacements]]/Table11[[#This Row],['#TreesContract]],"")</f>
        <v>0</v>
      </c>
      <c r="AU94" s="4">
        <f>IF(SUM(Table11[[#This Row],['#Replace 24]:['#Replace 16]])=0,0,SUM(Table11[[#This Row],['#Replace 24]:['#Replace 16]]))</f>
        <v>0</v>
      </c>
      <c r="AV94" s="2"/>
      <c r="AW94" s="2"/>
      <c r="AX94" s="3"/>
      <c r="AY94" s="2"/>
      <c r="AZ94" s="2"/>
      <c r="BA94" s="2"/>
      <c r="BB94" s="2"/>
      <c r="BC94" s="2"/>
      <c r="BD94" s="2"/>
      <c r="BE94" s="2"/>
      <c r="BF94" s="3">
        <v>1</v>
      </c>
      <c r="BG94" s="3"/>
      <c r="BH94" s="2"/>
      <c r="BI94" s="158"/>
      <c r="BJ94" s="158"/>
      <c r="BK94" s="139">
        <f>Table11[[#This Row],[Average MHT
(Feet)]]/16</f>
        <v>0</v>
      </c>
      <c r="BL94" s="2"/>
      <c r="BM94" s="139">
        <f>Table11[[#This Row],[Average DBH
(inches)]]/18</f>
        <v>0</v>
      </c>
      <c r="BN94" s="235">
        <f>((Table11[[#This Row],[Average DBH
(inches)]]-4)^2)*(Table11[[#This Row],[Average MHT
(Feet)]]/16)</f>
        <v>0</v>
      </c>
      <c r="BO94" s="235">
        <f>Table11[[#This Row],[Average BF]]*Table11[[#This Row],[2024 '#Trees Inventory + Estimate]]</f>
        <v>0</v>
      </c>
      <c r="BP94" s="240">
        <f>(Table11[[#This Row],[Harvest Year
(10 year)]]-Table11[[#This Row],[Year of Inventory]]+1)*(Table11[[#This Row],[Average DBH
(inches)]]/(Table11[[#This Row],[Harvest Year
(10 year)]]-Table11[[#This Row],[Year of Inventory]]+1))+Table11[[#This Row],[Average DBH
(inches)]]</f>
        <v>0</v>
      </c>
      <c r="BQ94" s="235">
        <f>((Table11[[#This Row],[Projected DBH
(Extrapolated Growth/Year)]]-4)^2)*(Table11[[#This Row],[Average MHT
(Feet)]]/16)</f>
        <v>0</v>
      </c>
      <c r="BR94" s="235">
        <f>Table11[[#This Row],[Projected Average BF]]*Table11[[#This Row],[2024 '#Trees Inventory + Estimate]]</f>
        <v>0</v>
      </c>
      <c r="BS94" s="235">
        <f>196*Table11[[#This Row],[2024 '#Trees Inventory + Estimate]]</f>
        <v>0</v>
      </c>
      <c r="BT94" s="235">
        <f>Table11[[#This Row],[ETP Offering Expected BF]]-Table11[[#This Row],[Projected Total BF]]</f>
        <v>0</v>
      </c>
      <c r="BU94" s="235">
        <f>(18-Table11[[#This Row],[Average DBH
(inches)]])/(D94-Table11[[#This Row],[Year of Inventory]]+1)</f>
        <v>18</v>
      </c>
    </row>
    <row r="95" spans="1:73" x14ac:dyDescent="0.25">
      <c r="A95" s="7" t="s">
        <v>518</v>
      </c>
      <c r="B95" s="2">
        <v>2018</v>
      </c>
      <c r="C95" s="2">
        <v>2019</v>
      </c>
      <c r="D95" s="2">
        <f>Table11[[#This Row],[Planting Year]]+9</f>
        <v>2028</v>
      </c>
      <c r="E95" t="s">
        <v>519</v>
      </c>
      <c r="F95" s="161">
        <v>20075</v>
      </c>
      <c r="G95" t="s">
        <v>520</v>
      </c>
      <c r="H95" s="357" t="s">
        <v>521</v>
      </c>
      <c r="I95" t="s">
        <v>147</v>
      </c>
      <c r="J95" s="1" t="s">
        <v>522</v>
      </c>
      <c r="K95" s="1" t="s">
        <v>523</v>
      </c>
      <c r="L95" s="1">
        <v>0</v>
      </c>
      <c r="M95" s="1" t="s">
        <v>213</v>
      </c>
      <c r="N95" t="s">
        <v>524</v>
      </c>
      <c r="O95">
        <v>9.8080263490000004</v>
      </c>
      <c r="P95">
        <v>-84.116040002700004</v>
      </c>
      <c r="Q95" s="2"/>
      <c r="R95" s="86"/>
      <c r="S95" s="2"/>
      <c r="T95" s="1">
        <v>4000</v>
      </c>
      <c r="U95" s="1">
        <v>4000</v>
      </c>
      <c r="V95" s="1" t="str">
        <f>IF(Table11[[#This Row],['#TreesContract]]-Table11[[#This Row],['#Planted]]=0,"",Table11[[#This Row],['#TreesContract]]-Table11[[#This Row],['#Planted]])</f>
        <v/>
      </c>
      <c r="W95" s="2"/>
      <c r="X95" s="34">
        <v>0.64</v>
      </c>
      <c r="Y95" s="163">
        <f>Table11[[#This Row],['#TreesContract]]*Table11[[#This Row],[USA Allocation %]]</f>
        <v>2560</v>
      </c>
      <c r="Z95" s="163">
        <f>Table11[[#This Row],['#Planted]]*Table11[[#This Row],[USA Allocation %]]</f>
        <v>2560</v>
      </c>
      <c r="AA95" s="34">
        <v>0.36</v>
      </c>
      <c r="AB95" s="163">
        <f>Table11[[#This Row],['#TreesContract]]*0.36</f>
        <v>1440</v>
      </c>
      <c r="AC95" s="34"/>
      <c r="AD95" s="163"/>
      <c r="AE95" s="163">
        <f>Table11[[#This Row],[Canada Allocation-tree '#''s]]+Table11[[#This Row],[Can trees/Allocation 2017]]</f>
        <v>1440</v>
      </c>
      <c r="AF95" s="5">
        <v>0.39</v>
      </c>
      <c r="AG95" s="35">
        <v>1560</v>
      </c>
      <c r="AH95" s="35">
        <f>Table11[[#This Row],['#Trees as of 12/31/23]]*Table11[[#This Row],[USA Allocation %]]</f>
        <v>998.4</v>
      </c>
      <c r="AI95" s="404">
        <f>Table11[[#This Row],['#TreesContract]]*Table11[[#This Row],[2024 Inventory Survival%-master]]</f>
        <v>0</v>
      </c>
      <c r="AJ95" s="5"/>
      <c r="AK95" s="5">
        <v>0.39</v>
      </c>
      <c r="AL95" s="5">
        <v>0.39</v>
      </c>
      <c r="AM95" s="35">
        <f>AK95*Table11[[#This Row],['#TreesContract]]</f>
        <v>1560</v>
      </c>
      <c r="AN95" s="35">
        <f>Table11[[#This Row],[2024 '#Trees Inventory + Estimate]]*Table11[[#This Row],[USA Allocation %]]</f>
        <v>998.4</v>
      </c>
      <c r="AO95" s="35">
        <f>Table11[[#This Row],[2024 '#Trees Inventory + Estimate]]*Table11[[#This Row],[Canada Allocation %]]</f>
        <v>561.6</v>
      </c>
      <c r="AP95" s="35">
        <f>Table11[[#This Row],[2024 '#Trees Inventory + Estimate]]*Table11[[#This Row],[Canada Allocation2017 %]]</f>
        <v>0</v>
      </c>
      <c r="AQ95" s="35">
        <f>Table11[[#This Row],['#Trees as of 2024/estimate-Can allocation]]+Table11[[#This Row],['#Trees as of 2024/estimate-Can allocation 2017]]</f>
        <v>561.6</v>
      </c>
      <c r="AR95" s="1" t="s">
        <v>398</v>
      </c>
      <c r="AS95" s="2"/>
      <c r="AT95" s="6">
        <f>IFERROR(Table11[[#This Row],['#Total Replacements]]/Table11[[#This Row],['#TreesContract]],"")</f>
        <v>0.28125</v>
      </c>
      <c r="AU95" s="4">
        <f>IF(SUM(Table11[[#This Row],['#Replace 24]:['#Replace 16]])=0,0,SUM(Table11[[#This Row],['#Replace 24]:['#Replace 16]]))</f>
        <v>1125</v>
      </c>
      <c r="AV95" s="2"/>
      <c r="AW95" s="2"/>
      <c r="AX95" s="3"/>
      <c r="AY95" s="2"/>
      <c r="AZ95" s="2"/>
      <c r="BA95" s="2">
        <v>1125</v>
      </c>
      <c r="BB95" s="2"/>
      <c r="BC95" s="2"/>
      <c r="BD95" s="2"/>
      <c r="BE95" s="2"/>
      <c r="BF95" s="3">
        <v>1</v>
      </c>
      <c r="BG95" s="3">
        <v>1</v>
      </c>
      <c r="BH95" s="2"/>
      <c r="BI95" s="2"/>
      <c r="BJ95" s="2"/>
      <c r="BK95" s="139">
        <f>Table11[[#This Row],[Average MHT
(Feet)]]/16</f>
        <v>0</v>
      </c>
      <c r="BL95" s="2"/>
      <c r="BM95" s="139">
        <f>Table11[[#This Row],[Average DBH
(inches)]]/18</f>
        <v>0</v>
      </c>
      <c r="BN95" s="235">
        <f>((Table11[[#This Row],[Average DBH
(inches)]]-4)^2)*(Table11[[#This Row],[Average MHT
(Feet)]]/16)</f>
        <v>0</v>
      </c>
      <c r="BO95" s="235">
        <f>Table11[[#This Row],[Average BF]]*Table11[[#This Row],[2024 '#Trees Inventory + Estimate]]</f>
        <v>0</v>
      </c>
      <c r="BP95" s="240">
        <f>(Table11[[#This Row],[Harvest Year
(10 year)]]-Table11[[#This Row],[Year of Inventory]]+1)*(Table11[[#This Row],[Average DBH
(inches)]]/(Table11[[#This Row],[Harvest Year
(10 year)]]-Table11[[#This Row],[Year of Inventory]]+1))+Table11[[#This Row],[Average DBH
(inches)]]</f>
        <v>0</v>
      </c>
      <c r="BQ95" s="235">
        <f>((Table11[[#This Row],[Projected DBH
(Extrapolated Growth/Year)]]-4)^2)*(Table11[[#This Row],[Average MHT
(Feet)]]/16)</f>
        <v>0</v>
      </c>
      <c r="BR95" s="235">
        <f>Table11[[#This Row],[Projected Average BF]]*Table11[[#This Row],[2024 '#Trees Inventory + Estimate]]</f>
        <v>0</v>
      </c>
      <c r="BS95" s="235">
        <f>196*Table11[[#This Row],[2024 '#Trees Inventory + Estimate]]</f>
        <v>305760</v>
      </c>
      <c r="BT95" s="235">
        <f>Table11[[#This Row],[ETP Offering Expected BF]]-Table11[[#This Row],[Projected Total BF]]</f>
        <v>305760</v>
      </c>
      <c r="BU95" s="235">
        <f>(18-Table11[[#This Row],[Average DBH
(inches)]])/(D95-Table11[[#This Row],[Year of Inventory]]+1)</f>
        <v>8.8713652045342532E-3</v>
      </c>
    </row>
    <row r="96" spans="1:73" x14ac:dyDescent="0.25">
      <c r="A96" s="7" t="s">
        <v>525</v>
      </c>
      <c r="B96" s="2">
        <v>2018</v>
      </c>
      <c r="C96" s="2">
        <v>2019</v>
      </c>
      <c r="D96" s="2">
        <f>Table11[[#This Row],[Planting Year]]+9</f>
        <v>2028</v>
      </c>
      <c r="E96" t="s">
        <v>526</v>
      </c>
      <c r="F96" s="161">
        <v>20076</v>
      </c>
      <c r="G96" t="s">
        <v>527</v>
      </c>
      <c r="H96" s="357">
        <v>50683114275</v>
      </c>
      <c r="I96" t="s">
        <v>147</v>
      </c>
      <c r="J96" s="1" t="s">
        <v>528</v>
      </c>
      <c r="K96" s="1" t="s">
        <v>529</v>
      </c>
      <c r="L96" s="1" t="s">
        <v>530</v>
      </c>
      <c r="M96" s="1" t="s">
        <v>213</v>
      </c>
      <c r="N96" t="s">
        <v>530</v>
      </c>
      <c r="O96">
        <v>10.144290352800001</v>
      </c>
      <c r="P96">
        <v>-84.338890010499995</v>
      </c>
      <c r="Q96" s="2"/>
      <c r="R96" s="86"/>
      <c r="S96" s="2"/>
      <c r="T96" s="1">
        <v>1000</v>
      </c>
      <c r="U96" s="1">
        <v>1000</v>
      </c>
      <c r="V96" s="1" t="str">
        <f>IF(Table11[[#This Row],['#TreesContract]]-Table11[[#This Row],['#Planted]]=0,"",Table11[[#This Row],['#TreesContract]]-Table11[[#This Row],['#Planted]])</f>
        <v/>
      </c>
      <c r="W96" s="2"/>
      <c r="X96" s="34">
        <v>0.64</v>
      </c>
      <c r="Y96" s="163">
        <f>Table11[[#This Row],['#TreesContract]]*Table11[[#This Row],[USA Allocation %]]</f>
        <v>640</v>
      </c>
      <c r="Z96" s="163">
        <f>Table11[[#This Row],['#Planted]]*Table11[[#This Row],[USA Allocation %]]</f>
        <v>640</v>
      </c>
      <c r="AA96" s="34">
        <v>0.36</v>
      </c>
      <c r="AB96" s="163">
        <f>Table11[[#This Row],['#TreesContract]]*0.36</f>
        <v>360</v>
      </c>
      <c r="AC96" s="34"/>
      <c r="AD96" s="163"/>
      <c r="AE96" s="163">
        <f>Table11[[#This Row],[Canada Allocation-tree '#''s]]+Table11[[#This Row],[Can trees/Allocation 2017]]</f>
        <v>360</v>
      </c>
      <c r="AF96" s="5">
        <v>0.6186544270833334</v>
      </c>
      <c r="AG96" s="35">
        <v>618.65442708333342</v>
      </c>
      <c r="AH96" s="35">
        <f>Table11[[#This Row],['#Trees as of 12/31/23]]*Table11[[#This Row],[USA Allocation %]]</f>
        <v>395.93883333333338</v>
      </c>
      <c r="AI96" s="404">
        <f>Table11[[#This Row],['#TreesContract]]*Table11[[#This Row],[2024 Inventory Survival%-master]]</f>
        <v>0</v>
      </c>
      <c r="AJ96" s="5"/>
      <c r="AK96" s="5">
        <v>0.6186544270833334</v>
      </c>
      <c r="AL96" s="5">
        <v>0.62</v>
      </c>
      <c r="AM96" s="35">
        <f>AK96*Table11[[#This Row],['#TreesContract]]</f>
        <v>618.65442708333342</v>
      </c>
      <c r="AN96" s="35">
        <f>Table11[[#This Row],[2024 '#Trees Inventory + Estimate]]*Table11[[#This Row],[USA Allocation %]]</f>
        <v>395.93883333333338</v>
      </c>
      <c r="AO96" s="35">
        <f>Table11[[#This Row],[2024 '#Trees Inventory + Estimate]]*Table11[[#This Row],[Canada Allocation %]]</f>
        <v>222.71559375000001</v>
      </c>
      <c r="AP96" s="35">
        <f>Table11[[#This Row],[2024 '#Trees Inventory + Estimate]]*Table11[[#This Row],[Canada Allocation2017 %]]</f>
        <v>0</v>
      </c>
      <c r="AQ96" s="35">
        <f>Table11[[#This Row],['#Trees as of 2024/estimate-Can allocation]]+Table11[[#This Row],['#Trees as of 2024/estimate-Can allocation 2017]]</f>
        <v>222.71559375000001</v>
      </c>
      <c r="AR96" s="1" t="s">
        <v>531</v>
      </c>
      <c r="AS96" s="2"/>
      <c r="AT96" s="6">
        <f>IFERROR(Table11[[#This Row],['#Total Replacements]]/Table11[[#This Row],['#TreesContract]],"")</f>
        <v>0.65500000000000003</v>
      </c>
      <c r="AU96" s="4">
        <f>IF(SUM(Table11[[#This Row],['#Replace 24]:['#Replace 16]])=0,0,SUM(Table11[[#This Row],['#Replace 24]:['#Replace 16]]))</f>
        <v>655</v>
      </c>
      <c r="AV96" s="2"/>
      <c r="AW96" s="2"/>
      <c r="AX96" s="3"/>
      <c r="AY96" s="2"/>
      <c r="AZ96" s="2">
        <v>155</v>
      </c>
      <c r="BA96" s="2">
        <v>500</v>
      </c>
      <c r="BB96" s="2"/>
      <c r="BC96" s="2"/>
      <c r="BD96" s="2"/>
      <c r="BE96" s="2"/>
      <c r="BF96" s="3">
        <v>1</v>
      </c>
      <c r="BG96" s="3">
        <v>1</v>
      </c>
      <c r="BH96" s="2"/>
      <c r="BI96" s="158"/>
      <c r="BJ96" s="158"/>
      <c r="BK96" s="139">
        <f>Table11[[#This Row],[Average MHT
(Feet)]]/16</f>
        <v>0</v>
      </c>
      <c r="BL96" s="2"/>
      <c r="BM96" s="139">
        <f>Table11[[#This Row],[Average DBH
(inches)]]/18</f>
        <v>0</v>
      </c>
      <c r="BN96" s="235">
        <f>((Table11[[#This Row],[Average DBH
(inches)]]-4)^2)*(Table11[[#This Row],[Average MHT
(Feet)]]/16)</f>
        <v>0</v>
      </c>
      <c r="BO96" s="235">
        <f>Table11[[#This Row],[Average BF]]*Table11[[#This Row],[2024 '#Trees Inventory + Estimate]]</f>
        <v>0</v>
      </c>
      <c r="BP96" s="240">
        <f>(Table11[[#This Row],[Harvest Year
(10 year)]]-Table11[[#This Row],[Year of Inventory]]+1)*(Table11[[#This Row],[Average DBH
(inches)]]/(Table11[[#This Row],[Harvest Year
(10 year)]]-Table11[[#This Row],[Year of Inventory]]+1))+Table11[[#This Row],[Average DBH
(inches)]]</f>
        <v>0</v>
      </c>
      <c r="BQ96" s="235">
        <f>((Table11[[#This Row],[Projected DBH
(Extrapolated Growth/Year)]]-4)^2)*(Table11[[#This Row],[Average MHT
(Feet)]]/16)</f>
        <v>0</v>
      </c>
      <c r="BR96" s="235">
        <f>Table11[[#This Row],[Projected Average BF]]*Table11[[#This Row],[2024 '#Trees Inventory + Estimate]]</f>
        <v>0</v>
      </c>
      <c r="BS96" s="235">
        <f>196*Table11[[#This Row],[2024 '#Trees Inventory + Estimate]]</f>
        <v>121256.26770833335</v>
      </c>
      <c r="BT96" s="235">
        <f>Table11[[#This Row],[ETP Offering Expected BF]]-Table11[[#This Row],[Projected Total BF]]</f>
        <v>121256.26770833335</v>
      </c>
      <c r="BU96" s="235">
        <f>(18-Table11[[#This Row],[Average DBH
(inches)]])/(D96-Table11[[#This Row],[Year of Inventory]]+1)</f>
        <v>8.8713652045342532E-3</v>
      </c>
    </row>
    <row r="97" spans="1:73" x14ac:dyDescent="0.25">
      <c r="A97" s="7" t="s">
        <v>532</v>
      </c>
      <c r="B97" s="2">
        <v>2018</v>
      </c>
      <c r="C97" s="2">
        <v>2019</v>
      </c>
      <c r="D97" s="2">
        <f>Table11[[#This Row],[Planting Year]]+9</f>
        <v>2028</v>
      </c>
      <c r="E97" t="s">
        <v>533</v>
      </c>
      <c r="F97" s="161">
        <v>20077</v>
      </c>
      <c r="G97" t="s">
        <v>533</v>
      </c>
      <c r="H97" s="357">
        <v>50689424551</v>
      </c>
      <c r="I97" t="s">
        <v>160</v>
      </c>
      <c r="J97" s="1" t="s">
        <v>534</v>
      </c>
      <c r="K97" s="1" t="s">
        <v>535</v>
      </c>
      <c r="L97" s="1" t="s">
        <v>536</v>
      </c>
      <c r="M97" s="1" t="s">
        <v>213</v>
      </c>
      <c r="N97" t="s">
        <v>536</v>
      </c>
      <c r="O97">
        <v>8.81043499972</v>
      </c>
      <c r="P97">
        <v>-82.985515000099994</v>
      </c>
      <c r="Q97" s="2"/>
      <c r="R97" s="86"/>
      <c r="S97" s="2"/>
      <c r="T97" s="1">
        <v>1000</v>
      </c>
      <c r="U97" s="1">
        <v>1000</v>
      </c>
      <c r="V97" s="1" t="str">
        <f>IF(Table11[[#This Row],['#TreesContract]]-Table11[[#This Row],['#Planted]]=0,"",Table11[[#This Row],['#TreesContract]]-Table11[[#This Row],['#Planted]])</f>
        <v/>
      </c>
      <c r="W97" s="2"/>
      <c r="X97" s="34">
        <v>0.64</v>
      </c>
      <c r="Y97" s="163">
        <f>Table11[[#This Row],['#TreesContract]]*Table11[[#This Row],[USA Allocation %]]</f>
        <v>640</v>
      </c>
      <c r="Z97" s="163">
        <f>Table11[[#This Row],['#Planted]]*Table11[[#This Row],[USA Allocation %]]</f>
        <v>640</v>
      </c>
      <c r="AA97" s="34">
        <v>0.36</v>
      </c>
      <c r="AB97" s="163">
        <f>Table11[[#This Row],['#TreesContract]]*0.36</f>
        <v>360</v>
      </c>
      <c r="AC97" s="34"/>
      <c r="AD97" s="163"/>
      <c r="AE97" s="163">
        <f>Table11[[#This Row],[Canada Allocation-tree '#''s]]+Table11[[#This Row],[Can trees/Allocation 2017]]</f>
        <v>360</v>
      </c>
      <c r="AF97" s="5">
        <v>1</v>
      </c>
      <c r="AG97" s="35">
        <v>1000</v>
      </c>
      <c r="AH97" s="35">
        <f>Table11[[#This Row],['#Trees as of 12/31/23]]*Table11[[#This Row],[USA Allocation %]]</f>
        <v>640</v>
      </c>
      <c r="AI97" s="404">
        <f>Table11[[#This Row],['#TreesContract]]*Table11[[#This Row],[2024 Inventory Survival%-master]]</f>
        <v>0</v>
      </c>
      <c r="AJ97" s="5">
        <v>0</v>
      </c>
      <c r="AK97" s="5">
        <v>0</v>
      </c>
      <c r="AL97" s="5">
        <v>0</v>
      </c>
      <c r="AM97" s="35">
        <f>AK97*Table11[[#This Row],['#TreesContract]]</f>
        <v>0</v>
      </c>
      <c r="AN97" s="35">
        <f>Table11[[#This Row],[2024 '#Trees Inventory + Estimate]]*Table11[[#This Row],[USA Allocation %]]</f>
        <v>0</v>
      </c>
      <c r="AO97" s="35">
        <f>Table11[[#This Row],[2024 '#Trees Inventory + Estimate]]*Table11[[#This Row],[Canada Allocation %]]</f>
        <v>0</v>
      </c>
      <c r="AP97" s="35">
        <f>Table11[[#This Row],[2024 '#Trees Inventory + Estimate]]*Table11[[#This Row],[Canada Allocation2017 %]]</f>
        <v>0</v>
      </c>
      <c r="AQ97" s="35">
        <f>Table11[[#This Row],['#Trees as of 2024/estimate-Can allocation]]+Table11[[#This Row],['#Trees as of 2024/estimate-Can allocation 2017]]</f>
        <v>0</v>
      </c>
      <c r="AR97" s="1" t="s">
        <v>234</v>
      </c>
      <c r="AS97" s="2"/>
      <c r="AT97" s="6">
        <f>IFERROR(Table11[[#This Row],['#Total Replacements]]/Table11[[#This Row],['#TreesContract]],"")</f>
        <v>1.1499999999999999</v>
      </c>
      <c r="AU97" s="4">
        <f>IF(SUM(Table11[[#This Row],['#Replace 24]:['#Replace 16]])=0,0,SUM(Table11[[#This Row],['#Replace 24]:['#Replace 16]]))</f>
        <v>1150</v>
      </c>
      <c r="AV97" s="2"/>
      <c r="AW97" s="2"/>
      <c r="AX97" s="3"/>
      <c r="AY97" s="2">
        <v>900</v>
      </c>
      <c r="AZ97" s="2"/>
      <c r="BA97" s="2">
        <v>250</v>
      </c>
      <c r="BB97" s="2"/>
      <c r="BC97" s="2"/>
      <c r="BD97" s="2"/>
      <c r="BE97" s="2"/>
      <c r="BF97" s="3">
        <v>1</v>
      </c>
      <c r="BG97" s="3">
        <v>1</v>
      </c>
      <c r="BH97" s="2"/>
      <c r="BI97" s="158"/>
      <c r="BJ97" s="158"/>
      <c r="BK97" s="139">
        <f>Table11[[#This Row],[Average MHT
(Feet)]]/16</f>
        <v>0</v>
      </c>
      <c r="BL97" s="2"/>
      <c r="BM97" s="139">
        <f>Table11[[#This Row],[Average DBH
(inches)]]/18</f>
        <v>0</v>
      </c>
      <c r="BN97" s="235">
        <f>((Table11[[#This Row],[Average DBH
(inches)]]-4)^2)*(Table11[[#This Row],[Average MHT
(Feet)]]/16)</f>
        <v>0</v>
      </c>
      <c r="BO97" s="235">
        <f>Table11[[#This Row],[Average BF]]*Table11[[#This Row],[2024 '#Trees Inventory + Estimate]]</f>
        <v>0</v>
      </c>
      <c r="BP97" s="240">
        <f>(Table11[[#This Row],[Harvest Year
(10 year)]]-Table11[[#This Row],[Year of Inventory]]+1)*(Table11[[#This Row],[Average DBH
(inches)]]/(Table11[[#This Row],[Harvest Year
(10 year)]]-Table11[[#This Row],[Year of Inventory]]+1))+Table11[[#This Row],[Average DBH
(inches)]]</f>
        <v>0</v>
      </c>
      <c r="BQ97" s="235">
        <f>((Table11[[#This Row],[Projected DBH
(Extrapolated Growth/Year)]]-4)^2)*(Table11[[#This Row],[Average MHT
(Feet)]]/16)</f>
        <v>0</v>
      </c>
      <c r="BR97" s="235">
        <f>Table11[[#This Row],[Projected Average BF]]*Table11[[#This Row],[2024 '#Trees Inventory + Estimate]]</f>
        <v>0</v>
      </c>
      <c r="BS97" s="235">
        <f>196*Table11[[#This Row],[2024 '#Trees Inventory + Estimate]]</f>
        <v>0</v>
      </c>
      <c r="BT97" s="235">
        <f>Table11[[#This Row],[ETP Offering Expected BF]]-Table11[[#This Row],[Projected Total BF]]</f>
        <v>0</v>
      </c>
      <c r="BU97" s="235">
        <f>(18-Table11[[#This Row],[Average DBH
(inches)]])/(D97-Table11[[#This Row],[Year of Inventory]]+1)</f>
        <v>8.8713652045342532E-3</v>
      </c>
    </row>
    <row r="98" spans="1:73" x14ac:dyDescent="0.25">
      <c r="A98" s="7" t="s">
        <v>537</v>
      </c>
      <c r="B98" s="2">
        <v>2018</v>
      </c>
      <c r="C98" s="2">
        <v>2019</v>
      </c>
      <c r="D98" s="2">
        <v>0</v>
      </c>
      <c r="E98" t="s">
        <v>538</v>
      </c>
      <c r="F98" s="161">
        <v>20078</v>
      </c>
      <c r="G98" t="s">
        <v>539</v>
      </c>
      <c r="H98" s="357" t="s">
        <v>540</v>
      </c>
      <c r="I98" t="s">
        <v>160</v>
      </c>
      <c r="J98" s="1" t="s">
        <v>541</v>
      </c>
      <c r="K98" s="1" t="s">
        <v>542</v>
      </c>
      <c r="L98" s="1" t="s">
        <v>543</v>
      </c>
      <c r="M98" s="1" t="s">
        <v>213</v>
      </c>
      <c r="N98" t="s">
        <v>543</v>
      </c>
      <c r="O98">
        <v>8.8454350000000002</v>
      </c>
      <c r="P98">
        <v>-82.895747999999998</v>
      </c>
      <c r="Q98" s="2"/>
      <c r="R98" s="86"/>
      <c r="S98" s="2"/>
      <c r="T98" s="1">
        <v>1700</v>
      </c>
      <c r="U98" s="1">
        <v>1700</v>
      </c>
      <c r="V98" s="1" t="str">
        <f>IF(Table11[[#This Row],['#TreesContract]]-Table11[[#This Row],['#Planted]]=0,"",Table11[[#This Row],['#TreesContract]]-Table11[[#This Row],['#Planted]])</f>
        <v/>
      </c>
      <c r="W98" s="2"/>
      <c r="X98" s="34">
        <v>0.64</v>
      </c>
      <c r="Y98" s="163">
        <f>Table11[[#This Row],['#TreesContract]]*Table11[[#This Row],[USA Allocation %]]</f>
        <v>1088</v>
      </c>
      <c r="Z98" s="163">
        <f>Table11[[#This Row],['#Planted]]*Table11[[#This Row],[USA Allocation %]]</f>
        <v>1088</v>
      </c>
      <c r="AA98" s="34">
        <v>0.36</v>
      </c>
      <c r="AB98" s="163">
        <f>Table11[[#This Row],['#TreesContract]]*0.36</f>
        <v>612</v>
      </c>
      <c r="AC98" s="34"/>
      <c r="AD98" s="163"/>
      <c r="AE98" s="163">
        <f>Table11[[#This Row],[Canada Allocation-tree '#''s]]+Table11[[#This Row],[Can trees/Allocation 2017]]</f>
        <v>612</v>
      </c>
      <c r="AF98" s="5">
        <v>1</v>
      </c>
      <c r="AG98" s="35">
        <v>1700</v>
      </c>
      <c r="AH98" s="35">
        <f>Table11[[#This Row],['#Trees as of 12/31/23]]*Table11[[#This Row],[USA Allocation %]]</f>
        <v>1088</v>
      </c>
      <c r="AI98" s="404">
        <f>Table11[[#This Row],['#TreesContract]]*Table11[[#This Row],[2024 Inventory Survival%-master]]</f>
        <v>0</v>
      </c>
      <c r="AJ98" s="5">
        <v>0</v>
      </c>
      <c r="AK98" s="5">
        <v>0</v>
      </c>
      <c r="AL98" s="5">
        <v>0</v>
      </c>
      <c r="AM98" s="35">
        <f>AK98*Table11[[#This Row],['#TreesContract]]</f>
        <v>0</v>
      </c>
      <c r="AN98" s="35">
        <f>Table11[[#This Row],[2024 '#Trees Inventory + Estimate]]*Table11[[#This Row],[USA Allocation %]]</f>
        <v>0</v>
      </c>
      <c r="AO98" s="35">
        <f>Table11[[#This Row],[2024 '#Trees Inventory + Estimate]]*Table11[[#This Row],[Canada Allocation %]]</f>
        <v>0</v>
      </c>
      <c r="AP98" s="35">
        <f>Table11[[#This Row],[2024 '#Trees Inventory + Estimate]]*Table11[[#This Row],[Canada Allocation2017 %]]</f>
        <v>0</v>
      </c>
      <c r="AQ98" s="35">
        <f>Table11[[#This Row],['#Trees as of 2024/estimate-Can allocation]]+Table11[[#This Row],['#Trees as of 2024/estimate-Can allocation 2017]]</f>
        <v>0</v>
      </c>
      <c r="AR98" s="1" t="s">
        <v>234</v>
      </c>
      <c r="AS98" s="2"/>
      <c r="AT98" s="6">
        <f>IFERROR(Table11[[#This Row],['#Total Replacements]]/Table11[[#This Row],['#TreesContract]],"")</f>
        <v>0.72058823529411764</v>
      </c>
      <c r="AU98" s="4">
        <f>IF(SUM(Table11[[#This Row],['#Replace 24]:['#Replace 16]])=0,0,SUM(Table11[[#This Row],['#Replace 24]:['#Replace 16]]))</f>
        <v>1225</v>
      </c>
      <c r="AV98" s="2"/>
      <c r="AW98" s="2"/>
      <c r="AX98" s="3"/>
      <c r="AY98" s="2">
        <v>800</v>
      </c>
      <c r="AZ98" s="2"/>
      <c r="BA98" s="2">
        <v>425</v>
      </c>
      <c r="BB98" s="2"/>
      <c r="BC98" s="2"/>
      <c r="BD98" s="2"/>
      <c r="BE98" s="2"/>
      <c r="BF98" s="3">
        <v>1</v>
      </c>
      <c r="BG98" s="3">
        <v>1</v>
      </c>
      <c r="BH98" s="2"/>
      <c r="BI98" s="158"/>
      <c r="BJ98" s="158"/>
      <c r="BK98" s="139">
        <f>Table11[[#This Row],[Average MHT
(Feet)]]/16</f>
        <v>0</v>
      </c>
      <c r="BL98" s="2"/>
      <c r="BM98" s="139">
        <f>Table11[[#This Row],[Average DBH
(inches)]]/18</f>
        <v>0</v>
      </c>
      <c r="BN98" s="235">
        <f>((Table11[[#This Row],[Average DBH
(inches)]]-4)^2)*(Table11[[#This Row],[Average MHT
(Feet)]]/16)</f>
        <v>0</v>
      </c>
      <c r="BO98" s="235">
        <f>Table11[[#This Row],[Average BF]]*Table11[[#This Row],[2024 '#Trees Inventory + Estimate]]</f>
        <v>0</v>
      </c>
      <c r="BP98" s="240">
        <f>(Table11[[#This Row],[Harvest Year
(10 year)]]-Table11[[#This Row],[Year of Inventory]]+1)*(Table11[[#This Row],[Average DBH
(inches)]]/(Table11[[#This Row],[Harvest Year
(10 year)]]-Table11[[#This Row],[Year of Inventory]]+1))+Table11[[#This Row],[Average DBH
(inches)]]</f>
        <v>0</v>
      </c>
      <c r="BQ98" s="235">
        <f>((Table11[[#This Row],[Projected DBH
(Extrapolated Growth/Year)]]-4)^2)*(Table11[[#This Row],[Average MHT
(Feet)]]/16)</f>
        <v>0</v>
      </c>
      <c r="BR98" s="235">
        <f>Table11[[#This Row],[Projected Average BF]]*Table11[[#This Row],[2024 '#Trees Inventory + Estimate]]</f>
        <v>0</v>
      </c>
      <c r="BS98" s="235">
        <f>196*Table11[[#This Row],[2024 '#Trees Inventory + Estimate]]</f>
        <v>0</v>
      </c>
      <c r="BT98" s="235">
        <f>Table11[[#This Row],[ETP Offering Expected BF]]-Table11[[#This Row],[Projected Total BF]]</f>
        <v>0</v>
      </c>
      <c r="BU98" s="235">
        <f>(18-Table11[[#This Row],[Average DBH
(inches)]])/(D98-Table11[[#This Row],[Year of Inventory]]+1)</f>
        <v>18</v>
      </c>
    </row>
    <row r="99" spans="1:73" x14ac:dyDescent="0.25">
      <c r="A99" s="7" t="s">
        <v>544</v>
      </c>
      <c r="B99" s="2">
        <v>2018</v>
      </c>
      <c r="C99" s="2">
        <v>2019</v>
      </c>
      <c r="D99" s="2">
        <f>Table11[[#This Row],[Planting Year]]+9</f>
        <v>2028</v>
      </c>
      <c r="E99" t="s">
        <v>545</v>
      </c>
      <c r="F99" s="161">
        <v>20079</v>
      </c>
      <c r="G99" t="s">
        <v>546</v>
      </c>
      <c r="H99" s="357" t="s">
        <v>547</v>
      </c>
      <c r="I99" t="s">
        <v>147</v>
      </c>
      <c r="J99" s="1" t="s">
        <v>548</v>
      </c>
      <c r="K99" s="1" t="s">
        <v>549</v>
      </c>
      <c r="L99" s="1" t="s">
        <v>550</v>
      </c>
      <c r="M99" s="1" t="s">
        <v>213</v>
      </c>
      <c r="N99" t="s">
        <v>550</v>
      </c>
      <c r="O99">
        <v>10.094975</v>
      </c>
      <c r="P99">
        <v>-84.256938888899995</v>
      </c>
      <c r="Q99" s="2"/>
      <c r="R99" s="86"/>
      <c r="S99" s="2"/>
      <c r="T99" s="1">
        <v>4500</v>
      </c>
      <c r="U99" s="1">
        <v>4500</v>
      </c>
      <c r="V99" s="1" t="str">
        <f>IF(Table11[[#This Row],['#TreesContract]]-Table11[[#This Row],['#Planted]]=0,"",Table11[[#This Row],['#TreesContract]]-Table11[[#This Row],['#Planted]])</f>
        <v/>
      </c>
      <c r="W99" s="2"/>
      <c r="X99" s="34">
        <v>0.64</v>
      </c>
      <c r="Y99" s="163">
        <f>Table11[[#This Row],['#TreesContract]]*Table11[[#This Row],[USA Allocation %]]</f>
        <v>2880</v>
      </c>
      <c r="Z99" s="163">
        <f>Table11[[#This Row],['#Planted]]*Table11[[#This Row],[USA Allocation %]]</f>
        <v>2880</v>
      </c>
      <c r="AA99" s="34">
        <v>0.36</v>
      </c>
      <c r="AB99" s="163">
        <f>Table11[[#This Row],['#TreesContract]]*0.36</f>
        <v>1620</v>
      </c>
      <c r="AC99" s="34"/>
      <c r="AD99" s="163"/>
      <c r="AE99" s="163">
        <f>Table11[[#This Row],[Canada Allocation-tree '#''s]]+Table11[[#This Row],[Can trees/Allocation 2017]]</f>
        <v>1620</v>
      </c>
      <c r="AF99" s="5">
        <v>0.60207975308641981</v>
      </c>
      <c r="AG99" s="35">
        <v>2709.3588888888889</v>
      </c>
      <c r="AH99" s="35">
        <f>Table11[[#This Row],['#Trees as of 12/31/23]]*Table11[[#This Row],[USA Allocation %]]</f>
        <v>1733.9896888888888</v>
      </c>
      <c r="AI99" s="404">
        <f>Table11[[#This Row],['#TreesContract]]*Table11[[#This Row],[2024 Inventory Survival%-master]]</f>
        <v>0</v>
      </c>
      <c r="AJ99" s="5"/>
      <c r="AK99" s="5">
        <v>0.60207975308641981</v>
      </c>
      <c r="AL99" s="5">
        <v>0.6</v>
      </c>
      <c r="AM99" s="35">
        <f>AK99*Table11[[#This Row],['#TreesContract]]</f>
        <v>2709.3588888888889</v>
      </c>
      <c r="AN99" s="35">
        <f>Table11[[#This Row],[2024 '#Trees Inventory + Estimate]]*Table11[[#This Row],[USA Allocation %]]</f>
        <v>1733.9896888888888</v>
      </c>
      <c r="AO99" s="35">
        <f>Table11[[#This Row],[2024 '#Trees Inventory + Estimate]]*Table11[[#This Row],[Canada Allocation %]]</f>
        <v>975.36919999999998</v>
      </c>
      <c r="AP99" s="35">
        <f>Table11[[#This Row],[2024 '#Trees Inventory + Estimate]]*Table11[[#This Row],[Canada Allocation2017 %]]</f>
        <v>0</v>
      </c>
      <c r="AQ99" s="35">
        <f>Table11[[#This Row],['#Trees as of 2024/estimate-Can allocation]]+Table11[[#This Row],['#Trees as of 2024/estimate-Can allocation 2017]]</f>
        <v>975.36919999999998</v>
      </c>
      <c r="AR99" s="1" t="s">
        <v>531</v>
      </c>
      <c r="AS99" s="2"/>
      <c r="AT99" s="6">
        <f>IFERROR(Table11[[#This Row],['#Total Replacements]]/Table11[[#This Row],['#TreesContract]],"")</f>
        <v>0.33333333333333331</v>
      </c>
      <c r="AU99" s="4">
        <f>IF(SUM(Table11[[#This Row],['#Replace 24]:['#Replace 16]])=0,0,SUM(Table11[[#This Row],['#Replace 24]:['#Replace 16]]))</f>
        <v>1500</v>
      </c>
      <c r="AV99" s="2"/>
      <c r="AW99" s="2"/>
      <c r="AX99" s="3"/>
      <c r="AY99" s="2"/>
      <c r="AZ99" s="2"/>
      <c r="BA99" s="2">
        <v>1500</v>
      </c>
      <c r="BB99" s="2"/>
      <c r="BC99" s="2"/>
      <c r="BD99" s="2"/>
      <c r="BE99" s="2"/>
      <c r="BF99" s="3">
        <v>1</v>
      </c>
      <c r="BG99" s="3">
        <v>1</v>
      </c>
      <c r="BH99" s="2"/>
      <c r="BI99" s="2"/>
      <c r="BJ99" s="2"/>
      <c r="BK99" s="139">
        <f>Table11[[#This Row],[Average MHT
(Feet)]]/16</f>
        <v>0</v>
      </c>
      <c r="BL99" s="2"/>
      <c r="BM99" s="139">
        <f>Table11[[#This Row],[Average DBH
(inches)]]/18</f>
        <v>0</v>
      </c>
      <c r="BN99" s="235">
        <f>((Table11[[#This Row],[Average DBH
(inches)]]-4)^2)*(Table11[[#This Row],[Average MHT
(Feet)]]/16)</f>
        <v>0</v>
      </c>
      <c r="BO99" s="235">
        <f>Table11[[#This Row],[Average BF]]*Table11[[#This Row],[2024 '#Trees Inventory + Estimate]]</f>
        <v>0</v>
      </c>
      <c r="BP99" s="240">
        <f>(Table11[[#This Row],[Harvest Year
(10 year)]]-Table11[[#This Row],[Year of Inventory]]+1)*(Table11[[#This Row],[Average DBH
(inches)]]/(Table11[[#This Row],[Harvest Year
(10 year)]]-Table11[[#This Row],[Year of Inventory]]+1))+Table11[[#This Row],[Average DBH
(inches)]]</f>
        <v>0</v>
      </c>
      <c r="BQ99" s="235">
        <f>((Table11[[#This Row],[Projected DBH
(Extrapolated Growth/Year)]]-4)^2)*(Table11[[#This Row],[Average MHT
(Feet)]]/16)</f>
        <v>0</v>
      </c>
      <c r="BR99" s="235">
        <f>Table11[[#This Row],[Projected Average BF]]*Table11[[#This Row],[2024 '#Trees Inventory + Estimate]]</f>
        <v>0</v>
      </c>
      <c r="BS99" s="235">
        <f>196*Table11[[#This Row],[2024 '#Trees Inventory + Estimate]]</f>
        <v>531034.34222222224</v>
      </c>
      <c r="BT99" s="235">
        <f>Table11[[#This Row],[ETP Offering Expected BF]]-Table11[[#This Row],[Projected Total BF]]</f>
        <v>531034.34222222224</v>
      </c>
      <c r="BU99" s="235">
        <f>(18-Table11[[#This Row],[Average DBH
(inches)]])/(D99-Table11[[#This Row],[Year of Inventory]]+1)</f>
        <v>8.8713652045342532E-3</v>
      </c>
    </row>
    <row r="100" spans="1:73" x14ac:dyDescent="0.25">
      <c r="A100" s="7" t="s">
        <v>551</v>
      </c>
      <c r="B100" s="2">
        <v>2018</v>
      </c>
      <c r="C100" s="2">
        <v>2019</v>
      </c>
      <c r="D100" s="2">
        <f>Table11[[#This Row],[Planting Year]]+9</f>
        <v>2028</v>
      </c>
      <c r="E100" t="s">
        <v>552</v>
      </c>
      <c r="F100" s="161">
        <v>20080</v>
      </c>
      <c r="G100" t="s">
        <v>553</v>
      </c>
      <c r="H100" s="357">
        <v>50689554585</v>
      </c>
      <c r="I100" t="s">
        <v>147</v>
      </c>
      <c r="J100" s="1" t="s">
        <v>554</v>
      </c>
      <c r="K100" s="1" t="s">
        <v>555</v>
      </c>
      <c r="L100" s="1" t="s">
        <v>556</v>
      </c>
      <c r="M100" s="1" t="s">
        <v>213</v>
      </c>
      <c r="N100" t="s">
        <v>556</v>
      </c>
      <c r="O100">
        <v>9.8545838590700008</v>
      </c>
      <c r="P100">
        <v>-83.566521986699996</v>
      </c>
      <c r="Q100" s="2"/>
      <c r="R100" s="86"/>
      <c r="S100" s="2"/>
      <c r="T100" s="1">
        <v>1000</v>
      </c>
      <c r="U100" s="1">
        <v>1000</v>
      </c>
      <c r="V100" s="1" t="str">
        <f>IF(Table11[[#This Row],['#TreesContract]]-Table11[[#This Row],['#Planted]]=0,"",Table11[[#This Row],['#TreesContract]]-Table11[[#This Row],['#Planted]])</f>
        <v/>
      </c>
      <c r="W100" s="2"/>
      <c r="X100" s="34">
        <v>0.64</v>
      </c>
      <c r="Y100" s="163">
        <f>Table11[[#This Row],['#TreesContract]]*Table11[[#This Row],[USA Allocation %]]</f>
        <v>640</v>
      </c>
      <c r="Z100" s="163">
        <f>Table11[[#This Row],['#Planted]]*Table11[[#This Row],[USA Allocation %]]</f>
        <v>640</v>
      </c>
      <c r="AA100" s="34">
        <v>0.36</v>
      </c>
      <c r="AB100" s="163">
        <f>Table11[[#This Row],['#TreesContract]]*0.36</f>
        <v>360</v>
      </c>
      <c r="AC100" s="34"/>
      <c r="AD100" s="163"/>
      <c r="AE100" s="163">
        <f>Table11[[#This Row],[Canada Allocation-tree '#''s]]+Table11[[#This Row],[Can trees/Allocation 2017]]</f>
        <v>360</v>
      </c>
      <c r="AF100" s="5">
        <v>0.9</v>
      </c>
      <c r="AG100" s="35">
        <v>900</v>
      </c>
      <c r="AH100" s="35">
        <f>Table11[[#This Row],['#Trees as of 12/31/23]]*Table11[[#This Row],[USA Allocation %]]</f>
        <v>576</v>
      </c>
      <c r="AI100" s="404">
        <f>Table11[[#This Row],['#TreesContract]]*Table11[[#This Row],[2024 Inventory Survival%-master]]</f>
        <v>0</v>
      </c>
      <c r="AJ100" s="5"/>
      <c r="AK100" s="5">
        <v>0.9</v>
      </c>
      <c r="AL100" s="5">
        <v>0.9</v>
      </c>
      <c r="AM100" s="35">
        <f>AK100*Table11[[#This Row],['#TreesContract]]</f>
        <v>900</v>
      </c>
      <c r="AN100" s="35">
        <f>Table11[[#This Row],[2024 '#Trees Inventory + Estimate]]*Table11[[#This Row],[USA Allocation %]]</f>
        <v>576</v>
      </c>
      <c r="AO100" s="35">
        <f>Table11[[#This Row],[2024 '#Trees Inventory + Estimate]]*Table11[[#This Row],[Canada Allocation %]]</f>
        <v>324</v>
      </c>
      <c r="AP100" s="35">
        <f>Table11[[#This Row],[2024 '#Trees Inventory + Estimate]]*Table11[[#This Row],[Canada Allocation2017 %]]</f>
        <v>0</v>
      </c>
      <c r="AQ100" s="35">
        <f>Table11[[#This Row],['#Trees as of 2024/estimate-Can allocation]]+Table11[[#This Row],['#Trees as of 2024/estimate-Can allocation 2017]]</f>
        <v>324</v>
      </c>
      <c r="AR100" s="1" t="s">
        <v>234</v>
      </c>
      <c r="AS100" s="2"/>
      <c r="AT100" s="6">
        <f>IFERROR(Table11[[#This Row],['#Total Replacements]]/Table11[[#This Row],['#TreesContract]],"")</f>
        <v>0.4</v>
      </c>
      <c r="AU100" s="4">
        <f>IF(SUM(Table11[[#This Row],['#Replace 24]:['#Replace 16]])=0,0,SUM(Table11[[#This Row],['#Replace 24]:['#Replace 16]]))</f>
        <v>400</v>
      </c>
      <c r="AV100" s="2"/>
      <c r="AW100" s="2"/>
      <c r="AX100" s="3"/>
      <c r="AY100" s="2">
        <v>150</v>
      </c>
      <c r="AZ100" s="2"/>
      <c r="BA100" s="2">
        <v>250</v>
      </c>
      <c r="BB100" s="2"/>
      <c r="BC100" s="2"/>
      <c r="BD100" s="2"/>
      <c r="BE100" s="2"/>
      <c r="BF100" s="3">
        <v>1</v>
      </c>
      <c r="BG100" s="3">
        <v>1</v>
      </c>
      <c r="BH100" s="2"/>
      <c r="BI100" s="158"/>
      <c r="BJ100" s="158"/>
      <c r="BK100" s="139">
        <f>Table11[[#This Row],[Average MHT
(Feet)]]/16</f>
        <v>0</v>
      </c>
      <c r="BL100" s="2"/>
      <c r="BM100" s="139">
        <f>Table11[[#This Row],[Average DBH
(inches)]]/18</f>
        <v>0</v>
      </c>
      <c r="BN100" s="235">
        <f>((Table11[[#This Row],[Average DBH
(inches)]]-4)^2)*(Table11[[#This Row],[Average MHT
(Feet)]]/16)</f>
        <v>0</v>
      </c>
      <c r="BO100" s="235">
        <f>Table11[[#This Row],[Average BF]]*Table11[[#This Row],[2024 '#Trees Inventory + Estimate]]</f>
        <v>0</v>
      </c>
      <c r="BP100" s="240">
        <f>(Table11[[#This Row],[Harvest Year
(10 year)]]-Table11[[#This Row],[Year of Inventory]]+1)*(Table11[[#This Row],[Average DBH
(inches)]]/(Table11[[#This Row],[Harvest Year
(10 year)]]-Table11[[#This Row],[Year of Inventory]]+1))+Table11[[#This Row],[Average DBH
(inches)]]</f>
        <v>0</v>
      </c>
      <c r="BQ100" s="235">
        <f>((Table11[[#This Row],[Projected DBH
(Extrapolated Growth/Year)]]-4)^2)*(Table11[[#This Row],[Average MHT
(Feet)]]/16)</f>
        <v>0</v>
      </c>
      <c r="BR100" s="235">
        <f>Table11[[#This Row],[Projected Average BF]]*Table11[[#This Row],[2024 '#Trees Inventory + Estimate]]</f>
        <v>0</v>
      </c>
      <c r="BS100" s="235">
        <f>196*Table11[[#This Row],[2024 '#Trees Inventory + Estimate]]</f>
        <v>176400</v>
      </c>
      <c r="BT100" s="235">
        <f>Table11[[#This Row],[ETP Offering Expected BF]]-Table11[[#This Row],[Projected Total BF]]</f>
        <v>176400</v>
      </c>
      <c r="BU100" s="235">
        <f>(18-Table11[[#This Row],[Average DBH
(inches)]])/(D100-Table11[[#This Row],[Year of Inventory]]+1)</f>
        <v>8.8713652045342532E-3</v>
      </c>
    </row>
    <row r="101" spans="1:73" x14ac:dyDescent="0.25">
      <c r="A101" s="7" t="s">
        <v>557</v>
      </c>
      <c r="B101" s="2">
        <v>2018</v>
      </c>
      <c r="C101" s="2">
        <v>2019</v>
      </c>
      <c r="D101" s="2">
        <f>Table11[[#This Row],[Planting Year]]+9</f>
        <v>2028</v>
      </c>
      <c r="E101" t="s">
        <v>558</v>
      </c>
      <c r="F101" s="161">
        <v>20081</v>
      </c>
      <c r="G101" t="s">
        <v>558</v>
      </c>
      <c r="H101" s="357" t="s">
        <v>559</v>
      </c>
      <c r="I101" t="s">
        <v>155</v>
      </c>
      <c r="J101" s="1" t="s">
        <v>560</v>
      </c>
      <c r="K101" s="1" t="s">
        <v>561</v>
      </c>
      <c r="L101" s="1" t="s">
        <v>562</v>
      </c>
      <c r="M101" s="1" t="s">
        <v>213</v>
      </c>
      <c r="N101" t="s">
        <v>562</v>
      </c>
      <c r="O101">
        <v>9.7945659999700005</v>
      </c>
      <c r="P101">
        <v>-84.449481000199995</v>
      </c>
      <c r="Q101" s="2"/>
      <c r="R101" s="86"/>
      <c r="S101" s="2"/>
      <c r="T101" s="1">
        <v>2000</v>
      </c>
      <c r="U101" s="1">
        <v>2000</v>
      </c>
      <c r="V101" s="1" t="str">
        <f>IF(Table11[[#This Row],['#TreesContract]]-Table11[[#This Row],['#Planted]]=0,"",Table11[[#This Row],['#TreesContract]]-Table11[[#This Row],['#Planted]])</f>
        <v/>
      </c>
      <c r="W101" s="2"/>
      <c r="X101" s="34">
        <v>0.64</v>
      </c>
      <c r="Y101" s="163">
        <f>Table11[[#This Row],['#TreesContract]]*Table11[[#This Row],[USA Allocation %]]</f>
        <v>1280</v>
      </c>
      <c r="Z101" s="163">
        <f>Table11[[#This Row],['#Planted]]*Table11[[#This Row],[USA Allocation %]]</f>
        <v>1280</v>
      </c>
      <c r="AA101" s="34">
        <v>0.36</v>
      </c>
      <c r="AB101" s="163">
        <f>Table11[[#This Row],['#TreesContract]]*0.36</f>
        <v>720</v>
      </c>
      <c r="AC101" s="34"/>
      <c r="AD101" s="163"/>
      <c r="AE101" s="163">
        <f>Table11[[#This Row],[Canada Allocation-tree '#''s]]+Table11[[#This Row],[Can trees/Allocation 2017]]</f>
        <v>720</v>
      </c>
      <c r="AF101" s="5">
        <v>0.70532954987550567</v>
      </c>
      <c r="AG101" s="35">
        <v>1410.6590997510114</v>
      </c>
      <c r="AH101" s="35">
        <f>Table11[[#This Row],['#Trees as of 12/31/23]]*Table11[[#This Row],[USA Allocation %]]</f>
        <v>902.82182384064731</v>
      </c>
      <c r="AI101" s="437">
        <f>Table11[[#This Row],['#TreesContract]]*Table11[[#This Row],[2024 Inventory Survival%-master]]</f>
        <v>0</v>
      </c>
      <c r="AJ101" s="436"/>
      <c r="AK101" s="5">
        <v>0.70532954987550567</v>
      </c>
      <c r="AL101" s="5">
        <v>0.70532954987550567</v>
      </c>
      <c r="AM101" s="35">
        <f>AK101*Table11[[#This Row],['#TreesContract]]</f>
        <v>1410.6590997510114</v>
      </c>
      <c r="AN101" s="35">
        <f>Table11[[#This Row],[2024 '#Trees Inventory + Estimate]]*Table11[[#This Row],[USA Allocation %]]</f>
        <v>902.82182384064731</v>
      </c>
      <c r="AO101" s="35">
        <f>Table11[[#This Row],[2024 '#Trees Inventory + Estimate]]*Table11[[#This Row],[Canada Allocation %]]</f>
        <v>507.83727591036404</v>
      </c>
      <c r="AP101" s="35">
        <f>Table11[[#This Row],[2024 '#Trees Inventory + Estimate]]*Table11[[#This Row],[Canada Allocation2017 %]]</f>
        <v>0</v>
      </c>
      <c r="AQ101" s="35">
        <f>Table11[[#This Row],['#Trees as of 2024/estimate-Can allocation]]+Table11[[#This Row],['#Trees as of 2024/estimate-Can allocation 2017]]</f>
        <v>507.83727591036404</v>
      </c>
      <c r="AR101" s="1" t="s">
        <v>531</v>
      </c>
      <c r="AS101" s="2"/>
      <c r="AT101" s="6">
        <f>IFERROR(Table11[[#This Row],['#Total Replacements]]/Table11[[#This Row],['#TreesContract]],"")</f>
        <v>0.28499999999999998</v>
      </c>
      <c r="AU101" s="4">
        <f>IF(SUM(Table11[[#This Row],['#Replace 24]:['#Replace 16]])=0,0,SUM(Table11[[#This Row],['#Replace 24]:['#Replace 16]]))</f>
        <v>570</v>
      </c>
      <c r="AV101" s="2"/>
      <c r="AW101" s="2"/>
      <c r="AX101" s="3"/>
      <c r="AY101" s="2"/>
      <c r="AZ101" s="2">
        <v>70</v>
      </c>
      <c r="BA101" s="2">
        <v>500</v>
      </c>
      <c r="BB101" s="2"/>
      <c r="BC101" s="2"/>
      <c r="BD101" s="2"/>
      <c r="BE101" s="2"/>
      <c r="BF101" s="3">
        <v>1</v>
      </c>
      <c r="BG101" s="3">
        <v>1</v>
      </c>
      <c r="BH101" s="2"/>
      <c r="BI101" s="2"/>
      <c r="BJ101" s="2"/>
      <c r="BK101" s="139">
        <f>Table11[[#This Row],[Average MHT
(Feet)]]/16</f>
        <v>0</v>
      </c>
      <c r="BL101" s="2"/>
      <c r="BM101" s="139">
        <f>Table11[[#This Row],[Average DBH
(inches)]]/18</f>
        <v>0</v>
      </c>
      <c r="BN101" s="235">
        <f>((Table11[[#This Row],[Average DBH
(inches)]]-4)^2)*(Table11[[#This Row],[Average MHT
(Feet)]]/16)</f>
        <v>0</v>
      </c>
      <c r="BO101" s="235">
        <f>Table11[[#This Row],[Average BF]]*Table11[[#This Row],[2024 '#Trees Inventory + Estimate]]</f>
        <v>0</v>
      </c>
      <c r="BP101" s="240">
        <f>(Table11[[#This Row],[Harvest Year
(10 year)]]-Table11[[#This Row],[Year of Inventory]]+1)*(Table11[[#This Row],[Average DBH
(inches)]]/(Table11[[#This Row],[Harvest Year
(10 year)]]-Table11[[#This Row],[Year of Inventory]]+1))+Table11[[#This Row],[Average DBH
(inches)]]</f>
        <v>0</v>
      </c>
      <c r="BQ101" s="235">
        <f>((Table11[[#This Row],[Projected DBH
(Extrapolated Growth/Year)]]-4)^2)*(Table11[[#This Row],[Average MHT
(Feet)]]/16)</f>
        <v>0</v>
      </c>
      <c r="BR101" s="235">
        <f>Table11[[#This Row],[Projected Average BF]]*Table11[[#This Row],[2024 '#Trees Inventory + Estimate]]</f>
        <v>0</v>
      </c>
      <c r="BS101" s="235">
        <f>196*Table11[[#This Row],[2024 '#Trees Inventory + Estimate]]</f>
        <v>276489.18355119822</v>
      </c>
      <c r="BT101" s="243">
        <f>Table11[[#This Row],[ETP Offering Expected BF]]-Table11[[#This Row],[Projected Total BF]]</f>
        <v>276489.18355119822</v>
      </c>
      <c r="BU101" s="235">
        <f>(18-Table11[[#This Row],[Average DBH
(inches)]])/(D101-Table11[[#This Row],[Year of Inventory]]+1)</f>
        <v>8.8713652045342532E-3</v>
      </c>
    </row>
    <row r="102" spans="1:73" x14ac:dyDescent="0.25">
      <c r="A102" s="7" t="s">
        <v>563</v>
      </c>
      <c r="B102" s="2">
        <v>2018</v>
      </c>
      <c r="C102" s="2">
        <v>2019</v>
      </c>
      <c r="D102" s="2">
        <v>0</v>
      </c>
      <c r="E102" t="s">
        <v>564</v>
      </c>
      <c r="F102" s="161">
        <v>20082</v>
      </c>
      <c r="G102" t="s">
        <v>564</v>
      </c>
      <c r="H102" s="357"/>
      <c r="I102" t="s">
        <v>160</v>
      </c>
      <c r="J102" s="1"/>
      <c r="K102" s="1"/>
      <c r="L102" s="1"/>
      <c r="M102" s="1" t="s">
        <v>213</v>
      </c>
      <c r="Q102" s="2"/>
      <c r="R102" s="86"/>
      <c r="S102" s="2"/>
      <c r="T102" s="1">
        <v>1800</v>
      </c>
      <c r="U102" s="1">
        <v>1800</v>
      </c>
      <c r="V102" s="1" t="str">
        <f>IF(Table11[[#This Row],['#TreesContract]]-Table11[[#This Row],['#Planted]]=0,"",Table11[[#This Row],['#TreesContract]]-Table11[[#This Row],['#Planted]])</f>
        <v/>
      </c>
      <c r="W102" s="2"/>
      <c r="X102" s="34">
        <v>0.64</v>
      </c>
      <c r="Y102" s="163">
        <f>Table11[[#This Row],['#TreesContract]]*Table11[[#This Row],[USA Allocation %]]</f>
        <v>1152</v>
      </c>
      <c r="Z102" s="163">
        <f>Table11[[#This Row],['#Planted]]*Table11[[#This Row],[USA Allocation %]]</f>
        <v>1152</v>
      </c>
      <c r="AA102" s="34">
        <v>0.36</v>
      </c>
      <c r="AB102" s="163">
        <f>Table11[[#This Row],['#TreesContract]]*0.36</f>
        <v>648</v>
      </c>
      <c r="AC102" s="34"/>
      <c r="AD102" s="163"/>
      <c r="AE102" s="163">
        <f>Table11[[#This Row],[Canada Allocation-tree '#''s]]+Table11[[#This Row],[Can trees/Allocation 2017]]</f>
        <v>648</v>
      </c>
      <c r="AF102" s="5">
        <v>0</v>
      </c>
      <c r="AG102" s="35">
        <v>0</v>
      </c>
      <c r="AH102" s="35">
        <f>Table11[[#This Row],['#Trees as of 12/31/23]]*Table11[[#This Row],[USA Allocation %]]</f>
        <v>0</v>
      </c>
      <c r="AI102" s="404">
        <f>Table11[[#This Row],['#TreesContract]]*Table11[[#This Row],[2024 Inventory Survival%-master]]</f>
        <v>0</v>
      </c>
      <c r="AJ102" s="5">
        <v>0</v>
      </c>
      <c r="AK102" s="5">
        <v>0</v>
      </c>
      <c r="AL102" s="5">
        <v>0</v>
      </c>
      <c r="AM102" s="35">
        <f>AK102*Table11[[#This Row],['#TreesContract]]</f>
        <v>0</v>
      </c>
      <c r="AN102" s="35">
        <f>Table11[[#This Row],[2024 '#Trees Inventory + Estimate]]*Table11[[#This Row],[USA Allocation %]]</f>
        <v>0</v>
      </c>
      <c r="AO102" s="35">
        <f>Table11[[#This Row],[2024 '#Trees Inventory + Estimate]]*Table11[[#This Row],[Canada Allocation %]]</f>
        <v>0</v>
      </c>
      <c r="AP102" s="35">
        <f>Table11[[#This Row],[2024 '#Trees Inventory + Estimate]]*Table11[[#This Row],[Canada Allocation2017 %]]</f>
        <v>0</v>
      </c>
      <c r="AQ102" s="35">
        <f>Table11[[#This Row],['#Trees as of 2024/estimate-Can allocation]]+Table11[[#This Row],['#Trees as of 2024/estimate-Can allocation 2017]]</f>
        <v>0</v>
      </c>
      <c r="AR102" s="1" t="s">
        <v>234</v>
      </c>
      <c r="AS102" s="2"/>
      <c r="AT102" s="6">
        <f>IFERROR(Table11[[#This Row],['#Total Replacements]]/Table11[[#This Row],['#TreesContract]],"")</f>
        <v>0</v>
      </c>
      <c r="AU102" s="4">
        <f>IF(SUM(Table11[[#This Row],['#Replace 24]:['#Replace 16]])=0,0,SUM(Table11[[#This Row],['#Replace 24]:['#Replace 16]]))</f>
        <v>0</v>
      </c>
      <c r="AV102" s="2"/>
      <c r="AW102" s="2"/>
      <c r="AX102" s="3"/>
      <c r="AY102" s="2"/>
      <c r="AZ102" s="2"/>
      <c r="BA102" s="2"/>
      <c r="BB102" s="2"/>
      <c r="BC102" s="2"/>
      <c r="BD102" s="2"/>
      <c r="BE102" s="2"/>
      <c r="BF102" s="3">
        <v>1</v>
      </c>
      <c r="BG102" s="3">
        <v>1</v>
      </c>
      <c r="BH102" s="2"/>
      <c r="BI102" s="158"/>
      <c r="BJ102" s="158"/>
      <c r="BK102" s="139">
        <f>Table11[[#This Row],[Average MHT
(Feet)]]/16</f>
        <v>0</v>
      </c>
      <c r="BL102" s="2"/>
      <c r="BM102" s="139">
        <f>Table11[[#This Row],[Average DBH
(inches)]]/18</f>
        <v>0</v>
      </c>
      <c r="BN102" s="235">
        <f>((Table11[[#This Row],[Average DBH
(inches)]]-4)^2)*(Table11[[#This Row],[Average MHT
(Feet)]]/16)</f>
        <v>0</v>
      </c>
      <c r="BO102" s="235">
        <f>Table11[[#This Row],[Average BF]]*Table11[[#This Row],[2024 '#Trees Inventory + Estimate]]</f>
        <v>0</v>
      </c>
      <c r="BP102" s="240">
        <f>(Table11[[#This Row],[Harvest Year
(10 year)]]-Table11[[#This Row],[Year of Inventory]]+1)*(Table11[[#This Row],[Average DBH
(inches)]]/(Table11[[#This Row],[Harvest Year
(10 year)]]-Table11[[#This Row],[Year of Inventory]]+1))+Table11[[#This Row],[Average DBH
(inches)]]</f>
        <v>0</v>
      </c>
      <c r="BQ102" s="235">
        <f>((Table11[[#This Row],[Projected DBH
(Extrapolated Growth/Year)]]-4)^2)*(Table11[[#This Row],[Average MHT
(Feet)]]/16)</f>
        <v>0</v>
      </c>
      <c r="BR102" s="235">
        <f>Table11[[#This Row],[Projected Average BF]]*Table11[[#This Row],[2024 '#Trees Inventory + Estimate]]</f>
        <v>0</v>
      </c>
      <c r="BS102" s="235">
        <f>196*Table11[[#This Row],[2024 '#Trees Inventory + Estimate]]</f>
        <v>0</v>
      </c>
      <c r="BT102" s="235">
        <f>Table11[[#This Row],[ETP Offering Expected BF]]-Table11[[#This Row],[Projected Total BF]]</f>
        <v>0</v>
      </c>
      <c r="BU102" s="235">
        <f>(18-Table11[[#This Row],[Average DBH
(inches)]])/(D102-Table11[[#This Row],[Year of Inventory]]+1)</f>
        <v>18</v>
      </c>
    </row>
    <row r="103" spans="1:73" x14ac:dyDescent="0.25">
      <c r="A103" s="7" t="s">
        <v>565</v>
      </c>
      <c r="B103" s="2">
        <v>2018</v>
      </c>
      <c r="C103" s="2">
        <v>2019</v>
      </c>
      <c r="D103" s="2">
        <v>0</v>
      </c>
      <c r="E103" t="s">
        <v>566</v>
      </c>
      <c r="F103" s="161">
        <v>20083</v>
      </c>
      <c r="G103" t="s">
        <v>566</v>
      </c>
      <c r="H103" s="357"/>
      <c r="I103" t="s">
        <v>160</v>
      </c>
      <c r="J103" s="1"/>
      <c r="K103" s="1"/>
      <c r="L103" s="1"/>
      <c r="M103" s="1" t="s">
        <v>213</v>
      </c>
      <c r="Q103" s="2"/>
      <c r="R103" s="86"/>
      <c r="S103" s="2"/>
      <c r="T103" s="1">
        <v>1000</v>
      </c>
      <c r="U103" s="1">
        <v>1000</v>
      </c>
      <c r="V103" s="1" t="str">
        <f>IF(Table11[[#This Row],['#TreesContract]]-Table11[[#This Row],['#Planted]]=0,"",Table11[[#This Row],['#TreesContract]]-Table11[[#This Row],['#Planted]])</f>
        <v/>
      </c>
      <c r="W103" s="2"/>
      <c r="X103" s="34">
        <v>0.64</v>
      </c>
      <c r="Y103" s="163">
        <f>Table11[[#This Row],['#TreesContract]]*Table11[[#This Row],[USA Allocation %]]</f>
        <v>640</v>
      </c>
      <c r="Z103" s="163">
        <f>Table11[[#This Row],['#Planted]]*Table11[[#This Row],[USA Allocation %]]</f>
        <v>640</v>
      </c>
      <c r="AA103" s="34">
        <v>0.36</v>
      </c>
      <c r="AB103" s="163">
        <f>Table11[[#This Row],['#TreesContract]]*0.36</f>
        <v>360</v>
      </c>
      <c r="AC103" s="34"/>
      <c r="AD103" s="163"/>
      <c r="AE103" s="163">
        <f>Table11[[#This Row],[Canada Allocation-tree '#''s]]+Table11[[#This Row],[Can trees/Allocation 2017]]</f>
        <v>360</v>
      </c>
      <c r="AF103" s="5">
        <v>0</v>
      </c>
      <c r="AG103" s="35">
        <v>0</v>
      </c>
      <c r="AH103" s="35">
        <f>Table11[[#This Row],['#Trees as of 12/31/23]]*Table11[[#This Row],[USA Allocation %]]</f>
        <v>0</v>
      </c>
      <c r="AI103" s="404">
        <f>Table11[[#This Row],['#TreesContract]]*Table11[[#This Row],[2024 Inventory Survival%-master]]</f>
        <v>0</v>
      </c>
      <c r="AJ103" s="5">
        <v>0</v>
      </c>
      <c r="AK103" s="5">
        <v>0</v>
      </c>
      <c r="AL103" s="5">
        <v>0</v>
      </c>
      <c r="AM103" s="35">
        <f>AK103*Table11[[#This Row],['#TreesContract]]</f>
        <v>0</v>
      </c>
      <c r="AN103" s="35">
        <f>Table11[[#This Row],[2024 '#Trees Inventory + Estimate]]*Table11[[#This Row],[USA Allocation %]]</f>
        <v>0</v>
      </c>
      <c r="AO103" s="35">
        <f>Table11[[#This Row],[2024 '#Trees Inventory + Estimate]]*Table11[[#This Row],[Canada Allocation %]]</f>
        <v>0</v>
      </c>
      <c r="AP103" s="35">
        <f>Table11[[#This Row],[2024 '#Trees Inventory + Estimate]]*Table11[[#This Row],[Canada Allocation2017 %]]</f>
        <v>0</v>
      </c>
      <c r="AQ103" s="35">
        <f>Table11[[#This Row],['#Trees as of 2024/estimate-Can allocation]]+Table11[[#This Row],['#Trees as of 2024/estimate-Can allocation 2017]]</f>
        <v>0</v>
      </c>
      <c r="AR103" s="1" t="s">
        <v>234</v>
      </c>
      <c r="AS103" s="2"/>
      <c r="AT103" s="6">
        <f>IFERROR(Table11[[#This Row],['#Total Replacements]]/Table11[[#This Row],['#TreesContract]],"")</f>
        <v>0</v>
      </c>
      <c r="AU103" s="4">
        <f>IF(SUM(Table11[[#This Row],['#Replace 24]:['#Replace 16]])=0,0,SUM(Table11[[#This Row],['#Replace 24]:['#Replace 16]]))</f>
        <v>0</v>
      </c>
      <c r="AV103" s="2"/>
      <c r="AW103" s="2"/>
      <c r="AX103" s="3"/>
      <c r="AY103" s="2"/>
      <c r="AZ103" s="2"/>
      <c r="BA103" s="2"/>
      <c r="BB103" s="2"/>
      <c r="BC103" s="2"/>
      <c r="BD103" s="2"/>
      <c r="BE103" s="2"/>
      <c r="BF103" s="3">
        <v>1</v>
      </c>
      <c r="BG103" s="3"/>
      <c r="BH103" s="2"/>
      <c r="BI103" s="2"/>
      <c r="BJ103" s="2"/>
      <c r="BK103" s="139">
        <f>Table11[[#This Row],[Average MHT
(Feet)]]/16</f>
        <v>0</v>
      </c>
      <c r="BL103" s="2"/>
      <c r="BM103" s="139">
        <f>Table11[[#This Row],[Average DBH
(inches)]]/18</f>
        <v>0</v>
      </c>
      <c r="BN103" s="235">
        <f>((Table11[[#This Row],[Average DBH
(inches)]]-4)^2)*(Table11[[#This Row],[Average MHT
(Feet)]]/16)</f>
        <v>0</v>
      </c>
      <c r="BO103" s="235">
        <f>Table11[[#This Row],[Average BF]]*Table11[[#This Row],[2024 '#Trees Inventory + Estimate]]</f>
        <v>0</v>
      </c>
      <c r="BP103" s="240">
        <f>(Table11[[#This Row],[Harvest Year
(10 year)]]-Table11[[#This Row],[Year of Inventory]]+1)*(Table11[[#This Row],[Average DBH
(inches)]]/(Table11[[#This Row],[Harvest Year
(10 year)]]-Table11[[#This Row],[Year of Inventory]]+1))+Table11[[#This Row],[Average DBH
(inches)]]</f>
        <v>0</v>
      </c>
      <c r="BQ103" s="235">
        <f>((Table11[[#This Row],[Projected DBH
(Extrapolated Growth/Year)]]-4)^2)*(Table11[[#This Row],[Average MHT
(Feet)]]/16)</f>
        <v>0</v>
      </c>
      <c r="BR103" s="235">
        <f>Table11[[#This Row],[Projected Average BF]]*Table11[[#This Row],[2024 '#Trees Inventory + Estimate]]</f>
        <v>0</v>
      </c>
      <c r="BS103" s="235">
        <f>196*Table11[[#This Row],[2024 '#Trees Inventory + Estimate]]</f>
        <v>0</v>
      </c>
      <c r="BT103" s="235">
        <f>Table11[[#This Row],[ETP Offering Expected BF]]-Table11[[#This Row],[Projected Total BF]]</f>
        <v>0</v>
      </c>
      <c r="BU103" s="235">
        <f>(18-Table11[[#This Row],[Average DBH
(inches)]])/(D103-Table11[[#This Row],[Year of Inventory]]+1)</f>
        <v>18</v>
      </c>
    </row>
    <row r="104" spans="1:73" hidden="1" x14ac:dyDescent="0.25">
      <c r="A104" s="7" t="s">
        <v>567</v>
      </c>
      <c r="B104" s="2">
        <v>2018</v>
      </c>
      <c r="C104" s="2">
        <v>2019</v>
      </c>
      <c r="D104" s="2">
        <f>Table11[[#This Row],[Planting Year]]+9</f>
        <v>2028</v>
      </c>
      <c r="E104" t="s">
        <v>568</v>
      </c>
      <c r="F104" s="161">
        <v>30001</v>
      </c>
      <c r="G104" t="s">
        <v>569</v>
      </c>
      <c r="H104" s="357" t="s">
        <v>570</v>
      </c>
      <c r="I104" t="s">
        <v>155</v>
      </c>
      <c r="J104" s="1" t="s">
        <v>571</v>
      </c>
      <c r="K104" s="1" t="s">
        <v>572</v>
      </c>
      <c r="L104" s="1" t="s">
        <v>573</v>
      </c>
      <c r="M104" s="1" t="s">
        <v>574</v>
      </c>
      <c r="N104" t="s">
        <v>575</v>
      </c>
      <c r="O104">
        <v>14.673889000000001</v>
      </c>
      <c r="P104">
        <v>-91.808333000000005</v>
      </c>
      <c r="Q104">
        <v>14.673889000000001</v>
      </c>
      <c r="R104" s="2">
        <v>-91.990888999999996</v>
      </c>
      <c r="S104" s="2"/>
      <c r="T104" s="1">
        <v>1000</v>
      </c>
      <c r="U104" s="1">
        <v>1000</v>
      </c>
      <c r="V104" s="1" t="str">
        <f>IF(Table11[[#This Row],['#TreesContract]]-Table11[[#This Row],['#Planted]]=0,"",Table11[[#This Row],['#TreesContract]]-Table11[[#This Row],['#Planted]])</f>
        <v/>
      </c>
      <c r="W104" s="2"/>
      <c r="X104" s="34">
        <v>0.64</v>
      </c>
      <c r="Y104" s="163">
        <f>Table11[[#This Row],['#TreesContract]]*Table11[[#This Row],[USA Allocation %]]</f>
        <v>640</v>
      </c>
      <c r="Z104" s="163">
        <f>Table11[[#This Row],['#Planted]]*Table11[[#This Row],[USA Allocation %]]</f>
        <v>640</v>
      </c>
      <c r="AA104" s="34">
        <v>0.36</v>
      </c>
      <c r="AB104" s="163">
        <f>Table11[[#This Row],['#TreesContract]]*0.36</f>
        <v>360</v>
      </c>
      <c r="AC104" s="34"/>
      <c r="AD104" s="163"/>
      <c r="AE104" s="163">
        <f>Table11[[#This Row],[Canada Allocation-tree '#''s]]+Table11[[#This Row],[Can trees/Allocation 2017]]</f>
        <v>360</v>
      </c>
      <c r="AF104" s="5">
        <v>1</v>
      </c>
      <c r="AG104" s="35">
        <v>1000</v>
      </c>
      <c r="AH104" s="35">
        <f>Table11[[#This Row],['#Trees as of 12/31/23]]*Table11[[#This Row],[USA Allocation %]]</f>
        <v>640</v>
      </c>
      <c r="AI104" s="437"/>
      <c r="AJ104" s="436"/>
      <c r="AK104" s="5">
        <v>1</v>
      </c>
      <c r="AL104" s="5">
        <v>1</v>
      </c>
      <c r="AM104" s="35">
        <f>AK104*Table11[[#This Row],['#TreesContract]]</f>
        <v>1000</v>
      </c>
      <c r="AN104" s="35">
        <f>Table11[[#This Row],[2024 '#Trees Inventory + Estimate]]*Table11[[#This Row],[USA Allocation %]]</f>
        <v>640</v>
      </c>
      <c r="AO104" s="35">
        <f>Table11[[#This Row],[2024 '#Trees Inventory + Estimate]]*Table11[[#This Row],[Canada Allocation %]]</f>
        <v>360</v>
      </c>
      <c r="AP104" s="35">
        <f>Table11[[#This Row],[2024 '#Trees Inventory + Estimate]]*Table11[[#This Row],[Canada Allocation2017 %]]</f>
        <v>0</v>
      </c>
      <c r="AQ104" s="35">
        <f>Table11[[#This Row],['#Trees as of 2024/estimate-Can allocation]]+Table11[[#This Row],['#Trees as of 2024/estimate-Can allocation 2017]]</f>
        <v>360</v>
      </c>
      <c r="AR104" s="1" t="s">
        <v>576</v>
      </c>
      <c r="AS104" s="2"/>
      <c r="AT104" s="6">
        <f>IFERROR(Table11[[#This Row],['#Total Replacements]]/Table11[[#This Row],['#TreesContract]],"")</f>
        <v>0.5</v>
      </c>
      <c r="AU104" s="4">
        <f>IF(SUM(Table11[[#This Row],['#Replace 24]:['#Replace 16]])=0,0,SUM(Table11[[#This Row],['#Replace 24]:['#Replace 16]]))</f>
        <v>500</v>
      </c>
      <c r="AV104" s="2"/>
      <c r="AW104" s="2"/>
      <c r="AX104" s="3"/>
      <c r="AY104" s="2"/>
      <c r="AZ104" s="2"/>
      <c r="BA104" s="2">
        <v>500</v>
      </c>
      <c r="BB104" s="2"/>
      <c r="BC104" s="2"/>
      <c r="BD104" s="2"/>
      <c r="BE104" s="2"/>
      <c r="BF104" s="3">
        <v>1</v>
      </c>
      <c r="BG104" s="3">
        <v>1</v>
      </c>
      <c r="BH104" s="2"/>
      <c r="BI104" s="158"/>
      <c r="BJ104" s="158"/>
      <c r="BK104" s="139">
        <f>Table11[[#This Row],[Average MHT
(Feet)]]/16</f>
        <v>0</v>
      </c>
      <c r="BL104" s="2"/>
      <c r="BM104" s="139">
        <f>Table11[[#This Row],[Average DBH
(inches)]]/18</f>
        <v>0</v>
      </c>
      <c r="BN104" s="235">
        <f>((Table11[[#This Row],[Average DBH
(inches)]]-4)^2)*(Table11[[#This Row],[Average MHT
(Feet)]]/16)</f>
        <v>0</v>
      </c>
      <c r="BO104" s="235">
        <f>Table11[[#This Row],[Average BF]]*Table11[[#This Row],[2024 '#Trees Inventory + Estimate]]</f>
        <v>0</v>
      </c>
      <c r="BP104" s="240">
        <f>(Table11[[#This Row],[Harvest Year
(10 year)]]-Table11[[#This Row],[Year of Inventory]]+1)*(Table11[[#This Row],[Average DBH
(inches)]]/(Table11[[#This Row],[Harvest Year
(10 year)]]-Table11[[#This Row],[Year of Inventory]]+1))+Table11[[#This Row],[Average DBH
(inches)]]</f>
        <v>0</v>
      </c>
      <c r="BQ104" s="235">
        <f>((Table11[[#This Row],[Projected DBH
(Extrapolated Growth/Year)]]-4)^2)*(Table11[[#This Row],[Average MHT
(Feet)]]/16)</f>
        <v>0</v>
      </c>
      <c r="BR104" s="235">
        <f>Table11[[#This Row],[Projected Average BF]]*Table11[[#This Row],[2024 '#Trees Inventory + Estimate]]</f>
        <v>0</v>
      </c>
      <c r="BS104" s="235">
        <f>196*Table11[[#This Row],[2024 '#Trees Inventory + Estimate]]</f>
        <v>196000</v>
      </c>
      <c r="BT104" s="243">
        <f>Table11[[#This Row],[ETP Offering Expected BF]]-Table11[[#This Row],[Projected Total BF]]</f>
        <v>196000</v>
      </c>
      <c r="BU104" s="235">
        <f>(18-Table11[[#This Row],[Average DBH
(inches)]])/(D104-Table11[[#This Row],[Year of Inventory]]+1)</f>
        <v>8.8713652045342532E-3</v>
      </c>
    </row>
    <row r="105" spans="1:73" hidden="1" x14ac:dyDescent="0.25">
      <c r="A105" s="7" t="s">
        <v>577</v>
      </c>
      <c r="B105" s="2">
        <v>2018</v>
      </c>
      <c r="C105" s="2">
        <v>2019</v>
      </c>
      <c r="D105" s="2">
        <v>0</v>
      </c>
      <c r="E105" t="s">
        <v>578</v>
      </c>
      <c r="F105" s="161">
        <v>30002</v>
      </c>
      <c r="G105" t="s">
        <v>578</v>
      </c>
      <c r="H105" s="357"/>
      <c r="I105" t="s">
        <v>160</v>
      </c>
      <c r="J105" s="1"/>
      <c r="K105" s="1"/>
      <c r="L105" s="1"/>
      <c r="M105" s="1" t="s">
        <v>574</v>
      </c>
      <c r="Q105" s="2"/>
      <c r="R105" s="86"/>
      <c r="S105" s="2"/>
      <c r="T105" s="1">
        <v>1000</v>
      </c>
      <c r="U105" s="1">
        <v>1000</v>
      </c>
      <c r="V105" s="1" t="str">
        <f>IF(Table11[[#This Row],['#TreesContract]]-Table11[[#This Row],['#Planted]]=0,"",Table11[[#This Row],['#TreesContract]]-Table11[[#This Row],['#Planted]])</f>
        <v/>
      </c>
      <c r="W105" s="2"/>
      <c r="X105" s="34">
        <v>0.64</v>
      </c>
      <c r="Y105" s="163">
        <f>Table11[[#This Row],['#TreesContract]]*Table11[[#This Row],[USA Allocation %]]</f>
        <v>640</v>
      </c>
      <c r="Z105" s="163">
        <f>Table11[[#This Row],['#Planted]]*Table11[[#This Row],[USA Allocation %]]</f>
        <v>640</v>
      </c>
      <c r="AA105" s="34">
        <v>0.36</v>
      </c>
      <c r="AB105" s="163">
        <f>Table11[[#This Row],['#TreesContract]]*0.36</f>
        <v>360</v>
      </c>
      <c r="AC105" s="34"/>
      <c r="AD105" s="163"/>
      <c r="AE105" s="163">
        <f>Table11[[#This Row],[Canada Allocation-tree '#''s]]+Table11[[#This Row],[Can trees/Allocation 2017]]</f>
        <v>360</v>
      </c>
      <c r="AF105" s="5">
        <v>0</v>
      </c>
      <c r="AG105" s="35">
        <v>0</v>
      </c>
      <c r="AH105" s="35">
        <f>Table11[[#This Row],['#Trees as of 12/31/23]]*Table11[[#This Row],[USA Allocation %]]</f>
        <v>0</v>
      </c>
      <c r="AI105" s="404">
        <f>Table11[[#This Row],['#TreesContract]]*Table11[[#This Row],[2024 Inventory Survival%-master]]</f>
        <v>0</v>
      </c>
      <c r="AJ105" s="5">
        <v>0</v>
      </c>
      <c r="AK105" s="5">
        <v>0</v>
      </c>
      <c r="AL105" s="5">
        <v>0</v>
      </c>
      <c r="AM105" s="35">
        <f>AK105*Table11[[#This Row],['#TreesContract]]</f>
        <v>0</v>
      </c>
      <c r="AN105" s="35">
        <f>Table11[[#This Row],[2024 '#Trees Inventory + Estimate]]*Table11[[#This Row],[USA Allocation %]]</f>
        <v>0</v>
      </c>
      <c r="AO105" s="35">
        <f>Table11[[#This Row],[2024 '#Trees Inventory + Estimate]]*Table11[[#This Row],[Canada Allocation %]]</f>
        <v>0</v>
      </c>
      <c r="AP105" s="35">
        <f>Table11[[#This Row],[2024 '#Trees Inventory + Estimate]]*Table11[[#This Row],[Canada Allocation2017 %]]</f>
        <v>0</v>
      </c>
      <c r="AQ105" s="35">
        <f>Table11[[#This Row],['#Trees as of 2024/estimate-Can allocation]]+Table11[[#This Row],['#Trees as of 2024/estimate-Can allocation 2017]]</f>
        <v>0</v>
      </c>
      <c r="AR105" s="1" t="s">
        <v>576</v>
      </c>
      <c r="AS105" s="2"/>
      <c r="AT105" s="6">
        <f>IFERROR(Table11[[#This Row],['#Total Replacements]]/Table11[[#This Row],['#TreesContract]],"")</f>
        <v>0</v>
      </c>
      <c r="AU105" s="4">
        <f>IF(SUM(Table11[[#This Row],['#Replace 24]:['#Replace 16]])=0,0,SUM(Table11[[#This Row],['#Replace 24]:['#Replace 16]]))</f>
        <v>0</v>
      </c>
      <c r="AV105" s="2"/>
      <c r="AW105" s="2"/>
      <c r="AX105" s="3"/>
      <c r="AY105" s="2"/>
      <c r="AZ105" s="2"/>
      <c r="BA105" s="2"/>
      <c r="BB105" s="2"/>
      <c r="BC105" s="2"/>
      <c r="BD105" s="2"/>
      <c r="BE105" s="2"/>
      <c r="BF105" s="3">
        <v>1</v>
      </c>
      <c r="BG105" s="3">
        <v>1</v>
      </c>
      <c r="BH105" s="2"/>
      <c r="BI105" s="158"/>
      <c r="BJ105" s="158"/>
      <c r="BK105" s="139">
        <f>Table11[[#This Row],[Average MHT
(Feet)]]/16</f>
        <v>0</v>
      </c>
      <c r="BL105" s="2"/>
      <c r="BM105" s="139">
        <f>Table11[[#This Row],[Average DBH
(inches)]]/18</f>
        <v>0</v>
      </c>
      <c r="BN105" s="235">
        <f>((Table11[[#This Row],[Average DBH
(inches)]]-4)^2)*(Table11[[#This Row],[Average MHT
(Feet)]]/16)</f>
        <v>0</v>
      </c>
      <c r="BO105" s="235">
        <f>Table11[[#This Row],[Average BF]]*Table11[[#This Row],[2024 '#Trees Inventory + Estimate]]</f>
        <v>0</v>
      </c>
      <c r="BP105" s="240">
        <f>(Table11[[#This Row],[Harvest Year
(10 year)]]-Table11[[#This Row],[Year of Inventory]]+1)*(Table11[[#This Row],[Average DBH
(inches)]]/(Table11[[#This Row],[Harvest Year
(10 year)]]-Table11[[#This Row],[Year of Inventory]]+1))+Table11[[#This Row],[Average DBH
(inches)]]</f>
        <v>0</v>
      </c>
      <c r="BQ105" s="235">
        <f>((Table11[[#This Row],[Projected DBH
(Extrapolated Growth/Year)]]-4)^2)*(Table11[[#This Row],[Average MHT
(Feet)]]/16)</f>
        <v>0</v>
      </c>
      <c r="BR105" s="235">
        <f>Table11[[#This Row],[Projected Average BF]]*Table11[[#This Row],[2024 '#Trees Inventory + Estimate]]</f>
        <v>0</v>
      </c>
      <c r="BS105" s="235">
        <f>196*Table11[[#This Row],[2024 '#Trees Inventory + Estimate]]</f>
        <v>0</v>
      </c>
      <c r="BT105" s="235">
        <f>Table11[[#This Row],[ETP Offering Expected BF]]-Table11[[#This Row],[Projected Total BF]]</f>
        <v>0</v>
      </c>
      <c r="BU105" s="235">
        <f>(18-Table11[[#This Row],[Average DBH
(inches)]])/(D105-Table11[[#This Row],[Year of Inventory]]+1)</f>
        <v>18</v>
      </c>
    </row>
    <row r="106" spans="1:73" hidden="1" x14ac:dyDescent="0.25">
      <c r="A106" s="7" t="s">
        <v>579</v>
      </c>
      <c r="B106" s="2">
        <v>2018</v>
      </c>
      <c r="C106" s="2">
        <v>2019</v>
      </c>
      <c r="D106" s="2">
        <v>0</v>
      </c>
      <c r="E106" t="s">
        <v>580</v>
      </c>
      <c r="F106" s="161">
        <v>30003</v>
      </c>
      <c r="G106" t="s">
        <v>580</v>
      </c>
      <c r="H106" s="357"/>
      <c r="I106" t="s">
        <v>160</v>
      </c>
      <c r="J106" s="1"/>
      <c r="K106" s="1"/>
      <c r="L106" s="1"/>
      <c r="M106" s="1" t="s">
        <v>574</v>
      </c>
      <c r="Q106" s="2"/>
      <c r="R106" s="86"/>
      <c r="S106" s="2"/>
      <c r="T106" s="1">
        <v>1000</v>
      </c>
      <c r="U106" s="1">
        <v>1000</v>
      </c>
      <c r="V106" s="1" t="str">
        <f>IF(Table11[[#This Row],['#TreesContract]]-Table11[[#This Row],['#Planted]]=0,"",Table11[[#This Row],['#TreesContract]]-Table11[[#This Row],['#Planted]])</f>
        <v/>
      </c>
      <c r="W106" s="2"/>
      <c r="X106" s="34">
        <v>0.64</v>
      </c>
      <c r="Y106" s="163">
        <f>Table11[[#This Row],['#TreesContract]]*Table11[[#This Row],[USA Allocation %]]</f>
        <v>640</v>
      </c>
      <c r="Z106" s="163">
        <f>Table11[[#This Row],['#Planted]]*Table11[[#This Row],[USA Allocation %]]</f>
        <v>640</v>
      </c>
      <c r="AA106" s="34">
        <v>0.36</v>
      </c>
      <c r="AB106" s="163">
        <f>Table11[[#This Row],['#TreesContract]]*0.36</f>
        <v>360</v>
      </c>
      <c r="AC106" s="34"/>
      <c r="AD106" s="163"/>
      <c r="AE106" s="163">
        <f>Table11[[#This Row],[Canada Allocation-tree '#''s]]+Table11[[#This Row],[Can trees/Allocation 2017]]</f>
        <v>360</v>
      </c>
      <c r="AF106" s="5">
        <v>0</v>
      </c>
      <c r="AG106" s="35">
        <v>0</v>
      </c>
      <c r="AH106" s="35">
        <f>Table11[[#This Row],['#Trees as of 12/31/23]]*Table11[[#This Row],[USA Allocation %]]</f>
        <v>0</v>
      </c>
      <c r="AI106" s="404">
        <f>Table11[[#This Row],['#TreesContract]]*Table11[[#This Row],[2024 Inventory Survival%-master]]</f>
        <v>0</v>
      </c>
      <c r="AJ106" s="5">
        <v>0</v>
      </c>
      <c r="AK106" s="5">
        <v>0</v>
      </c>
      <c r="AL106" s="5">
        <v>0</v>
      </c>
      <c r="AM106" s="35">
        <f>AK106*Table11[[#This Row],['#TreesContract]]</f>
        <v>0</v>
      </c>
      <c r="AN106" s="35">
        <f>Table11[[#This Row],[2024 '#Trees Inventory + Estimate]]*Table11[[#This Row],[USA Allocation %]]</f>
        <v>0</v>
      </c>
      <c r="AO106" s="35">
        <f>Table11[[#This Row],[2024 '#Trees Inventory + Estimate]]*Table11[[#This Row],[Canada Allocation %]]</f>
        <v>0</v>
      </c>
      <c r="AP106" s="35">
        <f>Table11[[#This Row],[2024 '#Trees Inventory + Estimate]]*Table11[[#This Row],[Canada Allocation2017 %]]</f>
        <v>0</v>
      </c>
      <c r="AQ106" s="35">
        <f>Table11[[#This Row],['#Trees as of 2024/estimate-Can allocation]]+Table11[[#This Row],['#Trees as of 2024/estimate-Can allocation 2017]]</f>
        <v>0</v>
      </c>
      <c r="AR106" s="1" t="s">
        <v>576</v>
      </c>
      <c r="AS106" s="2"/>
      <c r="AT106" s="6">
        <f>IFERROR(Table11[[#This Row],['#Total Replacements]]/Table11[[#This Row],['#TreesContract]],"")</f>
        <v>0</v>
      </c>
      <c r="AU106" s="4">
        <f>IF(SUM(Table11[[#This Row],['#Replace 24]:['#Replace 16]])=0,0,SUM(Table11[[#This Row],['#Replace 24]:['#Replace 16]]))</f>
        <v>0</v>
      </c>
      <c r="AV106" s="2"/>
      <c r="AW106" s="2"/>
      <c r="AX106" s="3"/>
      <c r="AY106" s="2"/>
      <c r="AZ106" s="2"/>
      <c r="BA106" s="2"/>
      <c r="BB106" s="2"/>
      <c r="BC106" s="2"/>
      <c r="BD106" s="2"/>
      <c r="BE106" s="2"/>
      <c r="BF106" s="3">
        <v>1</v>
      </c>
      <c r="BG106" s="3">
        <v>1</v>
      </c>
      <c r="BH106" s="2"/>
      <c r="BI106" s="2"/>
      <c r="BJ106" s="2"/>
      <c r="BK106" s="139">
        <f>Table11[[#This Row],[Average MHT
(Feet)]]/16</f>
        <v>0</v>
      </c>
      <c r="BL106" s="2"/>
      <c r="BM106" s="139">
        <f>Table11[[#This Row],[Average DBH
(inches)]]/18</f>
        <v>0</v>
      </c>
      <c r="BN106" s="235">
        <f>((Table11[[#This Row],[Average DBH
(inches)]]-4)^2)*(Table11[[#This Row],[Average MHT
(Feet)]]/16)</f>
        <v>0</v>
      </c>
      <c r="BO106" s="235">
        <f>Table11[[#This Row],[Average BF]]*Table11[[#This Row],[2024 '#Trees Inventory + Estimate]]</f>
        <v>0</v>
      </c>
      <c r="BP106" s="240">
        <f>(Table11[[#This Row],[Harvest Year
(10 year)]]-Table11[[#This Row],[Year of Inventory]]+1)*(Table11[[#This Row],[Average DBH
(inches)]]/(Table11[[#This Row],[Harvest Year
(10 year)]]-Table11[[#This Row],[Year of Inventory]]+1))+Table11[[#This Row],[Average DBH
(inches)]]</f>
        <v>0</v>
      </c>
      <c r="BQ106" s="235">
        <f>((Table11[[#This Row],[Projected DBH
(Extrapolated Growth/Year)]]-4)^2)*(Table11[[#This Row],[Average MHT
(Feet)]]/16)</f>
        <v>0</v>
      </c>
      <c r="BR106" s="235">
        <f>Table11[[#This Row],[Projected Average BF]]*Table11[[#This Row],[2024 '#Trees Inventory + Estimate]]</f>
        <v>0</v>
      </c>
      <c r="BS106" s="235">
        <f>196*Table11[[#This Row],[2024 '#Trees Inventory + Estimate]]</f>
        <v>0</v>
      </c>
      <c r="BT106" s="235">
        <f>Table11[[#This Row],[ETP Offering Expected BF]]-Table11[[#This Row],[Projected Total BF]]</f>
        <v>0</v>
      </c>
      <c r="BU106" s="235">
        <f>(18-Table11[[#This Row],[Average DBH
(inches)]])/(D106-Table11[[#This Row],[Year of Inventory]]+1)</f>
        <v>18</v>
      </c>
    </row>
    <row r="107" spans="1:73" hidden="1" x14ac:dyDescent="0.25">
      <c r="A107" s="7" t="s">
        <v>581</v>
      </c>
      <c r="B107" s="2">
        <v>2018</v>
      </c>
      <c r="C107" s="2">
        <v>2019</v>
      </c>
      <c r="D107" s="2">
        <v>0</v>
      </c>
      <c r="E107" t="s">
        <v>582</v>
      </c>
      <c r="F107" s="161">
        <v>30004</v>
      </c>
      <c r="G107" t="s">
        <v>582</v>
      </c>
      <c r="H107" s="357"/>
      <c r="I107" t="s">
        <v>160</v>
      </c>
      <c r="J107" s="1"/>
      <c r="K107" s="1"/>
      <c r="L107" s="1"/>
      <c r="M107" s="1" t="s">
        <v>574</v>
      </c>
      <c r="Q107" s="2"/>
      <c r="R107" s="86"/>
      <c r="S107" s="2"/>
      <c r="T107" s="1">
        <v>1000</v>
      </c>
      <c r="U107" s="1">
        <v>1000</v>
      </c>
      <c r="V107" s="1" t="str">
        <f>IF(Table11[[#This Row],['#TreesContract]]-Table11[[#This Row],['#Planted]]=0,"",Table11[[#This Row],['#TreesContract]]-Table11[[#This Row],['#Planted]])</f>
        <v/>
      </c>
      <c r="W107" s="2"/>
      <c r="X107" s="34">
        <v>0.64</v>
      </c>
      <c r="Y107" s="163">
        <f>Table11[[#This Row],['#TreesContract]]*Table11[[#This Row],[USA Allocation %]]</f>
        <v>640</v>
      </c>
      <c r="Z107" s="163">
        <f>Table11[[#This Row],['#Planted]]*Table11[[#This Row],[USA Allocation %]]</f>
        <v>640</v>
      </c>
      <c r="AA107" s="34">
        <v>0.36</v>
      </c>
      <c r="AB107" s="163">
        <f>Table11[[#This Row],['#TreesContract]]*0.36</f>
        <v>360</v>
      </c>
      <c r="AC107" s="34"/>
      <c r="AD107" s="163"/>
      <c r="AE107" s="163">
        <f>Table11[[#This Row],[Canada Allocation-tree '#''s]]+Table11[[#This Row],[Can trees/Allocation 2017]]</f>
        <v>360</v>
      </c>
      <c r="AF107" s="5">
        <v>0</v>
      </c>
      <c r="AG107" s="35">
        <v>0</v>
      </c>
      <c r="AH107" s="35">
        <f>Table11[[#This Row],['#Trees as of 12/31/23]]*Table11[[#This Row],[USA Allocation %]]</f>
        <v>0</v>
      </c>
      <c r="AI107" s="404">
        <f>Table11[[#This Row],['#TreesContract]]*Table11[[#This Row],[2024 Inventory Survival%-master]]</f>
        <v>0</v>
      </c>
      <c r="AJ107" s="5">
        <v>0</v>
      </c>
      <c r="AK107" s="5">
        <v>0</v>
      </c>
      <c r="AL107" s="5">
        <v>0</v>
      </c>
      <c r="AM107" s="35">
        <f>AK107*Table11[[#This Row],['#TreesContract]]</f>
        <v>0</v>
      </c>
      <c r="AN107" s="35">
        <f>Table11[[#This Row],[2024 '#Trees Inventory + Estimate]]*Table11[[#This Row],[USA Allocation %]]</f>
        <v>0</v>
      </c>
      <c r="AO107" s="35">
        <f>Table11[[#This Row],[2024 '#Trees Inventory + Estimate]]*Table11[[#This Row],[Canada Allocation %]]</f>
        <v>0</v>
      </c>
      <c r="AP107" s="35">
        <f>Table11[[#This Row],[2024 '#Trees Inventory + Estimate]]*Table11[[#This Row],[Canada Allocation2017 %]]</f>
        <v>0</v>
      </c>
      <c r="AQ107" s="35">
        <f>Table11[[#This Row],['#Trees as of 2024/estimate-Can allocation]]+Table11[[#This Row],['#Trees as of 2024/estimate-Can allocation 2017]]</f>
        <v>0</v>
      </c>
      <c r="AR107" s="1" t="s">
        <v>576</v>
      </c>
      <c r="AS107" s="2"/>
      <c r="AT107" s="6">
        <f>IFERROR(Table11[[#This Row],['#Total Replacements]]/Table11[[#This Row],['#TreesContract]],"")</f>
        <v>0</v>
      </c>
      <c r="AU107" s="4">
        <f>IF(SUM(Table11[[#This Row],['#Replace 24]:['#Replace 16]])=0,0,SUM(Table11[[#This Row],['#Replace 24]:['#Replace 16]]))</f>
        <v>0</v>
      </c>
      <c r="AV107" s="2"/>
      <c r="AW107" s="2"/>
      <c r="AX107" s="3"/>
      <c r="AY107" s="2"/>
      <c r="AZ107" s="2"/>
      <c r="BA107" s="2"/>
      <c r="BB107" s="2"/>
      <c r="BC107" s="2"/>
      <c r="BD107" s="2"/>
      <c r="BE107" s="2"/>
      <c r="BF107" s="3">
        <v>1</v>
      </c>
      <c r="BG107" s="3">
        <v>1</v>
      </c>
      <c r="BH107" s="2"/>
      <c r="BI107" s="158"/>
      <c r="BJ107" s="158"/>
      <c r="BK107" s="139">
        <f>Table11[[#This Row],[Average MHT
(Feet)]]/16</f>
        <v>0</v>
      </c>
      <c r="BL107" s="2"/>
      <c r="BM107" s="139">
        <f>Table11[[#This Row],[Average DBH
(inches)]]/18</f>
        <v>0</v>
      </c>
      <c r="BN107" s="235">
        <f>((Table11[[#This Row],[Average DBH
(inches)]]-4)^2)*(Table11[[#This Row],[Average MHT
(Feet)]]/16)</f>
        <v>0</v>
      </c>
      <c r="BO107" s="235">
        <f>Table11[[#This Row],[Average BF]]*Table11[[#This Row],[2024 '#Trees Inventory + Estimate]]</f>
        <v>0</v>
      </c>
      <c r="BP107" s="240">
        <f>(Table11[[#This Row],[Harvest Year
(10 year)]]-Table11[[#This Row],[Year of Inventory]]+1)*(Table11[[#This Row],[Average DBH
(inches)]]/(Table11[[#This Row],[Harvest Year
(10 year)]]-Table11[[#This Row],[Year of Inventory]]+1))+Table11[[#This Row],[Average DBH
(inches)]]</f>
        <v>0</v>
      </c>
      <c r="BQ107" s="235">
        <f>((Table11[[#This Row],[Projected DBH
(Extrapolated Growth/Year)]]-4)^2)*(Table11[[#This Row],[Average MHT
(Feet)]]/16)</f>
        <v>0</v>
      </c>
      <c r="BR107" s="235">
        <f>Table11[[#This Row],[Projected Average BF]]*Table11[[#This Row],[2024 '#Trees Inventory + Estimate]]</f>
        <v>0</v>
      </c>
      <c r="BS107" s="235">
        <f>196*Table11[[#This Row],[2024 '#Trees Inventory + Estimate]]</f>
        <v>0</v>
      </c>
      <c r="BT107" s="235">
        <f>Table11[[#This Row],[ETP Offering Expected BF]]-Table11[[#This Row],[Projected Total BF]]</f>
        <v>0</v>
      </c>
      <c r="BU107" s="235">
        <f>(18-Table11[[#This Row],[Average DBH
(inches)]])/(D107-Table11[[#This Row],[Year of Inventory]]+1)</f>
        <v>18</v>
      </c>
    </row>
    <row r="108" spans="1:73" hidden="1" x14ac:dyDescent="0.25">
      <c r="A108" s="7" t="s">
        <v>583</v>
      </c>
      <c r="B108" s="2">
        <v>2018</v>
      </c>
      <c r="C108" s="2">
        <v>2019</v>
      </c>
      <c r="D108" s="2">
        <v>0</v>
      </c>
      <c r="E108" t="s">
        <v>584</v>
      </c>
      <c r="F108" s="161">
        <v>30005</v>
      </c>
      <c r="G108" t="s">
        <v>584</v>
      </c>
      <c r="H108" s="357"/>
      <c r="I108" t="s">
        <v>160</v>
      </c>
      <c r="J108" s="1"/>
      <c r="K108" s="1"/>
      <c r="L108" s="1"/>
      <c r="M108" s="1" t="s">
        <v>574</v>
      </c>
      <c r="Q108" s="2"/>
      <c r="R108" s="86"/>
      <c r="S108" s="2"/>
      <c r="T108" s="1">
        <v>1056</v>
      </c>
      <c r="U108" s="1">
        <v>1056</v>
      </c>
      <c r="V108" s="1" t="str">
        <f>IF(Table11[[#This Row],['#TreesContract]]-Table11[[#This Row],['#Planted]]=0,"",Table11[[#This Row],['#TreesContract]]-Table11[[#This Row],['#Planted]])</f>
        <v/>
      </c>
      <c r="W108" s="2"/>
      <c r="X108" s="34">
        <v>0.64015151515151503</v>
      </c>
      <c r="Y108" s="163">
        <f>Table11[[#This Row],['#TreesContract]]*Table11[[#This Row],[USA Allocation %]]</f>
        <v>675.99999999999989</v>
      </c>
      <c r="Z108" s="163">
        <f>Table11[[#This Row],['#Planted]]*Table11[[#This Row],[USA Allocation %]]</f>
        <v>675.99999999999989</v>
      </c>
      <c r="AA108" s="34">
        <v>0.35984848484848497</v>
      </c>
      <c r="AB108" s="163">
        <f>Table11[[#This Row],['#TreesContract]]*0.36</f>
        <v>380.15999999999997</v>
      </c>
      <c r="AC108" s="34"/>
      <c r="AD108" s="163"/>
      <c r="AE108" s="163">
        <f>Table11[[#This Row],[Canada Allocation-tree '#''s]]+Table11[[#This Row],[Can trees/Allocation 2017]]</f>
        <v>380.15999999999997</v>
      </c>
      <c r="AF108" s="5">
        <v>0</v>
      </c>
      <c r="AG108" s="35">
        <v>0</v>
      </c>
      <c r="AH108" s="35">
        <f>Table11[[#This Row],['#Trees as of 12/31/23]]*Table11[[#This Row],[USA Allocation %]]</f>
        <v>0</v>
      </c>
      <c r="AI108" s="404">
        <f>Table11[[#This Row],['#TreesContract]]*Table11[[#This Row],[2024 Inventory Survival%-master]]</f>
        <v>0</v>
      </c>
      <c r="AJ108" s="5">
        <v>0</v>
      </c>
      <c r="AK108" s="5">
        <v>0</v>
      </c>
      <c r="AL108" s="5">
        <v>0</v>
      </c>
      <c r="AM108" s="35">
        <f>AK108*Table11[[#This Row],['#TreesContract]]</f>
        <v>0</v>
      </c>
      <c r="AN108" s="35">
        <f>Table11[[#This Row],[2024 '#Trees Inventory + Estimate]]*Table11[[#This Row],[USA Allocation %]]</f>
        <v>0</v>
      </c>
      <c r="AO108" s="35">
        <f>Table11[[#This Row],[2024 '#Trees Inventory + Estimate]]*Table11[[#This Row],[Canada Allocation %]]</f>
        <v>0</v>
      </c>
      <c r="AP108" s="35">
        <f>Table11[[#This Row],[2024 '#Trees Inventory + Estimate]]*Table11[[#This Row],[Canada Allocation2017 %]]</f>
        <v>0</v>
      </c>
      <c r="AQ108" s="35">
        <f>Table11[[#This Row],['#Trees as of 2024/estimate-Can allocation]]+Table11[[#This Row],['#Trees as of 2024/estimate-Can allocation 2017]]</f>
        <v>0</v>
      </c>
      <c r="AR108" s="1" t="s">
        <v>576</v>
      </c>
      <c r="AS108" s="2"/>
      <c r="AT108" s="6">
        <f>IFERROR(Table11[[#This Row],['#Total Replacements]]/Table11[[#This Row],['#TreesContract]],"")</f>
        <v>0</v>
      </c>
      <c r="AU108" s="4">
        <f>IF(SUM(Table11[[#This Row],['#Replace 24]:['#Replace 16]])=0,0,SUM(Table11[[#This Row],['#Replace 24]:['#Replace 16]]))</f>
        <v>0</v>
      </c>
      <c r="AV108" s="2"/>
      <c r="AW108" s="2"/>
      <c r="AX108" s="3"/>
      <c r="AY108" s="2"/>
      <c r="AZ108" s="2"/>
      <c r="BA108" s="2"/>
      <c r="BB108" s="2"/>
      <c r="BC108" s="2"/>
      <c r="BD108" s="2"/>
      <c r="BE108" s="2"/>
      <c r="BF108" s="3">
        <v>1</v>
      </c>
      <c r="BG108" s="3">
        <v>1</v>
      </c>
      <c r="BH108" s="2"/>
      <c r="BI108" s="2"/>
      <c r="BJ108" s="2"/>
      <c r="BK108" s="139">
        <f>Table11[[#This Row],[Average MHT
(Feet)]]/16</f>
        <v>0</v>
      </c>
      <c r="BL108" s="2"/>
      <c r="BM108" s="139">
        <f>Table11[[#This Row],[Average DBH
(inches)]]/18</f>
        <v>0</v>
      </c>
      <c r="BN108" s="235">
        <f>((Table11[[#This Row],[Average DBH
(inches)]]-4)^2)*(Table11[[#This Row],[Average MHT
(Feet)]]/16)</f>
        <v>0</v>
      </c>
      <c r="BO108" s="235">
        <f>Table11[[#This Row],[Average BF]]*Table11[[#This Row],[2024 '#Trees Inventory + Estimate]]</f>
        <v>0</v>
      </c>
      <c r="BP108" s="240">
        <f>(Table11[[#This Row],[Harvest Year
(10 year)]]-Table11[[#This Row],[Year of Inventory]]+1)*(Table11[[#This Row],[Average DBH
(inches)]]/(Table11[[#This Row],[Harvest Year
(10 year)]]-Table11[[#This Row],[Year of Inventory]]+1))+Table11[[#This Row],[Average DBH
(inches)]]</f>
        <v>0</v>
      </c>
      <c r="BQ108" s="235">
        <f>((Table11[[#This Row],[Projected DBH
(Extrapolated Growth/Year)]]-4)^2)*(Table11[[#This Row],[Average MHT
(Feet)]]/16)</f>
        <v>0</v>
      </c>
      <c r="BR108" s="235">
        <f>Table11[[#This Row],[Projected Average BF]]*Table11[[#This Row],[2024 '#Trees Inventory + Estimate]]</f>
        <v>0</v>
      </c>
      <c r="BS108" s="235">
        <f>196*Table11[[#This Row],[2024 '#Trees Inventory + Estimate]]</f>
        <v>0</v>
      </c>
      <c r="BT108" s="235">
        <f>Table11[[#This Row],[ETP Offering Expected BF]]-Table11[[#This Row],[Projected Total BF]]</f>
        <v>0</v>
      </c>
      <c r="BU108" s="235">
        <f>(18-Table11[[#This Row],[Average DBH
(inches)]])/(D108-Table11[[#This Row],[Year of Inventory]]+1)</f>
        <v>18</v>
      </c>
    </row>
    <row r="109" spans="1:73" hidden="1" x14ac:dyDescent="0.25">
      <c r="A109" s="7" t="s">
        <v>585</v>
      </c>
      <c r="B109" s="2">
        <v>2018</v>
      </c>
      <c r="C109" s="2">
        <v>2019</v>
      </c>
      <c r="D109" s="2">
        <f>Table11[[#This Row],[Planting Year]]+9</f>
        <v>2028</v>
      </c>
      <c r="E109" t="s">
        <v>586</v>
      </c>
      <c r="F109" s="161">
        <v>30006</v>
      </c>
      <c r="G109" t="s">
        <v>586</v>
      </c>
      <c r="H109" s="357" t="s">
        <v>587</v>
      </c>
      <c r="I109" t="s">
        <v>155</v>
      </c>
      <c r="J109" s="1" t="s">
        <v>588</v>
      </c>
      <c r="K109" s="1" t="s">
        <v>589</v>
      </c>
      <c r="L109" s="1" t="s">
        <v>590</v>
      </c>
      <c r="M109" s="1" t="s">
        <v>574</v>
      </c>
      <c r="N109" t="s">
        <v>591</v>
      </c>
      <c r="O109">
        <v>14.680103000000001</v>
      </c>
      <c r="P109">
        <v>-91.609027999999995</v>
      </c>
      <c r="Q109" s="2"/>
      <c r="R109" s="86"/>
      <c r="S109" s="2"/>
      <c r="T109" s="1">
        <v>15000</v>
      </c>
      <c r="U109" s="1">
        <v>15000</v>
      </c>
      <c r="V109" s="1" t="str">
        <f>IF(Table11[[#This Row],['#TreesContract]]-Table11[[#This Row],['#Planted]]=0,"",Table11[[#This Row],['#TreesContract]]-Table11[[#This Row],['#Planted]])</f>
        <v/>
      </c>
      <c r="W109" s="2"/>
      <c r="X109" s="34">
        <v>0.64</v>
      </c>
      <c r="Y109" s="163">
        <f>Table11[[#This Row],['#TreesContract]]*Table11[[#This Row],[USA Allocation %]]</f>
        <v>9600</v>
      </c>
      <c r="Z109" s="163">
        <f>Table11[[#This Row],['#Planted]]*Table11[[#This Row],[USA Allocation %]]</f>
        <v>9600</v>
      </c>
      <c r="AA109" s="34">
        <v>0.36</v>
      </c>
      <c r="AB109" s="163">
        <f>Table11[[#This Row],['#TreesContract]]*0.36</f>
        <v>5400</v>
      </c>
      <c r="AC109" s="34"/>
      <c r="AD109" s="163"/>
      <c r="AE109" s="163">
        <f>Table11[[#This Row],[Canada Allocation-tree '#''s]]+Table11[[#This Row],[Can trees/Allocation 2017]]</f>
        <v>5400</v>
      </c>
      <c r="AF109" s="5">
        <v>0.48423591965479834</v>
      </c>
      <c r="AG109" s="35">
        <v>7263.538794821975</v>
      </c>
      <c r="AH109" s="35">
        <f>Table11[[#This Row],['#Trees as of 12/31/23]]*Table11[[#This Row],[USA Allocation %]]</f>
        <v>4648.6648286860645</v>
      </c>
      <c r="AI109" s="437">
        <f>Table11[[#This Row],['#TreesContract]]*Table11[[#This Row],[2024 Inventory Survival%-master]]</f>
        <v>0</v>
      </c>
      <c r="AJ109" s="436"/>
      <c r="AK109" s="5">
        <v>0.48423591965479834</v>
      </c>
      <c r="AL109" s="5">
        <v>0.48423591965479834</v>
      </c>
      <c r="AM109" s="35">
        <f>AK109*Table11[[#This Row],['#TreesContract]]</f>
        <v>7263.538794821975</v>
      </c>
      <c r="AN109" s="35">
        <f>Table11[[#This Row],[2024 '#Trees Inventory + Estimate]]*Table11[[#This Row],[USA Allocation %]]</f>
        <v>4648.6648286860645</v>
      </c>
      <c r="AO109" s="35">
        <f>Table11[[#This Row],[2024 '#Trees Inventory + Estimate]]*Table11[[#This Row],[Canada Allocation %]]</f>
        <v>2614.8739661359109</v>
      </c>
      <c r="AP109" s="35">
        <f>Table11[[#This Row],[2024 '#Trees Inventory + Estimate]]*Table11[[#This Row],[Canada Allocation2017 %]]</f>
        <v>0</v>
      </c>
      <c r="AQ109" s="35">
        <f>Table11[[#This Row],['#Trees as of 2024/estimate-Can allocation]]+Table11[[#This Row],['#Trees as of 2024/estimate-Can allocation 2017]]</f>
        <v>2614.8739661359109</v>
      </c>
      <c r="AR109" s="1" t="s">
        <v>592</v>
      </c>
      <c r="AS109" s="2"/>
      <c r="AT109" s="6">
        <f>IFERROR(Table11[[#This Row],['#Total Replacements]]/Table11[[#This Row],['#TreesContract]],"")</f>
        <v>0</v>
      </c>
      <c r="AU109" s="4">
        <f>IF(SUM(Table11[[#This Row],['#Replace 24]:['#Replace 16]])=0,0,SUM(Table11[[#This Row],['#Replace 24]:['#Replace 16]]))</f>
        <v>0</v>
      </c>
      <c r="AV109" s="2"/>
      <c r="AW109" s="2"/>
      <c r="AX109" s="3"/>
      <c r="AY109" s="2"/>
      <c r="AZ109" s="2"/>
      <c r="BA109" s="2"/>
      <c r="BB109" s="2"/>
      <c r="BC109" s="2"/>
      <c r="BD109" s="2"/>
      <c r="BE109" s="2"/>
      <c r="BF109" s="3">
        <v>1</v>
      </c>
      <c r="BG109" s="3">
        <v>1</v>
      </c>
      <c r="BH109" s="2"/>
      <c r="BI109" s="2"/>
      <c r="BJ109" s="2"/>
      <c r="BK109" s="139">
        <f>Table11[[#This Row],[Average MHT
(Feet)]]/16</f>
        <v>0</v>
      </c>
      <c r="BL109" s="2"/>
      <c r="BM109" s="139">
        <f>Table11[[#This Row],[Average DBH
(inches)]]/18</f>
        <v>0</v>
      </c>
      <c r="BN109" s="235">
        <f>((Table11[[#This Row],[Average DBH
(inches)]]-4)^2)*(Table11[[#This Row],[Average MHT
(Feet)]]/16)</f>
        <v>0</v>
      </c>
      <c r="BO109" s="235">
        <f>Table11[[#This Row],[Average BF]]*Table11[[#This Row],[2024 '#Trees Inventory + Estimate]]</f>
        <v>0</v>
      </c>
      <c r="BP109" s="240">
        <f>(Table11[[#This Row],[Harvest Year
(10 year)]]-Table11[[#This Row],[Year of Inventory]]+1)*(Table11[[#This Row],[Average DBH
(inches)]]/(Table11[[#This Row],[Harvest Year
(10 year)]]-Table11[[#This Row],[Year of Inventory]]+1))+Table11[[#This Row],[Average DBH
(inches)]]</f>
        <v>0</v>
      </c>
      <c r="BQ109" s="235">
        <f>((Table11[[#This Row],[Projected DBH
(Extrapolated Growth/Year)]]-4)^2)*(Table11[[#This Row],[Average MHT
(Feet)]]/16)</f>
        <v>0</v>
      </c>
      <c r="BR109" s="235">
        <f>Table11[[#This Row],[Projected Average BF]]*Table11[[#This Row],[2024 '#Trees Inventory + Estimate]]</f>
        <v>0</v>
      </c>
      <c r="BS109" s="235">
        <f>196*Table11[[#This Row],[2024 '#Trees Inventory + Estimate]]</f>
        <v>1423653.6037851071</v>
      </c>
      <c r="BT109" s="243">
        <f>Table11[[#This Row],[ETP Offering Expected BF]]-Table11[[#This Row],[Projected Total BF]]</f>
        <v>1423653.6037851071</v>
      </c>
      <c r="BU109" s="235">
        <f>(18-Table11[[#This Row],[Average DBH
(inches)]])/(D109-Table11[[#This Row],[Year of Inventory]]+1)</f>
        <v>8.8713652045342532E-3</v>
      </c>
    </row>
    <row r="110" spans="1:73" hidden="1" x14ac:dyDescent="0.25">
      <c r="A110" s="7" t="s">
        <v>593</v>
      </c>
      <c r="B110" s="2">
        <v>2018</v>
      </c>
      <c r="C110" s="2">
        <v>2019</v>
      </c>
      <c r="D110" s="2">
        <f>Table11[[#This Row],[Planting Year]]+9</f>
        <v>2028</v>
      </c>
      <c r="E110" t="s">
        <v>594</v>
      </c>
      <c r="F110" s="161">
        <v>30007</v>
      </c>
      <c r="G110" t="s">
        <v>594</v>
      </c>
      <c r="H110" s="357" t="s">
        <v>595</v>
      </c>
      <c r="I110" t="s">
        <v>155</v>
      </c>
      <c r="J110" s="1" t="s">
        <v>596</v>
      </c>
      <c r="K110" s="1" t="s">
        <v>597</v>
      </c>
      <c r="L110" s="1" t="s">
        <v>598</v>
      </c>
      <c r="M110" s="1" t="s">
        <v>574</v>
      </c>
      <c r="N110" t="s">
        <v>599</v>
      </c>
      <c r="O110">
        <v>14.6625</v>
      </c>
      <c r="P110">
        <v>-91.613889</v>
      </c>
      <c r="Q110">
        <v>14.6625</v>
      </c>
      <c r="R110" s="2">
        <v>-91.840889000000004</v>
      </c>
      <c r="S110" s="2"/>
      <c r="T110" s="1">
        <v>300</v>
      </c>
      <c r="U110" s="1">
        <v>300</v>
      </c>
      <c r="V110" s="1" t="str">
        <f>IF(Table11[[#This Row],['#TreesContract]]-Table11[[#This Row],['#Planted]]=0,"",Table11[[#This Row],['#TreesContract]]-Table11[[#This Row],['#Planted]])</f>
        <v/>
      </c>
      <c r="W110" s="2"/>
      <c r="X110" s="34">
        <v>0.64</v>
      </c>
      <c r="Y110" s="163">
        <f>Table11[[#This Row],['#TreesContract]]*Table11[[#This Row],[USA Allocation %]]</f>
        <v>192</v>
      </c>
      <c r="Z110" s="163">
        <f>Table11[[#This Row],['#Planted]]*Table11[[#This Row],[USA Allocation %]]</f>
        <v>192</v>
      </c>
      <c r="AA110" s="34">
        <v>0.36</v>
      </c>
      <c r="AB110" s="163">
        <f>Table11[[#This Row],['#TreesContract]]*0.36</f>
        <v>108</v>
      </c>
      <c r="AC110" s="34"/>
      <c r="AD110" s="163"/>
      <c r="AE110" s="163">
        <f>Table11[[#This Row],[Canada Allocation-tree '#''s]]+Table11[[#This Row],[Can trees/Allocation 2017]]</f>
        <v>108</v>
      </c>
      <c r="AF110" s="5">
        <v>0.8680524088888889</v>
      </c>
      <c r="AG110" s="35">
        <v>260.41572266666668</v>
      </c>
      <c r="AH110" s="35">
        <f>Table11[[#This Row],['#Trees as of 12/31/23]]*Table11[[#This Row],[USA Allocation %]]</f>
        <v>166.66606250666669</v>
      </c>
      <c r="AI110" s="437">
        <f>Table11[[#This Row],['#TreesContract]]*Table11[[#This Row],[2024 Inventory Survival%-master]]</f>
        <v>0</v>
      </c>
      <c r="AJ110" s="436"/>
      <c r="AK110" s="5">
        <v>0.8680524088888889</v>
      </c>
      <c r="AL110" s="5">
        <v>0.8680524088888889</v>
      </c>
      <c r="AM110" s="35">
        <f>AK110*Table11[[#This Row],['#TreesContract]]</f>
        <v>260.41572266666668</v>
      </c>
      <c r="AN110" s="35">
        <f>Table11[[#This Row],[2024 '#Trees Inventory + Estimate]]*Table11[[#This Row],[USA Allocation %]]</f>
        <v>166.66606250666669</v>
      </c>
      <c r="AO110" s="35">
        <f>Table11[[#This Row],[2024 '#Trees Inventory + Estimate]]*Table11[[#This Row],[Canada Allocation %]]</f>
        <v>93.749660160000005</v>
      </c>
      <c r="AP110" s="35">
        <f>Table11[[#This Row],[2024 '#Trees Inventory + Estimate]]*Table11[[#This Row],[Canada Allocation2017 %]]</f>
        <v>0</v>
      </c>
      <c r="AQ110" s="35">
        <f>Table11[[#This Row],['#Trees as of 2024/estimate-Can allocation]]+Table11[[#This Row],['#Trees as of 2024/estimate-Can allocation 2017]]</f>
        <v>93.749660160000005</v>
      </c>
      <c r="AR110" s="1" t="s">
        <v>576</v>
      </c>
      <c r="AS110" s="2"/>
      <c r="AT110" s="6">
        <f>IFERROR(Table11[[#This Row],['#Total Replacements]]/Table11[[#This Row],['#TreesContract]],"")</f>
        <v>1</v>
      </c>
      <c r="AU110" s="4">
        <f>IF(SUM(Table11[[#This Row],['#Replace 24]:['#Replace 16]])=0,0,SUM(Table11[[#This Row],['#Replace 24]:['#Replace 16]]))</f>
        <v>300</v>
      </c>
      <c r="AV110" s="2"/>
      <c r="AW110" s="2"/>
      <c r="AX110" s="3"/>
      <c r="AY110" s="2"/>
      <c r="AZ110" s="2"/>
      <c r="BA110" s="2">
        <v>300</v>
      </c>
      <c r="BB110" s="2"/>
      <c r="BC110" s="2"/>
      <c r="BD110" s="2"/>
      <c r="BE110" s="2"/>
      <c r="BF110" s="3">
        <v>1</v>
      </c>
      <c r="BG110" s="3">
        <v>1</v>
      </c>
      <c r="BH110" s="2"/>
      <c r="BI110" s="158"/>
      <c r="BJ110" s="158"/>
      <c r="BK110" s="139">
        <f>Table11[[#This Row],[Average MHT
(Feet)]]/16</f>
        <v>0</v>
      </c>
      <c r="BL110" s="2"/>
      <c r="BM110" s="139">
        <f>Table11[[#This Row],[Average DBH
(inches)]]/18</f>
        <v>0</v>
      </c>
      <c r="BN110" s="235">
        <f>((Table11[[#This Row],[Average DBH
(inches)]]-4)^2)*(Table11[[#This Row],[Average MHT
(Feet)]]/16)</f>
        <v>0</v>
      </c>
      <c r="BO110" s="235">
        <f>Table11[[#This Row],[Average BF]]*Table11[[#This Row],[2024 '#Trees Inventory + Estimate]]</f>
        <v>0</v>
      </c>
      <c r="BP110" s="240">
        <f>(Table11[[#This Row],[Harvest Year
(10 year)]]-Table11[[#This Row],[Year of Inventory]]+1)*(Table11[[#This Row],[Average DBH
(inches)]]/(Table11[[#This Row],[Harvest Year
(10 year)]]-Table11[[#This Row],[Year of Inventory]]+1))+Table11[[#This Row],[Average DBH
(inches)]]</f>
        <v>0</v>
      </c>
      <c r="BQ110" s="235">
        <f>((Table11[[#This Row],[Projected DBH
(Extrapolated Growth/Year)]]-4)^2)*(Table11[[#This Row],[Average MHT
(Feet)]]/16)</f>
        <v>0</v>
      </c>
      <c r="BR110" s="235">
        <f>Table11[[#This Row],[Projected Average BF]]*Table11[[#This Row],[2024 '#Trees Inventory + Estimate]]</f>
        <v>0</v>
      </c>
      <c r="BS110" s="235">
        <f>196*Table11[[#This Row],[2024 '#Trees Inventory + Estimate]]</f>
        <v>51041.481642666673</v>
      </c>
      <c r="BT110" s="243">
        <f>Table11[[#This Row],[ETP Offering Expected BF]]-Table11[[#This Row],[Projected Total BF]]</f>
        <v>51041.481642666673</v>
      </c>
      <c r="BU110" s="235">
        <f>(18-Table11[[#This Row],[Average DBH
(inches)]])/(D110-Table11[[#This Row],[Year of Inventory]]+1)</f>
        <v>8.8713652045342532E-3</v>
      </c>
    </row>
    <row r="111" spans="1:73" hidden="1" x14ac:dyDescent="0.25">
      <c r="A111" s="7" t="s">
        <v>600</v>
      </c>
      <c r="B111" s="2">
        <v>2018</v>
      </c>
      <c r="C111" s="2">
        <v>2019</v>
      </c>
      <c r="D111" s="2">
        <v>0</v>
      </c>
      <c r="E111" t="s">
        <v>601</v>
      </c>
      <c r="F111" s="161">
        <v>30008</v>
      </c>
      <c r="G111" t="s">
        <v>601</v>
      </c>
      <c r="H111" s="357"/>
      <c r="I111" t="s">
        <v>160</v>
      </c>
      <c r="J111" s="1"/>
      <c r="K111" s="1"/>
      <c r="L111" s="1"/>
      <c r="M111" s="1" t="s">
        <v>574</v>
      </c>
      <c r="Q111" s="2"/>
      <c r="R111" s="86"/>
      <c r="S111" s="2"/>
      <c r="T111" s="1">
        <v>1000</v>
      </c>
      <c r="U111" s="1">
        <v>1000</v>
      </c>
      <c r="V111" s="1" t="str">
        <f>IF(Table11[[#This Row],['#TreesContract]]-Table11[[#This Row],['#Planted]]=0,"",Table11[[#This Row],['#TreesContract]]-Table11[[#This Row],['#Planted]])</f>
        <v/>
      </c>
      <c r="W111" s="2"/>
      <c r="X111" s="34">
        <v>0.64</v>
      </c>
      <c r="Y111" s="163">
        <f>Table11[[#This Row],['#TreesContract]]*Table11[[#This Row],[USA Allocation %]]</f>
        <v>640</v>
      </c>
      <c r="Z111" s="163">
        <f>Table11[[#This Row],['#Planted]]*Table11[[#This Row],[USA Allocation %]]</f>
        <v>640</v>
      </c>
      <c r="AA111" s="34">
        <v>0.36</v>
      </c>
      <c r="AB111" s="163">
        <f>Table11[[#This Row],['#TreesContract]]*0.36</f>
        <v>360</v>
      </c>
      <c r="AC111" s="34"/>
      <c r="AD111" s="163"/>
      <c r="AE111" s="163">
        <f>Table11[[#This Row],[Canada Allocation-tree '#''s]]+Table11[[#This Row],[Can trees/Allocation 2017]]</f>
        <v>360</v>
      </c>
      <c r="AF111" s="5">
        <v>0</v>
      </c>
      <c r="AG111" s="35">
        <v>0</v>
      </c>
      <c r="AH111" s="35">
        <f>Table11[[#This Row],['#Trees as of 12/31/23]]*Table11[[#This Row],[USA Allocation %]]</f>
        <v>0</v>
      </c>
      <c r="AI111" s="404">
        <f>Table11[[#This Row],['#TreesContract]]*Table11[[#This Row],[2024 Inventory Survival%-master]]</f>
        <v>0</v>
      </c>
      <c r="AJ111" s="5">
        <v>0</v>
      </c>
      <c r="AK111" s="5">
        <v>0</v>
      </c>
      <c r="AL111" s="5">
        <v>0</v>
      </c>
      <c r="AM111" s="35">
        <f>AK111*Table11[[#This Row],['#TreesContract]]</f>
        <v>0</v>
      </c>
      <c r="AN111" s="35">
        <f>Table11[[#This Row],[2024 '#Trees Inventory + Estimate]]*Table11[[#This Row],[USA Allocation %]]</f>
        <v>0</v>
      </c>
      <c r="AO111" s="35">
        <f>Table11[[#This Row],[2024 '#Trees Inventory + Estimate]]*Table11[[#This Row],[Canada Allocation %]]</f>
        <v>0</v>
      </c>
      <c r="AP111" s="35">
        <f>Table11[[#This Row],[2024 '#Trees Inventory + Estimate]]*Table11[[#This Row],[Canada Allocation2017 %]]</f>
        <v>0</v>
      </c>
      <c r="AQ111" s="35">
        <f>Table11[[#This Row],['#Trees as of 2024/estimate-Can allocation]]+Table11[[#This Row],['#Trees as of 2024/estimate-Can allocation 2017]]</f>
        <v>0</v>
      </c>
      <c r="AR111" s="1" t="s">
        <v>576</v>
      </c>
      <c r="AS111" s="2"/>
      <c r="AT111" s="6">
        <f>IFERROR(Table11[[#This Row],['#Total Replacements]]/Table11[[#This Row],['#TreesContract]],"")</f>
        <v>0</v>
      </c>
      <c r="AU111" s="4">
        <f>IF(SUM(Table11[[#This Row],['#Replace 24]:['#Replace 16]])=0,0,SUM(Table11[[#This Row],['#Replace 24]:['#Replace 16]]))</f>
        <v>0</v>
      </c>
      <c r="AV111" s="2"/>
      <c r="AW111" s="2"/>
      <c r="AX111" s="3"/>
      <c r="AY111" s="2"/>
      <c r="AZ111" s="2"/>
      <c r="BA111" s="2"/>
      <c r="BB111" s="2"/>
      <c r="BC111" s="2"/>
      <c r="BD111" s="2"/>
      <c r="BE111" s="2"/>
      <c r="BF111" s="3">
        <v>1</v>
      </c>
      <c r="BG111" s="3">
        <v>1</v>
      </c>
      <c r="BH111" s="2"/>
      <c r="BI111" s="158"/>
      <c r="BJ111" s="158"/>
      <c r="BK111" s="139">
        <f>Table11[[#This Row],[Average MHT
(Feet)]]/16</f>
        <v>0</v>
      </c>
      <c r="BL111" s="2"/>
      <c r="BM111" s="139">
        <f>Table11[[#This Row],[Average DBH
(inches)]]/18</f>
        <v>0</v>
      </c>
      <c r="BN111" s="235">
        <f>((Table11[[#This Row],[Average DBH
(inches)]]-4)^2)*(Table11[[#This Row],[Average MHT
(Feet)]]/16)</f>
        <v>0</v>
      </c>
      <c r="BO111" s="235">
        <f>Table11[[#This Row],[Average BF]]*Table11[[#This Row],[2024 '#Trees Inventory + Estimate]]</f>
        <v>0</v>
      </c>
      <c r="BP111" s="240">
        <f>(Table11[[#This Row],[Harvest Year
(10 year)]]-Table11[[#This Row],[Year of Inventory]]+1)*(Table11[[#This Row],[Average DBH
(inches)]]/(Table11[[#This Row],[Harvest Year
(10 year)]]-Table11[[#This Row],[Year of Inventory]]+1))+Table11[[#This Row],[Average DBH
(inches)]]</f>
        <v>0</v>
      </c>
      <c r="BQ111" s="235">
        <f>((Table11[[#This Row],[Projected DBH
(Extrapolated Growth/Year)]]-4)^2)*(Table11[[#This Row],[Average MHT
(Feet)]]/16)</f>
        <v>0</v>
      </c>
      <c r="BR111" s="235">
        <f>Table11[[#This Row],[Projected Average BF]]*Table11[[#This Row],[2024 '#Trees Inventory + Estimate]]</f>
        <v>0</v>
      </c>
      <c r="BS111" s="235">
        <f>196*Table11[[#This Row],[2024 '#Trees Inventory + Estimate]]</f>
        <v>0</v>
      </c>
      <c r="BT111" s="235">
        <f>Table11[[#This Row],[ETP Offering Expected BF]]-Table11[[#This Row],[Projected Total BF]]</f>
        <v>0</v>
      </c>
      <c r="BU111" s="235">
        <f>(18-Table11[[#This Row],[Average DBH
(inches)]])/(D111-Table11[[#This Row],[Year of Inventory]]+1)</f>
        <v>18</v>
      </c>
    </row>
    <row r="112" spans="1:73" hidden="1" x14ac:dyDescent="0.25">
      <c r="A112" s="7" t="s">
        <v>602</v>
      </c>
      <c r="B112" s="2">
        <v>2018</v>
      </c>
      <c r="C112" s="2">
        <v>2019</v>
      </c>
      <c r="D112" s="2">
        <f>Table11[[#This Row],[Planting Year]]+9</f>
        <v>2028</v>
      </c>
      <c r="E112" t="s">
        <v>603</v>
      </c>
      <c r="F112" s="161">
        <v>30009</v>
      </c>
      <c r="G112" t="s">
        <v>603</v>
      </c>
      <c r="H112" s="357" t="s">
        <v>604</v>
      </c>
      <c r="I112" t="s">
        <v>155</v>
      </c>
      <c r="J112" s="1" t="s">
        <v>605</v>
      </c>
      <c r="K112" s="1" t="s">
        <v>606</v>
      </c>
      <c r="L112" s="1" t="s">
        <v>606</v>
      </c>
      <c r="M112" s="1" t="s">
        <v>574</v>
      </c>
      <c r="N112" t="s">
        <v>607</v>
      </c>
      <c r="O112">
        <v>14.716111</v>
      </c>
      <c r="P112">
        <v>-91.743611000000001</v>
      </c>
      <c r="Q112" s="2"/>
      <c r="R112" s="86"/>
      <c r="S112" s="2"/>
      <c r="T112" s="1">
        <v>550</v>
      </c>
      <c r="U112" s="1">
        <v>550</v>
      </c>
      <c r="V112" s="1" t="str">
        <f>IF(Table11[[#This Row],['#TreesContract]]-Table11[[#This Row],['#Planted]]=0,"",Table11[[#This Row],['#TreesContract]]-Table11[[#This Row],['#Planted]])</f>
        <v/>
      </c>
      <c r="W112" s="2"/>
      <c r="X112" s="34">
        <v>0.64</v>
      </c>
      <c r="Y112" s="163">
        <f>Table11[[#This Row],['#TreesContract]]*Table11[[#This Row],[USA Allocation %]]</f>
        <v>352</v>
      </c>
      <c r="Z112" s="163">
        <f>Table11[[#This Row],['#Planted]]*Table11[[#This Row],[USA Allocation %]]</f>
        <v>352</v>
      </c>
      <c r="AA112" s="34">
        <v>0.36</v>
      </c>
      <c r="AB112" s="163">
        <f>Table11[[#This Row],['#TreesContract]]*0.36</f>
        <v>198</v>
      </c>
      <c r="AC112" s="34"/>
      <c r="AD112" s="163"/>
      <c r="AE112" s="163">
        <f>Table11[[#This Row],[Canada Allocation-tree '#''s]]+Table11[[#This Row],[Can trees/Allocation 2017]]</f>
        <v>198</v>
      </c>
      <c r="AF112" s="5">
        <v>0.81797103593073583</v>
      </c>
      <c r="AG112" s="35">
        <v>449.8840697619047</v>
      </c>
      <c r="AH112" s="35">
        <f>Table11[[#This Row],['#Trees as of 12/31/23]]*Table11[[#This Row],[USA Allocation %]]</f>
        <v>287.92580464761903</v>
      </c>
      <c r="AI112" s="437">
        <f>Table11[[#This Row],['#TreesContract]]*Table11[[#This Row],[2024 Inventory Survival%-master]]</f>
        <v>0</v>
      </c>
      <c r="AJ112" s="436"/>
      <c r="AK112" s="5">
        <v>0.81797103593073583</v>
      </c>
      <c r="AL112" s="5">
        <v>0.81797103593073583</v>
      </c>
      <c r="AM112" s="35">
        <f>AK112*Table11[[#This Row],['#TreesContract]]</f>
        <v>449.8840697619047</v>
      </c>
      <c r="AN112" s="35">
        <f>Table11[[#This Row],[2024 '#Trees Inventory + Estimate]]*Table11[[#This Row],[USA Allocation %]]</f>
        <v>287.92580464761903</v>
      </c>
      <c r="AO112" s="35">
        <f>Table11[[#This Row],[2024 '#Trees Inventory + Estimate]]*Table11[[#This Row],[Canada Allocation %]]</f>
        <v>161.95826511428569</v>
      </c>
      <c r="AP112" s="35">
        <f>Table11[[#This Row],[2024 '#Trees Inventory + Estimate]]*Table11[[#This Row],[Canada Allocation2017 %]]</f>
        <v>0</v>
      </c>
      <c r="AQ112" s="35">
        <f>Table11[[#This Row],['#Trees as of 2024/estimate-Can allocation]]+Table11[[#This Row],['#Trees as of 2024/estimate-Can allocation 2017]]</f>
        <v>161.95826511428569</v>
      </c>
      <c r="AR112" s="1" t="s">
        <v>608</v>
      </c>
      <c r="AS112" s="2"/>
      <c r="AT112" s="6">
        <f>IFERROR(Table11[[#This Row],['#Total Replacements]]/Table11[[#This Row],['#TreesContract]],"")</f>
        <v>1</v>
      </c>
      <c r="AU112" s="4">
        <f>IF(SUM(Table11[[#This Row],['#Replace 24]:['#Replace 16]])=0,0,SUM(Table11[[#This Row],['#Replace 24]:['#Replace 16]]))</f>
        <v>550</v>
      </c>
      <c r="AV112" s="2"/>
      <c r="AW112" s="2"/>
      <c r="AX112" s="3"/>
      <c r="AY112" s="2"/>
      <c r="AZ112" s="2">
        <v>550</v>
      </c>
      <c r="BA112" s="2"/>
      <c r="BB112" s="2"/>
      <c r="BC112" s="2"/>
      <c r="BD112" s="2"/>
      <c r="BE112" s="2"/>
      <c r="BF112" s="3">
        <v>1</v>
      </c>
      <c r="BG112" s="3">
        <v>1</v>
      </c>
      <c r="BH112" s="2"/>
      <c r="BI112" s="2"/>
      <c r="BJ112" s="2"/>
      <c r="BK112" s="139">
        <f>Table11[[#This Row],[Average MHT
(Feet)]]/16</f>
        <v>0</v>
      </c>
      <c r="BL112" s="2"/>
      <c r="BM112" s="139">
        <f>Table11[[#This Row],[Average DBH
(inches)]]/18</f>
        <v>0</v>
      </c>
      <c r="BN112" s="235">
        <f>((Table11[[#This Row],[Average DBH
(inches)]]-4)^2)*(Table11[[#This Row],[Average MHT
(Feet)]]/16)</f>
        <v>0</v>
      </c>
      <c r="BO112" s="235">
        <f>Table11[[#This Row],[Average BF]]*Table11[[#This Row],[2024 '#Trees Inventory + Estimate]]</f>
        <v>0</v>
      </c>
      <c r="BP112" s="240">
        <f>(Table11[[#This Row],[Harvest Year
(10 year)]]-Table11[[#This Row],[Year of Inventory]]+1)*(Table11[[#This Row],[Average DBH
(inches)]]/(Table11[[#This Row],[Harvest Year
(10 year)]]-Table11[[#This Row],[Year of Inventory]]+1))+Table11[[#This Row],[Average DBH
(inches)]]</f>
        <v>0</v>
      </c>
      <c r="BQ112" s="235">
        <f>((Table11[[#This Row],[Projected DBH
(Extrapolated Growth/Year)]]-4)^2)*(Table11[[#This Row],[Average MHT
(Feet)]]/16)</f>
        <v>0</v>
      </c>
      <c r="BR112" s="235">
        <f>Table11[[#This Row],[Projected Average BF]]*Table11[[#This Row],[2024 '#Trees Inventory + Estimate]]</f>
        <v>0</v>
      </c>
      <c r="BS112" s="235">
        <f>196*Table11[[#This Row],[2024 '#Trees Inventory + Estimate]]</f>
        <v>88177.277673333316</v>
      </c>
      <c r="BT112" s="243">
        <f>Table11[[#This Row],[ETP Offering Expected BF]]-Table11[[#This Row],[Projected Total BF]]</f>
        <v>88177.277673333316</v>
      </c>
      <c r="BU112" s="235">
        <f>(18-Table11[[#This Row],[Average DBH
(inches)]])/(D112-Table11[[#This Row],[Year of Inventory]]+1)</f>
        <v>8.8713652045342532E-3</v>
      </c>
    </row>
    <row r="113" spans="1:73" hidden="1" x14ac:dyDescent="0.25">
      <c r="A113" s="7" t="s">
        <v>609</v>
      </c>
      <c r="B113" s="2">
        <v>2018</v>
      </c>
      <c r="C113" s="2">
        <v>2019</v>
      </c>
      <c r="D113" s="2">
        <v>0</v>
      </c>
      <c r="E113" t="s">
        <v>610</v>
      </c>
      <c r="F113" s="161">
        <v>30010</v>
      </c>
      <c r="G113" t="s">
        <v>610</v>
      </c>
      <c r="H113" s="357"/>
      <c r="I113" t="s">
        <v>160</v>
      </c>
      <c r="J113" s="1"/>
      <c r="K113" s="1"/>
      <c r="L113" s="1"/>
      <c r="M113" s="1" t="s">
        <v>574</v>
      </c>
      <c r="Q113" s="2"/>
      <c r="R113" s="86"/>
      <c r="S113" s="2"/>
      <c r="T113" s="1">
        <v>1000</v>
      </c>
      <c r="U113" s="1">
        <v>0</v>
      </c>
      <c r="V113" s="1">
        <f>IF(Table11[[#This Row],['#TreesContract]]-Table11[[#This Row],['#Planted]]=0,"",Table11[[#This Row],['#TreesContract]]-Table11[[#This Row],['#Planted]])</f>
        <v>1000</v>
      </c>
      <c r="W113" s="2"/>
      <c r="X113" s="34">
        <v>1</v>
      </c>
      <c r="Y113" s="163">
        <f>Table11[[#This Row],['#TreesContract]]*Table11[[#This Row],[USA Allocation %]]</f>
        <v>1000</v>
      </c>
      <c r="Z113" s="163"/>
      <c r="AA113" s="34"/>
      <c r="AB113" s="163"/>
      <c r="AC113" s="34"/>
      <c r="AD113" s="163"/>
      <c r="AE113" s="163">
        <f>Table11[[#This Row],[Canada Allocation-tree '#''s]]+Table11[[#This Row],[Can trees/Allocation 2017]]</f>
        <v>0</v>
      </c>
      <c r="AF113" s="5">
        <v>0</v>
      </c>
      <c r="AG113" s="35">
        <v>0</v>
      </c>
      <c r="AH113" s="35">
        <f>Table11[[#This Row],['#Trees as of 12/31/23]]*Table11[[#This Row],[USA Allocation %]]</f>
        <v>0</v>
      </c>
      <c r="AI113" s="404">
        <f>Table11[[#This Row],['#TreesContract]]*Table11[[#This Row],[2024 Inventory Survival%-master]]</f>
        <v>0</v>
      </c>
      <c r="AJ113" s="5">
        <v>0</v>
      </c>
      <c r="AK113" s="5">
        <v>0</v>
      </c>
      <c r="AL113" s="5">
        <v>0</v>
      </c>
      <c r="AM113" s="35">
        <f>AK113*Table11[[#This Row],['#TreesContract]]</f>
        <v>0</v>
      </c>
      <c r="AN113" s="35">
        <f>Table11[[#This Row],[2024 '#Trees Inventory + Estimate]]*Table11[[#This Row],[USA Allocation %]]</f>
        <v>0</v>
      </c>
      <c r="AO113" s="35">
        <f>Table11[[#This Row],[2024 '#Trees Inventory + Estimate]]*Table11[[#This Row],[Canada Allocation %]]</f>
        <v>0</v>
      </c>
      <c r="AP113" s="35">
        <f>Table11[[#This Row],[2024 '#Trees Inventory + Estimate]]*Table11[[#This Row],[Canada Allocation2017 %]]</f>
        <v>0</v>
      </c>
      <c r="AQ113" s="35">
        <f>Table11[[#This Row],['#Trees as of 2024/estimate-Can allocation]]+Table11[[#This Row],['#Trees as of 2024/estimate-Can allocation 2017]]</f>
        <v>0</v>
      </c>
      <c r="AR113" s="1" t="s">
        <v>576</v>
      </c>
      <c r="AS113" s="2"/>
      <c r="AT113" s="6">
        <f>IFERROR(Table11[[#This Row],['#Total Replacements]]/Table11[[#This Row],['#TreesContract]],"")</f>
        <v>0</v>
      </c>
      <c r="AU113" s="4">
        <f>IF(SUM(Table11[[#This Row],['#Replace 24]:['#Replace 16]])=0,0,SUM(Table11[[#This Row],['#Replace 24]:['#Replace 16]]))</f>
        <v>0</v>
      </c>
      <c r="AV113" s="2"/>
      <c r="AW113" s="2"/>
      <c r="AX113" s="3"/>
      <c r="AY113" s="2"/>
      <c r="AZ113" s="2"/>
      <c r="BA113" s="2"/>
      <c r="BB113" s="2"/>
      <c r="BC113" s="2"/>
      <c r="BD113" s="2"/>
      <c r="BE113" s="2"/>
      <c r="BF113" s="3">
        <v>0</v>
      </c>
      <c r="BG113" s="3"/>
      <c r="BH113" s="2"/>
      <c r="BI113" s="2"/>
      <c r="BJ113" s="2"/>
      <c r="BK113" s="139">
        <f>Table11[[#This Row],[Average MHT
(Feet)]]/16</f>
        <v>0</v>
      </c>
      <c r="BL113" s="2"/>
      <c r="BM113" s="139">
        <f>Table11[[#This Row],[Average DBH
(inches)]]/18</f>
        <v>0</v>
      </c>
      <c r="BN113" s="235">
        <f>((Table11[[#This Row],[Average DBH
(inches)]]-4)^2)*(Table11[[#This Row],[Average MHT
(Feet)]]/16)</f>
        <v>0</v>
      </c>
      <c r="BO113" s="235">
        <f>Table11[[#This Row],[Average BF]]*Table11[[#This Row],[2024 '#Trees Inventory + Estimate]]</f>
        <v>0</v>
      </c>
      <c r="BP113" s="240">
        <f>(Table11[[#This Row],[Harvest Year
(10 year)]]-Table11[[#This Row],[Year of Inventory]]+1)*(Table11[[#This Row],[Average DBH
(inches)]]/(Table11[[#This Row],[Harvest Year
(10 year)]]-Table11[[#This Row],[Year of Inventory]]+1))+Table11[[#This Row],[Average DBH
(inches)]]</f>
        <v>0</v>
      </c>
      <c r="BQ113" s="235">
        <f>((Table11[[#This Row],[Projected DBH
(Extrapolated Growth/Year)]]-4)^2)*(Table11[[#This Row],[Average MHT
(Feet)]]/16)</f>
        <v>0</v>
      </c>
      <c r="BR113" s="235">
        <f>Table11[[#This Row],[Projected Average BF]]*Table11[[#This Row],[2024 '#Trees Inventory + Estimate]]</f>
        <v>0</v>
      </c>
      <c r="BS113" s="235">
        <f>196*Table11[[#This Row],[2024 '#Trees Inventory + Estimate]]</f>
        <v>0</v>
      </c>
      <c r="BT113" s="235">
        <f>Table11[[#This Row],[ETP Offering Expected BF]]-Table11[[#This Row],[Projected Total BF]]</f>
        <v>0</v>
      </c>
      <c r="BU113" s="235">
        <f>(18-Table11[[#This Row],[Average DBH
(inches)]])/(D113-Table11[[#This Row],[Year of Inventory]]+1)</f>
        <v>18</v>
      </c>
    </row>
    <row r="114" spans="1:73" hidden="1" x14ac:dyDescent="0.25">
      <c r="A114" s="7" t="s">
        <v>611</v>
      </c>
      <c r="B114" s="2">
        <v>2018</v>
      </c>
      <c r="C114" s="2">
        <v>2019</v>
      </c>
      <c r="D114" s="2">
        <f>Table11[[#This Row],[Planting Year]]+9</f>
        <v>2028</v>
      </c>
      <c r="E114" t="s">
        <v>612</v>
      </c>
      <c r="F114" s="161">
        <v>30011</v>
      </c>
      <c r="G114" t="s">
        <v>613</v>
      </c>
      <c r="H114" s="357" t="s">
        <v>614</v>
      </c>
      <c r="I114" t="s">
        <v>147</v>
      </c>
      <c r="J114" s="1" t="s">
        <v>615</v>
      </c>
      <c r="K114" s="1" t="s">
        <v>616</v>
      </c>
      <c r="L114" s="1" t="s">
        <v>617</v>
      </c>
      <c r="M114" s="1" t="s">
        <v>574</v>
      </c>
      <c r="N114" t="s">
        <v>618</v>
      </c>
      <c r="O114">
        <v>14.949444</v>
      </c>
      <c r="P114">
        <v>-89.331666999999996</v>
      </c>
      <c r="Q114" s="2"/>
      <c r="R114" s="86"/>
      <c r="S114" s="2"/>
      <c r="T114" s="1">
        <v>1000</v>
      </c>
      <c r="U114" s="1">
        <v>1000</v>
      </c>
      <c r="V114" s="1" t="str">
        <f>IF(Table11[[#This Row],['#TreesContract]]-Table11[[#This Row],['#Planted]]=0,"",Table11[[#This Row],['#TreesContract]]-Table11[[#This Row],['#Planted]])</f>
        <v/>
      </c>
      <c r="W114" s="2"/>
      <c r="X114" s="34">
        <v>0.64</v>
      </c>
      <c r="Y114" s="163">
        <f>Table11[[#This Row],['#TreesContract]]*Table11[[#This Row],[USA Allocation %]]</f>
        <v>640</v>
      </c>
      <c r="Z114" s="163">
        <f>Table11[[#This Row],['#Planted]]*Table11[[#This Row],[USA Allocation %]]</f>
        <v>640</v>
      </c>
      <c r="AA114" s="34">
        <v>0.36</v>
      </c>
      <c r="AB114" s="163">
        <f>Table11[[#This Row],['#TreesContract]]*0.36</f>
        <v>360</v>
      </c>
      <c r="AC114" s="34"/>
      <c r="AD114" s="163"/>
      <c r="AE114" s="163">
        <f>Table11[[#This Row],[Canada Allocation-tree '#''s]]+Table11[[#This Row],[Can trees/Allocation 2017]]</f>
        <v>360</v>
      </c>
      <c r="AF114" s="5">
        <v>0.18409090909090908</v>
      </c>
      <c r="AG114" s="35">
        <v>184.09090909090909</v>
      </c>
      <c r="AH114" s="35">
        <f>Table11[[#This Row],['#Trees as of 12/31/23]]*Table11[[#This Row],[USA Allocation %]]</f>
        <v>117.81818181818183</v>
      </c>
      <c r="AI114" s="404">
        <f>Table11[[#This Row],['#TreesContract]]*Table11[[#This Row],[2024 Inventory Survival%-master]]</f>
        <v>0</v>
      </c>
      <c r="AJ114" s="5"/>
      <c r="AK114" s="5">
        <v>0.18409090909090908</v>
      </c>
      <c r="AL114" s="5">
        <v>0.18</v>
      </c>
      <c r="AM114" s="35">
        <f>AK114*Table11[[#This Row],['#TreesContract]]</f>
        <v>184.09090909090909</v>
      </c>
      <c r="AN114" s="35">
        <f>Table11[[#This Row],[2024 '#Trees Inventory + Estimate]]*Table11[[#This Row],[USA Allocation %]]</f>
        <v>117.81818181818183</v>
      </c>
      <c r="AO114" s="35">
        <f>Table11[[#This Row],[2024 '#Trees Inventory + Estimate]]*Table11[[#This Row],[Canada Allocation %]]</f>
        <v>66.272727272727266</v>
      </c>
      <c r="AP114" s="35">
        <f>Table11[[#This Row],[2024 '#Trees Inventory + Estimate]]*Table11[[#This Row],[Canada Allocation2017 %]]</f>
        <v>0</v>
      </c>
      <c r="AQ114" s="35">
        <f>Table11[[#This Row],['#Trees as of 2024/estimate-Can allocation]]+Table11[[#This Row],['#Trees as of 2024/estimate-Can allocation 2017]]</f>
        <v>66.272727272727266</v>
      </c>
      <c r="AR114" s="1" t="s">
        <v>576</v>
      </c>
      <c r="AS114" s="2"/>
      <c r="AT114" s="6">
        <f>IFERROR(Table11[[#This Row],['#Total Replacements]]/Table11[[#This Row],['#TreesContract]],"")</f>
        <v>0</v>
      </c>
      <c r="AU114" s="4">
        <f>IF(SUM(Table11[[#This Row],['#Replace 24]:['#Replace 16]])=0,0,SUM(Table11[[#This Row],['#Replace 24]:['#Replace 16]]))</f>
        <v>0</v>
      </c>
      <c r="AV114" s="2"/>
      <c r="AW114" s="2"/>
      <c r="AX114" s="3"/>
      <c r="AY114" s="2"/>
      <c r="AZ114" s="2"/>
      <c r="BA114" s="2"/>
      <c r="BB114" s="2"/>
      <c r="BC114" s="2"/>
      <c r="BD114" s="2"/>
      <c r="BE114" s="2"/>
      <c r="BF114" s="3">
        <v>1</v>
      </c>
      <c r="BG114" s="3">
        <v>1</v>
      </c>
      <c r="BH114" s="2"/>
      <c r="BI114" s="158"/>
      <c r="BJ114" s="158"/>
      <c r="BK114" s="139">
        <f>Table11[[#This Row],[Average MHT
(Feet)]]/16</f>
        <v>0</v>
      </c>
      <c r="BL114" s="2"/>
      <c r="BM114" s="139">
        <f>Table11[[#This Row],[Average DBH
(inches)]]/18</f>
        <v>0</v>
      </c>
      <c r="BN114" s="235">
        <f>((Table11[[#This Row],[Average DBH
(inches)]]-4)^2)*(Table11[[#This Row],[Average MHT
(Feet)]]/16)</f>
        <v>0</v>
      </c>
      <c r="BO114" s="235">
        <f>Table11[[#This Row],[Average BF]]*Table11[[#This Row],[2024 '#Trees Inventory + Estimate]]</f>
        <v>0</v>
      </c>
      <c r="BP114" s="240">
        <f>(Table11[[#This Row],[Harvest Year
(10 year)]]-Table11[[#This Row],[Year of Inventory]]+1)*(Table11[[#This Row],[Average DBH
(inches)]]/(Table11[[#This Row],[Harvest Year
(10 year)]]-Table11[[#This Row],[Year of Inventory]]+1))+Table11[[#This Row],[Average DBH
(inches)]]</f>
        <v>0</v>
      </c>
      <c r="BQ114" s="235">
        <f>((Table11[[#This Row],[Projected DBH
(Extrapolated Growth/Year)]]-4)^2)*(Table11[[#This Row],[Average MHT
(Feet)]]/16)</f>
        <v>0</v>
      </c>
      <c r="BR114" s="235">
        <f>Table11[[#This Row],[Projected Average BF]]*Table11[[#This Row],[2024 '#Trees Inventory + Estimate]]</f>
        <v>0</v>
      </c>
      <c r="BS114" s="235">
        <f>196*Table11[[#This Row],[2024 '#Trees Inventory + Estimate]]</f>
        <v>36081.818181818184</v>
      </c>
      <c r="BT114" s="235">
        <f>Table11[[#This Row],[ETP Offering Expected BF]]-Table11[[#This Row],[Projected Total BF]]</f>
        <v>36081.818181818184</v>
      </c>
      <c r="BU114" s="235">
        <f>(18-Table11[[#This Row],[Average DBH
(inches)]])/(D114-Table11[[#This Row],[Year of Inventory]]+1)</f>
        <v>8.8713652045342532E-3</v>
      </c>
    </row>
    <row r="115" spans="1:73" hidden="1" x14ac:dyDescent="0.25">
      <c r="A115" s="7" t="s">
        <v>619</v>
      </c>
      <c r="B115" s="2">
        <v>2018</v>
      </c>
      <c r="C115" s="2">
        <v>2019</v>
      </c>
      <c r="D115" s="2">
        <v>0</v>
      </c>
      <c r="E115" t="s">
        <v>620</v>
      </c>
      <c r="F115" s="161">
        <v>40001</v>
      </c>
      <c r="G115" t="s">
        <v>620</v>
      </c>
      <c r="H115" s="357"/>
      <c r="I115" t="s">
        <v>160</v>
      </c>
      <c r="J115" s="1"/>
      <c r="K115" s="1"/>
      <c r="L115" s="1"/>
      <c r="M115" s="1" t="s">
        <v>621</v>
      </c>
      <c r="Q115" s="2"/>
      <c r="R115" s="86"/>
      <c r="S115" s="2"/>
      <c r="T115" s="1">
        <v>5000</v>
      </c>
      <c r="U115" s="1">
        <v>5000</v>
      </c>
      <c r="V115" s="1" t="str">
        <f>IF(Table11[[#This Row],['#TreesContract]]-Table11[[#This Row],['#Planted]]=0,"",Table11[[#This Row],['#TreesContract]]-Table11[[#This Row],['#Planted]])</f>
        <v/>
      </c>
      <c r="W115" s="2"/>
      <c r="X115" s="34">
        <v>0.64</v>
      </c>
      <c r="Y115" s="163">
        <f>Table11[[#This Row],['#TreesContract]]*Table11[[#This Row],[USA Allocation %]]</f>
        <v>3200</v>
      </c>
      <c r="Z115" s="163">
        <f>Table11[[#This Row],['#Planted]]*Table11[[#This Row],[USA Allocation %]]</f>
        <v>3200</v>
      </c>
      <c r="AA115" s="34">
        <v>0.36</v>
      </c>
      <c r="AB115" s="163">
        <f>Table11[[#This Row],['#TreesContract]]*0.36</f>
        <v>1800</v>
      </c>
      <c r="AC115" s="34"/>
      <c r="AD115" s="163"/>
      <c r="AE115" s="163">
        <f>Table11[[#This Row],[Canada Allocation-tree '#''s]]+Table11[[#This Row],[Can trees/Allocation 2017]]</f>
        <v>1800</v>
      </c>
      <c r="AF115" s="5">
        <v>0</v>
      </c>
      <c r="AG115" s="35">
        <v>0</v>
      </c>
      <c r="AH115" s="35">
        <f>Table11[[#This Row],['#Trees as of 12/31/23]]*Table11[[#This Row],[USA Allocation %]]</f>
        <v>0</v>
      </c>
      <c r="AI115" s="404">
        <f>Table11[[#This Row],['#TreesContract]]*Table11[[#This Row],[2024 Inventory Survival%-master]]</f>
        <v>0</v>
      </c>
      <c r="AJ115" s="5">
        <v>0</v>
      </c>
      <c r="AK115" s="5">
        <v>0</v>
      </c>
      <c r="AL115" s="5">
        <v>0</v>
      </c>
      <c r="AM115" s="35">
        <f>AK115*Table11[[#This Row],['#TreesContract]]</f>
        <v>0</v>
      </c>
      <c r="AN115" s="35">
        <f>Table11[[#This Row],[2024 '#Trees Inventory + Estimate]]*Table11[[#This Row],[USA Allocation %]]</f>
        <v>0</v>
      </c>
      <c r="AO115" s="35">
        <f>Table11[[#This Row],[2024 '#Trees Inventory + Estimate]]*Table11[[#This Row],[Canada Allocation %]]</f>
        <v>0</v>
      </c>
      <c r="AP115" s="35">
        <f>Table11[[#This Row],[2024 '#Trees Inventory + Estimate]]*Table11[[#This Row],[Canada Allocation2017 %]]</f>
        <v>0</v>
      </c>
      <c r="AQ115" s="35">
        <f>Table11[[#This Row],['#Trees as of 2024/estimate-Can allocation]]+Table11[[#This Row],['#Trees as of 2024/estimate-Can allocation 2017]]</f>
        <v>0</v>
      </c>
      <c r="AR115" s="1"/>
      <c r="AS115" s="2"/>
      <c r="AT115" s="6">
        <f>IFERROR(Table11[[#This Row],['#Total Replacements]]/Table11[[#This Row],['#TreesContract]],"")</f>
        <v>0</v>
      </c>
      <c r="AU115" s="4">
        <f>IF(SUM(Table11[[#This Row],['#Replace 24]:['#Replace 16]])=0,0,SUM(Table11[[#This Row],['#Replace 24]:['#Replace 16]]))</f>
        <v>0</v>
      </c>
      <c r="AV115" s="2"/>
      <c r="AW115" s="2"/>
      <c r="AX115" s="3"/>
      <c r="AY115" s="2"/>
      <c r="AZ115" s="2"/>
      <c r="BA115" s="2"/>
      <c r="BB115" s="2"/>
      <c r="BC115" s="2"/>
      <c r="BD115" s="2"/>
      <c r="BE115" s="2"/>
      <c r="BF115" s="3">
        <v>1</v>
      </c>
      <c r="BG115" s="3">
        <v>1</v>
      </c>
      <c r="BH115" s="2"/>
      <c r="BI115" s="2"/>
      <c r="BJ115" s="2"/>
      <c r="BK115" s="139">
        <f>Table11[[#This Row],[Average MHT
(Feet)]]/16</f>
        <v>0</v>
      </c>
      <c r="BL115" s="2"/>
      <c r="BM115" s="139">
        <f>Table11[[#This Row],[Average DBH
(inches)]]/18</f>
        <v>0</v>
      </c>
      <c r="BN115" s="235">
        <f>((Table11[[#This Row],[Average DBH
(inches)]]-4)^2)*(Table11[[#This Row],[Average MHT
(Feet)]]/16)</f>
        <v>0</v>
      </c>
      <c r="BO115" s="235">
        <f>Table11[[#This Row],[Average BF]]*Table11[[#This Row],[2024 '#Trees Inventory + Estimate]]</f>
        <v>0</v>
      </c>
      <c r="BP115" s="240">
        <f>(Table11[[#This Row],[Harvest Year
(10 year)]]-Table11[[#This Row],[Year of Inventory]]+1)*(Table11[[#This Row],[Average DBH
(inches)]]/(Table11[[#This Row],[Harvest Year
(10 year)]]-Table11[[#This Row],[Year of Inventory]]+1))+Table11[[#This Row],[Average DBH
(inches)]]</f>
        <v>0</v>
      </c>
      <c r="BQ115" s="235">
        <f>((Table11[[#This Row],[Projected DBH
(Extrapolated Growth/Year)]]-4)^2)*(Table11[[#This Row],[Average MHT
(Feet)]]/16)</f>
        <v>0</v>
      </c>
      <c r="BR115" s="235">
        <f>Table11[[#This Row],[Projected Average BF]]*Table11[[#This Row],[2024 '#Trees Inventory + Estimate]]</f>
        <v>0</v>
      </c>
      <c r="BS115" s="235">
        <f>196*Table11[[#This Row],[2024 '#Trees Inventory + Estimate]]</f>
        <v>0</v>
      </c>
      <c r="BT115" s="235">
        <f>Table11[[#This Row],[ETP Offering Expected BF]]-Table11[[#This Row],[Projected Total BF]]</f>
        <v>0</v>
      </c>
      <c r="BU115" s="235">
        <f>(18-Table11[[#This Row],[Average DBH
(inches)]])/(D115-Table11[[#This Row],[Year of Inventory]]+1)</f>
        <v>18</v>
      </c>
    </row>
    <row r="116" spans="1:73" hidden="1" x14ac:dyDescent="0.25">
      <c r="A116" s="7" t="s">
        <v>622</v>
      </c>
      <c r="B116" s="2">
        <v>2018</v>
      </c>
      <c r="C116" s="2">
        <v>2019</v>
      </c>
      <c r="D116" s="2">
        <v>0</v>
      </c>
      <c r="E116" t="s">
        <v>623</v>
      </c>
      <c r="F116" s="161">
        <v>40002</v>
      </c>
      <c r="G116" t="s">
        <v>623</v>
      </c>
      <c r="H116" s="357"/>
      <c r="I116" t="s">
        <v>160</v>
      </c>
      <c r="J116" s="1"/>
      <c r="K116" s="1"/>
      <c r="L116" s="1"/>
      <c r="M116" s="1" t="s">
        <v>621</v>
      </c>
      <c r="Q116" s="2"/>
      <c r="R116" s="86"/>
      <c r="S116" s="2"/>
      <c r="T116" s="1">
        <v>2000</v>
      </c>
      <c r="U116" s="1">
        <v>2000</v>
      </c>
      <c r="V116" s="1" t="str">
        <f>IF(Table11[[#This Row],['#TreesContract]]-Table11[[#This Row],['#Planted]]=0,"",Table11[[#This Row],['#TreesContract]]-Table11[[#This Row],['#Planted]])</f>
        <v/>
      </c>
      <c r="W116" s="2"/>
      <c r="X116" s="34">
        <v>0.64</v>
      </c>
      <c r="Y116" s="163">
        <f>Table11[[#This Row],['#TreesContract]]*Table11[[#This Row],[USA Allocation %]]</f>
        <v>1280</v>
      </c>
      <c r="Z116" s="163">
        <f>Table11[[#This Row],['#Planted]]*Table11[[#This Row],[USA Allocation %]]</f>
        <v>1280</v>
      </c>
      <c r="AA116" s="34">
        <v>0.36</v>
      </c>
      <c r="AB116" s="163">
        <f>Table11[[#This Row],['#TreesContract]]*0.36</f>
        <v>720</v>
      </c>
      <c r="AC116" s="34"/>
      <c r="AD116" s="163"/>
      <c r="AE116" s="163">
        <f>Table11[[#This Row],[Canada Allocation-tree '#''s]]+Table11[[#This Row],[Can trees/Allocation 2017]]</f>
        <v>720</v>
      </c>
      <c r="AF116" s="5">
        <v>0</v>
      </c>
      <c r="AG116" s="35">
        <v>0</v>
      </c>
      <c r="AH116" s="35">
        <f>Table11[[#This Row],['#Trees as of 12/31/23]]*Table11[[#This Row],[USA Allocation %]]</f>
        <v>0</v>
      </c>
      <c r="AI116" s="404">
        <f>Table11[[#This Row],['#TreesContract]]*Table11[[#This Row],[2024 Inventory Survival%-master]]</f>
        <v>0</v>
      </c>
      <c r="AJ116" s="5">
        <v>0</v>
      </c>
      <c r="AK116" s="5">
        <v>0</v>
      </c>
      <c r="AL116" s="5">
        <v>0</v>
      </c>
      <c r="AM116" s="35">
        <f>AK116*Table11[[#This Row],['#TreesContract]]</f>
        <v>0</v>
      </c>
      <c r="AN116" s="35">
        <f>Table11[[#This Row],[2024 '#Trees Inventory + Estimate]]*Table11[[#This Row],[USA Allocation %]]</f>
        <v>0</v>
      </c>
      <c r="AO116" s="35">
        <f>Table11[[#This Row],[2024 '#Trees Inventory + Estimate]]*Table11[[#This Row],[Canada Allocation %]]</f>
        <v>0</v>
      </c>
      <c r="AP116" s="35">
        <f>Table11[[#This Row],[2024 '#Trees Inventory + Estimate]]*Table11[[#This Row],[Canada Allocation2017 %]]</f>
        <v>0</v>
      </c>
      <c r="AQ116" s="35">
        <f>Table11[[#This Row],['#Trees as of 2024/estimate-Can allocation]]+Table11[[#This Row],['#Trees as of 2024/estimate-Can allocation 2017]]</f>
        <v>0</v>
      </c>
      <c r="AR116" s="1"/>
      <c r="AS116" s="2"/>
      <c r="AT116" s="6">
        <f>IFERROR(Table11[[#This Row],['#Total Replacements]]/Table11[[#This Row],['#TreesContract]],"")</f>
        <v>0</v>
      </c>
      <c r="AU116" s="4">
        <f>IF(SUM(Table11[[#This Row],['#Replace 24]:['#Replace 16]])=0,0,SUM(Table11[[#This Row],['#Replace 24]:['#Replace 16]]))</f>
        <v>0</v>
      </c>
      <c r="AV116" s="2"/>
      <c r="AW116" s="2"/>
      <c r="AX116" s="3"/>
      <c r="AY116" s="2"/>
      <c r="AZ116" s="2"/>
      <c r="BA116" s="2"/>
      <c r="BB116" s="2"/>
      <c r="BC116" s="2"/>
      <c r="BD116" s="2"/>
      <c r="BE116" s="2"/>
      <c r="BF116" s="3">
        <v>1</v>
      </c>
      <c r="BG116" s="3">
        <v>1</v>
      </c>
      <c r="BH116" s="2"/>
      <c r="BI116" s="158"/>
      <c r="BJ116" s="158"/>
      <c r="BK116" s="139">
        <f>Table11[[#This Row],[Average MHT
(Feet)]]/16</f>
        <v>0</v>
      </c>
      <c r="BL116" s="2"/>
      <c r="BM116" s="139">
        <f>Table11[[#This Row],[Average DBH
(inches)]]/18</f>
        <v>0</v>
      </c>
      <c r="BN116" s="235">
        <f>((Table11[[#This Row],[Average DBH
(inches)]]-4)^2)*(Table11[[#This Row],[Average MHT
(Feet)]]/16)</f>
        <v>0</v>
      </c>
      <c r="BO116" s="235">
        <f>Table11[[#This Row],[Average BF]]*Table11[[#This Row],[2024 '#Trees Inventory + Estimate]]</f>
        <v>0</v>
      </c>
      <c r="BP116" s="240">
        <f>(Table11[[#This Row],[Harvest Year
(10 year)]]-Table11[[#This Row],[Year of Inventory]]+1)*(Table11[[#This Row],[Average DBH
(inches)]]/(Table11[[#This Row],[Harvest Year
(10 year)]]-Table11[[#This Row],[Year of Inventory]]+1))+Table11[[#This Row],[Average DBH
(inches)]]</f>
        <v>0</v>
      </c>
      <c r="BQ116" s="235">
        <f>((Table11[[#This Row],[Projected DBH
(Extrapolated Growth/Year)]]-4)^2)*(Table11[[#This Row],[Average MHT
(Feet)]]/16)</f>
        <v>0</v>
      </c>
      <c r="BR116" s="235">
        <f>Table11[[#This Row],[Projected Average BF]]*Table11[[#This Row],[2024 '#Trees Inventory + Estimate]]</f>
        <v>0</v>
      </c>
      <c r="BS116" s="235">
        <f>196*Table11[[#This Row],[2024 '#Trees Inventory + Estimate]]</f>
        <v>0</v>
      </c>
      <c r="BT116" s="235">
        <f>Table11[[#This Row],[ETP Offering Expected BF]]-Table11[[#This Row],[Projected Total BF]]</f>
        <v>0</v>
      </c>
      <c r="BU116" s="235">
        <f>(18-Table11[[#This Row],[Average DBH
(inches)]])/(D116-Table11[[#This Row],[Year of Inventory]]+1)</f>
        <v>18</v>
      </c>
    </row>
    <row r="117" spans="1:73" hidden="1" x14ac:dyDescent="0.25">
      <c r="A117" s="7" t="s">
        <v>624</v>
      </c>
      <c r="B117" s="2">
        <v>2018</v>
      </c>
      <c r="C117" s="2">
        <v>2020</v>
      </c>
      <c r="D117" s="2">
        <f>Table11[[#This Row],[Planting Year]]+9</f>
        <v>2029</v>
      </c>
      <c r="E117" s="97" t="s">
        <v>418</v>
      </c>
      <c r="F117" s="161">
        <v>10030</v>
      </c>
      <c r="G117" t="s">
        <v>418</v>
      </c>
      <c r="H117" s="357" t="s">
        <v>419</v>
      </c>
      <c r="I117" t="s">
        <v>155</v>
      </c>
      <c r="J117" s="1" t="s">
        <v>420</v>
      </c>
      <c r="K117" s="1" t="s">
        <v>421</v>
      </c>
      <c r="L117" s="1" t="s">
        <v>421</v>
      </c>
      <c r="M117" s="1" t="s">
        <v>150</v>
      </c>
      <c r="N117" t="s">
        <v>625</v>
      </c>
      <c r="O117">
        <v>30.814990999999999</v>
      </c>
      <c r="P117">
        <v>-84.811269999999993</v>
      </c>
      <c r="Q117" s="2"/>
      <c r="R117" s="86"/>
      <c r="S117" s="2"/>
      <c r="T117" s="1">
        <v>1320</v>
      </c>
      <c r="U117" s="1">
        <v>1320</v>
      </c>
      <c r="V117" s="1" t="str">
        <f>IF(Table11[[#This Row],['#TreesContract]]-Table11[[#This Row],['#Planted]]=0,"",Table11[[#This Row],['#TreesContract]]-Table11[[#This Row],['#Planted]])</f>
        <v/>
      </c>
      <c r="W117" s="2"/>
      <c r="X117" s="34">
        <v>1</v>
      </c>
      <c r="Y117" s="163">
        <f>Table11[[#This Row],['#TreesContract]]*Table11[[#This Row],[USA Allocation %]]</f>
        <v>1320</v>
      </c>
      <c r="Z117" s="163">
        <f>Table11[[#This Row],['#Planted]]*Table11[[#This Row],[USA Allocation %]]</f>
        <v>1320</v>
      </c>
      <c r="AA117" s="34"/>
      <c r="AB117" s="163"/>
      <c r="AC117" s="34"/>
      <c r="AD117" s="163"/>
      <c r="AE117" s="163">
        <f>Table11[[#This Row],[Canada Allocation-tree '#''s]]+Table11[[#This Row],[Can trees/Allocation 2017]]</f>
        <v>0</v>
      </c>
      <c r="AF117" s="5">
        <v>1</v>
      </c>
      <c r="AG117" s="35">
        <v>1320</v>
      </c>
      <c r="AH117" s="35">
        <f>Table11[[#This Row],['#Trees as of 12/31/23]]*Table11[[#This Row],[USA Allocation %]]</f>
        <v>1320</v>
      </c>
      <c r="AI117" s="437">
        <f>Table11[[#This Row],['#TreesContract]]*Table11[[#This Row],[2024 Inventory Survival%-master]]</f>
        <v>1268.52</v>
      </c>
      <c r="AJ117" s="436">
        <v>0.96099999999999997</v>
      </c>
      <c r="AK117" s="5">
        <v>0.96099999999999997</v>
      </c>
      <c r="AL117" s="5">
        <v>0.96</v>
      </c>
      <c r="AM117" s="35">
        <v>1269</v>
      </c>
      <c r="AN117" s="35">
        <f>Table11[[#This Row],[2024 '#Trees Inventory + Estimate]]*Table11[[#This Row],[USA Allocation %]]</f>
        <v>1269</v>
      </c>
      <c r="AO117" s="35">
        <f>Table11[[#This Row],[2024 '#Trees Inventory + Estimate]]*Table11[[#This Row],[Canada Allocation %]]</f>
        <v>0</v>
      </c>
      <c r="AP117" s="35">
        <f>Table11[[#This Row],[2024 '#Trees Inventory + Estimate]]*Table11[[#This Row],[Canada Allocation2017 %]]</f>
        <v>0</v>
      </c>
      <c r="AQ117" s="35">
        <f>Table11[[#This Row],['#Trees as of 2024/estimate-Can allocation]]+Table11[[#This Row],['#Trees as of 2024/estimate-Can allocation 2017]]</f>
        <v>0</v>
      </c>
      <c r="AR117" s="1" t="s">
        <v>152</v>
      </c>
      <c r="AS117" s="2" t="s">
        <v>355</v>
      </c>
      <c r="AT117" s="6">
        <f>IFERROR(Table11[[#This Row],['#Total Replacements]]/Table11[[#This Row],['#TreesContract]],"")</f>
        <v>0.70303030303030301</v>
      </c>
      <c r="AU117" s="4">
        <f>IF(SUM(Table11[[#This Row],['#Replace 24]:['#Replace 16]])=0,0,SUM(Table11[[#This Row],['#Replace 24]:['#Replace 16]]))</f>
        <v>928</v>
      </c>
      <c r="AV117" s="2"/>
      <c r="AW117" s="2"/>
      <c r="AX117" s="3"/>
      <c r="AY117" s="2">
        <v>273</v>
      </c>
      <c r="AZ117" s="2">
        <v>655</v>
      </c>
      <c r="BA117" s="2"/>
      <c r="BB117" s="2"/>
      <c r="BC117" s="2"/>
      <c r="BD117" s="2"/>
      <c r="BE117" s="2"/>
      <c r="BF117" s="3">
        <v>1</v>
      </c>
      <c r="BG117" s="3">
        <v>1</v>
      </c>
      <c r="BH117" s="2">
        <v>2024</v>
      </c>
      <c r="BI117" s="2">
        <v>9.6999999999999993</v>
      </c>
      <c r="BJ117" s="2">
        <v>4.2</v>
      </c>
      <c r="BK117" s="139">
        <f>Table11[[#This Row],[Average MHT
(Feet)]]/16</f>
        <v>0.26250000000000001</v>
      </c>
      <c r="BL117" s="2">
        <v>1.96</v>
      </c>
      <c r="BM117" s="139">
        <f>Table11[[#This Row],[Average DBH
(inches)]]/18</f>
        <v>0.10888888888888888</v>
      </c>
      <c r="BN117" s="235">
        <f>((Table11[[#This Row],[Average DBH
(inches)]]-4)^2)*(Table11[[#This Row],[Average MHT
(Feet)]]/16)</f>
        <v>1.0924199999999999</v>
      </c>
      <c r="BO117" s="235">
        <f>Table11[[#This Row],[Average BF]]*Table11[[#This Row],[2024 '#Trees Inventory + Estimate]]</f>
        <v>1386.28098</v>
      </c>
      <c r="BP117" s="240">
        <f>(Table11[[#This Row],[Harvest Year
(10 year)]]-Table11[[#This Row],[Year of Inventory]]+1)*(Table11[[#This Row],[Average DBH
(inches)]]/(Table11[[#This Row],[Harvest Year
(10 year)]]-Table11[[#This Row],[Year of Inventory]]+1))+Table11[[#This Row],[Average DBH
(inches)]]</f>
        <v>3.92</v>
      </c>
      <c r="BQ117" s="235">
        <f>((Table11[[#This Row],[Projected DBH
(Extrapolated Growth/Year)]]-4)^2)*(Table11[[#This Row],[Average MHT
(Feet)]]/16)</f>
        <v>1.6800000000000031E-3</v>
      </c>
      <c r="BR117" s="235">
        <f>Table11[[#This Row],[Projected Average BF]]*Table11[[#This Row],[2024 '#Trees Inventory + Estimate]]</f>
        <v>2.131920000000004</v>
      </c>
      <c r="BS117" s="235">
        <f>196*Table11[[#This Row],[2024 '#Trees Inventory + Estimate]]</f>
        <v>248724</v>
      </c>
      <c r="BT117" s="243">
        <f>Table11[[#This Row],[ETP Offering Expected BF]]-Table11[[#This Row],[Projected Total BF]]</f>
        <v>248721.86807999999</v>
      </c>
      <c r="BU117" s="235">
        <f>(18-Table11[[#This Row],[Average DBH
(inches)]])/(D117-Table11[[#This Row],[Year of Inventory]]+1)</f>
        <v>2.6733333333333333</v>
      </c>
    </row>
    <row r="118" spans="1:73" hidden="1" x14ac:dyDescent="0.25">
      <c r="A118" s="7" t="s">
        <v>626</v>
      </c>
      <c r="B118" s="2">
        <v>2020</v>
      </c>
      <c r="C118" s="2">
        <v>2020</v>
      </c>
      <c r="D118" s="2">
        <f>Table11[[#This Row],[Planting Year]]+9</f>
        <v>2029</v>
      </c>
      <c r="E118" s="97" t="s">
        <v>443</v>
      </c>
      <c r="F118" s="161">
        <v>10033</v>
      </c>
      <c r="G118" t="s">
        <v>443</v>
      </c>
      <c r="H118" s="357" t="s">
        <v>444</v>
      </c>
      <c r="I118" t="s">
        <v>155</v>
      </c>
      <c r="J118" s="1" t="s">
        <v>445</v>
      </c>
      <c r="K118" s="1" t="s">
        <v>446</v>
      </c>
      <c r="L118" s="1" t="s">
        <v>447</v>
      </c>
      <c r="M118" s="1" t="s">
        <v>150</v>
      </c>
      <c r="N118" t="s">
        <v>627</v>
      </c>
      <c r="O118">
        <v>31.044872000000002</v>
      </c>
      <c r="P118">
        <v>-88.515001999999996</v>
      </c>
      <c r="Q118" s="2"/>
      <c r="R118" s="86"/>
      <c r="S118" s="2"/>
      <c r="T118" s="1">
        <v>550</v>
      </c>
      <c r="U118" s="1">
        <v>550</v>
      </c>
      <c r="V118" s="1" t="str">
        <f>IF(Table11[[#This Row],['#TreesContract]]-Table11[[#This Row],['#Planted]]=0,"",Table11[[#This Row],['#TreesContract]]-Table11[[#This Row],['#Planted]])</f>
        <v/>
      </c>
      <c r="W118" s="2"/>
      <c r="X118" s="34">
        <v>1</v>
      </c>
      <c r="Y118" s="163">
        <f>Table11[[#This Row],['#TreesContract]]*Table11[[#This Row],[USA Allocation %]]</f>
        <v>550</v>
      </c>
      <c r="Z118" s="163">
        <f>Table11[[#This Row],['#Planted]]*Table11[[#This Row],[USA Allocation %]]</f>
        <v>550</v>
      </c>
      <c r="AA118" s="34"/>
      <c r="AB118" s="163"/>
      <c r="AC118" s="34"/>
      <c r="AD118" s="163"/>
      <c r="AE118" s="163">
        <f>Table11[[#This Row],[Canada Allocation-tree '#''s]]+Table11[[#This Row],[Can trees/Allocation 2017]]</f>
        <v>0</v>
      </c>
      <c r="AF118" s="5">
        <v>0.82499999999999996</v>
      </c>
      <c r="AG118" s="35">
        <v>453.75</v>
      </c>
      <c r="AH118" s="35">
        <f>Table11[[#This Row],['#Trees as of 12/31/23]]*Table11[[#This Row],[USA Allocation %]]</f>
        <v>453.75</v>
      </c>
      <c r="AI118" s="437">
        <f>Table11[[#This Row],['#TreesContract]]*Table11[[#This Row],[2024 Inventory Survival%-master]]</f>
        <v>488.95</v>
      </c>
      <c r="AJ118" s="436">
        <v>0.88900000000000001</v>
      </c>
      <c r="AK118" s="5">
        <v>0.89</v>
      </c>
      <c r="AL118" s="5">
        <v>0.89</v>
      </c>
      <c r="AM118" s="35">
        <v>489</v>
      </c>
      <c r="AN118" s="35">
        <f>Table11[[#This Row],[2024 '#Trees Inventory + Estimate]]*Table11[[#This Row],[USA Allocation %]]</f>
        <v>489</v>
      </c>
      <c r="AO118" s="35">
        <f>Table11[[#This Row],[2024 '#Trees Inventory + Estimate]]*Table11[[#This Row],[Canada Allocation %]]</f>
        <v>0</v>
      </c>
      <c r="AP118" s="35">
        <f>Table11[[#This Row],[2024 '#Trees Inventory + Estimate]]*Table11[[#This Row],[Canada Allocation2017 %]]</f>
        <v>0</v>
      </c>
      <c r="AQ118" s="35">
        <f>Table11[[#This Row],['#Trees as of 2024/estimate-Can allocation]]+Table11[[#This Row],['#Trees as of 2024/estimate-Can allocation 2017]]</f>
        <v>0</v>
      </c>
      <c r="AR118" s="1" t="s">
        <v>152</v>
      </c>
      <c r="AS118" s="2" t="s">
        <v>209</v>
      </c>
      <c r="AT118" s="6">
        <f>IFERROR(Table11[[#This Row],['#Total Replacements]]/Table11[[#This Row],['#TreesContract]],"")</f>
        <v>0.23272727272727273</v>
      </c>
      <c r="AU118" s="4">
        <f>IF(SUM(Table11[[#This Row],['#Replace 24]:['#Replace 16]])=0,0,SUM(Table11[[#This Row],['#Replace 24]:['#Replace 16]]))</f>
        <v>128</v>
      </c>
      <c r="AV118" s="2"/>
      <c r="AW118" s="2"/>
      <c r="AX118" s="3"/>
      <c r="AY118" s="2"/>
      <c r="AZ118" s="2"/>
      <c r="BA118" s="2">
        <v>128</v>
      </c>
      <c r="BB118" s="2"/>
      <c r="BC118" s="2"/>
      <c r="BD118" s="2"/>
      <c r="BE118" s="2"/>
      <c r="BF118" s="3">
        <v>1</v>
      </c>
      <c r="BG118" s="3">
        <v>1</v>
      </c>
      <c r="BH118" s="2">
        <v>2024</v>
      </c>
      <c r="BI118" s="2">
        <v>17.059999999999999</v>
      </c>
      <c r="BJ118" s="2">
        <v>9.3800000000000008</v>
      </c>
      <c r="BK118" s="139">
        <f>Table11[[#This Row],[Average MHT
(Feet)]]/16</f>
        <v>0.58625000000000005</v>
      </c>
      <c r="BL118" s="2">
        <v>3.64</v>
      </c>
      <c r="BM118" s="139">
        <f>Table11[[#This Row],[Average DBH
(inches)]]/18</f>
        <v>0.20222222222222222</v>
      </c>
      <c r="BN118" s="235">
        <f>((Table11[[#This Row],[Average DBH
(inches)]]-4)^2)*(Table11[[#This Row],[Average MHT
(Feet)]]/16)</f>
        <v>7.5977999999999948E-2</v>
      </c>
      <c r="BO118" s="235">
        <f>Table11[[#This Row],[Average BF]]*Table11[[#This Row],[2024 '#Trees Inventory + Estimate]]</f>
        <v>37.153241999999977</v>
      </c>
      <c r="BP118" s="240">
        <f>(Table11[[#This Row],[Harvest Year
(10 year)]]-Table11[[#This Row],[Year of Inventory]]+1)*(Table11[[#This Row],[Average DBH
(inches)]]/(Table11[[#This Row],[Harvest Year
(10 year)]]-Table11[[#This Row],[Year of Inventory]]+1))+Table11[[#This Row],[Average DBH
(inches)]]</f>
        <v>7.28</v>
      </c>
      <c r="BQ118" s="235">
        <f>((Table11[[#This Row],[Projected DBH
(Extrapolated Growth/Year)]]-4)^2)*(Table11[[#This Row],[Average MHT
(Feet)]]/16)</f>
        <v>6.3071120000000018</v>
      </c>
      <c r="BR118" s="235">
        <f>Table11[[#This Row],[Projected Average BF]]*Table11[[#This Row],[2024 '#Trees Inventory + Estimate]]</f>
        <v>3084.1777680000009</v>
      </c>
      <c r="BS118" s="235">
        <f>196*Table11[[#This Row],[2024 '#Trees Inventory + Estimate]]</f>
        <v>95844</v>
      </c>
      <c r="BT118" s="243">
        <f>Table11[[#This Row],[ETP Offering Expected BF]]-Table11[[#This Row],[Projected Total BF]]</f>
        <v>92759.822232000006</v>
      </c>
      <c r="BU118" s="235">
        <f>(18-Table11[[#This Row],[Average DBH
(inches)]])/(D118-Table11[[#This Row],[Year of Inventory]]+1)</f>
        <v>2.3933333333333331</v>
      </c>
    </row>
    <row r="119" spans="1:73" hidden="1" x14ac:dyDescent="0.25">
      <c r="A119" s="7" t="s">
        <v>628</v>
      </c>
      <c r="B119" s="2">
        <v>2020</v>
      </c>
      <c r="C119" s="2">
        <v>2020</v>
      </c>
      <c r="D119" s="2">
        <f>Table11[[#This Row],[Planting Year]]+9</f>
        <v>2029</v>
      </c>
      <c r="E119" s="97" t="s">
        <v>457</v>
      </c>
      <c r="F119" s="161">
        <v>10035</v>
      </c>
      <c r="G119" t="s">
        <v>457</v>
      </c>
      <c r="H119" s="357" t="s">
        <v>458</v>
      </c>
      <c r="I119" t="s">
        <v>155</v>
      </c>
      <c r="J119" s="1" t="s">
        <v>459</v>
      </c>
      <c r="K119" s="1" t="s">
        <v>460</v>
      </c>
      <c r="L119" s="1" t="s">
        <v>460</v>
      </c>
      <c r="M119" s="1" t="s">
        <v>150</v>
      </c>
      <c r="N119" t="s">
        <v>629</v>
      </c>
      <c r="O119">
        <v>32.645386000000002</v>
      </c>
      <c r="P119">
        <v>-86.086845999999994</v>
      </c>
      <c r="Q119" s="2"/>
      <c r="R119" s="86"/>
      <c r="S119" s="2"/>
      <c r="T119" s="1">
        <v>440</v>
      </c>
      <c r="U119" s="1">
        <v>440</v>
      </c>
      <c r="V119" s="1" t="str">
        <f>IF(Table11[[#This Row],['#TreesContract]]-Table11[[#This Row],['#Planted]]=0,"",Table11[[#This Row],['#TreesContract]]-Table11[[#This Row],['#Planted]])</f>
        <v/>
      </c>
      <c r="W119" s="2"/>
      <c r="X119" s="34">
        <v>1</v>
      </c>
      <c r="Y119" s="163">
        <f>Table11[[#This Row],['#TreesContract]]*Table11[[#This Row],[USA Allocation %]]</f>
        <v>440</v>
      </c>
      <c r="Z119" s="163">
        <f>Table11[[#This Row],['#Planted]]*Table11[[#This Row],[USA Allocation %]]</f>
        <v>440</v>
      </c>
      <c r="AA119" s="34"/>
      <c r="AB119" s="163"/>
      <c r="AC119" s="34"/>
      <c r="AD119" s="163"/>
      <c r="AE119" s="163">
        <f>Table11[[#This Row],[Canada Allocation-tree '#''s]]+Table11[[#This Row],[Can trees/Allocation 2017]]</f>
        <v>0</v>
      </c>
      <c r="AF119" s="5">
        <v>0.76818181818181819</v>
      </c>
      <c r="AG119" s="35">
        <v>338</v>
      </c>
      <c r="AH119" s="35">
        <f>Table11[[#This Row],['#Trees as of 12/31/23]]*Table11[[#This Row],[USA Allocation %]]</f>
        <v>338</v>
      </c>
      <c r="AI119" s="437">
        <f>Table11[[#This Row],['#TreesContract]]*Table11[[#This Row],[2024 Inventory Survival%-master]]</f>
        <v>179.95999999999998</v>
      </c>
      <c r="AJ119" s="436">
        <v>0.40899999999999997</v>
      </c>
      <c r="AK119" s="5">
        <v>0.41</v>
      </c>
      <c r="AL119" s="5">
        <v>0.41</v>
      </c>
      <c r="AM119" s="35">
        <v>180</v>
      </c>
      <c r="AN119" s="35">
        <f>Table11[[#This Row],[2024 '#Trees Inventory + Estimate]]*Table11[[#This Row],[USA Allocation %]]</f>
        <v>180</v>
      </c>
      <c r="AO119" s="35">
        <f>Table11[[#This Row],[2024 '#Trees Inventory + Estimate]]*Table11[[#This Row],[Canada Allocation %]]</f>
        <v>0</v>
      </c>
      <c r="AP119" s="35">
        <f>Table11[[#This Row],[2024 '#Trees Inventory + Estimate]]*Table11[[#This Row],[Canada Allocation2017 %]]</f>
        <v>0</v>
      </c>
      <c r="AQ119" s="35">
        <f>Table11[[#This Row],['#Trees as of 2024/estimate-Can allocation]]+Table11[[#This Row],['#Trees as of 2024/estimate-Can allocation 2017]]</f>
        <v>0</v>
      </c>
      <c r="AR119" s="1" t="s">
        <v>152</v>
      </c>
      <c r="AS119" s="2" t="s">
        <v>355</v>
      </c>
      <c r="AT119" s="6">
        <f>IFERROR(Table11[[#This Row],['#Total Replacements]]/Table11[[#This Row],['#TreesContract]],"")</f>
        <v>0.2</v>
      </c>
      <c r="AU119" s="4">
        <f>IF(SUM(Table11[[#This Row],['#Replace 24]:['#Replace 16]])=0,0,SUM(Table11[[#This Row],['#Replace 24]:['#Replace 16]]))</f>
        <v>88</v>
      </c>
      <c r="AV119" s="2"/>
      <c r="AW119" s="2"/>
      <c r="AX119" s="3"/>
      <c r="AY119" s="2">
        <v>63</v>
      </c>
      <c r="AZ119" s="2">
        <v>25</v>
      </c>
      <c r="BA119" s="2"/>
      <c r="BB119" s="2"/>
      <c r="BC119" s="2"/>
      <c r="BD119" s="2"/>
      <c r="BE119" s="2"/>
      <c r="BF119" s="3">
        <v>1</v>
      </c>
      <c r="BG119" s="3">
        <v>1</v>
      </c>
      <c r="BH119" s="2">
        <v>2024</v>
      </c>
      <c r="BI119" s="2">
        <v>3.66</v>
      </c>
      <c r="BJ119" s="2">
        <v>1.1299999999999999</v>
      </c>
      <c r="BK119" s="139">
        <f>Table11[[#This Row],[Average MHT
(Feet)]]/16</f>
        <v>7.0624999999999993E-2</v>
      </c>
      <c r="BL119" s="2">
        <v>0.56999999999999995</v>
      </c>
      <c r="BM119" s="139">
        <f>Table11[[#This Row],[Average DBH
(inches)]]/18</f>
        <v>3.1666666666666662E-2</v>
      </c>
      <c r="BN119" s="235">
        <f>((Table11[[#This Row],[Average DBH
(inches)]]-4)^2)*(Table11[[#This Row],[Average MHT
(Feet)]]/16)</f>
        <v>0.83089606250000003</v>
      </c>
      <c r="BO119" s="235">
        <f>Table11[[#This Row],[Average BF]]*Table11[[#This Row],[2024 '#Trees Inventory + Estimate]]</f>
        <v>149.56129125000001</v>
      </c>
      <c r="BP119" s="240">
        <f>(Table11[[#This Row],[Harvest Year
(10 year)]]-Table11[[#This Row],[Year of Inventory]]+1)*(Table11[[#This Row],[Average DBH
(inches)]]/(Table11[[#This Row],[Harvest Year
(10 year)]]-Table11[[#This Row],[Year of Inventory]]+1))+Table11[[#This Row],[Average DBH
(inches)]]</f>
        <v>1.1399999999999999</v>
      </c>
      <c r="BQ119" s="235">
        <f>((Table11[[#This Row],[Projected DBH
(Extrapolated Growth/Year)]]-4)^2)*(Table11[[#This Row],[Average MHT
(Feet)]]/16)</f>
        <v>0.57768425000000012</v>
      </c>
      <c r="BR119" s="235">
        <f>Table11[[#This Row],[Projected Average BF]]*Table11[[#This Row],[2024 '#Trees Inventory + Estimate]]</f>
        <v>103.98316500000003</v>
      </c>
      <c r="BS119" s="235">
        <f>196*Table11[[#This Row],[2024 '#Trees Inventory + Estimate]]</f>
        <v>35280</v>
      </c>
      <c r="BT119" s="243">
        <f>Table11[[#This Row],[ETP Offering Expected BF]]-Table11[[#This Row],[Projected Total BF]]</f>
        <v>35176.016835000002</v>
      </c>
      <c r="BU119" s="235">
        <f>(18-Table11[[#This Row],[Average DBH
(inches)]])/(D119-Table11[[#This Row],[Year of Inventory]]+1)</f>
        <v>2.9049999999999998</v>
      </c>
    </row>
    <row r="120" spans="1:73" hidden="1" x14ac:dyDescent="0.25">
      <c r="A120" s="7" t="s">
        <v>630</v>
      </c>
      <c r="B120" s="2">
        <v>2020</v>
      </c>
      <c r="C120" s="2">
        <v>2020</v>
      </c>
      <c r="D120" s="2">
        <f>Table11[[#This Row],[Planting Year]]+9</f>
        <v>2029</v>
      </c>
      <c r="E120" s="97" t="s">
        <v>497</v>
      </c>
      <c r="F120" s="161">
        <v>10042</v>
      </c>
      <c r="G120" t="s">
        <v>631</v>
      </c>
      <c r="H120" s="357" t="s">
        <v>498</v>
      </c>
      <c r="I120" t="s">
        <v>155</v>
      </c>
      <c r="J120" s="1" t="s">
        <v>499</v>
      </c>
      <c r="K120" s="1" t="s">
        <v>500</v>
      </c>
      <c r="L120" s="1" t="s">
        <v>500</v>
      </c>
      <c r="M120" s="1" t="s">
        <v>150</v>
      </c>
      <c r="N120" t="s">
        <v>632</v>
      </c>
      <c r="O120">
        <v>30.909772</v>
      </c>
      <c r="P120">
        <v>-84.752341999999999</v>
      </c>
      <c r="Q120" s="2"/>
      <c r="R120" s="86"/>
      <c r="S120" s="2"/>
      <c r="T120" s="1">
        <v>380</v>
      </c>
      <c r="U120" s="1">
        <v>380</v>
      </c>
      <c r="V120" s="1" t="str">
        <f>IF(Table11[[#This Row],['#TreesContract]]-Table11[[#This Row],['#Planted]]=0,"",Table11[[#This Row],['#TreesContract]]-Table11[[#This Row],['#Planted]])</f>
        <v/>
      </c>
      <c r="W120" s="2"/>
      <c r="X120" s="34">
        <v>1</v>
      </c>
      <c r="Y120" s="163">
        <f>Table11[[#This Row],['#TreesContract]]*Table11[[#This Row],[USA Allocation %]]</f>
        <v>380</v>
      </c>
      <c r="Z120" s="163">
        <f>Table11[[#This Row],['#Planted]]*Table11[[#This Row],[USA Allocation %]]</f>
        <v>380</v>
      </c>
      <c r="AA120" s="34"/>
      <c r="AB120" s="163"/>
      <c r="AC120" s="34"/>
      <c r="AD120" s="163"/>
      <c r="AE120" s="163">
        <f>Table11[[#This Row],[Canada Allocation-tree '#''s]]+Table11[[#This Row],[Can trees/Allocation 2017]]</f>
        <v>0</v>
      </c>
      <c r="AF120" s="5">
        <v>1</v>
      </c>
      <c r="AG120" s="35">
        <v>380</v>
      </c>
      <c r="AH120" s="35">
        <f>Table11[[#This Row],['#Trees as of 12/31/23]]*Table11[[#This Row],[USA Allocation %]]</f>
        <v>380</v>
      </c>
      <c r="AI120" s="437">
        <f>Table11[[#This Row],['#TreesContract]]*Table11[[#This Row],[2024 Inventory Survival%-master]]</f>
        <v>354.54</v>
      </c>
      <c r="AJ120" s="436">
        <v>0.93300000000000005</v>
      </c>
      <c r="AK120" s="5">
        <v>0.93</v>
      </c>
      <c r="AL120" s="5">
        <v>0.93</v>
      </c>
      <c r="AM120" s="35">
        <v>355</v>
      </c>
      <c r="AN120" s="35">
        <f>Table11[[#This Row],[2024 '#Trees Inventory + Estimate]]*Table11[[#This Row],[USA Allocation %]]</f>
        <v>355</v>
      </c>
      <c r="AO120" s="35">
        <f>Table11[[#This Row],[2024 '#Trees Inventory + Estimate]]*Table11[[#This Row],[Canada Allocation %]]</f>
        <v>0</v>
      </c>
      <c r="AP120" s="35">
        <f>Table11[[#This Row],[2024 '#Trees Inventory + Estimate]]*Table11[[#This Row],[Canada Allocation2017 %]]</f>
        <v>0</v>
      </c>
      <c r="AQ120" s="35">
        <f>Table11[[#This Row],['#Trees as of 2024/estimate-Can allocation]]+Table11[[#This Row],['#Trees as of 2024/estimate-Can allocation 2017]]</f>
        <v>0</v>
      </c>
      <c r="AR120" s="1" t="s">
        <v>152</v>
      </c>
      <c r="AS120" s="2" t="s">
        <v>209</v>
      </c>
      <c r="AT120" s="6">
        <f>IFERROR(Table11[[#This Row],['#Total Replacements]]/Table11[[#This Row],['#TreesContract]],"")</f>
        <v>0.27894736842105261</v>
      </c>
      <c r="AU120" s="4">
        <f>IF(SUM(Table11[[#This Row],['#Replace 24]:['#Replace 16]])=0,0,SUM(Table11[[#This Row],['#Replace 24]:['#Replace 16]]))</f>
        <v>106</v>
      </c>
      <c r="AV120" s="2"/>
      <c r="AW120" s="2"/>
      <c r="AX120" s="3"/>
      <c r="AY120" s="2">
        <v>20</v>
      </c>
      <c r="AZ120" s="2">
        <v>86</v>
      </c>
      <c r="BA120" s="2"/>
      <c r="BB120" s="2"/>
      <c r="BC120" s="2"/>
      <c r="BD120" s="2"/>
      <c r="BE120" s="2"/>
      <c r="BF120" s="3">
        <v>1</v>
      </c>
      <c r="BG120" s="3">
        <v>1</v>
      </c>
      <c r="BH120" s="2">
        <v>2024</v>
      </c>
      <c r="BI120" s="2">
        <v>23.68</v>
      </c>
      <c r="BJ120" s="2">
        <v>13.62</v>
      </c>
      <c r="BK120" s="139">
        <f>Table11[[#This Row],[Average MHT
(Feet)]]/16</f>
        <v>0.85124999999999995</v>
      </c>
      <c r="BL120" s="2">
        <v>5.62</v>
      </c>
      <c r="BM120" s="139">
        <f>Table11[[#This Row],[Average DBH
(inches)]]/18</f>
        <v>0.31222222222222223</v>
      </c>
      <c r="BN120" s="235">
        <f>((Table11[[#This Row],[Average DBH
(inches)]]-4)^2)*(Table11[[#This Row],[Average MHT
(Feet)]]/16)</f>
        <v>2.2340205000000002</v>
      </c>
      <c r="BO120" s="235">
        <f>Table11[[#This Row],[Average BF]]*Table11[[#This Row],[2024 '#Trees Inventory + Estimate]]</f>
        <v>793.07727750000004</v>
      </c>
      <c r="BP120" s="240">
        <f>(Table11[[#This Row],[Harvest Year
(10 year)]]-Table11[[#This Row],[Year of Inventory]]+1)*(Table11[[#This Row],[Average DBH
(inches)]]/(Table11[[#This Row],[Harvest Year
(10 year)]]-Table11[[#This Row],[Year of Inventory]]+1))+Table11[[#This Row],[Average DBH
(inches)]]</f>
        <v>11.24</v>
      </c>
      <c r="BQ120" s="235">
        <f>((Table11[[#This Row],[Projected DBH
(Extrapolated Growth/Year)]]-4)^2)*(Table11[[#This Row],[Average MHT
(Feet)]]/16)</f>
        <v>44.620481999999996</v>
      </c>
      <c r="BR120" s="235">
        <f>Table11[[#This Row],[Projected Average BF]]*Table11[[#This Row],[2024 '#Trees Inventory + Estimate]]</f>
        <v>15840.271109999998</v>
      </c>
      <c r="BS120" s="235">
        <f>196*Table11[[#This Row],[2024 '#Trees Inventory + Estimate]]</f>
        <v>69580</v>
      </c>
      <c r="BT120" s="243">
        <f>Table11[[#This Row],[ETP Offering Expected BF]]-Table11[[#This Row],[Projected Total BF]]</f>
        <v>53739.728889999999</v>
      </c>
      <c r="BU120" s="235">
        <f>(18-Table11[[#This Row],[Average DBH
(inches)]])/(D120-Table11[[#This Row],[Year of Inventory]]+1)</f>
        <v>2.063333333333333</v>
      </c>
    </row>
    <row r="121" spans="1:73" hidden="1" x14ac:dyDescent="0.25">
      <c r="A121" s="7" t="s">
        <v>633</v>
      </c>
      <c r="B121" s="2">
        <v>2020</v>
      </c>
      <c r="C121" s="2">
        <v>2020</v>
      </c>
      <c r="D121" s="2">
        <f>Table11[[#This Row],[Planting Year]]+9</f>
        <v>2029</v>
      </c>
      <c r="E121" s="97" t="s">
        <v>497</v>
      </c>
      <c r="F121" s="161">
        <v>10042</v>
      </c>
      <c r="G121" t="s">
        <v>497</v>
      </c>
      <c r="H121" s="357" t="s">
        <v>498</v>
      </c>
      <c r="I121" t="s">
        <v>155</v>
      </c>
      <c r="J121" s="1" t="s">
        <v>499</v>
      </c>
      <c r="K121" s="1" t="s">
        <v>500</v>
      </c>
      <c r="L121" s="1" t="s">
        <v>500</v>
      </c>
      <c r="M121" s="1" t="s">
        <v>150</v>
      </c>
      <c r="N121" t="s">
        <v>634</v>
      </c>
      <c r="O121">
        <v>30.819040999999999</v>
      </c>
      <c r="P121">
        <v>-84.808993000000001</v>
      </c>
      <c r="Q121" s="2"/>
      <c r="R121" s="86"/>
      <c r="S121" s="2"/>
      <c r="T121" s="1">
        <v>1100</v>
      </c>
      <c r="U121" s="1">
        <v>1100</v>
      </c>
      <c r="V121" s="1" t="str">
        <f>IF(Table11[[#This Row],['#TreesContract]]-Table11[[#This Row],['#Planted]]=0,"",Table11[[#This Row],['#TreesContract]]-Table11[[#This Row],['#Planted]])</f>
        <v/>
      </c>
      <c r="W121" s="2"/>
      <c r="X121" s="34">
        <v>1</v>
      </c>
      <c r="Y121" s="163">
        <f>Table11[[#This Row],['#TreesContract]]*Table11[[#This Row],[USA Allocation %]]</f>
        <v>1100</v>
      </c>
      <c r="Z121" s="163">
        <f>Table11[[#This Row],['#Planted]]*Table11[[#This Row],[USA Allocation %]]</f>
        <v>1100</v>
      </c>
      <c r="AA121" s="34"/>
      <c r="AB121" s="163"/>
      <c r="AC121" s="34"/>
      <c r="AD121" s="163"/>
      <c r="AE121" s="163">
        <f>Table11[[#This Row],[Canada Allocation-tree '#''s]]+Table11[[#This Row],[Can trees/Allocation 2017]]</f>
        <v>0</v>
      </c>
      <c r="AF121" s="5">
        <v>1</v>
      </c>
      <c r="AG121" s="35">
        <v>1100</v>
      </c>
      <c r="AH121" s="35">
        <f>Table11[[#This Row],['#Trees as of 12/31/23]]*Table11[[#This Row],[USA Allocation %]]</f>
        <v>1100</v>
      </c>
      <c r="AI121" s="437">
        <f>Table11[[#This Row],['#TreesContract]]*Table11[[#This Row],[2024 Inventory Survival%-master]]</f>
        <v>1004.3000000000001</v>
      </c>
      <c r="AJ121" s="436">
        <v>0.91300000000000003</v>
      </c>
      <c r="AK121" s="5">
        <v>0.91</v>
      </c>
      <c r="AL121" s="5">
        <v>0.91</v>
      </c>
      <c r="AM121" s="35">
        <v>1004</v>
      </c>
      <c r="AN121" s="35">
        <f>Table11[[#This Row],[2024 '#Trees Inventory + Estimate]]*Table11[[#This Row],[USA Allocation %]]</f>
        <v>1004</v>
      </c>
      <c r="AO121" s="35">
        <f>Table11[[#This Row],[2024 '#Trees Inventory + Estimate]]*Table11[[#This Row],[Canada Allocation %]]</f>
        <v>0</v>
      </c>
      <c r="AP121" s="35">
        <f>Table11[[#This Row],[2024 '#Trees Inventory + Estimate]]*Table11[[#This Row],[Canada Allocation2017 %]]</f>
        <v>0</v>
      </c>
      <c r="AQ121" s="35">
        <f>Table11[[#This Row],['#Trees as of 2024/estimate-Can allocation]]+Table11[[#This Row],['#Trees as of 2024/estimate-Can allocation 2017]]</f>
        <v>0</v>
      </c>
      <c r="AR121" s="1" t="s">
        <v>152</v>
      </c>
      <c r="AS121" s="2" t="s">
        <v>209</v>
      </c>
      <c r="AT121" s="6">
        <f>IFERROR(Table11[[#This Row],['#Total Replacements]]/Table11[[#This Row],['#TreesContract]],"")</f>
        <v>1.1181818181818182</v>
      </c>
      <c r="AU121" s="4">
        <f>IF(SUM(Table11[[#This Row],['#Replace 24]:['#Replace 16]])=0,0,SUM(Table11[[#This Row],['#Replace 24]:['#Replace 16]]))</f>
        <v>1230</v>
      </c>
      <c r="AV121" s="2"/>
      <c r="AW121" s="2"/>
      <c r="AX121" s="3"/>
      <c r="AY121" s="2">
        <v>232</v>
      </c>
      <c r="AZ121" s="2">
        <v>500</v>
      </c>
      <c r="BA121" s="2">
        <v>498</v>
      </c>
      <c r="BB121" s="2"/>
      <c r="BC121" s="2"/>
      <c r="BD121" s="2"/>
      <c r="BE121" s="2"/>
      <c r="BF121" s="3">
        <v>1</v>
      </c>
      <c r="BG121" s="3">
        <v>1</v>
      </c>
      <c r="BH121" s="2">
        <v>2024</v>
      </c>
      <c r="BI121" s="2">
        <v>16.91</v>
      </c>
      <c r="BJ121" s="2">
        <v>8.91</v>
      </c>
      <c r="BK121" s="139">
        <f>Table11[[#This Row],[Average MHT
(Feet)]]/16</f>
        <v>0.55687500000000001</v>
      </c>
      <c r="BL121" s="2">
        <v>3.67</v>
      </c>
      <c r="BM121" s="139">
        <f>Table11[[#This Row],[Average DBH
(inches)]]/18</f>
        <v>0.2038888888888889</v>
      </c>
      <c r="BN121" s="235">
        <f>((Table11[[#This Row],[Average DBH
(inches)]]-4)^2)*(Table11[[#This Row],[Average MHT
(Feet)]]/16)</f>
        <v>6.0643687500000029E-2</v>
      </c>
      <c r="BO121" s="235">
        <f>Table11[[#This Row],[Average BF]]*Table11[[#This Row],[2024 '#Trees Inventory + Estimate]]</f>
        <v>60.88626225000003</v>
      </c>
      <c r="BP121" s="240">
        <f>(Table11[[#This Row],[Harvest Year
(10 year)]]-Table11[[#This Row],[Year of Inventory]]+1)*(Table11[[#This Row],[Average DBH
(inches)]]/(Table11[[#This Row],[Harvest Year
(10 year)]]-Table11[[#This Row],[Year of Inventory]]+1))+Table11[[#This Row],[Average DBH
(inches)]]</f>
        <v>7.34</v>
      </c>
      <c r="BQ121" s="235">
        <f>((Table11[[#This Row],[Projected DBH
(Extrapolated Growth/Year)]]-4)^2)*(Table11[[#This Row],[Average MHT
(Feet)]]/16)</f>
        <v>6.2122747499999997</v>
      </c>
      <c r="BR121" s="235">
        <f>Table11[[#This Row],[Projected Average BF]]*Table11[[#This Row],[2024 '#Trees Inventory + Estimate]]</f>
        <v>6237.1238489999996</v>
      </c>
      <c r="BS121" s="235">
        <f>196*Table11[[#This Row],[2024 '#Trees Inventory + Estimate]]</f>
        <v>196784</v>
      </c>
      <c r="BT121" s="243">
        <f>Table11[[#This Row],[ETP Offering Expected BF]]-Table11[[#This Row],[Projected Total BF]]</f>
        <v>190546.876151</v>
      </c>
      <c r="BU121" s="235">
        <f>(18-Table11[[#This Row],[Average DBH
(inches)]])/(D121-Table11[[#This Row],[Year of Inventory]]+1)</f>
        <v>2.3883333333333332</v>
      </c>
    </row>
    <row r="122" spans="1:73" hidden="1" x14ac:dyDescent="0.25">
      <c r="A122" s="7" t="s">
        <v>635</v>
      </c>
      <c r="B122" s="2">
        <v>2020</v>
      </c>
      <c r="C122" s="2">
        <v>2020</v>
      </c>
      <c r="D122" s="2">
        <f>Table11[[#This Row],[Planting Year]]+9</f>
        <v>2029</v>
      </c>
      <c r="E122" s="97" t="s">
        <v>636</v>
      </c>
      <c r="F122" s="161">
        <v>10045</v>
      </c>
      <c r="G122" t="s">
        <v>636</v>
      </c>
      <c r="H122" s="357" t="s">
        <v>637</v>
      </c>
      <c r="I122" t="s">
        <v>155</v>
      </c>
      <c r="J122" s="1" t="s">
        <v>638</v>
      </c>
      <c r="K122" s="1" t="s">
        <v>639</v>
      </c>
      <c r="L122" s="1" t="s">
        <v>640</v>
      </c>
      <c r="M122" s="1" t="s">
        <v>150</v>
      </c>
      <c r="N122" t="s">
        <v>641</v>
      </c>
      <c r="O122">
        <v>34.259399999999999</v>
      </c>
      <c r="P122">
        <v>-94.2761</v>
      </c>
      <c r="Q122">
        <v>34.259399999999999</v>
      </c>
      <c r="R122" s="2">
        <v>-94.320099999999996</v>
      </c>
      <c r="S122" s="2"/>
      <c r="T122" s="1">
        <v>1100</v>
      </c>
      <c r="U122" s="1">
        <v>1100</v>
      </c>
      <c r="V122" s="1" t="str">
        <f>IF(Table11[[#This Row],['#TreesContract]]-Table11[[#This Row],['#Planted]]=0,"",Table11[[#This Row],['#TreesContract]]-Table11[[#This Row],['#Planted]])</f>
        <v/>
      </c>
      <c r="W122" s="2"/>
      <c r="X122" s="34">
        <v>1</v>
      </c>
      <c r="Y122" s="163">
        <f>Table11[[#This Row],['#TreesContract]]*Table11[[#This Row],[USA Allocation %]]</f>
        <v>1100</v>
      </c>
      <c r="Z122" s="163">
        <f>Table11[[#This Row],['#Planted]]*Table11[[#This Row],[USA Allocation %]]</f>
        <v>1100</v>
      </c>
      <c r="AA122" s="34"/>
      <c r="AB122" s="163"/>
      <c r="AC122" s="34"/>
      <c r="AD122" s="163"/>
      <c r="AE122" s="163">
        <f>Table11[[#This Row],[Canada Allocation-tree '#''s]]+Table11[[#This Row],[Can trees/Allocation 2017]]</f>
        <v>0</v>
      </c>
      <c r="AF122" s="5">
        <v>0.82499999999999996</v>
      </c>
      <c r="AG122" s="35">
        <v>907.5</v>
      </c>
      <c r="AH122" s="35">
        <f>Table11[[#This Row],['#Trees as of 12/31/23]]*Table11[[#This Row],[USA Allocation %]]</f>
        <v>907.5</v>
      </c>
      <c r="AI122" s="437">
        <f>Table11[[#This Row],['#TreesContract]]*Table11[[#This Row],[2024 Inventory Survival%-master]]</f>
        <v>0</v>
      </c>
      <c r="AJ122" s="436"/>
      <c r="AK122" s="5">
        <v>0.82499999999999996</v>
      </c>
      <c r="AL122" s="5">
        <v>0.82499999999999996</v>
      </c>
      <c r="AM122" s="35">
        <v>907.5</v>
      </c>
      <c r="AN122" s="35">
        <f>Table11[[#This Row],[2024 '#Trees Inventory + Estimate]]*Table11[[#This Row],[USA Allocation %]]</f>
        <v>907.5</v>
      </c>
      <c r="AO122" s="35">
        <f>Table11[[#This Row],[2024 '#Trees Inventory + Estimate]]*Table11[[#This Row],[Canada Allocation %]]</f>
        <v>0</v>
      </c>
      <c r="AP122" s="35">
        <f>Table11[[#This Row],[2024 '#Trees Inventory + Estimate]]*Table11[[#This Row],[Canada Allocation2017 %]]</f>
        <v>0</v>
      </c>
      <c r="AQ122" s="35">
        <f>Table11[[#This Row],['#Trees as of 2024/estimate-Can allocation]]+Table11[[#This Row],['#Trees as of 2024/estimate-Can allocation 2017]]</f>
        <v>0</v>
      </c>
      <c r="AR122" s="1" t="s">
        <v>152</v>
      </c>
      <c r="AS122" s="2">
        <v>18</v>
      </c>
      <c r="AT122" s="6">
        <f>IFERROR(Table11[[#This Row],['#Total Replacements]]/Table11[[#This Row],['#TreesContract]],"")</f>
        <v>0.36363636363636365</v>
      </c>
      <c r="AU122" s="4">
        <f>IF(SUM(Table11[[#This Row],['#Replace 24]:['#Replace 16]])=0,0,SUM(Table11[[#This Row],['#Replace 24]:['#Replace 16]]))</f>
        <v>400</v>
      </c>
      <c r="AV122" s="2"/>
      <c r="AW122" s="2"/>
      <c r="AX122" s="3"/>
      <c r="AY122" s="2"/>
      <c r="AZ122" s="2">
        <v>400</v>
      </c>
      <c r="BA122" s="2"/>
      <c r="BB122" s="2"/>
      <c r="BC122" s="2"/>
      <c r="BD122" s="2"/>
      <c r="BE122" s="2"/>
      <c r="BF122" s="3">
        <v>1</v>
      </c>
      <c r="BG122" s="3">
        <v>1</v>
      </c>
      <c r="BH122" s="2"/>
      <c r="BI122" s="2"/>
      <c r="BJ122" s="2"/>
      <c r="BK122" s="139">
        <f>Table11[[#This Row],[Average MHT
(Feet)]]/16</f>
        <v>0</v>
      </c>
      <c r="BL122" s="2"/>
      <c r="BM122" s="139">
        <f>Table11[[#This Row],[Average DBH
(inches)]]/18</f>
        <v>0</v>
      </c>
      <c r="BN122" s="235">
        <f>((Table11[[#This Row],[Average DBH
(inches)]]-4)^2)*(Table11[[#This Row],[Average MHT
(Feet)]]/16)</f>
        <v>0</v>
      </c>
      <c r="BO122" s="235">
        <f>Table11[[#This Row],[Average BF]]*Table11[[#This Row],[2024 '#Trees Inventory + Estimate]]</f>
        <v>0</v>
      </c>
      <c r="BP122" s="240">
        <f>(Table11[[#This Row],[Harvest Year
(10 year)]]-Table11[[#This Row],[Year of Inventory]]+1)*(Table11[[#This Row],[Average DBH
(inches)]]/(Table11[[#This Row],[Harvest Year
(10 year)]]-Table11[[#This Row],[Year of Inventory]]+1))+Table11[[#This Row],[Average DBH
(inches)]]</f>
        <v>0</v>
      </c>
      <c r="BQ122" s="235">
        <f>((Table11[[#This Row],[Projected DBH
(Extrapolated Growth/Year)]]-4)^2)*(Table11[[#This Row],[Average MHT
(Feet)]]/16)</f>
        <v>0</v>
      </c>
      <c r="BR122" s="235">
        <f>Table11[[#This Row],[Projected Average BF]]*Table11[[#This Row],[2024 '#Trees Inventory + Estimate]]</f>
        <v>0</v>
      </c>
      <c r="BS122" s="235">
        <f>196*Table11[[#This Row],[2024 '#Trees Inventory + Estimate]]</f>
        <v>177870</v>
      </c>
      <c r="BT122" s="243">
        <f>Table11[[#This Row],[ETP Offering Expected BF]]-Table11[[#This Row],[Projected Total BF]]</f>
        <v>177870</v>
      </c>
      <c r="BU122" s="235">
        <f>(18-Table11[[#This Row],[Average DBH
(inches)]])/(D122-Table11[[#This Row],[Year of Inventory]]+1)</f>
        <v>8.8669950738916262E-3</v>
      </c>
    </row>
    <row r="123" spans="1:73" hidden="1" x14ac:dyDescent="0.25">
      <c r="A123" s="7" t="s">
        <v>642</v>
      </c>
      <c r="B123" s="2">
        <v>2020</v>
      </c>
      <c r="C123" s="2">
        <v>2020</v>
      </c>
      <c r="D123" s="2">
        <v>0</v>
      </c>
      <c r="E123" s="97" t="s">
        <v>643</v>
      </c>
      <c r="F123" s="161">
        <v>10046</v>
      </c>
      <c r="G123" t="s">
        <v>644</v>
      </c>
      <c r="H123" s="357" t="s">
        <v>645</v>
      </c>
      <c r="I123" t="s">
        <v>160</v>
      </c>
      <c r="J123" s="1" t="s">
        <v>646</v>
      </c>
      <c r="K123" s="1" t="s">
        <v>647</v>
      </c>
      <c r="L123" s="1" t="s">
        <v>647</v>
      </c>
      <c r="M123" s="1" t="s">
        <v>150</v>
      </c>
      <c r="Q123" s="2"/>
      <c r="R123" s="86"/>
      <c r="S123" s="2"/>
      <c r="T123" s="1">
        <v>3300</v>
      </c>
      <c r="U123" s="1">
        <v>3300</v>
      </c>
      <c r="V123" s="1" t="str">
        <f>IF(Table11[[#This Row],['#TreesContract]]-Table11[[#This Row],['#Planted]]=0,"",Table11[[#This Row],['#TreesContract]]-Table11[[#This Row],['#Planted]])</f>
        <v/>
      </c>
      <c r="W123" s="2"/>
      <c r="X123" s="34">
        <v>1</v>
      </c>
      <c r="Y123" s="163">
        <f>Table11[[#This Row],['#TreesContract]]*Table11[[#This Row],[USA Allocation %]]</f>
        <v>3300</v>
      </c>
      <c r="Z123" s="163">
        <f>Table11[[#This Row],['#Planted]]*Table11[[#This Row],[USA Allocation %]]</f>
        <v>3300</v>
      </c>
      <c r="AA123" s="34"/>
      <c r="AB123" s="163"/>
      <c r="AC123" s="34"/>
      <c r="AD123" s="163"/>
      <c r="AE123" s="163">
        <f>Table11[[#This Row],[Canada Allocation-tree '#''s]]+Table11[[#This Row],[Can trees/Allocation 2017]]</f>
        <v>0</v>
      </c>
      <c r="AF123" s="5">
        <v>0</v>
      </c>
      <c r="AG123" s="35">
        <v>0</v>
      </c>
      <c r="AH123" s="35">
        <f>Table11[[#This Row],['#Trees as of 12/31/23]]*Table11[[#This Row],[USA Allocation %]]</f>
        <v>0</v>
      </c>
      <c r="AI123" s="404">
        <f>Table11[[#This Row],['#TreesContract]]*Table11[[#This Row],[2024 Inventory Survival%-master]]</f>
        <v>0</v>
      </c>
      <c r="AJ123" s="5">
        <v>0</v>
      </c>
      <c r="AK123" s="5">
        <v>0</v>
      </c>
      <c r="AL123" s="5">
        <v>0</v>
      </c>
      <c r="AM123" s="35">
        <v>0</v>
      </c>
      <c r="AN123" s="35">
        <f>Table11[[#This Row],[2024 '#Trees Inventory + Estimate]]*Table11[[#This Row],[USA Allocation %]]</f>
        <v>0</v>
      </c>
      <c r="AO123" s="35">
        <f>Table11[[#This Row],[2024 '#Trees Inventory + Estimate]]*Table11[[#This Row],[Canada Allocation %]]</f>
        <v>0</v>
      </c>
      <c r="AP123" s="35">
        <f>Table11[[#This Row],[2024 '#Trees Inventory + Estimate]]*Table11[[#This Row],[Canada Allocation2017 %]]</f>
        <v>0</v>
      </c>
      <c r="AQ123" s="35">
        <f>Table11[[#This Row],['#Trees as of 2024/estimate-Can allocation]]+Table11[[#This Row],['#Trees as of 2024/estimate-Can allocation 2017]]</f>
        <v>0</v>
      </c>
      <c r="AR123" s="1" t="s">
        <v>152</v>
      </c>
      <c r="AS123" s="2" t="s">
        <v>648</v>
      </c>
      <c r="AT123" s="6">
        <f>IFERROR(Table11[[#This Row],['#Total Replacements]]/Table11[[#This Row],['#TreesContract]],"")</f>
        <v>0.5033333333333333</v>
      </c>
      <c r="AU123" s="4">
        <f>IF(SUM(Table11[[#This Row],['#Replace 24]:['#Replace 16]])=0,0,SUM(Table11[[#This Row],['#Replace 24]:['#Replace 16]]))</f>
        <v>1661</v>
      </c>
      <c r="AV123" s="2"/>
      <c r="AW123" s="2"/>
      <c r="AX123" s="3"/>
      <c r="AY123" s="2"/>
      <c r="AZ123" s="2">
        <v>1661</v>
      </c>
      <c r="BA123" s="2"/>
      <c r="BB123" s="2"/>
      <c r="BC123" s="2"/>
      <c r="BD123" s="2"/>
      <c r="BE123" s="2"/>
      <c r="BF123" s="3">
        <v>1</v>
      </c>
      <c r="BG123" s="3">
        <v>1</v>
      </c>
      <c r="BH123" s="2"/>
      <c r="BI123" s="158"/>
      <c r="BJ123" s="158"/>
      <c r="BK123" s="139">
        <f>Table11[[#This Row],[Average MHT
(Feet)]]/16</f>
        <v>0</v>
      </c>
      <c r="BL123" s="2"/>
      <c r="BM123" s="139">
        <f>Table11[[#This Row],[Average DBH
(inches)]]/18</f>
        <v>0</v>
      </c>
      <c r="BN123" s="235">
        <f>((Table11[[#This Row],[Average DBH
(inches)]]-4)^2)*(Table11[[#This Row],[Average MHT
(Feet)]]/16)</f>
        <v>0</v>
      </c>
      <c r="BO123" s="235">
        <f>Table11[[#This Row],[Average BF]]*Table11[[#This Row],[2024 '#Trees Inventory + Estimate]]</f>
        <v>0</v>
      </c>
      <c r="BP123" s="240">
        <f>(Table11[[#This Row],[Harvest Year
(10 year)]]-Table11[[#This Row],[Year of Inventory]]+1)*(Table11[[#This Row],[Average DBH
(inches)]]/(Table11[[#This Row],[Harvest Year
(10 year)]]-Table11[[#This Row],[Year of Inventory]]+1))+Table11[[#This Row],[Average DBH
(inches)]]</f>
        <v>0</v>
      </c>
      <c r="BQ123" s="235">
        <f>((Table11[[#This Row],[Projected DBH
(Extrapolated Growth/Year)]]-4)^2)*(Table11[[#This Row],[Average MHT
(Feet)]]/16)</f>
        <v>0</v>
      </c>
      <c r="BR123" s="235">
        <f>Table11[[#This Row],[Projected Average BF]]*Table11[[#This Row],[2024 '#Trees Inventory + Estimate]]</f>
        <v>0</v>
      </c>
      <c r="BS123" s="235">
        <f>196*Table11[[#This Row],[2024 '#Trees Inventory + Estimate]]</f>
        <v>0</v>
      </c>
      <c r="BT123" s="235">
        <f>Table11[[#This Row],[ETP Offering Expected BF]]-Table11[[#This Row],[Projected Total BF]]</f>
        <v>0</v>
      </c>
      <c r="BU123" s="235">
        <f>(18-Table11[[#This Row],[Average DBH
(inches)]])/(D123-Table11[[#This Row],[Year of Inventory]]+1)</f>
        <v>18</v>
      </c>
    </row>
    <row r="124" spans="1:73" hidden="1" x14ac:dyDescent="0.25">
      <c r="A124" s="7" t="s">
        <v>649</v>
      </c>
      <c r="B124" s="2">
        <v>2020</v>
      </c>
      <c r="C124" s="2">
        <v>2020</v>
      </c>
      <c r="D124" s="2">
        <f>Table11[[#This Row],[Planting Year]]+9</f>
        <v>2029</v>
      </c>
      <c r="E124" s="97" t="s">
        <v>650</v>
      </c>
      <c r="F124" s="161">
        <v>10047</v>
      </c>
      <c r="G124" t="s">
        <v>650</v>
      </c>
      <c r="H124" s="357" t="s">
        <v>651</v>
      </c>
      <c r="I124" t="s">
        <v>155</v>
      </c>
      <c r="J124" s="1" t="s">
        <v>652</v>
      </c>
      <c r="K124" s="1" t="s">
        <v>653</v>
      </c>
      <c r="L124" s="1" t="s">
        <v>653</v>
      </c>
      <c r="M124" s="1" t="s">
        <v>150</v>
      </c>
      <c r="N124" t="s">
        <v>654</v>
      </c>
      <c r="O124">
        <v>32.627856999999999</v>
      </c>
      <c r="P124">
        <v>-86.179913999999997</v>
      </c>
      <c r="Q124" s="2"/>
      <c r="R124" s="86"/>
      <c r="S124" s="2"/>
      <c r="T124" s="1">
        <v>1100</v>
      </c>
      <c r="U124" s="1">
        <v>1100</v>
      </c>
      <c r="V124" s="1" t="str">
        <f>IF(Table11[[#This Row],['#TreesContract]]-Table11[[#This Row],['#Planted]]=0,"",Table11[[#This Row],['#TreesContract]]-Table11[[#This Row],['#Planted]])</f>
        <v/>
      </c>
      <c r="W124" s="2"/>
      <c r="X124" s="34">
        <v>1</v>
      </c>
      <c r="Y124" s="163">
        <f>Table11[[#This Row],['#TreesContract]]*Table11[[#This Row],[USA Allocation %]]</f>
        <v>1100</v>
      </c>
      <c r="Z124" s="163">
        <f>Table11[[#This Row],['#Planted]]*Table11[[#This Row],[USA Allocation %]]</f>
        <v>1100</v>
      </c>
      <c r="AA124" s="34"/>
      <c r="AB124" s="163"/>
      <c r="AC124" s="34"/>
      <c r="AD124" s="163"/>
      <c r="AE124" s="163">
        <f>Table11[[#This Row],[Canada Allocation-tree '#''s]]+Table11[[#This Row],[Can trees/Allocation 2017]]</f>
        <v>0</v>
      </c>
      <c r="AF124" s="5">
        <v>1</v>
      </c>
      <c r="AG124" s="35">
        <v>1100</v>
      </c>
      <c r="AH124" s="35">
        <f>Table11[[#This Row],['#Trees as of 12/31/23]]*Table11[[#This Row],[USA Allocation %]]</f>
        <v>1100</v>
      </c>
      <c r="AI124" s="437">
        <f>Table11[[#This Row],['#TreesContract]]*Table11[[#This Row],[2024 Inventory Survival%-master]]</f>
        <v>0</v>
      </c>
      <c r="AJ124" s="436"/>
      <c r="AK124" s="5">
        <v>1</v>
      </c>
      <c r="AL124" s="5">
        <v>1</v>
      </c>
      <c r="AM124" s="35">
        <v>1100</v>
      </c>
      <c r="AN124" s="35">
        <f>Table11[[#This Row],[2024 '#Trees Inventory + Estimate]]*Table11[[#This Row],[USA Allocation %]]</f>
        <v>1100</v>
      </c>
      <c r="AO124" s="35">
        <f>Table11[[#This Row],[2024 '#Trees Inventory + Estimate]]*Table11[[#This Row],[Canada Allocation %]]</f>
        <v>0</v>
      </c>
      <c r="AP124" s="35">
        <f>Table11[[#This Row],[2024 '#Trees Inventory + Estimate]]*Table11[[#This Row],[Canada Allocation2017 %]]</f>
        <v>0</v>
      </c>
      <c r="AQ124" s="35">
        <f>Table11[[#This Row],['#Trees as of 2024/estimate-Can allocation]]+Table11[[#This Row],['#Trees as of 2024/estimate-Can allocation 2017]]</f>
        <v>0</v>
      </c>
      <c r="AR124" s="1" t="s">
        <v>152</v>
      </c>
      <c r="AS124" s="2">
        <v>18</v>
      </c>
      <c r="AT124" s="6">
        <f>IFERROR(Table11[[#This Row],['#Total Replacements]]/Table11[[#This Row],['#TreesContract]],"")</f>
        <v>0.68181818181818177</v>
      </c>
      <c r="AU124" s="4">
        <f>IF(SUM(Table11[[#This Row],['#Replace 24]:['#Replace 16]])=0,0,SUM(Table11[[#This Row],['#Replace 24]:['#Replace 16]]))</f>
        <v>750</v>
      </c>
      <c r="AV124" s="2"/>
      <c r="AW124" s="2"/>
      <c r="AX124" s="3"/>
      <c r="AY124" s="2">
        <v>84</v>
      </c>
      <c r="AZ124" s="2">
        <v>160</v>
      </c>
      <c r="BA124" s="2">
        <v>506</v>
      </c>
      <c r="BB124" s="2"/>
      <c r="BC124" s="2"/>
      <c r="BD124" s="2"/>
      <c r="BE124" s="2"/>
      <c r="BF124" s="3">
        <v>1</v>
      </c>
      <c r="BG124" s="3">
        <v>1</v>
      </c>
      <c r="BH124" s="2"/>
      <c r="BI124" s="2"/>
      <c r="BJ124" s="2"/>
      <c r="BK124" s="139">
        <f>Table11[[#This Row],[Average MHT
(Feet)]]/16</f>
        <v>0</v>
      </c>
      <c r="BL124" s="2"/>
      <c r="BM124" s="139">
        <f>Table11[[#This Row],[Average DBH
(inches)]]/18</f>
        <v>0</v>
      </c>
      <c r="BN124" s="235">
        <f>((Table11[[#This Row],[Average DBH
(inches)]]-4)^2)*(Table11[[#This Row],[Average MHT
(Feet)]]/16)</f>
        <v>0</v>
      </c>
      <c r="BO124" s="235">
        <f>Table11[[#This Row],[Average BF]]*Table11[[#This Row],[2024 '#Trees Inventory + Estimate]]</f>
        <v>0</v>
      </c>
      <c r="BP124" s="240">
        <f>(Table11[[#This Row],[Harvest Year
(10 year)]]-Table11[[#This Row],[Year of Inventory]]+1)*(Table11[[#This Row],[Average DBH
(inches)]]/(Table11[[#This Row],[Harvest Year
(10 year)]]-Table11[[#This Row],[Year of Inventory]]+1))+Table11[[#This Row],[Average DBH
(inches)]]</f>
        <v>0</v>
      </c>
      <c r="BQ124" s="235">
        <f>((Table11[[#This Row],[Projected DBH
(Extrapolated Growth/Year)]]-4)^2)*(Table11[[#This Row],[Average MHT
(Feet)]]/16)</f>
        <v>0</v>
      </c>
      <c r="BR124" s="235">
        <f>Table11[[#This Row],[Projected Average BF]]*Table11[[#This Row],[2024 '#Trees Inventory + Estimate]]</f>
        <v>0</v>
      </c>
      <c r="BS124" s="235">
        <f>196*Table11[[#This Row],[2024 '#Trees Inventory + Estimate]]</f>
        <v>215600</v>
      </c>
      <c r="BT124" s="243">
        <f>Table11[[#This Row],[ETP Offering Expected BF]]-Table11[[#This Row],[Projected Total BF]]</f>
        <v>215600</v>
      </c>
      <c r="BU124" s="235">
        <f>(18-Table11[[#This Row],[Average DBH
(inches)]])/(D124-Table11[[#This Row],[Year of Inventory]]+1)</f>
        <v>8.8669950738916262E-3</v>
      </c>
    </row>
    <row r="125" spans="1:73" hidden="1" x14ac:dyDescent="0.25">
      <c r="A125" s="7" t="s">
        <v>655</v>
      </c>
      <c r="B125" s="2">
        <v>2020</v>
      </c>
      <c r="C125" s="2">
        <v>2020</v>
      </c>
      <c r="D125" s="2">
        <f>Table11[[#This Row],[Planting Year]]+9</f>
        <v>2029</v>
      </c>
      <c r="E125" s="97" t="s">
        <v>656</v>
      </c>
      <c r="F125" s="161">
        <v>10048</v>
      </c>
      <c r="G125" t="s">
        <v>656</v>
      </c>
      <c r="H125" s="357" t="s">
        <v>657</v>
      </c>
      <c r="I125" t="s">
        <v>155</v>
      </c>
      <c r="J125" s="1" t="s">
        <v>658</v>
      </c>
      <c r="K125" s="1" t="s">
        <v>659</v>
      </c>
      <c r="L125" s="1" t="s">
        <v>659</v>
      </c>
      <c r="M125" s="1" t="s">
        <v>150</v>
      </c>
      <c r="N125" t="s">
        <v>660</v>
      </c>
      <c r="O125">
        <v>31.623947000000001</v>
      </c>
      <c r="P125">
        <v>-91.865519000000006</v>
      </c>
      <c r="Q125" s="2"/>
      <c r="R125" s="86"/>
      <c r="S125" s="2"/>
      <c r="T125" s="1">
        <v>500</v>
      </c>
      <c r="U125" s="1">
        <v>500</v>
      </c>
      <c r="V125" s="1" t="str">
        <f>IF(Table11[[#This Row],['#TreesContract]]-Table11[[#This Row],['#Planted]]=0,"",Table11[[#This Row],['#TreesContract]]-Table11[[#This Row],['#Planted]])</f>
        <v/>
      </c>
      <c r="W125" s="2"/>
      <c r="X125" s="34">
        <v>1</v>
      </c>
      <c r="Y125" s="163">
        <f>Table11[[#This Row],['#TreesContract]]*Table11[[#This Row],[USA Allocation %]]</f>
        <v>500</v>
      </c>
      <c r="Z125" s="163">
        <f>Table11[[#This Row],['#Planted]]*Table11[[#This Row],[USA Allocation %]]</f>
        <v>500</v>
      </c>
      <c r="AA125" s="34"/>
      <c r="AB125" s="163"/>
      <c r="AC125" s="34"/>
      <c r="AD125" s="163"/>
      <c r="AE125" s="163">
        <f>Table11[[#This Row],[Canada Allocation-tree '#''s]]+Table11[[#This Row],[Can trees/Allocation 2017]]</f>
        <v>0</v>
      </c>
      <c r="AF125" s="5">
        <v>1</v>
      </c>
      <c r="AG125" s="35">
        <v>500</v>
      </c>
      <c r="AH125" s="35">
        <f>Table11[[#This Row],['#Trees as of 12/31/23]]*Table11[[#This Row],[USA Allocation %]]</f>
        <v>500</v>
      </c>
      <c r="AI125" s="437">
        <f>Table11[[#This Row],['#TreesContract]]*Table11[[#This Row],[2024 Inventory Survival%-master]]</f>
        <v>0</v>
      </c>
      <c r="AJ125" s="436"/>
      <c r="AK125" s="5">
        <v>1</v>
      </c>
      <c r="AL125" s="5">
        <v>1</v>
      </c>
      <c r="AM125" s="35">
        <v>500</v>
      </c>
      <c r="AN125" s="35">
        <f>Table11[[#This Row],[2024 '#Trees Inventory + Estimate]]*Table11[[#This Row],[USA Allocation %]]</f>
        <v>500</v>
      </c>
      <c r="AO125" s="35">
        <f>Table11[[#This Row],[2024 '#Trees Inventory + Estimate]]*Table11[[#This Row],[Canada Allocation %]]</f>
        <v>0</v>
      </c>
      <c r="AP125" s="35">
        <f>Table11[[#This Row],[2024 '#Trees Inventory + Estimate]]*Table11[[#This Row],[Canada Allocation2017 %]]</f>
        <v>0</v>
      </c>
      <c r="AQ125" s="35">
        <f>Table11[[#This Row],['#Trees as of 2024/estimate-Can allocation]]+Table11[[#This Row],['#Trees as of 2024/estimate-Can allocation 2017]]</f>
        <v>0</v>
      </c>
      <c r="AR125" s="1" t="s">
        <v>152</v>
      </c>
      <c r="AS125" s="2" t="s">
        <v>661</v>
      </c>
      <c r="AT125" s="6">
        <f>IFERROR(Table11[[#This Row],['#Total Replacements]]/Table11[[#This Row],['#TreesContract]],"")</f>
        <v>0.76</v>
      </c>
      <c r="AU125" s="4">
        <f>IF(SUM(Table11[[#This Row],['#Replace 24]:['#Replace 16]])=0,0,SUM(Table11[[#This Row],['#Replace 24]:['#Replace 16]]))</f>
        <v>380</v>
      </c>
      <c r="AV125" s="2"/>
      <c r="AW125" s="2"/>
      <c r="AX125" s="3"/>
      <c r="AY125" s="2">
        <v>252</v>
      </c>
      <c r="AZ125" s="2">
        <v>128</v>
      </c>
      <c r="BA125" s="2"/>
      <c r="BB125" s="2"/>
      <c r="BC125" s="2"/>
      <c r="BD125" s="2"/>
      <c r="BE125" s="2"/>
      <c r="BF125" s="3">
        <v>1</v>
      </c>
      <c r="BG125" s="3">
        <v>1</v>
      </c>
      <c r="BH125" s="2"/>
      <c r="BI125" s="2"/>
      <c r="BJ125" s="2"/>
      <c r="BK125" s="139">
        <f>Table11[[#This Row],[Average MHT
(Feet)]]/16</f>
        <v>0</v>
      </c>
      <c r="BL125" s="2"/>
      <c r="BM125" s="139">
        <f>Table11[[#This Row],[Average DBH
(inches)]]/18</f>
        <v>0</v>
      </c>
      <c r="BN125" s="235">
        <f>((Table11[[#This Row],[Average DBH
(inches)]]-4)^2)*(Table11[[#This Row],[Average MHT
(Feet)]]/16)</f>
        <v>0</v>
      </c>
      <c r="BO125" s="235">
        <f>Table11[[#This Row],[Average BF]]*Table11[[#This Row],[2024 '#Trees Inventory + Estimate]]</f>
        <v>0</v>
      </c>
      <c r="BP125" s="240">
        <f>(Table11[[#This Row],[Harvest Year
(10 year)]]-Table11[[#This Row],[Year of Inventory]]+1)*(Table11[[#This Row],[Average DBH
(inches)]]/(Table11[[#This Row],[Harvest Year
(10 year)]]-Table11[[#This Row],[Year of Inventory]]+1))+Table11[[#This Row],[Average DBH
(inches)]]</f>
        <v>0</v>
      </c>
      <c r="BQ125" s="235">
        <f>((Table11[[#This Row],[Projected DBH
(Extrapolated Growth/Year)]]-4)^2)*(Table11[[#This Row],[Average MHT
(Feet)]]/16)</f>
        <v>0</v>
      </c>
      <c r="BR125" s="235">
        <f>Table11[[#This Row],[Projected Average BF]]*Table11[[#This Row],[2024 '#Trees Inventory + Estimate]]</f>
        <v>0</v>
      </c>
      <c r="BS125" s="235">
        <f>196*Table11[[#This Row],[2024 '#Trees Inventory + Estimate]]</f>
        <v>98000</v>
      </c>
      <c r="BT125" s="243">
        <f>Table11[[#This Row],[ETP Offering Expected BF]]-Table11[[#This Row],[Projected Total BF]]</f>
        <v>98000</v>
      </c>
      <c r="BU125" s="235">
        <f>(18-Table11[[#This Row],[Average DBH
(inches)]])/(D125-Table11[[#This Row],[Year of Inventory]]+1)</f>
        <v>8.8669950738916262E-3</v>
      </c>
    </row>
    <row r="126" spans="1:73" hidden="1" x14ac:dyDescent="0.25">
      <c r="A126" s="7" t="s">
        <v>662</v>
      </c>
      <c r="B126" s="2">
        <v>2020</v>
      </c>
      <c r="C126" s="2">
        <v>2020</v>
      </c>
      <c r="D126" s="2">
        <f>Table11[[#This Row],[Planting Year]]+9</f>
        <v>2029</v>
      </c>
      <c r="E126" s="97" t="s">
        <v>663</v>
      </c>
      <c r="F126" s="161">
        <v>10049</v>
      </c>
      <c r="G126" t="s">
        <v>663</v>
      </c>
      <c r="H126" s="357" t="s">
        <v>664</v>
      </c>
      <c r="I126" t="s">
        <v>155</v>
      </c>
      <c r="J126" s="1" t="s">
        <v>665</v>
      </c>
      <c r="K126" s="1" t="s">
        <v>666</v>
      </c>
      <c r="L126" s="1" t="s">
        <v>666</v>
      </c>
      <c r="M126" s="1" t="s">
        <v>150</v>
      </c>
      <c r="N126" t="s">
        <v>667</v>
      </c>
      <c r="O126">
        <v>31.166018999999999</v>
      </c>
      <c r="P126">
        <v>-85.103105999999997</v>
      </c>
      <c r="Q126" s="2"/>
      <c r="R126" s="86"/>
      <c r="S126" s="2"/>
      <c r="T126" s="1">
        <v>1650</v>
      </c>
      <c r="U126" s="1">
        <v>1650</v>
      </c>
      <c r="V126" s="1" t="str">
        <f>IF(Table11[[#This Row],['#TreesContract]]-Table11[[#This Row],['#Planted]]=0,"",Table11[[#This Row],['#TreesContract]]-Table11[[#This Row],['#Planted]])</f>
        <v/>
      </c>
      <c r="W126" s="2"/>
      <c r="X126" s="34">
        <v>1</v>
      </c>
      <c r="Y126" s="163">
        <f>Table11[[#This Row],['#TreesContract]]*Table11[[#This Row],[USA Allocation %]]</f>
        <v>1650</v>
      </c>
      <c r="Z126" s="163">
        <f>Table11[[#This Row],['#Planted]]*Table11[[#This Row],[USA Allocation %]]</f>
        <v>1650</v>
      </c>
      <c r="AA126" s="34"/>
      <c r="AB126" s="163"/>
      <c r="AC126" s="34"/>
      <c r="AD126" s="163"/>
      <c r="AE126" s="163">
        <f>Table11[[#This Row],[Canada Allocation-tree '#''s]]+Table11[[#This Row],[Can trees/Allocation 2017]]</f>
        <v>0</v>
      </c>
      <c r="AF126" s="5">
        <v>1</v>
      </c>
      <c r="AG126" s="35">
        <v>1650</v>
      </c>
      <c r="AH126" s="35">
        <f>Table11[[#This Row],['#Trees as of 12/31/23]]*Table11[[#This Row],[USA Allocation %]]</f>
        <v>1650</v>
      </c>
      <c r="AI126" s="437">
        <f>Table11[[#This Row],['#TreesContract]]*Table11[[#This Row],[2024 Inventory Survival%-master]]</f>
        <v>1590.6</v>
      </c>
      <c r="AJ126" s="436">
        <v>0.96399999999999997</v>
      </c>
      <c r="AK126" s="5">
        <v>0.96399999999999997</v>
      </c>
      <c r="AL126" s="5">
        <v>0.96</v>
      </c>
      <c r="AM126" s="35">
        <v>1591</v>
      </c>
      <c r="AN126" s="35">
        <f>Table11[[#This Row],[2024 '#Trees Inventory + Estimate]]*Table11[[#This Row],[USA Allocation %]]</f>
        <v>1591</v>
      </c>
      <c r="AO126" s="35">
        <f>Table11[[#This Row],[2024 '#Trees Inventory + Estimate]]*Table11[[#This Row],[Canada Allocation %]]</f>
        <v>0</v>
      </c>
      <c r="AP126" s="35">
        <f>Table11[[#This Row],[2024 '#Trees Inventory + Estimate]]*Table11[[#This Row],[Canada Allocation2017 %]]</f>
        <v>0</v>
      </c>
      <c r="AQ126" s="35">
        <f>Table11[[#This Row],['#Trees as of 2024/estimate-Can allocation]]+Table11[[#This Row],['#Trees as of 2024/estimate-Can allocation 2017]]</f>
        <v>0</v>
      </c>
      <c r="AR126" s="1" t="s">
        <v>152</v>
      </c>
      <c r="AS126" s="2" t="s">
        <v>668</v>
      </c>
      <c r="AT126" s="6">
        <f>IFERROR(Table11[[#This Row],['#Total Replacements]]/Table11[[#This Row],['#TreesContract]],"")</f>
        <v>0.7151515151515152</v>
      </c>
      <c r="AU126" s="4">
        <f>IF(SUM(Table11[[#This Row],['#Replace 24]:['#Replace 16]])=0,0,SUM(Table11[[#This Row],['#Replace 24]:['#Replace 16]]))</f>
        <v>1180</v>
      </c>
      <c r="AV126" s="2"/>
      <c r="AW126" s="2"/>
      <c r="AX126" s="3">
        <v>210</v>
      </c>
      <c r="AY126" s="2">
        <v>83</v>
      </c>
      <c r="AZ126" s="2">
        <v>400</v>
      </c>
      <c r="BA126" s="2">
        <v>487</v>
      </c>
      <c r="BB126" s="2"/>
      <c r="BC126" s="2"/>
      <c r="BD126" s="2"/>
      <c r="BE126" s="2"/>
      <c r="BF126" s="3">
        <v>1</v>
      </c>
      <c r="BG126" s="3">
        <v>1</v>
      </c>
      <c r="BH126" s="2">
        <v>2024</v>
      </c>
      <c r="BI126" s="2">
        <v>21.65</v>
      </c>
      <c r="BJ126" s="2">
        <v>10.32</v>
      </c>
      <c r="BK126" s="139">
        <f>Table11[[#This Row],[Average MHT
(Feet)]]/16</f>
        <v>0.64500000000000002</v>
      </c>
      <c r="BL126" s="2">
        <v>5.54</v>
      </c>
      <c r="BM126" s="139">
        <f>Table11[[#This Row],[Average DBH
(inches)]]/18</f>
        <v>0.30777777777777776</v>
      </c>
      <c r="BN126" s="235">
        <f>((Table11[[#This Row],[Average DBH
(inches)]]-4)^2)*(Table11[[#This Row],[Average MHT
(Feet)]]/16)</f>
        <v>1.529682</v>
      </c>
      <c r="BO126" s="235">
        <f>Table11[[#This Row],[Average BF]]*Table11[[#This Row],[2024 '#Trees Inventory + Estimate]]</f>
        <v>2433.7240619999998</v>
      </c>
      <c r="BP126" s="240">
        <f>(Table11[[#This Row],[Harvest Year
(10 year)]]-Table11[[#This Row],[Year of Inventory]]+1)*(Table11[[#This Row],[Average DBH
(inches)]]/(Table11[[#This Row],[Harvest Year
(10 year)]]-Table11[[#This Row],[Year of Inventory]]+1))+Table11[[#This Row],[Average DBH
(inches)]]</f>
        <v>11.08</v>
      </c>
      <c r="BQ126" s="235">
        <f>((Table11[[#This Row],[Projected DBH
(Extrapolated Growth/Year)]]-4)^2)*(Table11[[#This Row],[Average MHT
(Feet)]]/16)</f>
        <v>32.331528000000006</v>
      </c>
      <c r="BR126" s="235">
        <f>Table11[[#This Row],[Projected Average BF]]*Table11[[#This Row],[2024 '#Trees Inventory + Estimate]]</f>
        <v>51439.461048000012</v>
      </c>
      <c r="BS126" s="235">
        <f>196*Table11[[#This Row],[2024 '#Trees Inventory + Estimate]]</f>
        <v>311836</v>
      </c>
      <c r="BT126" s="243">
        <f>Table11[[#This Row],[ETP Offering Expected BF]]-Table11[[#This Row],[Projected Total BF]]</f>
        <v>260396.53895199997</v>
      </c>
      <c r="BU126" s="235">
        <f>(18-Table11[[#This Row],[Average DBH
(inches)]])/(D126-Table11[[#This Row],[Year of Inventory]]+1)</f>
        <v>2.0766666666666667</v>
      </c>
    </row>
    <row r="127" spans="1:73" hidden="1" x14ac:dyDescent="0.25">
      <c r="A127" s="7" t="s">
        <v>669</v>
      </c>
      <c r="B127" s="2">
        <v>2020</v>
      </c>
      <c r="C127" s="2">
        <v>2020</v>
      </c>
      <c r="D127" s="2">
        <f>Table11[[#This Row],[Planting Year]]+9</f>
        <v>2029</v>
      </c>
      <c r="E127" s="97" t="s">
        <v>670</v>
      </c>
      <c r="F127" s="161">
        <v>10050</v>
      </c>
      <c r="G127" t="s">
        <v>671</v>
      </c>
      <c r="H127" s="357" t="s">
        <v>672</v>
      </c>
      <c r="I127" t="s">
        <v>155</v>
      </c>
      <c r="J127" s="1" t="s">
        <v>673</v>
      </c>
      <c r="K127" s="1">
        <v>0</v>
      </c>
      <c r="L127" s="1" t="s">
        <v>674</v>
      </c>
      <c r="M127" s="1" t="s">
        <v>150</v>
      </c>
      <c r="N127" t="s">
        <v>675</v>
      </c>
      <c r="O127">
        <v>32.943416999999997</v>
      </c>
      <c r="P127">
        <v>-84.155062999999998</v>
      </c>
      <c r="Q127" s="2"/>
      <c r="R127" s="86"/>
      <c r="S127" s="2"/>
      <c r="T127" s="1">
        <v>1100</v>
      </c>
      <c r="U127" s="1">
        <v>1100</v>
      </c>
      <c r="V127" s="1" t="str">
        <f>IF(Table11[[#This Row],['#TreesContract]]-Table11[[#This Row],['#Planted]]=0,"",Table11[[#This Row],['#TreesContract]]-Table11[[#This Row],['#Planted]])</f>
        <v/>
      </c>
      <c r="W127" s="2"/>
      <c r="X127" s="34">
        <v>1</v>
      </c>
      <c r="Y127" s="163">
        <f>Table11[[#This Row],['#TreesContract]]*Table11[[#This Row],[USA Allocation %]]</f>
        <v>1100</v>
      </c>
      <c r="Z127" s="163">
        <f>Table11[[#This Row],['#Planted]]*Table11[[#This Row],[USA Allocation %]]</f>
        <v>1100</v>
      </c>
      <c r="AA127" s="34"/>
      <c r="AB127" s="163"/>
      <c r="AC127" s="34"/>
      <c r="AD127" s="163"/>
      <c r="AE127" s="163">
        <f>Table11[[#This Row],[Canada Allocation-tree '#''s]]+Table11[[#This Row],[Can trees/Allocation 2017]]</f>
        <v>0</v>
      </c>
      <c r="AF127" s="5">
        <v>0.98818181818181816</v>
      </c>
      <c r="AG127" s="35">
        <v>1087</v>
      </c>
      <c r="AH127" s="35">
        <f>Table11[[#This Row],['#Trees as of 12/31/23]]*Table11[[#This Row],[USA Allocation %]]</f>
        <v>1087</v>
      </c>
      <c r="AI127" s="437">
        <f>Table11[[#This Row],['#TreesContract]]*Table11[[#This Row],[2024 Inventory Survival%-master]]</f>
        <v>0</v>
      </c>
      <c r="AJ127" s="436"/>
      <c r="AK127" s="5">
        <v>0.99299999999999999</v>
      </c>
      <c r="AL127" s="5">
        <v>0.98818181818181816</v>
      </c>
      <c r="AM127" s="35">
        <v>1087</v>
      </c>
      <c r="AN127" s="35">
        <f>Table11[[#This Row],[2024 '#Trees Inventory + Estimate]]*Table11[[#This Row],[USA Allocation %]]</f>
        <v>1087</v>
      </c>
      <c r="AO127" s="35">
        <f>Table11[[#This Row],[2024 '#Trees Inventory + Estimate]]*Table11[[#This Row],[Canada Allocation %]]</f>
        <v>0</v>
      </c>
      <c r="AP127" s="35">
        <f>Table11[[#This Row],[2024 '#Trees Inventory + Estimate]]*Table11[[#This Row],[Canada Allocation2017 %]]</f>
        <v>0</v>
      </c>
      <c r="AQ127" s="35">
        <f>Table11[[#This Row],['#Trees as of 2024/estimate-Can allocation]]+Table11[[#This Row],['#Trees as of 2024/estimate-Can allocation 2017]]</f>
        <v>0</v>
      </c>
      <c r="AR127" s="1" t="s">
        <v>152</v>
      </c>
      <c r="AS127" s="2" t="s">
        <v>341</v>
      </c>
      <c r="AT127" s="6">
        <f>IFERROR(Table11[[#This Row],['#Total Replacements]]/Table11[[#This Row],['#TreesContract]],"")</f>
        <v>0.40090909090909088</v>
      </c>
      <c r="AU127" s="4">
        <f>IF(SUM(Table11[[#This Row],['#Replace 24]:['#Replace 16]])=0,0,SUM(Table11[[#This Row],['#Replace 24]:['#Replace 16]]))</f>
        <v>441</v>
      </c>
      <c r="AV127" s="2"/>
      <c r="AW127" s="2"/>
      <c r="AX127" s="3"/>
      <c r="AY127" s="2">
        <v>42</v>
      </c>
      <c r="AZ127" s="2">
        <v>249</v>
      </c>
      <c r="BA127" s="2">
        <v>150</v>
      </c>
      <c r="BB127" s="2"/>
      <c r="BC127" s="2"/>
      <c r="BD127" s="2"/>
      <c r="BE127" s="2"/>
      <c r="BF127" s="3">
        <v>1</v>
      </c>
      <c r="BG127" s="3">
        <v>1</v>
      </c>
      <c r="BH127" s="2"/>
      <c r="BI127" s="2"/>
      <c r="BJ127" s="2"/>
      <c r="BK127" s="139">
        <f>Table11[[#This Row],[Average MHT
(Feet)]]/16</f>
        <v>0</v>
      </c>
      <c r="BL127" s="2"/>
      <c r="BM127" s="139">
        <f>Table11[[#This Row],[Average DBH
(inches)]]/18</f>
        <v>0</v>
      </c>
      <c r="BN127" s="235">
        <f>((Table11[[#This Row],[Average DBH
(inches)]]-4)^2)*(Table11[[#This Row],[Average MHT
(Feet)]]/16)</f>
        <v>0</v>
      </c>
      <c r="BO127" s="235">
        <f>Table11[[#This Row],[Average BF]]*Table11[[#This Row],[2024 '#Trees Inventory + Estimate]]</f>
        <v>0</v>
      </c>
      <c r="BP127" s="240">
        <f>(Table11[[#This Row],[Harvest Year
(10 year)]]-Table11[[#This Row],[Year of Inventory]]+1)*(Table11[[#This Row],[Average DBH
(inches)]]/(Table11[[#This Row],[Harvest Year
(10 year)]]-Table11[[#This Row],[Year of Inventory]]+1))+Table11[[#This Row],[Average DBH
(inches)]]</f>
        <v>0</v>
      </c>
      <c r="BQ127" s="235">
        <f>((Table11[[#This Row],[Projected DBH
(Extrapolated Growth/Year)]]-4)^2)*(Table11[[#This Row],[Average MHT
(Feet)]]/16)</f>
        <v>0</v>
      </c>
      <c r="BR127" s="235">
        <f>Table11[[#This Row],[Projected Average BF]]*Table11[[#This Row],[2024 '#Trees Inventory + Estimate]]</f>
        <v>0</v>
      </c>
      <c r="BS127" s="235">
        <f>196*Table11[[#This Row],[2024 '#Trees Inventory + Estimate]]</f>
        <v>213052</v>
      </c>
      <c r="BT127" s="243">
        <f>Table11[[#This Row],[ETP Offering Expected BF]]-Table11[[#This Row],[Projected Total BF]]</f>
        <v>213052</v>
      </c>
      <c r="BU127" s="235">
        <f>(18-Table11[[#This Row],[Average DBH
(inches)]])/(D127-Table11[[#This Row],[Year of Inventory]]+1)</f>
        <v>8.8669950738916262E-3</v>
      </c>
    </row>
    <row r="128" spans="1:73" hidden="1" x14ac:dyDescent="0.25">
      <c r="A128" s="7" t="s">
        <v>676</v>
      </c>
      <c r="B128" s="2">
        <v>2020</v>
      </c>
      <c r="C128" s="2">
        <v>2020</v>
      </c>
      <c r="D128" s="2">
        <f>Table11[[#This Row],[Planting Year]]+9</f>
        <v>2029</v>
      </c>
      <c r="E128" s="97" t="s">
        <v>677</v>
      </c>
      <c r="F128" s="161">
        <v>10051</v>
      </c>
      <c r="G128" t="s">
        <v>678</v>
      </c>
      <c r="H128" s="357" t="s">
        <v>679</v>
      </c>
      <c r="I128" t="s">
        <v>155</v>
      </c>
      <c r="J128" s="1" t="s">
        <v>680</v>
      </c>
      <c r="K128" s="1">
        <v>0</v>
      </c>
      <c r="L128" s="1" t="s">
        <v>681</v>
      </c>
      <c r="M128" s="1" t="s">
        <v>150</v>
      </c>
      <c r="N128" t="s">
        <v>682</v>
      </c>
      <c r="O128">
        <v>30.328607000000002</v>
      </c>
      <c r="P128">
        <v>-83.079025999999999</v>
      </c>
      <c r="Q128" s="2"/>
      <c r="R128" s="86"/>
      <c r="S128" s="2"/>
      <c r="T128" s="1">
        <v>1360</v>
      </c>
      <c r="U128" s="1">
        <v>1360</v>
      </c>
      <c r="V128" s="1" t="str">
        <f>IF(Table11[[#This Row],['#TreesContract]]-Table11[[#This Row],['#Planted]]=0,"",Table11[[#This Row],['#TreesContract]]-Table11[[#This Row],['#Planted]])</f>
        <v/>
      </c>
      <c r="W128" s="2"/>
      <c r="X128" s="34">
        <v>1</v>
      </c>
      <c r="Y128" s="163">
        <f>Table11[[#This Row],['#TreesContract]]*Table11[[#This Row],[USA Allocation %]]</f>
        <v>1360</v>
      </c>
      <c r="Z128" s="163">
        <f>Table11[[#This Row],['#Planted]]*Table11[[#This Row],[USA Allocation %]]</f>
        <v>1360</v>
      </c>
      <c r="AA128" s="34"/>
      <c r="AB128" s="163"/>
      <c r="AC128" s="34"/>
      <c r="AD128" s="163"/>
      <c r="AE128" s="163">
        <f>Table11[[#This Row],[Canada Allocation-tree '#''s]]+Table11[[#This Row],[Can trees/Allocation 2017]]</f>
        <v>0</v>
      </c>
      <c r="AF128" s="5">
        <v>1</v>
      </c>
      <c r="AG128" s="35">
        <v>1360</v>
      </c>
      <c r="AH128" s="35">
        <f>Table11[[#This Row],['#Trees as of 12/31/23]]*Table11[[#This Row],[USA Allocation %]]</f>
        <v>1360</v>
      </c>
      <c r="AI128" s="437">
        <f>Table11[[#This Row],['#TreesContract]]*Table11[[#This Row],[2024 Inventory Survival%-master]]</f>
        <v>1350.48</v>
      </c>
      <c r="AJ128" s="436">
        <v>0.99299999999999999</v>
      </c>
      <c r="AK128" s="5">
        <v>0.99</v>
      </c>
      <c r="AL128" s="5">
        <v>0.99</v>
      </c>
      <c r="AM128" s="35">
        <v>1350</v>
      </c>
      <c r="AN128" s="35">
        <f>Table11[[#This Row],[2024 '#Trees Inventory + Estimate]]*Table11[[#This Row],[USA Allocation %]]</f>
        <v>1350</v>
      </c>
      <c r="AO128" s="35">
        <f>Table11[[#This Row],[2024 '#Trees Inventory + Estimate]]*Table11[[#This Row],[Canada Allocation %]]</f>
        <v>0</v>
      </c>
      <c r="AP128" s="35">
        <f>Table11[[#This Row],[2024 '#Trees Inventory + Estimate]]*Table11[[#This Row],[Canada Allocation2017 %]]</f>
        <v>0</v>
      </c>
      <c r="AQ128" s="35">
        <f>Table11[[#This Row],['#Trees as of 2024/estimate-Can allocation]]+Table11[[#This Row],['#Trees as of 2024/estimate-Can allocation 2017]]</f>
        <v>0</v>
      </c>
      <c r="AR128" s="1" t="s">
        <v>152</v>
      </c>
      <c r="AS128" s="2" t="s">
        <v>683</v>
      </c>
      <c r="AT128" s="6">
        <f>IFERROR(Table11[[#This Row],['#Total Replacements]]/Table11[[#This Row],['#TreesContract]],"")</f>
        <v>0.3977941176470588</v>
      </c>
      <c r="AU128" s="4">
        <f>IF(SUM(Table11[[#This Row],['#Replace 24]:['#Replace 16]])=0,0,SUM(Table11[[#This Row],['#Replace 24]:['#Replace 16]]))</f>
        <v>541</v>
      </c>
      <c r="AV128" s="2"/>
      <c r="AW128" s="2"/>
      <c r="AX128" s="3"/>
      <c r="AY128" s="2">
        <v>63</v>
      </c>
      <c r="AZ128" s="2">
        <v>254</v>
      </c>
      <c r="BA128" s="2">
        <v>224</v>
      </c>
      <c r="BB128" s="2"/>
      <c r="BC128" s="2"/>
      <c r="BD128" s="2"/>
      <c r="BE128" s="2"/>
      <c r="BF128" s="3">
        <v>1</v>
      </c>
      <c r="BG128" s="3">
        <v>1</v>
      </c>
      <c r="BH128" s="2">
        <v>2024</v>
      </c>
      <c r="BI128" s="2">
        <v>15.46</v>
      </c>
      <c r="BJ128" s="2">
        <v>9.4700000000000006</v>
      </c>
      <c r="BK128" s="139">
        <f>Table11[[#This Row],[Average MHT
(Feet)]]/16</f>
        <v>0.59187500000000004</v>
      </c>
      <c r="BL128" s="2">
        <v>3.42</v>
      </c>
      <c r="BM128" s="139">
        <f>Table11[[#This Row],[Average DBH
(inches)]]/18</f>
        <v>0.19</v>
      </c>
      <c r="BN128" s="235">
        <f>((Table11[[#This Row],[Average DBH
(inches)]]-4)^2)*(Table11[[#This Row],[Average MHT
(Feet)]]/16)</f>
        <v>0.19910675000000005</v>
      </c>
      <c r="BO128" s="235">
        <f>Table11[[#This Row],[Average BF]]*Table11[[#This Row],[2024 '#Trees Inventory + Estimate]]</f>
        <v>268.7941125000001</v>
      </c>
      <c r="BP128" s="240">
        <f>(Table11[[#This Row],[Harvest Year
(10 year)]]-Table11[[#This Row],[Year of Inventory]]+1)*(Table11[[#This Row],[Average DBH
(inches)]]/(Table11[[#This Row],[Harvest Year
(10 year)]]-Table11[[#This Row],[Year of Inventory]]+1))+Table11[[#This Row],[Average DBH
(inches)]]</f>
        <v>6.84</v>
      </c>
      <c r="BQ128" s="235">
        <f>((Table11[[#This Row],[Projected DBH
(Extrapolated Growth/Year)]]-4)^2)*(Table11[[#This Row],[Average MHT
(Feet)]]/16)</f>
        <v>4.7738269999999998</v>
      </c>
      <c r="BR128" s="235">
        <f>Table11[[#This Row],[Projected Average BF]]*Table11[[#This Row],[2024 '#Trees Inventory + Estimate]]</f>
        <v>6444.6664499999997</v>
      </c>
      <c r="BS128" s="235">
        <f>196*Table11[[#This Row],[2024 '#Trees Inventory + Estimate]]</f>
        <v>264600</v>
      </c>
      <c r="BT128" s="243">
        <f>Table11[[#This Row],[ETP Offering Expected BF]]-Table11[[#This Row],[Projected Total BF]]</f>
        <v>258155.33355000001</v>
      </c>
      <c r="BU128" s="235">
        <f>(18-Table11[[#This Row],[Average DBH
(inches)]])/(D128-Table11[[#This Row],[Year of Inventory]]+1)</f>
        <v>2.4300000000000002</v>
      </c>
    </row>
    <row r="129" spans="1:73" hidden="1" x14ac:dyDescent="0.25">
      <c r="A129" s="7" t="s">
        <v>684</v>
      </c>
      <c r="B129" s="2">
        <v>2020</v>
      </c>
      <c r="C129" s="2">
        <v>2020</v>
      </c>
      <c r="D129" s="2">
        <f>Table11[[#This Row],[Planting Year]]+9</f>
        <v>2029</v>
      </c>
      <c r="E129" s="97" t="s">
        <v>685</v>
      </c>
      <c r="F129" s="161">
        <v>10052</v>
      </c>
      <c r="G129" t="s">
        <v>685</v>
      </c>
      <c r="H129" s="357" t="s">
        <v>686</v>
      </c>
      <c r="I129" t="s">
        <v>147</v>
      </c>
      <c r="J129" s="1" t="s">
        <v>687</v>
      </c>
      <c r="K129" s="1" t="s">
        <v>688</v>
      </c>
      <c r="L129" s="1" t="s">
        <v>688</v>
      </c>
      <c r="M129" s="1" t="s">
        <v>150</v>
      </c>
      <c r="N129" t="s">
        <v>689</v>
      </c>
      <c r="O129">
        <v>31.942336999999998</v>
      </c>
      <c r="P129">
        <v>-84.868611000000001</v>
      </c>
      <c r="Q129" s="2"/>
      <c r="R129" s="86"/>
      <c r="S129" s="2"/>
      <c r="T129" s="1">
        <v>1100</v>
      </c>
      <c r="U129" s="1">
        <v>1100</v>
      </c>
      <c r="V129" s="1" t="str">
        <f>IF(Table11[[#This Row],['#TreesContract]]-Table11[[#This Row],['#Planted]]=0,"",Table11[[#This Row],['#TreesContract]]-Table11[[#This Row],['#Planted]])</f>
        <v/>
      </c>
      <c r="W129" s="2"/>
      <c r="X129" s="34">
        <v>1</v>
      </c>
      <c r="Y129" s="163">
        <f>Table11[[#This Row],['#TreesContract]]*Table11[[#This Row],[USA Allocation %]]</f>
        <v>1100</v>
      </c>
      <c r="Z129" s="163">
        <f>Table11[[#This Row],['#Planted]]*Table11[[#This Row],[USA Allocation %]]</f>
        <v>1100</v>
      </c>
      <c r="AA129" s="34"/>
      <c r="AB129" s="163"/>
      <c r="AC129" s="34"/>
      <c r="AD129" s="163"/>
      <c r="AE129" s="163">
        <f>Table11[[#This Row],[Canada Allocation-tree '#''s]]+Table11[[#This Row],[Can trees/Allocation 2017]]</f>
        <v>0</v>
      </c>
      <c r="AF129" s="5">
        <v>0.625</v>
      </c>
      <c r="AG129" s="35">
        <v>687.5</v>
      </c>
      <c r="AH129" s="35">
        <f>Table11[[#This Row],['#Trees as of 12/31/23]]*Table11[[#This Row],[USA Allocation %]]</f>
        <v>687.5</v>
      </c>
      <c r="AI129" s="404">
        <f>Table11[[#This Row],['#TreesContract]]*Table11[[#This Row],[2024 Inventory Survival%-master]]</f>
        <v>0</v>
      </c>
      <c r="AJ129" s="5"/>
      <c r="AK129" s="5">
        <v>0.625</v>
      </c>
      <c r="AL129" s="5">
        <v>0</v>
      </c>
      <c r="AM129" s="35">
        <f>AK129*Table11[[#This Row],['#TreesContract]]</f>
        <v>687.5</v>
      </c>
      <c r="AN129" s="35">
        <f>Table11[[#This Row],[2024 '#Trees Inventory + Estimate]]*Table11[[#This Row],[USA Allocation %]]</f>
        <v>687.5</v>
      </c>
      <c r="AO129" s="35">
        <f>Table11[[#This Row],[2024 '#Trees Inventory + Estimate]]*Table11[[#This Row],[Canada Allocation %]]</f>
        <v>0</v>
      </c>
      <c r="AP129" s="35">
        <f>Table11[[#This Row],[2024 '#Trees Inventory + Estimate]]*Table11[[#This Row],[Canada Allocation2017 %]]</f>
        <v>0</v>
      </c>
      <c r="AQ129" s="35">
        <f>Table11[[#This Row],['#Trees as of 2024/estimate-Can allocation]]+Table11[[#This Row],['#Trees as of 2024/estimate-Can allocation 2017]]</f>
        <v>0</v>
      </c>
      <c r="AR129" s="1" t="s">
        <v>152</v>
      </c>
      <c r="AS129" s="2" t="s">
        <v>690</v>
      </c>
      <c r="AT129" s="6">
        <f>IFERROR(Table11[[#This Row],['#Total Replacements]]/Table11[[#This Row],['#TreesContract]],"")</f>
        <v>0.22727272727272727</v>
      </c>
      <c r="AU129" s="4">
        <f>IF(SUM(Table11[[#This Row],['#Replace 24]:['#Replace 16]])=0,0,SUM(Table11[[#This Row],['#Replace 24]:['#Replace 16]]))</f>
        <v>250</v>
      </c>
      <c r="AV129" s="2"/>
      <c r="AW129" s="2"/>
      <c r="AX129" s="3"/>
      <c r="AY129" s="2"/>
      <c r="AZ129" s="2">
        <v>250</v>
      </c>
      <c r="BA129" s="2"/>
      <c r="BB129" s="2"/>
      <c r="BC129" s="2"/>
      <c r="BD129" s="2"/>
      <c r="BE129" s="2"/>
      <c r="BF129" s="3">
        <v>1</v>
      </c>
      <c r="BG129" s="3">
        <v>1</v>
      </c>
      <c r="BH129" s="2"/>
      <c r="BI129" s="2"/>
      <c r="BJ129" s="2"/>
      <c r="BK129" s="139">
        <f>Table11[[#This Row],[Average MHT
(Feet)]]/16</f>
        <v>0</v>
      </c>
      <c r="BL129" s="2"/>
      <c r="BM129" s="139">
        <f>Table11[[#This Row],[Average DBH
(inches)]]/18</f>
        <v>0</v>
      </c>
      <c r="BN129" s="235">
        <f>((Table11[[#This Row],[Average DBH
(inches)]]-4)^2)*(Table11[[#This Row],[Average MHT
(Feet)]]/16)</f>
        <v>0</v>
      </c>
      <c r="BO129" s="235">
        <f>Table11[[#This Row],[Average BF]]*Table11[[#This Row],[2024 '#Trees Inventory + Estimate]]</f>
        <v>0</v>
      </c>
      <c r="BP129" s="240">
        <f>(Table11[[#This Row],[Harvest Year
(10 year)]]-Table11[[#This Row],[Year of Inventory]]+1)*(Table11[[#This Row],[Average DBH
(inches)]]/(Table11[[#This Row],[Harvest Year
(10 year)]]-Table11[[#This Row],[Year of Inventory]]+1))+Table11[[#This Row],[Average DBH
(inches)]]</f>
        <v>0</v>
      </c>
      <c r="BQ129" s="235">
        <f>((Table11[[#This Row],[Projected DBH
(Extrapolated Growth/Year)]]-4)^2)*(Table11[[#This Row],[Average MHT
(Feet)]]/16)</f>
        <v>0</v>
      </c>
      <c r="BR129" s="235">
        <f>Table11[[#This Row],[Projected Average BF]]*Table11[[#This Row],[2024 '#Trees Inventory + Estimate]]</f>
        <v>0</v>
      </c>
      <c r="BS129" s="235">
        <f>196*Table11[[#This Row],[2024 '#Trees Inventory + Estimate]]</f>
        <v>134750</v>
      </c>
      <c r="BT129" s="235">
        <f>Table11[[#This Row],[ETP Offering Expected BF]]-Table11[[#This Row],[Projected Total BF]]</f>
        <v>134750</v>
      </c>
      <c r="BU129" s="235">
        <f>(18-Table11[[#This Row],[Average DBH
(inches)]])/(D129-Table11[[#This Row],[Year of Inventory]]+1)</f>
        <v>8.8669950738916262E-3</v>
      </c>
    </row>
    <row r="130" spans="1:73" hidden="1" x14ac:dyDescent="0.25">
      <c r="A130" s="7" t="s">
        <v>691</v>
      </c>
      <c r="B130" s="2">
        <v>2020</v>
      </c>
      <c r="C130" s="2">
        <v>2020</v>
      </c>
      <c r="D130" s="2">
        <f>Table11[[#This Row],[Planting Year]]+9</f>
        <v>2029</v>
      </c>
      <c r="E130" s="97" t="s">
        <v>692</v>
      </c>
      <c r="F130" s="161">
        <v>10053</v>
      </c>
      <c r="G130" t="s">
        <v>692</v>
      </c>
      <c r="H130" s="357" t="s">
        <v>693</v>
      </c>
      <c r="I130" t="s">
        <v>155</v>
      </c>
      <c r="J130" s="1" t="s">
        <v>694</v>
      </c>
      <c r="K130" s="1" t="s">
        <v>695</v>
      </c>
      <c r="L130" s="1" t="s">
        <v>696</v>
      </c>
      <c r="M130" s="1" t="s">
        <v>150</v>
      </c>
      <c r="N130" t="s">
        <v>697</v>
      </c>
      <c r="O130">
        <v>32.144117000000001</v>
      </c>
      <c r="P130">
        <v>-85.580865000000003</v>
      </c>
      <c r="Q130" s="2"/>
      <c r="R130" s="86"/>
      <c r="S130" s="2"/>
      <c r="T130" s="1">
        <v>2200</v>
      </c>
      <c r="U130" s="1">
        <v>2200</v>
      </c>
      <c r="V130" s="1" t="str">
        <f>IF(Table11[[#This Row],['#TreesContract]]-Table11[[#This Row],['#Planted]]=0,"",Table11[[#This Row],['#TreesContract]]-Table11[[#This Row],['#Planted]])</f>
        <v/>
      </c>
      <c r="W130" s="2"/>
      <c r="X130" s="34">
        <v>1</v>
      </c>
      <c r="Y130" s="163">
        <f>Table11[[#This Row],['#TreesContract]]*Table11[[#This Row],[USA Allocation %]]</f>
        <v>2200</v>
      </c>
      <c r="Z130" s="163">
        <f>Table11[[#This Row],['#Planted]]*Table11[[#This Row],[USA Allocation %]]</f>
        <v>2200</v>
      </c>
      <c r="AA130" s="34"/>
      <c r="AB130" s="163"/>
      <c r="AC130" s="34"/>
      <c r="AD130" s="163"/>
      <c r="AE130" s="163">
        <f>Table11[[#This Row],[Canada Allocation-tree '#''s]]+Table11[[#This Row],[Can trees/Allocation 2017]]</f>
        <v>0</v>
      </c>
      <c r="AF130" s="5">
        <v>1</v>
      </c>
      <c r="AG130" s="35">
        <v>2200</v>
      </c>
      <c r="AH130" s="35">
        <f>Table11[[#This Row],['#Trees as of 12/31/23]]*Table11[[#This Row],[USA Allocation %]]</f>
        <v>2200</v>
      </c>
      <c r="AI130" s="437">
        <f>Table11[[#This Row],['#TreesContract]]*Table11[[#This Row],[2024 Inventory Survival%-master]]</f>
        <v>0</v>
      </c>
      <c r="AJ130" s="436"/>
      <c r="AK130" s="5">
        <v>1</v>
      </c>
      <c r="AL130" s="5">
        <v>1</v>
      </c>
      <c r="AM130" s="35">
        <v>2200</v>
      </c>
      <c r="AN130" s="35">
        <f>Table11[[#This Row],[2024 '#Trees Inventory + Estimate]]*Table11[[#This Row],[USA Allocation %]]</f>
        <v>2200</v>
      </c>
      <c r="AO130" s="35">
        <f>Table11[[#This Row],[2024 '#Trees Inventory + Estimate]]*Table11[[#This Row],[Canada Allocation %]]</f>
        <v>0</v>
      </c>
      <c r="AP130" s="35">
        <f>Table11[[#This Row],[2024 '#Trees Inventory + Estimate]]*Table11[[#This Row],[Canada Allocation2017 %]]</f>
        <v>0</v>
      </c>
      <c r="AQ130" s="35">
        <f>Table11[[#This Row],['#Trees as of 2024/estimate-Can allocation]]+Table11[[#This Row],['#Trees as of 2024/estimate-Can allocation 2017]]</f>
        <v>0</v>
      </c>
      <c r="AR130" s="1" t="s">
        <v>152</v>
      </c>
      <c r="AS130" s="2" t="s">
        <v>698</v>
      </c>
      <c r="AT130" s="6">
        <f>IFERROR(Table11[[#This Row],['#Total Replacements]]/Table11[[#This Row],['#TreesContract]],"")</f>
        <v>0.66363636363636369</v>
      </c>
      <c r="AU130" s="4">
        <f>IF(SUM(Table11[[#This Row],['#Replace 24]:['#Replace 16]])=0,0,SUM(Table11[[#This Row],['#Replace 24]:['#Replace 16]]))</f>
        <v>1460</v>
      </c>
      <c r="AV130" s="2"/>
      <c r="AW130" s="2"/>
      <c r="AX130" s="3"/>
      <c r="AY130" s="2">
        <v>399</v>
      </c>
      <c r="AZ130" s="2">
        <v>1061</v>
      </c>
      <c r="BA130" s="2"/>
      <c r="BB130" s="2"/>
      <c r="BC130" s="2"/>
      <c r="BD130" s="2"/>
      <c r="BE130" s="2"/>
      <c r="BF130" s="3">
        <v>1</v>
      </c>
      <c r="BG130" s="3">
        <v>1</v>
      </c>
      <c r="BH130" s="2"/>
      <c r="BI130" s="2"/>
      <c r="BJ130" s="2"/>
      <c r="BK130" s="139">
        <f>Table11[[#This Row],[Average MHT
(Feet)]]/16</f>
        <v>0</v>
      </c>
      <c r="BL130" s="2"/>
      <c r="BM130" s="139">
        <f>Table11[[#This Row],[Average DBH
(inches)]]/18</f>
        <v>0</v>
      </c>
      <c r="BN130" s="235">
        <f>((Table11[[#This Row],[Average DBH
(inches)]]-4)^2)*(Table11[[#This Row],[Average MHT
(Feet)]]/16)</f>
        <v>0</v>
      </c>
      <c r="BO130" s="235">
        <f>Table11[[#This Row],[Average BF]]*Table11[[#This Row],[2024 '#Trees Inventory + Estimate]]</f>
        <v>0</v>
      </c>
      <c r="BP130" s="240">
        <f>(Table11[[#This Row],[Harvest Year
(10 year)]]-Table11[[#This Row],[Year of Inventory]]+1)*(Table11[[#This Row],[Average DBH
(inches)]]/(Table11[[#This Row],[Harvest Year
(10 year)]]-Table11[[#This Row],[Year of Inventory]]+1))+Table11[[#This Row],[Average DBH
(inches)]]</f>
        <v>0</v>
      </c>
      <c r="BQ130" s="235">
        <f>((Table11[[#This Row],[Projected DBH
(Extrapolated Growth/Year)]]-4)^2)*(Table11[[#This Row],[Average MHT
(Feet)]]/16)</f>
        <v>0</v>
      </c>
      <c r="BR130" s="235">
        <f>Table11[[#This Row],[Projected Average BF]]*Table11[[#This Row],[2024 '#Trees Inventory + Estimate]]</f>
        <v>0</v>
      </c>
      <c r="BS130" s="235">
        <f>196*Table11[[#This Row],[2024 '#Trees Inventory + Estimate]]</f>
        <v>431200</v>
      </c>
      <c r="BT130" s="243">
        <f>Table11[[#This Row],[ETP Offering Expected BF]]-Table11[[#This Row],[Projected Total BF]]</f>
        <v>431200</v>
      </c>
      <c r="BU130" s="235">
        <f>(18-Table11[[#This Row],[Average DBH
(inches)]])/(D130-Table11[[#This Row],[Year of Inventory]]+1)</f>
        <v>8.8669950738916262E-3</v>
      </c>
    </row>
    <row r="131" spans="1:73" hidden="1" x14ac:dyDescent="0.25">
      <c r="A131" s="7" t="s">
        <v>699</v>
      </c>
      <c r="B131" s="2">
        <v>2020</v>
      </c>
      <c r="C131" s="2">
        <v>2020</v>
      </c>
      <c r="D131" s="2">
        <f>Table11[[#This Row],[Planting Year]]+9</f>
        <v>2029</v>
      </c>
      <c r="E131" s="97" t="s">
        <v>700</v>
      </c>
      <c r="F131" s="161">
        <v>10054</v>
      </c>
      <c r="G131" t="s">
        <v>700</v>
      </c>
      <c r="H131" s="357" t="s">
        <v>701</v>
      </c>
      <c r="I131" t="s">
        <v>155</v>
      </c>
      <c r="J131" s="1" t="s">
        <v>702</v>
      </c>
      <c r="K131" s="1" t="s">
        <v>703</v>
      </c>
      <c r="L131" s="1" t="s">
        <v>703</v>
      </c>
      <c r="M131" s="1" t="s">
        <v>150</v>
      </c>
      <c r="N131" t="s">
        <v>704</v>
      </c>
      <c r="O131">
        <v>34.147730000000003</v>
      </c>
      <c r="P131">
        <v>-83.731530000000006</v>
      </c>
      <c r="Q131" s="2"/>
      <c r="R131" s="86"/>
      <c r="S131" s="2"/>
      <c r="T131" s="1">
        <v>1100</v>
      </c>
      <c r="U131" s="1">
        <v>1100</v>
      </c>
      <c r="V131" s="1" t="str">
        <f>IF(Table11[[#This Row],['#TreesContract]]-Table11[[#This Row],['#Planted]]=0,"",Table11[[#This Row],['#TreesContract]]-Table11[[#This Row],['#Planted]])</f>
        <v/>
      </c>
      <c r="W131" s="2"/>
      <c r="X131" s="34">
        <v>1</v>
      </c>
      <c r="Y131" s="163">
        <f>Table11[[#This Row],['#TreesContract]]*Table11[[#This Row],[USA Allocation %]]</f>
        <v>1100</v>
      </c>
      <c r="Z131" s="163">
        <f>Table11[[#This Row],['#Planted]]*Table11[[#This Row],[USA Allocation %]]</f>
        <v>1100</v>
      </c>
      <c r="AA131" s="34"/>
      <c r="AB131" s="163"/>
      <c r="AC131" s="34"/>
      <c r="AD131" s="163"/>
      <c r="AE131" s="163">
        <f>Table11[[#This Row],[Canada Allocation-tree '#''s]]+Table11[[#This Row],[Can trees/Allocation 2017]]</f>
        <v>0</v>
      </c>
      <c r="AF131" s="5">
        <v>1</v>
      </c>
      <c r="AG131" s="35">
        <v>1100</v>
      </c>
      <c r="AH131" s="35">
        <f>Table11[[#This Row],['#Trees as of 12/31/23]]*Table11[[#This Row],[USA Allocation %]]</f>
        <v>1100</v>
      </c>
      <c r="AI131" s="437">
        <f>Table11[[#This Row],['#TreesContract]]*Table11[[#This Row],[2024 Inventory Survival%-master]]</f>
        <v>0</v>
      </c>
      <c r="AJ131" s="436"/>
      <c r="AK131" s="366">
        <v>0.61699999999999999</v>
      </c>
      <c r="AL131" s="5">
        <v>1</v>
      </c>
      <c r="AM131" s="35">
        <v>1100</v>
      </c>
      <c r="AN131" s="35">
        <f>Table11[[#This Row],[2024 '#Trees Inventory + Estimate]]*Table11[[#This Row],[USA Allocation %]]</f>
        <v>1100</v>
      </c>
      <c r="AO131" s="35">
        <f>Table11[[#This Row],[2024 '#Trees Inventory + Estimate]]*Table11[[#This Row],[Canada Allocation %]]</f>
        <v>0</v>
      </c>
      <c r="AP131" s="35">
        <f>Table11[[#This Row],[2024 '#Trees Inventory + Estimate]]*Table11[[#This Row],[Canada Allocation2017 %]]</f>
        <v>0</v>
      </c>
      <c r="AQ131" s="35">
        <f>Table11[[#This Row],['#Trees as of 2024/estimate-Can allocation]]+Table11[[#This Row],['#Trees as of 2024/estimate-Can allocation 2017]]</f>
        <v>0</v>
      </c>
      <c r="AR131" s="1" t="s">
        <v>152</v>
      </c>
      <c r="AS131" s="2">
        <v>14</v>
      </c>
      <c r="AT131" s="6">
        <f>IFERROR(Table11[[#This Row],['#Total Replacements]]/Table11[[#This Row],['#TreesContract]],"")</f>
        <v>0.38363636363636361</v>
      </c>
      <c r="AU131" s="4">
        <f>IF(SUM(Table11[[#This Row],['#Replace 24]:['#Replace 16]])=0,0,SUM(Table11[[#This Row],['#Replace 24]:['#Replace 16]]))</f>
        <v>422</v>
      </c>
      <c r="AV131" s="2"/>
      <c r="AW131" s="2"/>
      <c r="AX131" s="3"/>
      <c r="AY131" s="2">
        <v>63</v>
      </c>
      <c r="AZ131" s="2">
        <v>138</v>
      </c>
      <c r="BA131" s="2">
        <v>221</v>
      </c>
      <c r="BB131" s="2"/>
      <c r="BC131" s="2"/>
      <c r="BD131" s="2"/>
      <c r="BE131" s="2"/>
      <c r="BF131" s="3">
        <v>1</v>
      </c>
      <c r="BG131" s="3">
        <v>1</v>
      </c>
      <c r="BH131" s="2"/>
      <c r="BI131" s="2"/>
      <c r="BJ131" s="2"/>
      <c r="BK131" s="139">
        <f>Table11[[#This Row],[Average MHT
(Feet)]]/16</f>
        <v>0</v>
      </c>
      <c r="BL131" s="2"/>
      <c r="BM131" s="139">
        <f>Table11[[#This Row],[Average DBH
(inches)]]/18</f>
        <v>0</v>
      </c>
      <c r="BN131" s="235">
        <f>((Table11[[#This Row],[Average DBH
(inches)]]-4)^2)*(Table11[[#This Row],[Average MHT
(Feet)]]/16)</f>
        <v>0</v>
      </c>
      <c r="BO131" s="235">
        <f>Table11[[#This Row],[Average BF]]*Table11[[#This Row],[2024 '#Trees Inventory + Estimate]]</f>
        <v>0</v>
      </c>
      <c r="BP131" s="240">
        <f>(Table11[[#This Row],[Harvest Year
(10 year)]]-Table11[[#This Row],[Year of Inventory]]+1)*(Table11[[#This Row],[Average DBH
(inches)]]/(Table11[[#This Row],[Harvest Year
(10 year)]]-Table11[[#This Row],[Year of Inventory]]+1))+Table11[[#This Row],[Average DBH
(inches)]]</f>
        <v>0</v>
      </c>
      <c r="BQ131" s="235">
        <f>((Table11[[#This Row],[Projected DBH
(Extrapolated Growth/Year)]]-4)^2)*(Table11[[#This Row],[Average MHT
(Feet)]]/16)</f>
        <v>0</v>
      </c>
      <c r="BR131" s="235">
        <f>Table11[[#This Row],[Projected Average BF]]*Table11[[#This Row],[2024 '#Trees Inventory + Estimate]]</f>
        <v>0</v>
      </c>
      <c r="BS131" s="235">
        <f>196*Table11[[#This Row],[2024 '#Trees Inventory + Estimate]]</f>
        <v>215600</v>
      </c>
      <c r="BT131" s="243">
        <f>Table11[[#This Row],[ETP Offering Expected BF]]-Table11[[#This Row],[Projected Total BF]]</f>
        <v>215600</v>
      </c>
      <c r="BU131" s="235">
        <f>(18-Table11[[#This Row],[Average DBH
(inches)]])/(D131-Table11[[#This Row],[Year of Inventory]]+1)</f>
        <v>8.8669950738916262E-3</v>
      </c>
    </row>
    <row r="132" spans="1:73" hidden="1" x14ac:dyDescent="0.25">
      <c r="A132" s="7" t="s">
        <v>705</v>
      </c>
      <c r="B132" s="2">
        <v>2020</v>
      </c>
      <c r="C132" s="2">
        <v>2020</v>
      </c>
      <c r="D132" s="2">
        <f>Table11[[#This Row],[Planting Year]]+9</f>
        <v>2029</v>
      </c>
      <c r="E132" s="97" t="s">
        <v>706</v>
      </c>
      <c r="F132" s="161">
        <v>10055</v>
      </c>
      <c r="G132" t="s">
        <v>707</v>
      </c>
      <c r="H132" s="357" t="s">
        <v>708</v>
      </c>
      <c r="I132" t="s">
        <v>155</v>
      </c>
      <c r="J132" s="1" t="s">
        <v>709</v>
      </c>
      <c r="K132" s="1" t="s">
        <v>710</v>
      </c>
      <c r="L132" s="1" t="s">
        <v>711</v>
      </c>
      <c r="M132" s="1" t="s">
        <v>150</v>
      </c>
      <c r="N132" t="s">
        <v>712</v>
      </c>
      <c r="O132">
        <v>33.925244999999997</v>
      </c>
      <c r="P132">
        <v>-83.275858999999997</v>
      </c>
      <c r="Q132" s="2"/>
      <c r="R132" s="86"/>
      <c r="S132" s="2"/>
      <c r="T132" s="1">
        <v>1100</v>
      </c>
      <c r="U132" s="1">
        <v>1100</v>
      </c>
      <c r="V132" s="1" t="str">
        <f>IF(Table11[[#This Row],['#TreesContract]]-Table11[[#This Row],['#Planted]]=0,"",Table11[[#This Row],['#TreesContract]]-Table11[[#This Row],['#Planted]])</f>
        <v/>
      </c>
      <c r="W132" s="2"/>
      <c r="X132" s="34">
        <v>1</v>
      </c>
      <c r="Y132" s="163">
        <f>Table11[[#This Row],['#TreesContract]]*Table11[[#This Row],[USA Allocation %]]</f>
        <v>1100</v>
      </c>
      <c r="Z132" s="163">
        <f>Table11[[#This Row],['#Planted]]*Table11[[#This Row],[USA Allocation %]]</f>
        <v>1100</v>
      </c>
      <c r="AA132" s="34"/>
      <c r="AB132" s="163"/>
      <c r="AC132" s="34"/>
      <c r="AD132" s="163"/>
      <c r="AE132" s="163">
        <f>Table11[[#This Row],[Canada Allocation-tree '#''s]]+Table11[[#This Row],[Can trees/Allocation 2017]]</f>
        <v>0</v>
      </c>
      <c r="AF132" s="5">
        <v>0.98818181818181816</v>
      </c>
      <c r="AG132" s="35">
        <v>1087</v>
      </c>
      <c r="AH132" s="35">
        <f>Table11[[#This Row],['#Trees as of 12/31/23]]*Table11[[#This Row],[USA Allocation %]]</f>
        <v>1087</v>
      </c>
      <c r="AI132" s="437">
        <f>Table11[[#This Row],['#TreesContract]]*Table11[[#This Row],[2024 Inventory Survival%-master]]</f>
        <v>1089</v>
      </c>
      <c r="AJ132" s="436">
        <v>0.99</v>
      </c>
      <c r="AK132" s="5">
        <v>0.99</v>
      </c>
      <c r="AL132" s="5">
        <v>0.98818181818181816</v>
      </c>
      <c r="AM132" s="35">
        <v>1089</v>
      </c>
      <c r="AN132" s="35">
        <f>Table11[[#This Row],[2024 '#Trees Inventory + Estimate]]*Table11[[#This Row],[USA Allocation %]]</f>
        <v>1089</v>
      </c>
      <c r="AO132" s="35">
        <f>Table11[[#This Row],[2024 '#Trees Inventory + Estimate]]*Table11[[#This Row],[Canada Allocation %]]</f>
        <v>0</v>
      </c>
      <c r="AP132" s="35">
        <f>Table11[[#This Row],[2024 '#Trees Inventory + Estimate]]*Table11[[#This Row],[Canada Allocation2017 %]]</f>
        <v>0</v>
      </c>
      <c r="AQ132" s="35">
        <f>Table11[[#This Row],['#Trees as of 2024/estimate-Can allocation]]+Table11[[#This Row],['#Trees as of 2024/estimate-Can allocation 2017]]</f>
        <v>0</v>
      </c>
      <c r="AR132" s="1" t="s">
        <v>152</v>
      </c>
      <c r="AS132" s="2" t="s">
        <v>181</v>
      </c>
      <c r="AT132" s="6">
        <f>IFERROR(Table11[[#This Row],['#Total Replacements]]/Table11[[#This Row],['#TreesContract]],"")</f>
        <v>0.59636363636363632</v>
      </c>
      <c r="AU132" s="4">
        <f>IF(SUM(Table11[[#This Row],['#Replace 24]:['#Replace 16]])=0,0,SUM(Table11[[#This Row],['#Replace 24]:['#Replace 16]]))</f>
        <v>656</v>
      </c>
      <c r="AV132" s="2"/>
      <c r="AW132" s="2"/>
      <c r="AX132" s="3"/>
      <c r="AY132" s="2">
        <v>42</v>
      </c>
      <c r="AZ132" s="2">
        <v>364</v>
      </c>
      <c r="BA132" s="2">
        <v>250</v>
      </c>
      <c r="BB132" s="2"/>
      <c r="BC132" s="2"/>
      <c r="BD132" s="2"/>
      <c r="BE132" s="2"/>
      <c r="BF132" s="3">
        <v>1</v>
      </c>
      <c r="BG132" s="3">
        <v>1</v>
      </c>
      <c r="BH132" s="2">
        <v>2024</v>
      </c>
      <c r="BI132" s="2">
        <v>22.07</v>
      </c>
      <c r="BJ132" s="2">
        <v>10.18</v>
      </c>
      <c r="BK132" s="139">
        <f>Table11[[#This Row],[Average MHT
(Feet)]]/16</f>
        <v>0.63624999999999998</v>
      </c>
      <c r="BL132" s="2">
        <v>4.7</v>
      </c>
      <c r="BM132" s="139">
        <f>Table11[[#This Row],[Average DBH
(inches)]]/18</f>
        <v>0.26111111111111113</v>
      </c>
      <c r="BN132" s="235">
        <f>((Table11[[#This Row],[Average DBH
(inches)]]-4)^2)*(Table11[[#This Row],[Average MHT
(Feet)]]/16)</f>
        <v>0.31176250000000016</v>
      </c>
      <c r="BO132" s="235">
        <f>Table11[[#This Row],[Average BF]]*Table11[[#This Row],[2024 '#Trees Inventory + Estimate]]</f>
        <v>339.50936250000018</v>
      </c>
      <c r="BP132" s="240">
        <f>(Table11[[#This Row],[Harvest Year
(10 year)]]-Table11[[#This Row],[Year of Inventory]]+1)*(Table11[[#This Row],[Average DBH
(inches)]]/(Table11[[#This Row],[Harvest Year
(10 year)]]-Table11[[#This Row],[Year of Inventory]]+1))+Table11[[#This Row],[Average DBH
(inches)]]</f>
        <v>9.4</v>
      </c>
      <c r="BQ132" s="235">
        <f>((Table11[[#This Row],[Projected DBH
(Extrapolated Growth/Year)]]-4)^2)*(Table11[[#This Row],[Average MHT
(Feet)]]/16)</f>
        <v>18.553050000000002</v>
      </c>
      <c r="BR132" s="235">
        <f>Table11[[#This Row],[Projected Average BF]]*Table11[[#This Row],[2024 '#Trees Inventory + Estimate]]</f>
        <v>20204.271450000004</v>
      </c>
      <c r="BS132" s="235">
        <f>196*Table11[[#This Row],[2024 '#Trees Inventory + Estimate]]</f>
        <v>213444</v>
      </c>
      <c r="BT132" s="243">
        <f>Table11[[#This Row],[ETP Offering Expected BF]]-Table11[[#This Row],[Projected Total BF]]</f>
        <v>193239.72855</v>
      </c>
      <c r="BU132" s="235">
        <f>(18-Table11[[#This Row],[Average DBH
(inches)]])/(D132-Table11[[#This Row],[Year of Inventory]]+1)</f>
        <v>2.2166666666666668</v>
      </c>
    </row>
    <row r="133" spans="1:73" hidden="1" x14ac:dyDescent="0.25">
      <c r="A133" s="7" t="s">
        <v>713</v>
      </c>
      <c r="B133" s="2">
        <v>2020</v>
      </c>
      <c r="C133" s="2">
        <v>2020</v>
      </c>
      <c r="D133" s="2">
        <v>0</v>
      </c>
      <c r="E133" s="97" t="s">
        <v>714</v>
      </c>
      <c r="F133" s="161">
        <v>10056</v>
      </c>
      <c r="G133" t="s">
        <v>714</v>
      </c>
      <c r="H133" s="357" t="s">
        <v>715</v>
      </c>
      <c r="I133" t="s">
        <v>160</v>
      </c>
      <c r="J133" s="1" t="s">
        <v>716</v>
      </c>
      <c r="K133" s="1" t="s">
        <v>717</v>
      </c>
      <c r="L133" s="1" t="s">
        <v>718</v>
      </c>
      <c r="M133" s="1" t="s">
        <v>150</v>
      </c>
      <c r="Q133" s="2"/>
      <c r="R133" s="86"/>
      <c r="S133" s="2"/>
      <c r="T133" s="1">
        <v>5500</v>
      </c>
      <c r="U133" s="1">
        <v>5500</v>
      </c>
      <c r="V133" s="1" t="str">
        <f>IF(Table11[[#This Row],['#TreesContract]]-Table11[[#This Row],['#Planted]]=0,"",Table11[[#This Row],['#TreesContract]]-Table11[[#This Row],['#Planted]])</f>
        <v/>
      </c>
      <c r="W133" s="2"/>
      <c r="X133" s="34">
        <v>1</v>
      </c>
      <c r="Y133" s="163">
        <f>Table11[[#This Row],['#TreesContract]]*Table11[[#This Row],[USA Allocation %]]</f>
        <v>5500</v>
      </c>
      <c r="Z133" s="163">
        <f>Table11[[#This Row],['#Planted]]*Table11[[#This Row],[USA Allocation %]]</f>
        <v>5500</v>
      </c>
      <c r="AA133" s="34"/>
      <c r="AB133" s="163"/>
      <c r="AC133" s="34"/>
      <c r="AD133" s="163"/>
      <c r="AE133" s="163">
        <f>Table11[[#This Row],[Canada Allocation-tree '#''s]]+Table11[[#This Row],[Can trees/Allocation 2017]]</f>
        <v>0</v>
      </c>
      <c r="AF133" s="5">
        <v>0.78</v>
      </c>
      <c r="AG133" s="35">
        <v>4290</v>
      </c>
      <c r="AH133" s="35">
        <f>Table11[[#This Row],['#Trees as of 12/31/23]]*Table11[[#This Row],[USA Allocation %]]</f>
        <v>4290</v>
      </c>
      <c r="AI133" s="404">
        <f>Table11[[#This Row],['#TreesContract]]*Table11[[#This Row],[2024 Inventory Survival%-master]]</f>
        <v>0</v>
      </c>
      <c r="AJ133" s="5">
        <v>0</v>
      </c>
      <c r="AK133" s="5">
        <v>0</v>
      </c>
      <c r="AL133" s="5">
        <v>0</v>
      </c>
      <c r="AM133" s="35">
        <v>0</v>
      </c>
      <c r="AN133" s="35">
        <f>Table11[[#This Row],[2024 '#Trees Inventory + Estimate]]*Table11[[#This Row],[USA Allocation %]]</f>
        <v>0</v>
      </c>
      <c r="AO133" s="35">
        <f>Table11[[#This Row],[2024 '#Trees Inventory + Estimate]]*Table11[[#This Row],[Canada Allocation %]]</f>
        <v>0</v>
      </c>
      <c r="AP133" s="35">
        <f>Table11[[#This Row],[2024 '#Trees Inventory + Estimate]]*Table11[[#This Row],[Canada Allocation2017 %]]</f>
        <v>0</v>
      </c>
      <c r="AQ133" s="35">
        <f>Table11[[#This Row],['#Trees as of 2024/estimate-Can allocation]]+Table11[[#This Row],['#Trees as of 2024/estimate-Can allocation 2017]]</f>
        <v>0</v>
      </c>
      <c r="AR133" s="1" t="s">
        <v>152</v>
      </c>
      <c r="AS133" s="2" t="s">
        <v>719</v>
      </c>
      <c r="AT133" s="6">
        <f>IFERROR(Table11[[#This Row],['#Total Replacements]]/Table11[[#This Row],['#TreesContract]],"")</f>
        <v>3.7090909090909091E-2</v>
      </c>
      <c r="AU133" s="4">
        <f>IF(SUM(Table11[[#This Row],['#Replace 24]:['#Replace 16]])=0,0,SUM(Table11[[#This Row],['#Replace 24]:['#Replace 16]]))</f>
        <v>204</v>
      </c>
      <c r="AV133" s="2"/>
      <c r="AW133" s="2"/>
      <c r="AX133" s="3"/>
      <c r="AY133" s="2"/>
      <c r="AZ133" s="2"/>
      <c r="BA133" s="2">
        <v>204</v>
      </c>
      <c r="BB133" s="2"/>
      <c r="BC133" s="2"/>
      <c r="BD133" s="2"/>
      <c r="BE133" s="2"/>
      <c r="BF133" s="3">
        <v>1</v>
      </c>
      <c r="BG133" s="3">
        <v>1</v>
      </c>
      <c r="BH133" s="2"/>
      <c r="BI133" s="158"/>
      <c r="BJ133" s="158"/>
      <c r="BK133" s="139">
        <f>Table11[[#This Row],[Average MHT
(Feet)]]/16</f>
        <v>0</v>
      </c>
      <c r="BL133" s="2"/>
      <c r="BM133" s="139">
        <f>Table11[[#This Row],[Average DBH
(inches)]]/18</f>
        <v>0</v>
      </c>
      <c r="BN133" s="235">
        <f>((Table11[[#This Row],[Average DBH
(inches)]]-4)^2)*(Table11[[#This Row],[Average MHT
(Feet)]]/16)</f>
        <v>0</v>
      </c>
      <c r="BO133" s="235">
        <f>Table11[[#This Row],[Average BF]]*Table11[[#This Row],[2024 '#Trees Inventory + Estimate]]</f>
        <v>0</v>
      </c>
      <c r="BP133" s="240">
        <f>(Table11[[#This Row],[Harvest Year
(10 year)]]-Table11[[#This Row],[Year of Inventory]]+1)*(Table11[[#This Row],[Average DBH
(inches)]]/(Table11[[#This Row],[Harvest Year
(10 year)]]-Table11[[#This Row],[Year of Inventory]]+1))+Table11[[#This Row],[Average DBH
(inches)]]</f>
        <v>0</v>
      </c>
      <c r="BQ133" s="235">
        <f>((Table11[[#This Row],[Projected DBH
(Extrapolated Growth/Year)]]-4)^2)*(Table11[[#This Row],[Average MHT
(Feet)]]/16)</f>
        <v>0</v>
      </c>
      <c r="BR133" s="235">
        <f>Table11[[#This Row],[Projected Average BF]]*Table11[[#This Row],[2024 '#Trees Inventory + Estimate]]</f>
        <v>0</v>
      </c>
      <c r="BS133" s="235">
        <f>196*Table11[[#This Row],[2024 '#Trees Inventory + Estimate]]</f>
        <v>0</v>
      </c>
      <c r="BT133" s="235">
        <f>Table11[[#This Row],[ETP Offering Expected BF]]-Table11[[#This Row],[Projected Total BF]]</f>
        <v>0</v>
      </c>
      <c r="BU133" s="235">
        <f>(18-Table11[[#This Row],[Average DBH
(inches)]])/(D133-Table11[[#This Row],[Year of Inventory]]+1)</f>
        <v>18</v>
      </c>
    </row>
    <row r="134" spans="1:73" hidden="1" x14ac:dyDescent="0.25">
      <c r="A134" s="7" t="s">
        <v>720</v>
      </c>
      <c r="B134" s="2">
        <v>2020</v>
      </c>
      <c r="C134" s="2">
        <v>2020</v>
      </c>
      <c r="D134" s="2">
        <f>Table11[[#This Row],[Planting Year]]+9</f>
        <v>2029</v>
      </c>
      <c r="E134" s="97" t="s">
        <v>721</v>
      </c>
      <c r="F134" s="161">
        <v>10057</v>
      </c>
      <c r="G134" t="s">
        <v>721</v>
      </c>
      <c r="H134" s="357" t="s">
        <v>722</v>
      </c>
      <c r="I134" t="s">
        <v>155</v>
      </c>
      <c r="J134" s="1" t="s">
        <v>723</v>
      </c>
      <c r="K134" s="1" t="s">
        <v>724</v>
      </c>
      <c r="L134" s="1" t="s">
        <v>725</v>
      </c>
      <c r="M134" s="1" t="s">
        <v>150</v>
      </c>
      <c r="N134" t="s">
        <v>726</v>
      </c>
      <c r="O134">
        <v>31.246499</v>
      </c>
      <c r="P134">
        <v>-85.161863999999994</v>
      </c>
      <c r="Q134" s="2"/>
      <c r="R134" s="86"/>
      <c r="S134" s="2"/>
      <c r="T134" s="1">
        <v>2200</v>
      </c>
      <c r="U134" s="1">
        <v>2200</v>
      </c>
      <c r="V134" s="1" t="str">
        <f>IF(Table11[[#This Row],['#TreesContract]]-Table11[[#This Row],['#Planted]]=0,"",Table11[[#This Row],['#TreesContract]]-Table11[[#This Row],['#Planted]])</f>
        <v/>
      </c>
      <c r="W134" s="2"/>
      <c r="X134" s="34">
        <v>1</v>
      </c>
      <c r="Y134" s="163">
        <f>Table11[[#This Row],['#TreesContract]]*Table11[[#This Row],[USA Allocation %]]</f>
        <v>2200</v>
      </c>
      <c r="Z134" s="163">
        <f>Table11[[#This Row],['#Planted]]*Table11[[#This Row],[USA Allocation %]]</f>
        <v>2200</v>
      </c>
      <c r="AA134" s="34"/>
      <c r="AB134" s="163"/>
      <c r="AC134" s="34"/>
      <c r="AD134" s="163"/>
      <c r="AE134" s="163">
        <f>Table11[[#This Row],[Canada Allocation-tree '#''s]]+Table11[[#This Row],[Can trees/Allocation 2017]]</f>
        <v>0</v>
      </c>
      <c r="AF134" s="5">
        <v>0.92045454545454541</v>
      </c>
      <c r="AG134" s="35">
        <v>2025</v>
      </c>
      <c r="AH134" s="35">
        <f>Table11[[#This Row],['#Trees as of 12/31/23]]*Table11[[#This Row],[USA Allocation %]]</f>
        <v>2025</v>
      </c>
      <c r="AI134" s="437">
        <f>Table11[[#This Row],['#TreesContract]]*Table11[[#This Row],[2024 Inventory Survival%-master]]</f>
        <v>1438.8</v>
      </c>
      <c r="AJ134" s="436">
        <v>0.65400000000000003</v>
      </c>
      <c r="AK134" s="5">
        <v>0.65</v>
      </c>
      <c r="AL134" s="5">
        <v>0.65</v>
      </c>
      <c r="AM134" s="35">
        <v>1439</v>
      </c>
      <c r="AN134" s="35">
        <f>Table11[[#This Row],[2024 '#Trees Inventory + Estimate]]*Table11[[#This Row],[USA Allocation %]]</f>
        <v>1439</v>
      </c>
      <c r="AO134" s="35">
        <f>Table11[[#This Row],[2024 '#Trees Inventory + Estimate]]*Table11[[#This Row],[Canada Allocation %]]</f>
        <v>0</v>
      </c>
      <c r="AP134" s="35">
        <f>Table11[[#This Row],[2024 '#Trees Inventory + Estimate]]*Table11[[#This Row],[Canada Allocation2017 %]]</f>
        <v>0</v>
      </c>
      <c r="AQ134" s="35">
        <f>Table11[[#This Row],['#Trees as of 2024/estimate-Can allocation]]+Table11[[#This Row],['#Trees as of 2024/estimate-Can allocation 2017]]</f>
        <v>0</v>
      </c>
      <c r="AR134" s="1" t="s">
        <v>152</v>
      </c>
      <c r="AS134" s="2" t="s">
        <v>727</v>
      </c>
      <c r="AT134" s="6">
        <f>IFERROR(Table11[[#This Row],['#Total Replacements]]/Table11[[#This Row],['#TreesContract]],"")</f>
        <v>0.55000000000000004</v>
      </c>
      <c r="AU134" s="4">
        <f>IF(SUM(Table11[[#This Row],['#Replace 24]:['#Replace 16]])=0,0,SUM(Table11[[#This Row],['#Replace 24]:['#Replace 16]]))</f>
        <v>1210</v>
      </c>
      <c r="AV134" s="2"/>
      <c r="AW134" s="2"/>
      <c r="AX134" s="3"/>
      <c r="AY134" s="2">
        <v>210</v>
      </c>
      <c r="AZ134" s="2">
        <v>800</v>
      </c>
      <c r="BA134" s="2">
        <v>200</v>
      </c>
      <c r="BB134" s="2"/>
      <c r="BC134" s="2"/>
      <c r="BD134" s="2"/>
      <c r="BE134" s="2"/>
      <c r="BF134" s="3">
        <v>1</v>
      </c>
      <c r="BG134" s="3">
        <v>1</v>
      </c>
      <c r="BH134" s="2">
        <v>2024</v>
      </c>
      <c r="BI134" s="2">
        <v>10.59</v>
      </c>
      <c r="BJ134" s="2">
        <v>3.91</v>
      </c>
      <c r="BK134" s="139">
        <f>Table11[[#This Row],[Average MHT
(Feet)]]/16</f>
        <v>0.24437500000000001</v>
      </c>
      <c r="BL134" s="2">
        <v>2.13</v>
      </c>
      <c r="BM134" s="139">
        <f>Table11[[#This Row],[Average DBH
(inches)]]/18</f>
        <v>0.11833333333333333</v>
      </c>
      <c r="BN134" s="235">
        <f>((Table11[[#This Row],[Average DBH
(inches)]]-4)^2)*(Table11[[#This Row],[Average MHT
(Feet)]]/16)</f>
        <v>0.85455493750000022</v>
      </c>
      <c r="BO134" s="235">
        <f>Table11[[#This Row],[Average BF]]*Table11[[#This Row],[2024 '#Trees Inventory + Estimate]]</f>
        <v>1229.7045550625003</v>
      </c>
      <c r="BP134" s="240">
        <f>(Table11[[#This Row],[Harvest Year
(10 year)]]-Table11[[#This Row],[Year of Inventory]]+1)*(Table11[[#This Row],[Average DBH
(inches)]]/(Table11[[#This Row],[Harvest Year
(10 year)]]-Table11[[#This Row],[Year of Inventory]]+1))+Table11[[#This Row],[Average DBH
(inches)]]</f>
        <v>4.26</v>
      </c>
      <c r="BQ134" s="235">
        <f>((Table11[[#This Row],[Projected DBH
(Extrapolated Growth/Year)]]-4)^2)*(Table11[[#This Row],[Average MHT
(Feet)]]/16)</f>
        <v>1.6519749999999972E-2</v>
      </c>
      <c r="BR134" s="235">
        <f>Table11[[#This Row],[Projected Average BF]]*Table11[[#This Row],[2024 '#Trees Inventory + Estimate]]</f>
        <v>23.771920249999958</v>
      </c>
      <c r="BS134" s="235">
        <f>196*Table11[[#This Row],[2024 '#Trees Inventory + Estimate]]</f>
        <v>282044</v>
      </c>
      <c r="BT134" s="243">
        <f>Table11[[#This Row],[ETP Offering Expected BF]]-Table11[[#This Row],[Projected Total BF]]</f>
        <v>282020.22807975003</v>
      </c>
      <c r="BU134" s="235">
        <f>(18-Table11[[#This Row],[Average DBH
(inches)]])/(D134-Table11[[#This Row],[Year of Inventory]]+1)</f>
        <v>2.645</v>
      </c>
    </row>
    <row r="135" spans="1:73" hidden="1" x14ac:dyDescent="0.25">
      <c r="A135" s="7" t="s">
        <v>728</v>
      </c>
      <c r="B135" s="2">
        <v>2020</v>
      </c>
      <c r="C135" s="2">
        <v>2020</v>
      </c>
      <c r="D135" s="2">
        <f>Table11[[#This Row],[Planting Year]]+9</f>
        <v>2029</v>
      </c>
      <c r="E135" s="97" t="s">
        <v>729</v>
      </c>
      <c r="F135" s="161">
        <v>10058</v>
      </c>
      <c r="G135" t="s">
        <v>730</v>
      </c>
      <c r="H135" s="357" t="s">
        <v>731</v>
      </c>
      <c r="I135" t="s">
        <v>155</v>
      </c>
      <c r="J135" s="1" t="s">
        <v>732</v>
      </c>
      <c r="K135" s="1" t="s">
        <v>733</v>
      </c>
      <c r="L135" s="1" t="s">
        <v>733</v>
      </c>
      <c r="M135" s="1" t="s">
        <v>150</v>
      </c>
      <c r="N135" t="s">
        <v>734</v>
      </c>
      <c r="O135">
        <v>31.080472</v>
      </c>
      <c r="P135">
        <v>-86.570886999999999</v>
      </c>
      <c r="Q135" s="2"/>
      <c r="R135" s="86"/>
      <c r="S135" s="2"/>
      <c r="T135" s="1">
        <v>1100</v>
      </c>
      <c r="U135" s="1">
        <v>1100</v>
      </c>
      <c r="V135" s="1" t="str">
        <f>IF(Table11[[#This Row],['#TreesContract]]-Table11[[#This Row],['#Planted]]=0,"",Table11[[#This Row],['#TreesContract]]-Table11[[#This Row],['#Planted]])</f>
        <v/>
      </c>
      <c r="W135" s="2"/>
      <c r="X135" s="34">
        <v>1</v>
      </c>
      <c r="Y135" s="163">
        <f>Table11[[#This Row],['#TreesContract]]*Table11[[#This Row],[USA Allocation %]]</f>
        <v>1100</v>
      </c>
      <c r="Z135" s="163">
        <f>Table11[[#This Row],['#Planted]]*Table11[[#This Row],[USA Allocation %]]</f>
        <v>1100</v>
      </c>
      <c r="AA135" s="34"/>
      <c r="AB135" s="163"/>
      <c r="AC135" s="34"/>
      <c r="AD135" s="163"/>
      <c r="AE135" s="163">
        <f>Table11[[#This Row],[Canada Allocation-tree '#''s]]+Table11[[#This Row],[Can trees/Allocation 2017]]</f>
        <v>0</v>
      </c>
      <c r="AF135" s="5">
        <v>0.90227272727272723</v>
      </c>
      <c r="AG135" s="35">
        <v>992.5</v>
      </c>
      <c r="AH135" s="35">
        <f>Table11[[#This Row],['#Trees as of 12/31/23]]*Table11[[#This Row],[USA Allocation %]]</f>
        <v>992.5</v>
      </c>
      <c r="AI135" s="437">
        <f>Table11[[#This Row],['#TreesContract]]*Table11[[#This Row],[2024 Inventory Survival%-master]]</f>
        <v>678.7</v>
      </c>
      <c r="AJ135" s="436">
        <v>0.61699999999999999</v>
      </c>
      <c r="AK135" s="5">
        <v>0.62</v>
      </c>
      <c r="AL135" s="5">
        <v>0.62</v>
      </c>
      <c r="AM135" s="35">
        <v>679</v>
      </c>
      <c r="AN135" s="35">
        <f>Table11[[#This Row],[2024 '#Trees Inventory + Estimate]]*Table11[[#This Row],[USA Allocation %]]</f>
        <v>679</v>
      </c>
      <c r="AO135" s="35">
        <f>Table11[[#This Row],[2024 '#Trees Inventory + Estimate]]*Table11[[#This Row],[Canada Allocation %]]</f>
        <v>0</v>
      </c>
      <c r="AP135" s="35">
        <f>Table11[[#This Row],[2024 '#Trees Inventory + Estimate]]*Table11[[#This Row],[Canada Allocation2017 %]]</f>
        <v>0</v>
      </c>
      <c r="AQ135" s="35">
        <f>Table11[[#This Row],['#Trees as of 2024/estimate-Can allocation]]+Table11[[#This Row],['#Trees as of 2024/estimate-Can allocation 2017]]</f>
        <v>0</v>
      </c>
      <c r="AR135" s="1" t="s">
        <v>152</v>
      </c>
      <c r="AS135" s="2" t="s">
        <v>363</v>
      </c>
      <c r="AT135" s="6">
        <f>IFERROR(Table11[[#This Row],['#Total Replacements]]/Table11[[#This Row],['#TreesContract]],"")</f>
        <v>0.64909090909090905</v>
      </c>
      <c r="AU135" s="4">
        <f>IF(SUM(Table11[[#This Row],['#Replace 24]:['#Replace 16]])=0,0,SUM(Table11[[#This Row],['#Replace 24]:['#Replace 16]]))</f>
        <v>714</v>
      </c>
      <c r="AV135" s="2"/>
      <c r="AW135" s="2"/>
      <c r="AX135" s="3"/>
      <c r="AY135" s="2">
        <v>85</v>
      </c>
      <c r="AZ135" s="2">
        <v>629</v>
      </c>
      <c r="BA135" s="2"/>
      <c r="BB135" s="2"/>
      <c r="BC135" s="2"/>
      <c r="BD135" s="2"/>
      <c r="BE135" s="2"/>
      <c r="BF135" s="3">
        <v>1</v>
      </c>
      <c r="BG135" s="3">
        <v>1</v>
      </c>
      <c r="BH135" s="2">
        <v>2024</v>
      </c>
      <c r="BI135" s="2">
        <v>6.14</v>
      </c>
      <c r="BJ135" s="2">
        <v>3.18</v>
      </c>
      <c r="BK135" s="139">
        <f>Table11[[#This Row],[Average MHT
(Feet)]]/16</f>
        <v>0.19875000000000001</v>
      </c>
      <c r="BL135" s="2">
        <v>1.54</v>
      </c>
      <c r="BM135" s="139">
        <f>Table11[[#This Row],[Average DBH
(inches)]]/18</f>
        <v>8.5555555555555551E-2</v>
      </c>
      <c r="BN135" s="235">
        <f>((Table11[[#This Row],[Average DBH
(inches)]]-4)^2)*(Table11[[#This Row],[Average MHT
(Feet)]]/16)</f>
        <v>1.2027555000000001</v>
      </c>
      <c r="BO135" s="235">
        <f>Table11[[#This Row],[Average BF]]*Table11[[#This Row],[2024 '#Trees Inventory + Estimate]]</f>
        <v>816.67098450000003</v>
      </c>
      <c r="BP135" s="240">
        <f>(Table11[[#This Row],[Harvest Year
(10 year)]]-Table11[[#This Row],[Year of Inventory]]+1)*(Table11[[#This Row],[Average DBH
(inches)]]/(Table11[[#This Row],[Harvest Year
(10 year)]]-Table11[[#This Row],[Year of Inventory]]+1))+Table11[[#This Row],[Average DBH
(inches)]]</f>
        <v>3.08</v>
      </c>
      <c r="BQ135" s="235">
        <f>((Table11[[#This Row],[Projected DBH
(Extrapolated Growth/Year)]]-4)^2)*(Table11[[#This Row],[Average MHT
(Feet)]]/16)</f>
        <v>0.16822199999999998</v>
      </c>
      <c r="BR135" s="235">
        <f>Table11[[#This Row],[Projected Average BF]]*Table11[[#This Row],[2024 '#Trees Inventory + Estimate]]</f>
        <v>114.22273799999999</v>
      </c>
      <c r="BS135" s="235">
        <f>196*Table11[[#This Row],[2024 '#Trees Inventory + Estimate]]</f>
        <v>133084</v>
      </c>
      <c r="BT135" s="243">
        <f>Table11[[#This Row],[ETP Offering Expected BF]]-Table11[[#This Row],[Projected Total BF]]</f>
        <v>132969.77726199999</v>
      </c>
      <c r="BU135" s="235">
        <f>(18-Table11[[#This Row],[Average DBH
(inches)]])/(D135-Table11[[#This Row],[Year of Inventory]]+1)</f>
        <v>2.7433333333333336</v>
      </c>
    </row>
    <row r="136" spans="1:73" hidden="1" x14ac:dyDescent="0.25">
      <c r="A136" s="7" t="s">
        <v>735</v>
      </c>
      <c r="B136" s="2">
        <v>2020</v>
      </c>
      <c r="C136" s="2">
        <v>2020</v>
      </c>
      <c r="D136" s="2">
        <f>Table11[[#This Row],[Planting Year]]+9</f>
        <v>2029</v>
      </c>
      <c r="E136" s="97" t="s">
        <v>736</v>
      </c>
      <c r="F136" s="161">
        <v>10059</v>
      </c>
      <c r="G136" t="s">
        <v>736</v>
      </c>
      <c r="H136" s="357" t="s">
        <v>737</v>
      </c>
      <c r="I136" t="s">
        <v>155</v>
      </c>
      <c r="J136" s="1" t="s">
        <v>738</v>
      </c>
      <c r="K136" s="1" t="s">
        <v>739</v>
      </c>
      <c r="L136" s="1" t="s">
        <v>739</v>
      </c>
      <c r="M136" s="1" t="s">
        <v>150</v>
      </c>
      <c r="N136" t="s">
        <v>740</v>
      </c>
      <c r="O136">
        <v>32.675524000000003</v>
      </c>
      <c r="P136">
        <v>-88.847578999999996</v>
      </c>
      <c r="Q136" s="2"/>
      <c r="R136" s="86"/>
      <c r="S136" s="2"/>
      <c r="T136" s="1">
        <v>1100</v>
      </c>
      <c r="U136" s="1">
        <v>1100</v>
      </c>
      <c r="V136" s="1" t="str">
        <f>IF(Table11[[#This Row],['#TreesContract]]-Table11[[#This Row],['#Planted]]=0,"",Table11[[#This Row],['#TreesContract]]-Table11[[#This Row],['#Planted]])</f>
        <v/>
      </c>
      <c r="W136" s="2"/>
      <c r="X136" s="34">
        <v>1</v>
      </c>
      <c r="Y136" s="163">
        <f>Table11[[#This Row],['#TreesContract]]*Table11[[#This Row],[USA Allocation %]]</f>
        <v>1100</v>
      </c>
      <c r="Z136" s="163">
        <f>Table11[[#This Row],['#Planted]]*Table11[[#This Row],[USA Allocation %]]</f>
        <v>1100</v>
      </c>
      <c r="AA136" s="34"/>
      <c r="AB136" s="163"/>
      <c r="AC136" s="34"/>
      <c r="AD136" s="163"/>
      <c r="AE136" s="163">
        <f>Table11[[#This Row],[Canada Allocation-tree '#''s]]+Table11[[#This Row],[Can trees/Allocation 2017]]</f>
        <v>0</v>
      </c>
      <c r="AF136" s="5">
        <v>1</v>
      </c>
      <c r="AG136" s="35">
        <v>1100</v>
      </c>
      <c r="AH136" s="35">
        <f>Table11[[#This Row],['#Trees as of 12/31/23]]*Table11[[#This Row],[USA Allocation %]]</f>
        <v>1100</v>
      </c>
      <c r="AI136" s="437">
        <f>Table11[[#This Row],['#TreesContract]]*Table11[[#This Row],[2024 Inventory Survival%-master]]</f>
        <v>0</v>
      </c>
      <c r="AJ136" s="436"/>
      <c r="AK136" s="5">
        <v>1</v>
      </c>
      <c r="AL136" s="5">
        <v>1</v>
      </c>
      <c r="AM136" s="35">
        <v>1100</v>
      </c>
      <c r="AN136" s="35">
        <f>Table11[[#This Row],[2024 '#Trees Inventory + Estimate]]*Table11[[#This Row],[USA Allocation %]]</f>
        <v>1100</v>
      </c>
      <c r="AO136" s="35">
        <f>Table11[[#This Row],[2024 '#Trees Inventory + Estimate]]*Table11[[#This Row],[Canada Allocation %]]</f>
        <v>0</v>
      </c>
      <c r="AP136" s="35">
        <f>Table11[[#This Row],[2024 '#Trees Inventory + Estimate]]*Table11[[#This Row],[Canada Allocation2017 %]]</f>
        <v>0</v>
      </c>
      <c r="AQ136" s="35">
        <f>Table11[[#This Row],['#Trees as of 2024/estimate-Can allocation]]+Table11[[#This Row],['#Trees as of 2024/estimate-Can allocation 2017]]</f>
        <v>0</v>
      </c>
      <c r="AR136" s="1" t="s">
        <v>152</v>
      </c>
      <c r="AS136" s="2" t="s">
        <v>741</v>
      </c>
      <c r="AT136" s="6">
        <f>IFERROR(Table11[[#This Row],['#Total Replacements]]/Table11[[#This Row],['#TreesContract]],"")</f>
        <v>0.16727272727272727</v>
      </c>
      <c r="AU136" s="4">
        <f>IF(SUM(Table11[[#This Row],['#Replace 24]:['#Replace 16]])=0,0,SUM(Table11[[#This Row],['#Replace 24]:['#Replace 16]]))</f>
        <v>184</v>
      </c>
      <c r="AV136" s="2"/>
      <c r="AW136" s="2"/>
      <c r="AX136" s="3"/>
      <c r="AY136" s="2">
        <v>84</v>
      </c>
      <c r="AZ136" s="2"/>
      <c r="BA136" s="2">
        <v>100</v>
      </c>
      <c r="BB136" s="2"/>
      <c r="BC136" s="2"/>
      <c r="BD136" s="2"/>
      <c r="BE136" s="2"/>
      <c r="BF136" s="3">
        <v>1</v>
      </c>
      <c r="BG136" s="3">
        <v>1</v>
      </c>
      <c r="BH136" s="2"/>
      <c r="BI136" s="2"/>
      <c r="BJ136" s="2"/>
      <c r="BK136" s="139">
        <f>Table11[[#This Row],[Average MHT
(Feet)]]/16</f>
        <v>0</v>
      </c>
      <c r="BL136" s="2"/>
      <c r="BM136" s="139">
        <f>Table11[[#This Row],[Average DBH
(inches)]]/18</f>
        <v>0</v>
      </c>
      <c r="BN136" s="235">
        <f>((Table11[[#This Row],[Average DBH
(inches)]]-4)^2)*(Table11[[#This Row],[Average MHT
(Feet)]]/16)</f>
        <v>0</v>
      </c>
      <c r="BO136" s="235">
        <f>Table11[[#This Row],[Average BF]]*Table11[[#This Row],[2024 '#Trees Inventory + Estimate]]</f>
        <v>0</v>
      </c>
      <c r="BP136" s="240">
        <f>(Table11[[#This Row],[Harvest Year
(10 year)]]-Table11[[#This Row],[Year of Inventory]]+1)*(Table11[[#This Row],[Average DBH
(inches)]]/(Table11[[#This Row],[Harvest Year
(10 year)]]-Table11[[#This Row],[Year of Inventory]]+1))+Table11[[#This Row],[Average DBH
(inches)]]</f>
        <v>0</v>
      </c>
      <c r="BQ136" s="235">
        <f>((Table11[[#This Row],[Projected DBH
(Extrapolated Growth/Year)]]-4)^2)*(Table11[[#This Row],[Average MHT
(Feet)]]/16)</f>
        <v>0</v>
      </c>
      <c r="BR136" s="235">
        <f>Table11[[#This Row],[Projected Average BF]]*Table11[[#This Row],[2024 '#Trees Inventory + Estimate]]</f>
        <v>0</v>
      </c>
      <c r="BS136" s="235">
        <f>196*Table11[[#This Row],[2024 '#Trees Inventory + Estimate]]</f>
        <v>215600</v>
      </c>
      <c r="BT136" s="243">
        <f>Table11[[#This Row],[ETP Offering Expected BF]]-Table11[[#This Row],[Projected Total BF]]</f>
        <v>215600</v>
      </c>
      <c r="BU136" s="235">
        <f>(18-Table11[[#This Row],[Average DBH
(inches)]])/(D136-Table11[[#This Row],[Year of Inventory]]+1)</f>
        <v>8.8669950738916262E-3</v>
      </c>
    </row>
    <row r="137" spans="1:73" hidden="1" x14ac:dyDescent="0.25">
      <c r="A137" s="7" t="s">
        <v>742</v>
      </c>
      <c r="B137" s="2">
        <v>2020</v>
      </c>
      <c r="C137" s="2">
        <v>2020</v>
      </c>
      <c r="D137" s="2">
        <f>Table11[[#This Row],[Planting Year]]+9</f>
        <v>2029</v>
      </c>
      <c r="E137" s="97" t="s">
        <v>743</v>
      </c>
      <c r="F137" s="161">
        <v>10060</v>
      </c>
      <c r="G137" t="s">
        <v>744</v>
      </c>
      <c r="H137" s="357" t="s">
        <v>745</v>
      </c>
      <c r="I137" t="s">
        <v>155</v>
      </c>
      <c r="J137" s="1" t="s">
        <v>746</v>
      </c>
      <c r="K137" s="1" t="s">
        <v>747</v>
      </c>
      <c r="L137" s="1" t="s">
        <v>747</v>
      </c>
      <c r="M137" s="1" t="s">
        <v>150</v>
      </c>
      <c r="N137" t="s">
        <v>748</v>
      </c>
      <c r="O137">
        <v>31.26</v>
      </c>
      <c r="P137">
        <v>-89.83</v>
      </c>
      <c r="Q137" s="2"/>
      <c r="R137" s="86"/>
      <c r="S137" s="2"/>
      <c r="T137" s="1">
        <v>1100</v>
      </c>
      <c r="U137" s="1">
        <v>1100</v>
      </c>
      <c r="V137" s="1" t="str">
        <f>IF(Table11[[#This Row],['#TreesContract]]-Table11[[#This Row],['#Planted]]=0,"",Table11[[#This Row],['#TreesContract]]-Table11[[#This Row],['#Planted]])</f>
        <v/>
      </c>
      <c r="W137" s="2"/>
      <c r="X137" s="34">
        <v>1</v>
      </c>
      <c r="Y137" s="163">
        <f>Table11[[#This Row],['#TreesContract]]*Table11[[#This Row],[USA Allocation %]]</f>
        <v>1100</v>
      </c>
      <c r="Z137" s="163">
        <f>Table11[[#This Row],['#Planted]]*Table11[[#This Row],[USA Allocation %]]</f>
        <v>1100</v>
      </c>
      <c r="AA137" s="34"/>
      <c r="AB137" s="163"/>
      <c r="AC137" s="34"/>
      <c r="AD137" s="163"/>
      <c r="AE137" s="163">
        <f>Table11[[#This Row],[Canada Allocation-tree '#''s]]+Table11[[#This Row],[Can trees/Allocation 2017]]</f>
        <v>0</v>
      </c>
      <c r="AF137" s="5">
        <v>0.88227272727272732</v>
      </c>
      <c r="AG137" s="35">
        <v>970.5</v>
      </c>
      <c r="AH137" s="35">
        <f>Table11[[#This Row],['#Trees as of 12/31/23]]*Table11[[#This Row],[USA Allocation %]]</f>
        <v>970.5</v>
      </c>
      <c r="AI137" s="437">
        <f>Table11[[#This Row],['#TreesContract]]*Table11[[#This Row],[2024 Inventory Survival%-master]]</f>
        <v>852.5</v>
      </c>
      <c r="AJ137" s="436">
        <v>0.77500000000000002</v>
      </c>
      <c r="AK137" s="5">
        <v>0.78100000000000003</v>
      </c>
      <c r="AL137" s="5">
        <v>0.78</v>
      </c>
      <c r="AM137" s="35">
        <v>853</v>
      </c>
      <c r="AN137" s="35">
        <f>Table11[[#This Row],[2024 '#Trees Inventory + Estimate]]*Table11[[#This Row],[USA Allocation %]]</f>
        <v>853</v>
      </c>
      <c r="AO137" s="35">
        <f>Table11[[#This Row],[2024 '#Trees Inventory + Estimate]]*Table11[[#This Row],[Canada Allocation %]]</f>
        <v>0</v>
      </c>
      <c r="AP137" s="35">
        <f>Table11[[#This Row],[2024 '#Trees Inventory + Estimate]]*Table11[[#This Row],[Canada Allocation2017 %]]</f>
        <v>0</v>
      </c>
      <c r="AQ137" s="35">
        <f>Table11[[#This Row],['#Trees as of 2024/estimate-Can allocation]]+Table11[[#This Row],['#Trees as of 2024/estimate-Can allocation 2017]]</f>
        <v>0</v>
      </c>
      <c r="AR137" s="1" t="s">
        <v>152</v>
      </c>
      <c r="AS137" s="2" t="s">
        <v>749</v>
      </c>
      <c r="AT137" s="6">
        <f>IFERROR(Table11[[#This Row],['#Total Replacements]]/Table11[[#This Row],['#TreesContract]],"")</f>
        <v>0.22727272727272727</v>
      </c>
      <c r="AU137" s="4">
        <f>IF(SUM(Table11[[#This Row],['#Replace 24]:['#Replace 16]])=0,0,SUM(Table11[[#This Row],['#Replace 24]:['#Replace 16]]))</f>
        <v>250</v>
      </c>
      <c r="AV137" s="2"/>
      <c r="AW137" s="2"/>
      <c r="AX137" s="3">
        <v>50</v>
      </c>
      <c r="AY137" s="2">
        <v>63</v>
      </c>
      <c r="AZ137" s="2"/>
      <c r="BA137" s="2">
        <v>137</v>
      </c>
      <c r="BB137" s="2"/>
      <c r="BC137" s="2"/>
      <c r="BD137" s="2"/>
      <c r="BE137" s="2"/>
      <c r="BF137" s="3">
        <v>1</v>
      </c>
      <c r="BG137" s="3">
        <v>1</v>
      </c>
      <c r="BH137" s="2">
        <v>2024</v>
      </c>
      <c r="BI137" s="2">
        <v>6.69</v>
      </c>
      <c r="BJ137" s="2">
        <v>2.41</v>
      </c>
      <c r="BK137" s="139">
        <f>Table11[[#This Row],[Average MHT
(Feet)]]/16</f>
        <v>0.15062500000000001</v>
      </c>
      <c r="BL137" s="2">
        <v>1.28</v>
      </c>
      <c r="BM137" s="139">
        <f>Table11[[#This Row],[Average DBH
(inches)]]/18</f>
        <v>7.1111111111111111E-2</v>
      </c>
      <c r="BN137" s="235">
        <f>((Table11[[#This Row],[Average DBH
(inches)]]-4)^2)*(Table11[[#This Row],[Average MHT
(Feet)]]/16)</f>
        <v>1.1143839999999998</v>
      </c>
      <c r="BO137" s="235">
        <f>Table11[[#This Row],[Average BF]]*Table11[[#This Row],[2024 '#Trees Inventory + Estimate]]</f>
        <v>950.56955199999982</v>
      </c>
      <c r="BP137" s="240">
        <f>(Table11[[#This Row],[Harvest Year
(10 year)]]-Table11[[#This Row],[Year of Inventory]]+1)*(Table11[[#This Row],[Average DBH
(inches)]]/(Table11[[#This Row],[Harvest Year
(10 year)]]-Table11[[#This Row],[Year of Inventory]]+1))+Table11[[#This Row],[Average DBH
(inches)]]</f>
        <v>2.56</v>
      </c>
      <c r="BQ137" s="235">
        <f>((Table11[[#This Row],[Projected DBH
(Extrapolated Growth/Year)]]-4)^2)*(Table11[[#This Row],[Average MHT
(Feet)]]/16)</f>
        <v>0.312336</v>
      </c>
      <c r="BR137" s="235">
        <f>Table11[[#This Row],[Projected Average BF]]*Table11[[#This Row],[2024 '#Trees Inventory + Estimate]]</f>
        <v>266.42260800000003</v>
      </c>
      <c r="BS137" s="235">
        <f>196*Table11[[#This Row],[2024 '#Trees Inventory + Estimate]]</f>
        <v>167188</v>
      </c>
      <c r="BT137" s="243">
        <f>Table11[[#This Row],[ETP Offering Expected BF]]-Table11[[#This Row],[Projected Total BF]]</f>
        <v>166921.57739200001</v>
      </c>
      <c r="BU137" s="235">
        <f>(18-Table11[[#This Row],[Average DBH
(inches)]])/(D137-Table11[[#This Row],[Year of Inventory]]+1)</f>
        <v>2.7866666666666666</v>
      </c>
    </row>
    <row r="138" spans="1:73" hidden="1" x14ac:dyDescent="0.25">
      <c r="A138" s="7" t="s">
        <v>750</v>
      </c>
      <c r="B138" s="2">
        <v>2020</v>
      </c>
      <c r="C138" s="2">
        <v>2020</v>
      </c>
      <c r="D138" s="2">
        <f>Table11[[#This Row],[Planting Year]]+9</f>
        <v>2029</v>
      </c>
      <c r="E138" s="97" t="s">
        <v>751</v>
      </c>
      <c r="F138" s="161">
        <v>10061</v>
      </c>
      <c r="G138" t="s">
        <v>751</v>
      </c>
      <c r="H138" s="357" t="s">
        <v>752</v>
      </c>
      <c r="I138" t="s">
        <v>155</v>
      </c>
      <c r="J138" s="1" t="s">
        <v>753</v>
      </c>
      <c r="K138" s="1" t="s">
        <v>754</v>
      </c>
      <c r="L138" s="1" t="s">
        <v>755</v>
      </c>
      <c r="M138" s="1" t="s">
        <v>150</v>
      </c>
      <c r="N138" t="s">
        <v>756</v>
      </c>
      <c r="O138">
        <v>34.704051999999997</v>
      </c>
      <c r="P138">
        <v>-83.659808999999996</v>
      </c>
      <c r="Q138" s="2"/>
      <c r="R138" s="86"/>
      <c r="S138" s="2"/>
      <c r="T138" s="1">
        <v>1100</v>
      </c>
      <c r="U138" s="1">
        <v>1100</v>
      </c>
      <c r="V138" s="1" t="str">
        <f>IF(Table11[[#This Row],['#TreesContract]]-Table11[[#This Row],['#Planted]]=0,"",Table11[[#This Row],['#TreesContract]]-Table11[[#This Row],['#Planted]])</f>
        <v/>
      </c>
      <c r="W138" s="2"/>
      <c r="X138" s="34">
        <v>1</v>
      </c>
      <c r="Y138" s="163">
        <f>Table11[[#This Row],['#TreesContract]]*Table11[[#This Row],[USA Allocation %]]</f>
        <v>1100</v>
      </c>
      <c r="Z138" s="163">
        <f>Table11[[#This Row],['#Planted]]*Table11[[#This Row],[USA Allocation %]]</f>
        <v>1100</v>
      </c>
      <c r="AA138" s="34"/>
      <c r="AB138" s="163"/>
      <c r="AC138" s="34"/>
      <c r="AD138" s="163"/>
      <c r="AE138" s="163">
        <f>Table11[[#This Row],[Canada Allocation-tree '#''s]]+Table11[[#This Row],[Can trees/Allocation 2017]]</f>
        <v>0</v>
      </c>
      <c r="AF138" s="5">
        <v>1</v>
      </c>
      <c r="AG138" s="35">
        <v>1100</v>
      </c>
      <c r="AH138" s="35">
        <f>Table11[[#This Row],['#Trees as of 12/31/23]]*Table11[[#This Row],[USA Allocation %]]</f>
        <v>1100</v>
      </c>
      <c r="AI138" s="437">
        <f>Table11[[#This Row],['#TreesContract]]*Table11[[#This Row],[2024 Inventory Survival%-master]]</f>
        <v>1100</v>
      </c>
      <c r="AJ138" s="436">
        <v>1</v>
      </c>
      <c r="AK138" s="5">
        <v>1</v>
      </c>
      <c r="AL138" s="5">
        <v>1</v>
      </c>
      <c r="AM138" s="35">
        <v>1100</v>
      </c>
      <c r="AN138" s="35">
        <f>Table11[[#This Row],[2024 '#Trees Inventory + Estimate]]*Table11[[#This Row],[USA Allocation %]]</f>
        <v>1100</v>
      </c>
      <c r="AO138" s="35">
        <f>Table11[[#This Row],[2024 '#Trees Inventory + Estimate]]*Table11[[#This Row],[Canada Allocation %]]</f>
        <v>0</v>
      </c>
      <c r="AP138" s="35">
        <f>Table11[[#This Row],[2024 '#Trees Inventory + Estimate]]*Table11[[#This Row],[Canada Allocation2017 %]]</f>
        <v>0</v>
      </c>
      <c r="AQ138" s="35">
        <f>Table11[[#This Row],['#Trees as of 2024/estimate-Can allocation]]+Table11[[#This Row],['#Trees as of 2024/estimate-Can allocation 2017]]</f>
        <v>0</v>
      </c>
      <c r="AR138" s="1" t="s">
        <v>152</v>
      </c>
      <c r="AS138" s="2" t="s">
        <v>181</v>
      </c>
      <c r="AT138" s="6">
        <f>IFERROR(Table11[[#This Row],['#Total Replacements]]/Table11[[#This Row],['#TreesContract]],"")</f>
        <v>0.85</v>
      </c>
      <c r="AU138" s="4">
        <f>IF(SUM(Table11[[#This Row],['#Replace 24]:['#Replace 16]])=0,0,SUM(Table11[[#This Row],['#Replace 24]:['#Replace 16]]))</f>
        <v>935</v>
      </c>
      <c r="AV138" s="2"/>
      <c r="AW138" s="2"/>
      <c r="AX138" s="3"/>
      <c r="AY138" s="2">
        <v>55</v>
      </c>
      <c r="AZ138" s="2">
        <v>880</v>
      </c>
      <c r="BA138" s="2"/>
      <c r="BB138" s="2"/>
      <c r="BC138" s="2"/>
      <c r="BD138" s="2"/>
      <c r="BE138" s="2"/>
      <c r="BF138" s="3">
        <v>1</v>
      </c>
      <c r="BG138" s="3">
        <v>1</v>
      </c>
      <c r="BH138" s="2">
        <v>2024</v>
      </c>
      <c r="BI138" s="2">
        <v>9.65</v>
      </c>
      <c r="BJ138" s="2">
        <v>1.96</v>
      </c>
      <c r="BK138" s="139">
        <f>Table11[[#This Row],[Average MHT
(Feet)]]/16</f>
        <v>0.1225</v>
      </c>
      <c r="BL138" s="2">
        <v>1.95</v>
      </c>
      <c r="BM138" s="139">
        <f>Table11[[#This Row],[Average DBH
(inches)]]/18</f>
        <v>0.10833333333333334</v>
      </c>
      <c r="BN138" s="235">
        <f>((Table11[[#This Row],[Average DBH
(inches)]]-4)^2)*(Table11[[#This Row],[Average MHT
(Feet)]]/16)</f>
        <v>0.51480624999999991</v>
      </c>
      <c r="BO138" s="235">
        <f>Table11[[#This Row],[Average BF]]*Table11[[#This Row],[2024 '#Trees Inventory + Estimate]]</f>
        <v>566.2868749999999</v>
      </c>
      <c r="BP138" s="240">
        <f>(Table11[[#This Row],[Harvest Year
(10 year)]]-Table11[[#This Row],[Year of Inventory]]+1)*(Table11[[#This Row],[Average DBH
(inches)]]/(Table11[[#This Row],[Harvest Year
(10 year)]]-Table11[[#This Row],[Year of Inventory]]+1))+Table11[[#This Row],[Average DBH
(inches)]]</f>
        <v>3.9000000000000004</v>
      </c>
      <c r="BQ138" s="235">
        <f>((Table11[[#This Row],[Projected DBH
(Extrapolated Growth/Year)]]-4)^2)*(Table11[[#This Row],[Average MHT
(Feet)]]/16)</f>
        <v>1.2249999999999913E-3</v>
      </c>
      <c r="BR138" s="235">
        <f>Table11[[#This Row],[Projected Average BF]]*Table11[[#This Row],[2024 '#Trees Inventory + Estimate]]</f>
        <v>1.3474999999999904</v>
      </c>
      <c r="BS138" s="235">
        <f>196*Table11[[#This Row],[2024 '#Trees Inventory + Estimate]]</f>
        <v>215600</v>
      </c>
      <c r="BT138" s="243">
        <f>Table11[[#This Row],[ETP Offering Expected BF]]-Table11[[#This Row],[Projected Total BF]]</f>
        <v>215598.6525</v>
      </c>
      <c r="BU138" s="235">
        <f>(18-Table11[[#This Row],[Average DBH
(inches)]])/(D138-Table11[[#This Row],[Year of Inventory]]+1)</f>
        <v>2.6750000000000003</v>
      </c>
    </row>
    <row r="139" spans="1:73" hidden="1" x14ac:dyDescent="0.25">
      <c r="A139" s="7" t="s">
        <v>757</v>
      </c>
      <c r="B139" s="2">
        <v>2020</v>
      </c>
      <c r="C139" s="2">
        <v>2020</v>
      </c>
      <c r="D139" s="2">
        <v>0</v>
      </c>
      <c r="E139" s="97" t="s">
        <v>758</v>
      </c>
      <c r="F139" s="161">
        <v>10062</v>
      </c>
      <c r="G139" t="s">
        <v>759</v>
      </c>
      <c r="H139" s="357" t="s">
        <v>760</v>
      </c>
      <c r="I139" t="s">
        <v>160</v>
      </c>
      <c r="J139" s="1" t="s">
        <v>761</v>
      </c>
      <c r="K139" s="1" t="s">
        <v>762</v>
      </c>
      <c r="L139" s="1" t="s">
        <v>666</v>
      </c>
      <c r="M139" s="1" t="s">
        <v>150</v>
      </c>
      <c r="N139" t="s">
        <v>763</v>
      </c>
      <c r="O139">
        <v>31.157609000000001</v>
      </c>
      <c r="P139">
        <v>-85.167069999999995</v>
      </c>
      <c r="Q139" s="2"/>
      <c r="R139" s="86"/>
      <c r="S139" s="2"/>
      <c r="T139" s="1">
        <v>1100</v>
      </c>
      <c r="U139" s="1">
        <v>1100</v>
      </c>
      <c r="V139" s="1" t="str">
        <f>IF(Table11[[#This Row],['#TreesContract]]-Table11[[#This Row],['#Planted]]=0,"",Table11[[#This Row],['#TreesContract]]-Table11[[#This Row],['#Planted]])</f>
        <v/>
      </c>
      <c r="W139" s="2"/>
      <c r="X139" s="34">
        <v>1</v>
      </c>
      <c r="Y139" s="163">
        <f>Table11[[#This Row],['#TreesContract]]*Table11[[#This Row],[USA Allocation %]]</f>
        <v>1100</v>
      </c>
      <c r="Z139" s="163">
        <f>Table11[[#This Row],['#Planted]]*Table11[[#This Row],[USA Allocation %]]</f>
        <v>1100</v>
      </c>
      <c r="AA139" s="34"/>
      <c r="AB139" s="163"/>
      <c r="AC139" s="34"/>
      <c r="AD139" s="163"/>
      <c r="AE139" s="163">
        <f>Table11[[#This Row],[Canada Allocation-tree '#''s]]+Table11[[#This Row],[Can trees/Allocation 2017]]</f>
        <v>0</v>
      </c>
      <c r="AF139" s="5">
        <v>0.82499999999999996</v>
      </c>
      <c r="AG139" s="35">
        <v>907.5</v>
      </c>
      <c r="AH139" s="35">
        <f>Table11[[#This Row],['#Trees as of 12/31/23]]*Table11[[#This Row],[USA Allocation %]]</f>
        <v>907.5</v>
      </c>
      <c r="AI139" s="404">
        <f>Table11[[#This Row],['#TreesContract]]*Table11[[#This Row],[2024 Inventory Survival%-master]]</f>
        <v>0</v>
      </c>
      <c r="AJ139" s="5">
        <v>0</v>
      </c>
      <c r="AK139" s="5">
        <v>0</v>
      </c>
      <c r="AL139" s="5">
        <v>0</v>
      </c>
      <c r="AM139" s="35">
        <v>0</v>
      </c>
      <c r="AN139" s="35">
        <f>Table11[[#This Row],[2024 '#Trees Inventory + Estimate]]*Table11[[#This Row],[USA Allocation %]]</f>
        <v>0</v>
      </c>
      <c r="AO139" s="35">
        <f>Table11[[#This Row],[2024 '#Trees Inventory + Estimate]]*Table11[[#This Row],[Canada Allocation %]]</f>
        <v>0</v>
      </c>
      <c r="AP139" s="35">
        <f>Table11[[#This Row],[2024 '#Trees Inventory + Estimate]]*Table11[[#This Row],[Canada Allocation2017 %]]</f>
        <v>0</v>
      </c>
      <c r="AQ139" s="35">
        <f>Table11[[#This Row],['#Trees as of 2024/estimate-Can allocation]]+Table11[[#This Row],['#Trees as of 2024/estimate-Can allocation 2017]]</f>
        <v>0</v>
      </c>
      <c r="AR139" s="1" t="s">
        <v>152</v>
      </c>
      <c r="AS139" s="2" t="s">
        <v>181</v>
      </c>
      <c r="AT139" s="6">
        <f>IFERROR(Table11[[#This Row],['#Total Replacements]]/Table11[[#This Row],['#TreesContract]],"")</f>
        <v>0.29090909090909089</v>
      </c>
      <c r="AU139" s="4">
        <f>IF(SUM(Table11[[#This Row],['#Replace 24]:['#Replace 16]])=0,0,SUM(Table11[[#This Row],['#Replace 24]:['#Replace 16]]))</f>
        <v>320</v>
      </c>
      <c r="AV139" s="2"/>
      <c r="AW139" s="2"/>
      <c r="AX139" s="3"/>
      <c r="AY139" s="2"/>
      <c r="AZ139" s="2">
        <v>320</v>
      </c>
      <c r="BA139" s="2"/>
      <c r="BB139" s="2"/>
      <c r="BC139" s="2"/>
      <c r="BD139" s="2"/>
      <c r="BE139" s="2"/>
      <c r="BF139" s="3">
        <v>1</v>
      </c>
      <c r="BG139" s="3">
        <v>1</v>
      </c>
      <c r="BH139" s="2"/>
      <c r="BI139" s="2"/>
      <c r="BJ139" s="2"/>
      <c r="BK139" s="139">
        <f>Table11[[#This Row],[Average MHT
(Feet)]]/16</f>
        <v>0</v>
      </c>
      <c r="BL139" s="2"/>
      <c r="BM139" s="139">
        <f>Table11[[#This Row],[Average DBH
(inches)]]/18</f>
        <v>0</v>
      </c>
      <c r="BN139" s="235">
        <f>((Table11[[#This Row],[Average DBH
(inches)]]-4)^2)*(Table11[[#This Row],[Average MHT
(Feet)]]/16)</f>
        <v>0</v>
      </c>
      <c r="BO139" s="235">
        <f>Table11[[#This Row],[Average BF]]*Table11[[#This Row],[2024 '#Trees Inventory + Estimate]]</f>
        <v>0</v>
      </c>
      <c r="BP139" s="240">
        <f>(Table11[[#This Row],[Harvest Year
(10 year)]]-Table11[[#This Row],[Year of Inventory]]+1)*(Table11[[#This Row],[Average DBH
(inches)]]/(Table11[[#This Row],[Harvest Year
(10 year)]]-Table11[[#This Row],[Year of Inventory]]+1))+Table11[[#This Row],[Average DBH
(inches)]]</f>
        <v>0</v>
      </c>
      <c r="BQ139" s="235">
        <f>((Table11[[#This Row],[Projected DBH
(Extrapolated Growth/Year)]]-4)^2)*(Table11[[#This Row],[Average MHT
(Feet)]]/16)</f>
        <v>0</v>
      </c>
      <c r="BR139" s="235">
        <f>Table11[[#This Row],[Projected Average BF]]*Table11[[#This Row],[2024 '#Trees Inventory + Estimate]]</f>
        <v>0</v>
      </c>
      <c r="BS139" s="235">
        <f>196*Table11[[#This Row],[2024 '#Trees Inventory + Estimate]]</f>
        <v>0</v>
      </c>
      <c r="BT139" s="235">
        <f>Table11[[#This Row],[ETP Offering Expected BF]]-Table11[[#This Row],[Projected Total BF]]</f>
        <v>0</v>
      </c>
      <c r="BU139" s="235">
        <f>(18-Table11[[#This Row],[Average DBH
(inches)]])/(D139-Table11[[#This Row],[Year of Inventory]]+1)</f>
        <v>18</v>
      </c>
    </row>
    <row r="140" spans="1:73" hidden="1" x14ac:dyDescent="0.25">
      <c r="A140" s="7" t="s">
        <v>764</v>
      </c>
      <c r="B140" s="2">
        <v>2020</v>
      </c>
      <c r="C140" s="2">
        <v>2020</v>
      </c>
      <c r="D140" s="2">
        <f>Table11[[#This Row],[Planting Year]]+9</f>
        <v>2029</v>
      </c>
      <c r="E140" s="97" t="s">
        <v>765</v>
      </c>
      <c r="F140" s="161">
        <v>10063</v>
      </c>
      <c r="G140" t="s">
        <v>765</v>
      </c>
      <c r="H140" s="357" t="s">
        <v>766</v>
      </c>
      <c r="I140" t="s">
        <v>155</v>
      </c>
      <c r="J140" s="1" t="s">
        <v>767</v>
      </c>
      <c r="K140" s="1" t="s">
        <v>768</v>
      </c>
      <c r="L140" s="1" t="s">
        <v>666</v>
      </c>
      <c r="M140" s="1" t="s">
        <v>150</v>
      </c>
      <c r="N140" t="s">
        <v>769</v>
      </c>
      <c r="O140">
        <v>31.157525</v>
      </c>
      <c r="P140">
        <v>-85.197849000000005</v>
      </c>
      <c r="Q140" s="2"/>
      <c r="R140" s="86"/>
      <c r="S140" s="2"/>
      <c r="T140" s="1">
        <v>1100</v>
      </c>
      <c r="U140" s="1">
        <v>1100</v>
      </c>
      <c r="V140" s="1" t="str">
        <f>IF(Table11[[#This Row],['#TreesContract]]-Table11[[#This Row],['#Planted]]=0,"",Table11[[#This Row],['#TreesContract]]-Table11[[#This Row],['#Planted]])</f>
        <v/>
      </c>
      <c r="W140" s="2"/>
      <c r="X140" s="34">
        <v>1</v>
      </c>
      <c r="Y140" s="163">
        <f>Table11[[#This Row],['#TreesContract]]*Table11[[#This Row],[USA Allocation %]]</f>
        <v>1100</v>
      </c>
      <c r="Z140" s="163">
        <f>Table11[[#This Row],['#Planted]]*Table11[[#This Row],[USA Allocation %]]</f>
        <v>1100</v>
      </c>
      <c r="AA140" s="34"/>
      <c r="AB140" s="163"/>
      <c r="AC140" s="34"/>
      <c r="AD140" s="163"/>
      <c r="AE140" s="163">
        <f>Table11[[#This Row],[Canada Allocation-tree '#''s]]+Table11[[#This Row],[Can trees/Allocation 2017]]</f>
        <v>0</v>
      </c>
      <c r="AF140" s="5">
        <v>0.98818181818181816</v>
      </c>
      <c r="AG140" s="35">
        <v>1087</v>
      </c>
      <c r="AH140" s="35">
        <f>Table11[[#This Row],['#Trees as of 12/31/23]]*Table11[[#This Row],[USA Allocation %]]</f>
        <v>1087</v>
      </c>
      <c r="AI140" s="437">
        <f>Table11[[#This Row],['#TreesContract]]*Table11[[#This Row],[2024 Inventory Survival%-master]]</f>
        <v>1090.0999999999999</v>
      </c>
      <c r="AJ140" s="436">
        <v>0.99099999999999999</v>
      </c>
      <c r="AK140" s="5">
        <v>0.99</v>
      </c>
      <c r="AL140" s="5">
        <v>0.98818181818181816</v>
      </c>
      <c r="AM140" s="35">
        <v>1090</v>
      </c>
      <c r="AN140" s="35">
        <f>Table11[[#This Row],[2024 '#Trees Inventory + Estimate]]*Table11[[#This Row],[USA Allocation %]]</f>
        <v>1090</v>
      </c>
      <c r="AO140" s="35">
        <f>Table11[[#This Row],[2024 '#Trees Inventory + Estimate]]*Table11[[#This Row],[Canada Allocation %]]</f>
        <v>0</v>
      </c>
      <c r="AP140" s="35">
        <f>Table11[[#This Row],[2024 '#Trees Inventory + Estimate]]*Table11[[#This Row],[Canada Allocation2017 %]]</f>
        <v>0</v>
      </c>
      <c r="AQ140" s="35">
        <f>Table11[[#This Row],['#Trees as of 2024/estimate-Can allocation]]+Table11[[#This Row],['#Trees as of 2024/estimate-Can allocation 2017]]</f>
        <v>0</v>
      </c>
      <c r="AR140" s="1" t="s">
        <v>152</v>
      </c>
      <c r="AS140" s="2" t="s">
        <v>171</v>
      </c>
      <c r="AT140" s="6">
        <f>IFERROR(Table11[[#This Row],['#Total Replacements]]/Table11[[#This Row],['#TreesContract]],"")</f>
        <v>0.45545454545454545</v>
      </c>
      <c r="AU140" s="4">
        <f>IF(SUM(Table11[[#This Row],['#Replace 24]:['#Replace 16]])=0,0,SUM(Table11[[#This Row],['#Replace 24]:['#Replace 16]]))</f>
        <v>501</v>
      </c>
      <c r="AV140" s="2"/>
      <c r="AW140" s="2"/>
      <c r="AX140" s="3">
        <v>63</v>
      </c>
      <c r="AY140" s="2">
        <v>42</v>
      </c>
      <c r="AZ140" s="2">
        <v>46</v>
      </c>
      <c r="BA140" s="2">
        <v>350</v>
      </c>
      <c r="BB140" s="2"/>
      <c r="BC140" s="2"/>
      <c r="BD140" s="2"/>
      <c r="BE140" s="2"/>
      <c r="BF140" s="3">
        <v>1</v>
      </c>
      <c r="BG140" s="3">
        <v>1</v>
      </c>
      <c r="BH140" s="2">
        <v>2024</v>
      </c>
      <c r="BI140" s="2">
        <v>32.159999999999997</v>
      </c>
      <c r="BJ140" s="2">
        <v>15.49</v>
      </c>
      <c r="BK140" s="139">
        <f>Table11[[#This Row],[Average MHT
(Feet)]]/16</f>
        <v>0.96812500000000001</v>
      </c>
      <c r="BL140" s="2">
        <v>7.44</v>
      </c>
      <c r="BM140" s="139">
        <f>Table11[[#This Row],[Average DBH
(inches)]]/18</f>
        <v>0.41333333333333333</v>
      </c>
      <c r="BN140" s="235">
        <f>((Table11[[#This Row],[Average DBH
(inches)]]-4)^2)*(Table11[[#This Row],[Average MHT
(Feet)]]/16)</f>
        <v>11.456404000000003</v>
      </c>
      <c r="BO140" s="235">
        <f>Table11[[#This Row],[Average BF]]*Table11[[#This Row],[2024 '#Trees Inventory + Estimate]]</f>
        <v>12487.480360000003</v>
      </c>
      <c r="BP140" s="240">
        <f>(Table11[[#This Row],[Harvest Year
(10 year)]]-Table11[[#This Row],[Year of Inventory]]+1)*(Table11[[#This Row],[Average DBH
(inches)]]/(Table11[[#This Row],[Harvest Year
(10 year)]]-Table11[[#This Row],[Year of Inventory]]+1))+Table11[[#This Row],[Average DBH
(inches)]]</f>
        <v>14.879999999999999</v>
      </c>
      <c r="BQ140" s="235">
        <f>((Table11[[#This Row],[Projected DBH
(Extrapolated Growth/Year)]]-4)^2)*(Table11[[#This Row],[Average MHT
(Feet)]]/16)</f>
        <v>114.60121599999998</v>
      </c>
      <c r="BR140" s="235">
        <f>Table11[[#This Row],[Projected Average BF]]*Table11[[#This Row],[2024 '#Trees Inventory + Estimate]]</f>
        <v>124915.32543999997</v>
      </c>
      <c r="BS140" s="235">
        <f>196*Table11[[#This Row],[2024 '#Trees Inventory + Estimate]]</f>
        <v>213640</v>
      </c>
      <c r="BT140" s="243">
        <f>Table11[[#This Row],[ETP Offering Expected BF]]-Table11[[#This Row],[Projected Total BF]]</f>
        <v>88724.674560000029</v>
      </c>
      <c r="BU140" s="235">
        <f>(18-Table11[[#This Row],[Average DBH
(inches)]])/(D140-Table11[[#This Row],[Year of Inventory]]+1)</f>
        <v>1.7599999999999998</v>
      </c>
    </row>
    <row r="141" spans="1:73" hidden="1" x14ac:dyDescent="0.25">
      <c r="A141" s="7" t="s">
        <v>770</v>
      </c>
      <c r="B141" s="2">
        <v>2020</v>
      </c>
      <c r="C141" s="2">
        <v>2020</v>
      </c>
      <c r="D141" s="2">
        <f>Table11[[#This Row],[Planting Year]]+9</f>
        <v>2029</v>
      </c>
      <c r="E141" s="97" t="s">
        <v>771</v>
      </c>
      <c r="F141" s="161">
        <v>10064</v>
      </c>
      <c r="G141" t="s">
        <v>771</v>
      </c>
      <c r="H141" s="357" t="s">
        <v>772</v>
      </c>
      <c r="I141" t="s">
        <v>155</v>
      </c>
      <c r="J141" s="1" t="s">
        <v>773</v>
      </c>
      <c r="K141" s="1" t="s">
        <v>774</v>
      </c>
      <c r="L141" s="1" t="s">
        <v>774</v>
      </c>
      <c r="M141" s="1" t="s">
        <v>150</v>
      </c>
      <c r="N141" t="s">
        <v>775</v>
      </c>
      <c r="O141">
        <v>33.685656999999999</v>
      </c>
      <c r="P141">
        <v>-85.343371000000005</v>
      </c>
      <c r="Q141" s="2"/>
      <c r="R141" s="86"/>
      <c r="S141" s="2"/>
      <c r="T141" s="1">
        <v>1100</v>
      </c>
      <c r="U141" s="1">
        <v>1100</v>
      </c>
      <c r="V141" s="1" t="str">
        <f>IF(Table11[[#This Row],['#TreesContract]]-Table11[[#This Row],['#Planted]]=0,"",Table11[[#This Row],['#TreesContract]]-Table11[[#This Row],['#Planted]])</f>
        <v/>
      </c>
      <c r="W141" s="2"/>
      <c r="X141" s="34">
        <v>1</v>
      </c>
      <c r="Y141" s="163">
        <f>Table11[[#This Row],['#TreesContract]]*Table11[[#This Row],[USA Allocation %]]</f>
        <v>1100</v>
      </c>
      <c r="Z141" s="163">
        <f>Table11[[#This Row],['#Planted]]*Table11[[#This Row],[USA Allocation %]]</f>
        <v>1100</v>
      </c>
      <c r="AA141" s="34"/>
      <c r="AB141" s="163"/>
      <c r="AC141" s="34"/>
      <c r="AD141" s="163"/>
      <c r="AE141" s="163">
        <f>Table11[[#This Row],[Canada Allocation-tree '#''s]]+Table11[[#This Row],[Can trees/Allocation 2017]]</f>
        <v>0</v>
      </c>
      <c r="AF141" s="5">
        <v>0.95</v>
      </c>
      <c r="AG141" s="35">
        <v>1045</v>
      </c>
      <c r="AH141" s="35">
        <f>Table11[[#This Row],['#Trees as of 12/31/23]]*Table11[[#This Row],[USA Allocation %]]</f>
        <v>1045</v>
      </c>
      <c r="AI141" s="437">
        <f>Table11[[#This Row],['#TreesContract]]*Table11[[#This Row],[2024 Inventory Survival%-master]]</f>
        <v>0</v>
      </c>
      <c r="AJ141" s="436"/>
      <c r="AK141" s="5">
        <v>0.95</v>
      </c>
      <c r="AL141" s="5">
        <v>0.95</v>
      </c>
      <c r="AM141" s="35">
        <v>1045</v>
      </c>
      <c r="AN141" s="35">
        <f>Table11[[#This Row],[2024 '#Trees Inventory + Estimate]]*Table11[[#This Row],[USA Allocation %]]</f>
        <v>1045</v>
      </c>
      <c r="AO141" s="35">
        <f>Table11[[#This Row],[2024 '#Trees Inventory + Estimate]]*Table11[[#This Row],[Canada Allocation %]]</f>
        <v>0</v>
      </c>
      <c r="AP141" s="35">
        <f>Table11[[#This Row],[2024 '#Trees Inventory + Estimate]]*Table11[[#This Row],[Canada Allocation2017 %]]</f>
        <v>0</v>
      </c>
      <c r="AQ141" s="35">
        <f>Table11[[#This Row],['#Trees as of 2024/estimate-Can allocation]]+Table11[[#This Row],['#Trees as of 2024/estimate-Can allocation 2017]]</f>
        <v>0</v>
      </c>
      <c r="AR141" s="1" t="s">
        <v>152</v>
      </c>
      <c r="AS141" s="2" t="s">
        <v>355</v>
      </c>
      <c r="AT141" s="6">
        <f>IFERROR(Table11[[#This Row],['#Total Replacements]]/Table11[[#This Row],['#TreesContract]],"")</f>
        <v>0.95818181818181813</v>
      </c>
      <c r="AU141" s="4">
        <f>IF(SUM(Table11[[#This Row],['#Replace 24]:['#Replace 16]])=0,0,SUM(Table11[[#This Row],['#Replace 24]:['#Replace 16]]))</f>
        <v>1054</v>
      </c>
      <c r="AV141" s="2"/>
      <c r="AW141" s="2"/>
      <c r="AX141" s="3"/>
      <c r="AY141" s="2"/>
      <c r="AZ141" s="2">
        <v>449</v>
      </c>
      <c r="BA141" s="2">
        <v>605</v>
      </c>
      <c r="BB141" s="2"/>
      <c r="BC141" s="2"/>
      <c r="BD141" s="2"/>
      <c r="BE141" s="2"/>
      <c r="BF141" s="3">
        <v>1</v>
      </c>
      <c r="BG141" s="3">
        <v>1</v>
      </c>
      <c r="BH141" s="2"/>
      <c r="BI141" s="2"/>
      <c r="BJ141" s="2"/>
      <c r="BK141" s="139">
        <f>Table11[[#This Row],[Average MHT
(Feet)]]/16</f>
        <v>0</v>
      </c>
      <c r="BL141" s="2"/>
      <c r="BM141" s="139">
        <f>Table11[[#This Row],[Average DBH
(inches)]]/18</f>
        <v>0</v>
      </c>
      <c r="BN141" s="235">
        <f>((Table11[[#This Row],[Average DBH
(inches)]]-4)^2)*(Table11[[#This Row],[Average MHT
(Feet)]]/16)</f>
        <v>0</v>
      </c>
      <c r="BO141" s="235">
        <f>Table11[[#This Row],[Average BF]]*Table11[[#This Row],[2024 '#Trees Inventory + Estimate]]</f>
        <v>0</v>
      </c>
      <c r="BP141" s="240">
        <f>(Table11[[#This Row],[Harvest Year
(10 year)]]-Table11[[#This Row],[Year of Inventory]]+1)*(Table11[[#This Row],[Average DBH
(inches)]]/(Table11[[#This Row],[Harvest Year
(10 year)]]-Table11[[#This Row],[Year of Inventory]]+1))+Table11[[#This Row],[Average DBH
(inches)]]</f>
        <v>0</v>
      </c>
      <c r="BQ141" s="235">
        <f>((Table11[[#This Row],[Projected DBH
(Extrapolated Growth/Year)]]-4)^2)*(Table11[[#This Row],[Average MHT
(Feet)]]/16)</f>
        <v>0</v>
      </c>
      <c r="BR141" s="235">
        <f>Table11[[#This Row],[Projected Average BF]]*Table11[[#This Row],[2024 '#Trees Inventory + Estimate]]</f>
        <v>0</v>
      </c>
      <c r="BS141" s="235">
        <f>196*Table11[[#This Row],[2024 '#Trees Inventory + Estimate]]</f>
        <v>204820</v>
      </c>
      <c r="BT141" s="243">
        <f>Table11[[#This Row],[ETP Offering Expected BF]]-Table11[[#This Row],[Projected Total BF]]</f>
        <v>204820</v>
      </c>
      <c r="BU141" s="235">
        <f>(18-Table11[[#This Row],[Average DBH
(inches)]])/(D141-Table11[[#This Row],[Year of Inventory]]+1)</f>
        <v>8.8669950738916262E-3</v>
      </c>
    </row>
    <row r="142" spans="1:73" hidden="1" x14ac:dyDescent="0.25">
      <c r="A142" s="7" t="s">
        <v>776</v>
      </c>
      <c r="B142" s="2">
        <v>2020</v>
      </c>
      <c r="C142" s="2">
        <v>2020</v>
      </c>
      <c r="D142" s="2">
        <f>Table11[[#This Row],[Planting Year]]+9</f>
        <v>2029</v>
      </c>
      <c r="E142" s="97" t="s">
        <v>777</v>
      </c>
      <c r="F142" s="161">
        <v>10065</v>
      </c>
      <c r="G142" t="s">
        <v>777</v>
      </c>
      <c r="H142" s="357" t="s">
        <v>778</v>
      </c>
      <c r="I142" t="s">
        <v>155</v>
      </c>
      <c r="J142" s="1" t="s">
        <v>779</v>
      </c>
      <c r="K142" s="1" t="s">
        <v>780</v>
      </c>
      <c r="L142" s="1" t="s">
        <v>780</v>
      </c>
      <c r="M142" s="1" t="s">
        <v>150</v>
      </c>
      <c r="N142" t="s">
        <v>781</v>
      </c>
      <c r="O142">
        <v>32.019753999999999</v>
      </c>
      <c r="P142">
        <v>-83.626988999999995</v>
      </c>
      <c r="Q142" s="2"/>
      <c r="R142" s="86"/>
      <c r="S142" s="2"/>
      <c r="T142" s="1">
        <v>1090</v>
      </c>
      <c r="U142" s="1">
        <v>1090</v>
      </c>
      <c r="V142" s="1" t="str">
        <f>IF(Table11[[#This Row],['#TreesContract]]-Table11[[#This Row],['#Planted]]=0,"",Table11[[#This Row],['#TreesContract]]-Table11[[#This Row],['#Planted]])</f>
        <v/>
      </c>
      <c r="W142" s="2"/>
      <c r="X142" s="34">
        <v>1</v>
      </c>
      <c r="Y142" s="163">
        <f>Table11[[#This Row],['#TreesContract]]*Table11[[#This Row],[USA Allocation %]]</f>
        <v>1090</v>
      </c>
      <c r="Z142" s="163">
        <f>Table11[[#This Row],['#Planted]]*Table11[[#This Row],[USA Allocation %]]</f>
        <v>1090</v>
      </c>
      <c r="AA142" s="34"/>
      <c r="AB142" s="163"/>
      <c r="AC142" s="34"/>
      <c r="AD142" s="163"/>
      <c r="AE142" s="163">
        <f>Table11[[#This Row],[Canada Allocation-tree '#''s]]+Table11[[#This Row],[Can trees/Allocation 2017]]</f>
        <v>0</v>
      </c>
      <c r="AF142" s="5">
        <v>1</v>
      </c>
      <c r="AG142" s="35">
        <v>1090</v>
      </c>
      <c r="AH142" s="35">
        <f>Table11[[#This Row],['#Trees as of 12/31/23]]*Table11[[#This Row],[USA Allocation %]]</f>
        <v>1090</v>
      </c>
      <c r="AI142" s="437">
        <f>Table11[[#This Row],['#TreesContract]]*Table11[[#This Row],[2024 Inventory Survival%-master]]</f>
        <v>1043.1299999999999</v>
      </c>
      <c r="AJ142" s="436">
        <v>0.95699999999999996</v>
      </c>
      <c r="AK142" s="5">
        <v>0.96</v>
      </c>
      <c r="AL142" s="5">
        <v>0.96</v>
      </c>
      <c r="AM142" s="35">
        <v>1043</v>
      </c>
      <c r="AN142" s="35">
        <f>Table11[[#This Row],[2024 '#Trees Inventory + Estimate]]*Table11[[#This Row],[USA Allocation %]]</f>
        <v>1043</v>
      </c>
      <c r="AO142" s="35">
        <f>Table11[[#This Row],[2024 '#Trees Inventory + Estimate]]*Table11[[#This Row],[Canada Allocation %]]</f>
        <v>0</v>
      </c>
      <c r="AP142" s="35">
        <f>Table11[[#This Row],[2024 '#Trees Inventory + Estimate]]*Table11[[#This Row],[Canada Allocation2017 %]]</f>
        <v>0</v>
      </c>
      <c r="AQ142" s="35">
        <f>Table11[[#This Row],['#Trees as of 2024/estimate-Can allocation]]+Table11[[#This Row],['#Trees as of 2024/estimate-Can allocation 2017]]</f>
        <v>0</v>
      </c>
      <c r="AR142" s="1" t="s">
        <v>152</v>
      </c>
      <c r="AS142" s="2" t="s">
        <v>661</v>
      </c>
      <c r="AT142" s="6">
        <f>IFERROR(Table11[[#This Row],['#Total Replacements]]/Table11[[#This Row],['#TreesContract]],"")</f>
        <v>0.42752293577981654</v>
      </c>
      <c r="AU142" s="4">
        <f>IF(SUM(Table11[[#This Row],['#Replace 24]:['#Replace 16]])=0,0,SUM(Table11[[#This Row],['#Replace 24]:['#Replace 16]]))</f>
        <v>466</v>
      </c>
      <c r="AV142" s="2"/>
      <c r="AW142" s="2"/>
      <c r="AX142" s="3"/>
      <c r="AY142" s="2">
        <v>126</v>
      </c>
      <c r="AZ142" s="2">
        <v>130</v>
      </c>
      <c r="BA142" s="2">
        <v>210</v>
      </c>
      <c r="BB142" s="2"/>
      <c r="BC142" s="2"/>
      <c r="BD142" s="2"/>
      <c r="BE142" s="2"/>
      <c r="BF142" s="3">
        <v>1</v>
      </c>
      <c r="BG142" s="3">
        <v>1</v>
      </c>
      <c r="BH142" s="2">
        <v>2024</v>
      </c>
      <c r="BI142" s="2">
        <v>10.02</v>
      </c>
      <c r="BJ142" s="2">
        <v>5.47</v>
      </c>
      <c r="BK142" s="139">
        <f>Table11[[#This Row],[Average MHT
(Feet)]]/16</f>
        <v>0.34187499999999998</v>
      </c>
      <c r="BL142" s="2">
        <v>2</v>
      </c>
      <c r="BM142" s="139">
        <f>Table11[[#This Row],[Average DBH
(inches)]]/18</f>
        <v>0.1111111111111111</v>
      </c>
      <c r="BN142" s="235">
        <f>((Table11[[#This Row],[Average DBH
(inches)]]-4)^2)*(Table11[[#This Row],[Average MHT
(Feet)]]/16)</f>
        <v>1.3674999999999999</v>
      </c>
      <c r="BO142" s="235">
        <f>Table11[[#This Row],[Average BF]]*Table11[[#This Row],[2024 '#Trees Inventory + Estimate]]</f>
        <v>1426.3025</v>
      </c>
      <c r="BP142" s="240">
        <f>(Table11[[#This Row],[Harvest Year
(10 year)]]-Table11[[#This Row],[Year of Inventory]]+1)*(Table11[[#This Row],[Average DBH
(inches)]]/(Table11[[#This Row],[Harvest Year
(10 year)]]-Table11[[#This Row],[Year of Inventory]]+1))+Table11[[#This Row],[Average DBH
(inches)]]</f>
        <v>4</v>
      </c>
      <c r="BQ142" s="235">
        <f>((Table11[[#This Row],[Projected DBH
(Extrapolated Growth/Year)]]-4)^2)*(Table11[[#This Row],[Average MHT
(Feet)]]/16)</f>
        <v>0</v>
      </c>
      <c r="BR142" s="235">
        <f>Table11[[#This Row],[Projected Average BF]]*Table11[[#This Row],[2024 '#Trees Inventory + Estimate]]</f>
        <v>0</v>
      </c>
      <c r="BS142" s="235">
        <f>196*Table11[[#This Row],[2024 '#Trees Inventory + Estimate]]</f>
        <v>204428</v>
      </c>
      <c r="BT142" s="243">
        <f>Table11[[#This Row],[ETP Offering Expected BF]]-Table11[[#This Row],[Projected Total BF]]</f>
        <v>204428</v>
      </c>
      <c r="BU142" s="235">
        <f>(18-Table11[[#This Row],[Average DBH
(inches)]])/(D142-Table11[[#This Row],[Year of Inventory]]+1)</f>
        <v>2.6666666666666665</v>
      </c>
    </row>
    <row r="143" spans="1:73" hidden="1" x14ac:dyDescent="0.25">
      <c r="A143" s="7" t="s">
        <v>782</v>
      </c>
      <c r="B143" s="2">
        <v>2020</v>
      </c>
      <c r="C143" s="2">
        <v>2020</v>
      </c>
      <c r="D143" s="2">
        <f>Table11[[#This Row],[Planting Year]]+9</f>
        <v>2029</v>
      </c>
      <c r="E143" s="97" t="s">
        <v>783</v>
      </c>
      <c r="F143" s="161">
        <v>10066</v>
      </c>
      <c r="G143" t="s">
        <v>783</v>
      </c>
      <c r="H143" s="357" t="s">
        <v>784</v>
      </c>
      <c r="I143" t="s">
        <v>155</v>
      </c>
      <c r="J143" s="1" t="s">
        <v>785</v>
      </c>
      <c r="K143" s="1" t="s">
        <v>786</v>
      </c>
      <c r="L143" s="1" t="s">
        <v>786</v>
      </c>
      <c r="M143" s="1" t="s">
        <v>150</v>
      </c>
      <c r="N143" t="s">
        <v>787</v>
      </c>
      <c r="O143">
        <v>33.148288999999998</v>
      </c>
      <c r="P143">
        <v>-85.301666999999995</v>
      </c>
      <c r="Q143" s="2"/>
      <c r="R143" s="86"/>
      <c r="S143" s="2"/>
      <c r="T143" s="1">
        <v>750</v>
      </c>
      <c r="U143" s="1">
        <v>750</v>
      </c>
      <c r="V143" s="1" t="str">
        <f>IF(Table11[[#This Row],['#TreesContract]]-Table11[[#This Row],['#Planted]]=0,"",Table11[[#This Row],['#TreesContract]]-Table11[[#This Row],['#Planted]])</f>
        <v/>
      </c>
      <c r="W143" s="2"/>
      <c r="X143" s="34">
        <v>1</v>
      </c>
      <c r="Y143" s="163">
        <f>Table11[[#This Row],['#TreesContract]]*Table11[[#This Row],[USA Allocation %]]</f>
        <v>750</v>
      </c>
      <c r="Z143" s="163">
        <f>Table11[[#This Row],['#Planted]]*Table11[[#This Row],[USA Allocation %]]</f>
        <v>750</v>
      </c>
      <c r="AA143" s="34"/>
      <c r="AB143" s="163"/>
      <c r="AC143" s="34"/>
      <c r="AD143" s="163"/>
      <c r="AE143" s="163">
        <f>Table11[[#This Row],[Canada Allocation-tree '#''s]]+Table11[[#This Row],[Can trees/Allocation 2017]]</f>
        <v>0</v>
      </c>
      <c r="AF143" s="5">
        <v>0.96499999999999997</v>
      </c>
      <c r="AG143" s="35">
        <v>723.75</v>
      </c>
      <c r="AH143" s="35">
        <f>Table11[[#This Row],['#Trees as of 12/31/23]]*Table11[[#This Row],[USA Allocation %]]</f>
        <v>723.75</v>
      </c>
      <c r="AI143" s="437">
        <f>Table11[[#This Row],['#TreesContract]]*Table11[[#This Row],[2024 Inventory Survival%-master]]</f>
        <v>0</v>
      </c>
      <c r="AJ143" s="436"/>
      <c r="AK143" s="5">
        <v>0.97</v>
      </c>
      <c r="AL143" s="5">
        <v>0.96499999999999997</v>
      </c>
      <c r="AM143" s="35">
        <v>723.75</v>
      </c>
      <c r="AN143" s="35">
        <f>Table11[[#This Row],[2024 '#Trees Inventory + Estimate]]*Table11[[#This Row],[USA Allocation %]]</f>
        <v>723.75</v>
      </c>
      <c r="AO143" s="35">
        <f>Table11[[#This Row],[2024 '#Trees Inventory + Estimate]]*Table11[[#This Row],[Canada Allocation %]]</f>
        <v>0</v>
      </c>
      <c r="AP143" s="35">
        <f>Table11[[#This Row],[2024 '#Trees Inventory + Estimate]]*Table11[[#This Row],[Canada Allocation2017 %]]</f>
        <v>0</v>
      </c>
      <c r="AQ143" s="35">
        <f>Table11[[#This Row],['#Trees as of 2024/estimate-Can allocation]]+Table11[[#This Row],['#Trees as of 2024/estimate-Can allocation 2017]]</f>
        <v>0</v>
      </c>
      <c r="AR143" s="1" t="s">
        <v>152</v>
      </c>
      <c r="AS143" s="2" t="s">
        <v>181</v>
      </c>
      <c r="AT143" s="6">
        <f>IFERROR(Table11[[#This Row],['#Total Replacements]]/Table11[[#This Row],['#TreesContract]],"")</f>
        <v>0.81333333333333335</v>
      </c>
      <c r="AU143" s="4">
        <f>IF(SUM(Table11[[#This Row],['#Replace 24]:['#Replace 16]])=0,0,SUM(Table11[[#This Row],['#Replace 24]:['#Replace 16]]))</f>
        <v>610</v>
      </c>
      <c r="AV143" s="2"/>
      <c r="AW143" s="2"/>
      <c r="AX143" s="3">
        <v>100</v>
      </c>
      <c r="AY143" s="2">
        <v>105</v>
      </c>
      <c r="AZ143" s="2">
        <v>300</v>
      </c>
      <c r="BA143" s="2">
        <v>105</v>
      </c>
      <c r="BB143" s="2"/>
      <c r="BC143" s="2"/>
      <c r="BD143" s="2"/>
      <c r="BE143" s="2"/>
      <c r="BF143" s="3">
        <v>1</v>
      </c>
      <c r="BG143" s="3">
        <v>1</v>
      </c>
      <c r="BH143" s="2"/>
      <c r="BI143" s="2"/>
      <c r="BJ143" s="2"/>
      <c r="BK143" s="139">
        <f>Table11[[#This Row],[Average MHT
(Feet)]]/16</f>
        <v>0</v>
      </c>
      <c r="BL143" s="2"/>
      <c r="BM143" s="139">
        <f>Table11[[#This Row],[Average DBH
(inches)]]/18</f>
        <v>0</v>
      </c>
      <c r="BN143" s="235">
        <f>((Table11[[#This Row],[Average DBH
(inches)]]-4)^2)*(Table11[[#This Row],[Average MHT
(Feet)]]/16)</f>
        <v>0</v>
      </c>
      <c r="BO143" s="235">
        <f>Table11[[#This Row],[Average BF]]*Table11[[#This Row],[2024 '#Trees Inventory + Estimate]]</f>
        <v>0</v>
      </c>
      <c r="BP143" s="240">
        <f>(Table11[[#This Row],[Harvest Year
(10 year)]]-Table11[[#This Row],[Year of Inventory]]+1)*(Table11[[#This Row],[Average DBH
(inches)]]/(Table11[[#This Row],[Harvest Year
(10 year)]]-Table11[[#This Row],[Year of Inventory]]+1))+Table11[[#This Row],[Average DBH
(inches)]]</f>
        <v>0</v>
      </c>
      <c r="BQ143" s="235">
        <f>((Table11[[#This Row],[Projected DBH
(Extrapolated Growth/Year)]]-4)^2)*(Table11[[#This Row],[Average MHT
(Feet)]]/16)</f>
        <v>0</v>
      </c>
      <c r="BR143" s="235">
        <f>Table11[[#This Row],[Projected Average BF]]*Table11[[#This Row],[2024 '#Trees Inventory + Estimate]]</f>
        <v>0</v>
      </c>
      <c r="BS143" s="235">
        <f>196*Table11[[#This Row],[2024 '#Trees Inventory + Estimate]]</f>
        <v>141855</v>
      </c>
      <c r="BT143" s="243">
        <f>Table11[[#This Row],[ETP Offering Expected BF]]-Table11[[#This Row],[Projected Total BF]]</f>
        <v>141855</v>
      </c>
      <c r="BU143" s="235">
        <f>(18-Table11[[#This Row],[Average DBH
(inches)]])/(D143-Table11[[#This Row],[Year of Inventory]]+1)</f>
        <v>8.8669950738916262E-3</v>
      </c>
    </row>
    <row r="144" spans="1:73" hidden="1" x14ac:dyDescent="0.25">
      <c r="A144" s="7" t="s">
        <v>788</v>
      </c>
      <c r="B144" s="2">
        <v>2020</v>
      </c>
      <c r="C144" s="2">
        <v>2020</v>
      </c>
      <c r="D144" s="2">
        <f>Table11[[#This Row],[Planting Year]]+9</f>
        <v>2029</v>
      </c>
      <c r="E144" s="97" t="s">
        <v>789</v>
      </c>
      <c r="F144" s="161">
        <v>10067</v>
      </c>
      <c r="G144" t="s">
        <v>790</v>
      </c>
      <c r="H144" s="357" t="s">
        <v>791</v>
      </c>
      <c r="I144" t="s">
        <v>155</v>
      </c>
      <c r="J144" s="1" t="s">
        <v>792</v>
      </c>
      <c r="K144" s="1" t="s">
        <v>793</v>
      </c>
      <c r="L144" s="1" t="s">
        <v>793</v>
      </c>
      <c r="M144" s="1" t="s">
        <v>150</v>
      </c>
      <c r="N144" t="s">
        <v>794</v>
      </c>
      <c r="O144">
        <v>33.218412999999998</v>
      </c>
      <c r="P144">
        <v>-83.932812999999996</v>
      </c>
      <c r="Q144" s="2"/>
      <c r="R144" s="86"/>
      <c r="S144" s="2"/>
      <c r="T144" s="1">
        <v>2200</v>
      </c>
      <c r="U144" s="1">
        <v>2200</v>
      </c>
      <c r="V144" s="1" t="str">
        <f>IF(Table11[[#This Row],['#TreesContract]]-Table11[[#This Row],['#Planted]]=0,"",Table11[[#This Row],['#TreesContract]]-Table11[[#This Row],['#Planted]])</f>
        <v/>
      </c>
      <c r="W144" s="2"/>
      <c r="X144" s="34">
        <v>1</v>
      </c>
      <c r="Y144" s="163">
        <f>Table11[[#This Row],['#TreesContract]]*Table11[[#This Row],[USA Allocation %]]</f>
        <v>2200</v>
      </c>
      <c r="Z144" s="163">
        <f>Table11[[#This Row],['#Planted]]*Table11[[#This Row],[USA Allocation %]]</f>
        <v>2200</v>
      </c>
      <c r="AA144" s="34"/>
      <c r="AB144" s="163"/>
      <c r="AC144" s="34"/>
      <c r="AD144" s="163"/>
      <c r="AE144" s="163">
        <f>Table11[[#This Row],[Canada Allocation-tree '#''s]]+Table11[[#This Row],[Can trees/Allocation 2017]]</f>
        <v>0</v>
      </c>
      <c r="AF144" s="5">
        <v>1</v>
      </c>
      <c r="AG144" s="35">
        <v>2200</v>
      </c>
      <c r="AH144" s="35">
        <f>Table11[[#This Row],['#Trees as of 12/31/23]]*Table11[[#This Row],[USA Allocation %]]</f>
        <v>2200</v>
      </c>
      <c r="AI144" s="437">
        <f>Table11[[#This Row],['#TreesContract]]*Table11[[#This Row],[2024 Inventory Survival%-master]]</f>
        <v>1718.2</v>
      </c>
      <c r="AJ144" s="436">
        <v>0.78100000000000003</v>
      </c>
      <c r="AK144" s="5">
        <v>0.78</v>
      </c>
      <c r="AL144" s="5">
        <v>0.78</v>
      </c>
      <c r="AM144" s="35">
        <v>1718</v>
      </c>
      <c r="AN144" s="35">
        <f>Table11[[#This Row],[2024 '#Trees Inventory + Estimate]]*Table11[[#This Row],[USA Allocation %]]</f>
        <v>1718</v>
      </c>
      <c r="AO144" s="35">
        <f>Table11[[#This Row],[2024 '#Trees Inventory + Estimate]]*Table11[[#This Row],[Canada Allocation %]]</f>
        <v>0</v>
      </c>
      <c r="AP144" s="35">
        <f>Table11[[#This Row],[2024 '#Trees Inventory + Estimate]]*Table11[[#This Row],[Canada Allocation2017 %]]</f>
        <v>0</v>
      </c>
      <c r="AQ144" s="35">
        <f>Table11[[#This Row],['#Trees as of 2024/estimate-Can allocation]]+Table11[[#This Row],['#Trees as of 2024/estimate-Can allocation 2017]]</f>
        <v>0</v>
      </c>
      <c r="AR144" s="1" t="s">
        <v>152</v>
      </c>
      <c r="AS144" s="2" t="s">
        <v>795</v>
      </c>
      <c r="AT144" s="6">
        <f>IFERROR(Table11[[#This Row],['#Total Replacements]]/Table11[[#This Row],['#TreesContract]],"")</f>
        <v>0.38681818181818184</v>
      </c>
      <c r="AU144" s="4">
        <f>IF(SUM(Table11[[#This Row],['#Replace 24]:['#Replace 16]])=0,0,SUM(Table11[[#This Row],['#Replace 24]:['#Replace 16]]))</f>
        <v>851</v>
      </c>
      <c r="AV144" s="2"/>
      <c r="AW144" s="2"/>
      <c r="AX144" s="3"/>
      <c r="AY144" s="2">
        <v>600</v>
      </c>
      <c r="AZ144" s="2">
        <v>251</v>
      </c>
      <c r="BA144" s="2"/>
      <c r="BB144" s="2"/>
      <c r="BC144" s="2"/>
      <c r="BD144" s="2"/>
      <c r="BE144" s="2"/>
      <c r="BF144" s="3">
        <v>1</v>
      </c>
      <c r="BG144" s="3">
        <v>1</v>
      </c>
      <c r="BH144" s="2">
        <v>2024</v>
      </c>
      <c r="BI144" s="2">
        <v>4.1900000000000004</v>
      </c>
      <c r="BJ144" s="2">
        <v>1.56</v>
      </c>
      <c r="BK144" s="139">
        <f>Table11[[#This Row],[Average MHT
(Feet)]]/16</f>
        <v>9.7500000000000003E-2</v>
      </c>
      <c r="BL144" s="2">
        <v>0.51</v>
      </c>
      <c r="BM144" s="139">
        <f>Table11[[#This Row],[Average DBH
(inches)]]/18</f>
        <v>2.8333333333333335E-2</v>
      </c>
      <c r="BN144" s="235">
        <f>((Table11[[#This Row],[Average DBH
(inches)]]-4)^2)*(Table11[[#This Row],[Average MHT
(Feet)]]/16)</f>
        <v>1.1875597500000001</v>
      </c>
      <c r="BO144" s="235">
        <f>Table11[[#This Row],[Average BF]]*Table11[[#This Row],[2024 '#Trees Inventory + Estimate]]</f>
        <v>2040.2276505000002</v>
      </c>
      <c r="BP144" s="240">
        <f>(Table11[[#This Row],[Harvest Year
(10 year)]]-Table11[[#This Row],[Year of Inventory]]+1)*(Table11[[#This Row],[Average DBH
(inches)]]/(Table11[[#This Row],[Harvest Year
(10 year)]]-Table11[[#This Row],[Year of Inventory]]+1))+Table11[[#This Row],[Average DBH
(inches)]]</f>
        <v>1.02</v>
      </c>
      <c r="BQ144" s="235">
        <f>((Table11[[#This Row],[Projected DBH
(Extrapolated Growth/Year)]]-4)^2)*(Table11[[#This Row],[Average MHT
(Feet)]]/16)</f>
        <v>0.86583900000000003</v>
      </c>
      <c r="BR144" s="235">
        <f>Table11[[#This Row],[Projected Average BF]]*Table11[[#This Row],[2024 '#Trees Inventory + Estimate]]</f>
        <v>1487.5114020000001</v>
      </c>
      <c r="BS144" s="235">
        <f>196*Table11[[#This Row],[2024 '#Trees Inventory + Estimate]]</f>
        <v>336728</v>
      </c>
      <c r="BT144" s="243">
        <f>Table11[[#This Row],[ETP Offering Expected BF]]-Table11[[#This Row],[Projected Total BF]]</f>
        <v>335240.48859800003</v>
      </c>
      <c r="BU144" s="235">
        <f>(18-Table11[[#This Row],[Average DBH
(inches)]])/(D144-Table11[[#This Row],[Year of Inventory]]+1)</f>
        <v>2.9149999999999996</v>
      </c>
    </row>
    <row r="145" spans="1:73" hidden="1" x14ac:dyDescent="0.25">
      <c r="A145" s="7" t="s">
        <v>796</v>
      </c>
      <c r="B145" s="2">
        <v>2020</v>
      </c>
      <c r="C145" s="2">
        <v>2020</v>
      </c>
      <c r="D145" s="2">
        <f>Table11[[#This Row],[Planting Year]]+9</f>
        <v>2029</v>
      </c>
      <c r="E145" s="97" t="s">
        <v>797</v>
      </c>
      <c r="F145" s="161">
        <v>10068</v>
      </c>
      <c r="G145" t="s">
        <v>797</v>
      </c>
      <c r="H145" s="357" t="s">
        <v>798</v>
      </c>
      <c r="I145" t="s">
        <v>147</v>
      </c>
      <c r="J145" s="1" t="s">
        <v>799</v>
      </c>
      <c r="K145" s="1" t="s">
        <v>800</v>
      </c>
      <c r="L145" s="1" t="s">
        <v>800</v>
      </c>
      <c r="M145" s="1" t="s">
        <v>150</v>
      </c>
      <c r="N145" t="s">
        <v>801</v>
      </c>
      <c r="O145">
        <v>32.617043000000002</v>
      </c>
      <c r="P145">
        <v>-86.203638999999995</v>
      </c>
      <c r="Q145" s="2"/>
      <c r="R145" s="86"/>
      <c r="S145" s="2"/>
      <c r="T145" s="1">
        <v>1100</v>
      </c>
      <c r="U145" s="1">
        <v>1100</v>
      </c>
      <c r="V145" s="1" t="str">
        <f>IF(Table11[[#This Row],['#TreesContract]]-Table11[[#This Row],['#Planted]]=0,"",Table11[[#This Row],['#TreesContract]]-Table11[[#This Row],['#Planted]])</f>
        <v/>
      </c>
      <c r="W145" s="2"/>
      <c r="X145" s="34">
        <v>1</v>
      </c>
      <c r="Y145" s="163">
        <f>Table11[[#This Row],['#TreesContract]]*Table11[[#This Row],[USA Allocation %]]</f>
        <v>1100</v>
      </c>
      <c r="Z145" s="163">
        <f>Table11[[#This Row],['#Planted]]*Table11[[#This Row],[USA Allocation %]]</f>
        <v>1100</v>
      </c>
      <c r="AA145" s="34"/>
      <c r="AB145" s="163"/>
      <c r="AC145" s="34"/>
      <c r="AD145" s="163"/>
      <c r="AE145" s="163">
        <f>Table11[[#This Row],[Canada Allocation-tree '#''s]]+Table11[[#This Row],[Can trees/Allocation 2017]]</f>
        <v>0</v>
      </c>
      <c r="AF145" s="5">
        <v>0.95</v>
      </c>
      <c r="AG145" s="35">
        <v>1045</v>
      </c>
      <c r="AH145" s="35">
        <f>Table11[[#This Row],['#Trees as of 12/31/23]]*Table11[[#This Row],[USA Allocation %]]</f>
        <v>1045</v>
      </c>
      <c r="AI145" s="404">
        <f>Table11[[#This Row],['#TreesContract]]*Table11[[#This Row],[2024 Inventory Survival%-master]]</f>
        <v>790.9</v>
      </c>
      <c r="AJ145" s="5">
        <v>0.71899999999999997</v>
      </c>
      <c r="AK145" s="5">
        <v>0.72</v>
      </c>
      <c r="AL145" s="5">
        <v>0</v>
      </c>
      <c r="AM145" s="35">
        <f>AK145*Table11[[#This Row],['#TreesContract]]</f>
        <v>792</v>
      </c>
      <c r="AN145" s="35">
        <f>Table11[[#This Row],[2024 '#Trees Inventory + Estimate]]*Table11[[#This Row],[USA Allocation %]]</f>
        <v>792</v>
      </c>
      <c r="AO145" s="35">
        <f>Table11[[#This Row],[2024 '#Trees Inventory + Estimate]]*Table11[[#This Row],[Canada Allocation %]]</f>
        <v>0</v>
      </c>
      <c r="AP145" s="35">
        <f>Table11[[#This Row],[2024 '#Trees Inventory + Estimate]]*Table11[[#This Row],[Canada Allocation2017 %]]</f>
        <v>0</v>
      </c>
      <c r="AQ145" s="35">
        <f>Table11[[#This Row],['#Trees as of 2024/estimate-Can allocation]]+Table11[[#This Row],['#Trees as of 2024/estimate-Can allocation 2017]]</f>
        <v>0</v>
      </c>
      <c r="AR145" s="1" t="s">
        <v>152</v>
      </c>
      <c r="AS145" s="2">
        <v>12</v>
      </c>
      <c r="AT145" s="6">
        <f>IFERROR(Table11[[#This Row],['#Total Replacements]]/Table11[[#This Row],['#TreesContract]],"")</f>
        <v>0.5</v>
      </c>
      <c r="AU145" s="4">
        <f>IF(SUM(Table11[[#This Row],['#Replace 24]:['#Replace 16]])=0,0,SUM(Table11[[#This Row],['#Replace 24]:['#Replace 16]]))</f>
        <v>550</v>
      </c>
      <c r="AV145" s="2"/>
      <c r="AW145" s="2"/>
      <c r="AX145" s="3"/>
      <c r="AY145" s="2"/>
      <c r="AZ145" s="2">
        <v>64</v>
      </c>
      <c r="BA145" s="2">
        <v>486</v>
      </c>
      <c r="BB145" s="2"/>
      <c r="BC145" s="2"/>
      <c r="BD145" s="2"/>
      <c r="BE145" s="2"/>
      <c r="BF145" s="3">
        <v>1</v>
      </c>
      <c r="BG145" s="3">
        <v>1</v>
      </c>
      <c r="BH145" s="2">
        <v>2024</v>
      </c>
      <c r="BI145" s="158">
        <v>7.01</v>
      </c>
      <c r="BJ145" s="158">
        <v>1.3</v>
      </c>
      <c r="BK145" s="139">
        <f>Table11[[#This Row],[Average MHT
(Feet)]]/16</f>
        <v>8.1250000000000003E-2</v>
      </c>
      <c r="BL145" s="2">
        <v>1.06</v>
      </c>
      <c r="BM145" s="139">
        <f>Table11[[#This Row],[Average DBH
(inches)]]/18</f>
        <v>5.8888888888888893E-2</v>
      </c>
      <c r="BN145" s="235">
        <f>((Table11[[#This Row],[Average DBH
(inches)]]-4)^2)*(Table11[[#This Row],[Average MHT
(Feet)]]/16)</f>
        <v>0.70229249999999999</v>
      </c>
      <c r="BO145" s="235">
        <f>Table11[[#This Row],[Average BF]]*Table11[[#This Row],[2024 '#Trees Inventory + Estimate]]</f>
        <v>556.21565999999996</v>
      </c>
      <c r="BP145" s="240">
        <f>(Table11[[#This Row],[Harvest Year
(10 year)]]-Table11[[#This Row],[Year of Inventory]]+1)*(Table11[[#This Row],[Average DBH
(inches)]]/(Table11[[#This Row],[Harvest Year
(10 year)]]-Table11[[#This Row],[Year of Inventory]]+1))+Table11[[#This Row],[Average DBH
(inches)]]</f>
        <v>2.12</v>
      </c>
      <c r="BQ145" s="235">
        <f>((Table11[[#This Row],[Projected DBH
(Extrapolated Growth/Year)]]-4)^2)*(Table11[[#This Row],[Average MHT
(Feet)]]/16)</f>
        <v>0.28716999999999998</v>
      </c>
      <c r="BR145" s="235">
        <f>Table11[[#This Row],[Projected Average BF]]*Table11[[#This Row],[2024 '#Trees Inventory + Estimate]]</f>
        <v>227.43863999999999</v>
      </c>
      <c r="BS145" s="235">
        <f>196*Table11[[#This Row],[2024 '#Trees Inventory + Estimate]]</f>
        <v>155232</v>
      </c>
      <c r="BT145" s="235">
        <f>Table11[[#This Row],[ETP Offering Expected BF]]-Table11[[#This Row],[Projected Total BF]]</f>
        <v>155004.56135999999</v>
      </c>
      <c r="BU145" s="235">
        <f>(18-Table11[[#This Row],[Average DBH
(inches)]])/(D145-Table11[[#This Row],[Year of Inventory]]+1)</f>
        <v>2.8233333333333337</v>
      </c>
    </row>
    <row r="146" spans="1:73" hidden="1" x14ac:dyDescent="0.25">
      <c r="A146" s="7" t="s">
        <v>802</v>
      </c>
      <c r="B146" s="2">
        <v>2020</v>
      </c>
      <c r="C146" s="2">
        <v>2020</v>
      </c>
      <c r="D146" s="2">
        <f>Table11[[#This Row],[Planting Year]]+9</f>
        <v>2029</v>
      </c>
      <c r="E146" s="97" t="s">
        <v>803</v>
      </c>
      <c r="F146" s="161">
        <v>10069</v>
      </c>
      <c r="G146" t="s">
        <v>803</v>
      </c>
      <c r="H146" s="357" t="s">
        <v>804</v>
      </c>
      <c r="I146" t="s">
        <v>155</v>
      </c>
      <c r="J146" s="1" t="s">
        <v>805</v>
      </c>
      <c r="K146" s="1" t="s">
        <v>806</v>
      </c>
      <c r="L146" s="1" t="s">
        <v>806</v>
      </c>
      <c r="M146" s="1" t="s">
        <v>150</v>
      </c>
      <c r="N146" t="s">
        <v>807</v>
      </c>
      <c r="O146">
        <v>40.450868999999997</v>
      </c>
      <c r="P146">
        <v>-121.87738</v>
      </c>
      <c r="Q146" s="2"/>
      <c r="R146" s="86"/>
      <c r="S146" s="2"/>
      <c r="T146" s="1">
        <v>2130</v>
      </c>
      <c r="U146" s="1">
        <v>2130</v>
      </c>
      <c r="V146" s="1" t="str">
        <f>IF(Table11[[#This Row],['#TreesContract]]-Table11[[#This Row],['#Planted]]=0,"",Table11[[#This Row],['#TreesContract]]-Table11[[#This Row],['#Planted]])</f>
        <v/>
      </c>
      <c r="W146" s="2"/>
      <c r="X146" s="34">
        <v>1</v>
      </c>
      <c r="Y146" s="163">
        <f>Table11[[#This Row],['#TreesContract]]*Table11[[#This Row],[USA Allocation %]]</f>
        <v>2130</v>
      </c>
      <c r="Z146" s="163">
        <f>Table11[[#This Row],['#Planted]]*Table11[[#This Row],[USA Allocation %]]</f>
        <v>2130</v>
      </c>
      <c r="AA146" s="34"/>
      <c r="AB146" s="163"/>
      <c r="AC146" s="34"/>
      <c r="AD146" s="163"/>
      <c r="AE146" s="163">
        <f>Table11[[#This Row],[Canada Allocation-tree '#''s]]+Table11[[#This Row],[Can trees/Allocation 2017]]</f>
        <v>0</v>
      </c>
      <c r="AF146" s="5">
        <v>1</v>
      </c>
      <c r="AG146" s="35">
        <v>2130</v>
      </c>
      <c r="AH146" s="35">
        <f>Table11[[#This Row],['#Trees as of 12/31/23]]*Table11[[#This Row],[USA Allocation %]]</f>
        <v>2130</v>
      </c>
      <c r="AI146" s="437">
        <f>Table11[[#This Row],['#TreesContract]]*Table11[[#This Row],[2024 Inventory Survival%-master]]</f>
        <v>0</v>
      </c>
      <c r="AJ146" s="436"/>
      <c r="AK146" s="5">
        <v>1</v>
      </c>
      <c r="AL146" s="5">
        <v>1</v>
      </c>
      <c r="AM146" s="35">
        <v>2130</v>
      </c>
      <c r="AN146" s="35">
        <f>Table11[[#This Row],[2024 '#Trees Inventory + Estimate]]*Table11[[#This Row],[USA Allocation %]]</f>
        <v>2130</v>
      </c>
      <c r="AO146" s="35">
        <f>Table11[[#This Row],[2024 '#Trees Inventory + Estimate]]*Table11[[#This Row],[Canada Allocation %]]</f>
        <v>0</v>
      </c>
      <c r="AP146" s="35">
        <f>Table11[[#This Row],[2024 '#Trees Inventory + Estimate]]*Table11[[#This Row],[Canada Allocation2017 %]]</f>
        <v>0</v>
      </c>
      <c r="AQ146" s="35">
        <f>Table11[[#This Row],['#Trees as of 2024/estimate-Can allocation]]+Table11[[#This Row],['#Trees as of 2024/estimate-Can allocation 2017]]</f>
        <v>0</v>
      </c>
      <c r="AR146" s="1" t="s">
        <v>152</v>
      </c>
      <c r="AS146" s="2" t="s">
        <v>808</v>
      </c>
      <c r="AT146" s="6">
        <f>IFERROR(Table11[[#This Row],['#Total Replacements]]/Table11[[#This Row],['#TreesContract]],"")</f>
        <v>0.77230046948356812</v>
      </c>
      <c r="AU146" s="4">
        <f>IF(SUM(Table11[[#This Row],['#Replace 24]:['#Replace 16]])=0,0,SUM(Table11[[#This Row],['#Replace 24]:['#Replace 16]]))</f>
        <v>1645</v>
      </c>
      <c r="AV146" s="2"/>
      <c r="AW146" s="2"/>
      <c r="AX146" s="3">
        <v>300</v>
      </c>
      <c r="AY146" s="2">
        <v>70</v>
      </c>
      <c r="AZ146" s="2">
        <v>1275</v>
      </c>
      <c r="BA146" s="2"/>
      <c r="BB146" s="2"/>
      <c r="BC146" s="2"/>
      <c r="BD146" s="2"/>
      <c r="BE146" s="2"/>
      <c r="BF146" s="3">
        <v>1</v>
      </c>
      <c r="BG146" s="3">
        <v>1</v>
      </c>
      <c r="BH146" s="2"/>
      <c r="BI146" s="2"/>
      <c r="BJ146" s="2"/>
      <c r="BK146" s="139">
        <f>Table11[[#This Row],[Average MHT
(Feet)]]/16</f>
        <v>0</v>
      </c>
      <c r="BL146" s="2"/>
      <c r="BM146" s="139">
        <f>Table11[[#This Row],[Average DBH
(inches)]]/18</f>
        <v>0</v>
      </c>
      <c r="BN146" s="235">
        <f>((Table11[[#This Row],[Average DBH
(inches)]]-4)^2)*(Table11[[#This Row],[Average MHT
(Feet)]]/16)</f>
        <v>0</v>
      </c>
      <c r="BO146" s="235">
        <f>Table11[[#This Row],[Average BF]]*Table11[[#This Row],[2024 '#Trees Inventory + Estimate]]</f>
        <v>0</v>
      </c>
      <c r="BP146" s="240">
        <f>(Table11[[#This Row],[Harvest Year
(10 year)]]-Table11[[#This Row],[Year of Inventory]]+1)*(Table11[[#This Row],[Average DBH
(inches)]]/(Table11[[#This Row],[Harvest Year
(10 year)]]-Table11[[#This Row],[Year of Inventory]]+1))+Table11[[#This Row],[Average DBH
(inches)]]</f>
        <v>0</v>
      </c>
      <c r="BQ146" s="235">
        <f>((Table11[[#This Row],[Projected DBH
(Extrapolated Growth/Year)]]-4)^2)*(Table11[[#This Row],[Average MHT
(Feet)]]/16)</f>
        <v>0</v>
      </c>
      <c r="BR146" s="235">
        <f>Table11[[#This Row],[Projected Average BF]]*Table11[[#This Row],[2024 '#Trees Inventory + Estimate]]</f>
        <v>0</v>
      </c>
      <c r="BS146" s="235">
        <f>196*Table11[[#This Row],[2024 '#Trees Inventory + Estimate]]</f>
        <v>417480</v>
      </c>
      <c r="BT146" s="243">
        <f>Table11[[#This Row],[ETP Offering Expected BF]]-Table11[[#This Row],[Projected Total BF]]</f>
        <v>417480</v>
      </c>
      <c r="BU146" s="235">
        <f>(18-Table11[[#This Row],[Average DBH
(inches)]])/(D146-Table11[[#This Row],[Year of Inventory]]+1)</f>
        <v>8.8669950738916262E-3</v>
      </c>
    </row>
    <row r="147" spans="1:73" hidden="1" x14ac:dyDescent="0.25">
      <c r="A147" s="7" t="s">
        <v>809</v>
      </c>
      <c r="B147" s="2">
        <v>2020</v>
      </c>
      <c r="C147" s="2">
        <v>2020</v>
      </c>
      <c r="D147" s="2">
        <f>Table11[[#This Row],[Planting Year]]+9</f>
        <v>2029</v>
      </c>
      <c r="E147" s="97" t="s">
        <v>810</v>
      </c>
      <c r="F147" s="161">
        <v>10070</v>
      </c>
      <c r="G147" t="s">
        <v>810</v>
      </c>
      <c r="H147" s="357" t="s">
        <v>811</v>
      </c>
      <c r="I147" t="s">
        <v>155</v>
      </c>
      <c r="J147" s="1" t="s">
        <v>812</v>
      </c>
      <c r="K147" s="1" t="s">
        <v>813</v>
      </c>
      <c r="L147" s="1" t="s">
        <v>813</v>
      </c>
      <c r="M147" s="1" t="s">
        <v>150</v>
      </c>
      <c r="N147" t="s">
        <v>814</v>
      </c>
      <c r="O147">
        <v>31.452362000000001</v>
      </c>
      <c r="P147">
        <v>-86.213403</v>
      </c>
      <c r="Q147" s="2"/>
      <c r="R147" s="86"/>
      <c r="S147" s="2"/>
      <c r="T147" s="1">
        <v>5300</v>
      </c>
      <c r="U147" s="1">
        <v>5300</v>
      </c>
      <c r="V147" s="1" t="str">
        <f>IF(Table11[[#This Row],['#TreesContract]]-Table11[[#This Row],['#Planted]]=0,"",Table11[[#This Row],['#TreesContract]]-Table11[[#This Row],['#Planted]])</f>
        <v/>
      </c>
      <c r="W147" s="2"/>
      <c r="X147" s="34">
        <v>1</v>
      </c>
      <c r="Y147" s="163">
        <f>Table11[[#This Row],['#TreesContract]]*Table11[[#This Row],[USA Allocation %]]</f>
        <v>5300</v>
      </c>
      <c r="Z147" s="163">
        <f>Table11[[#This Row],['#Planted]]*Table11[[#This Row],[USA Allocation %]]</f>
        <v>5300</v>
      </c>
      <c r="AA147" s="34"/>
      <c r="AB147" s="163"/>
      <c r="AC147" s="34"/>
      <c r="AD147" s="163"/>
      <c r="AE147" s="163">
        <f>Table11[[#This Row],[Canada Allocation-tree '#''s]]+Table11[[#This Row],[Can trees/Allocation 2017]]</f>
        <v>0</v>
      </c>
      <c r="AF147" s="5">
        <v>1</v>
      </c>
      <c r="AG147" s="35">
        <v>5300</v>
      </c>
      <c r="AH147" s="35">
        <f>Table11[[#This Row],['#Trees as of 12/31/23]]*Table11[[#This Row],[USA Allocation %]]</f>
        <v>5300</v>
      </c>
      <c r="AI147" s="437">
        <f>Table11[[#This Row],['#TreesContract]]*Table11[[#This Row],[2024 Inventory Survival%-master]]</f>
        <v>0</v>
      </c>
      <c r="AJ147" s="436"/>
      <c r="AK147" s="5">
        <v>1</v>
      </c>
      <c r="AL147" s="5">
        <v>1</v>
      </c>
      <c r="AM147" s="35">
        <v>5300</v>
      </c>
      <c r="AN147" s="35">
        <f>Table11[[#This Row],[2024 '#Trees Inventory + Estimate]]*Table11[[#This Row],[USA Allocation %]]</f>
        <v>5300</v>
      </c>
      <c r="AO147" s="35">
        <f>Table11[[#This Row],[2024 '#Trees Inventory + Estimate]]*Table11[[#This Row],[Canada Allocation %]]</f>
        <v>0</v>
      </c>
      <c r="AP147" s="35">
        <f>Table11[[#This Row],[2024 '#Trees Inventory + Estimate]]*Table11[[#This Row],[Canada Allocation2017 %]]</f>
        <v>0</v>
      </c>
      <c r="AQ147" s="35">
        <f>Table11[[#This Row],['#Trees as of 2024/estimate-Can allocation]]+Table11[[#This Row],['#Trees as of 2024/estimate-Can allocation 2017]]</f>
        <v>0</v>
      </c>
      <c r="AR147" s="1" t="s">
        <v>152</v>
      </c>
      <c r="AS147" s="2" t="s">
        <v>815</v>
      </c>
      <c r="AT147" s="6">
        <f>IFERROR(Table11[[#This Row],['#Total Replacements]]/Table11[[#This Row],['#TreesContract]],"")</f>
        <v>1.0916981132075472</v>
      </c>
      <c r="AU147" s="4">
        <f>IF(SUM(Table11[[#This Row],['#Replace 24]:['#Replace 16]])=0,0,SUM(Table11[[#This Row],['#Replace 24]:['#Replace 16]]))</f>
        <v>5786</v>
      </c>
      <c r="AV147" s="2"/>
      <c r="AW147" s="2"/>
      <c r="AX147" s="3"/>
      <c r="AY147" s="2">
        <v>1449</v>
      </c>
      <c r="AZ147" s="2">
        <v>4337</v>
      </c>
      <c r="BA147" s="2"/>
      <c r="BB147" s="2"/>
      <c r="BC147" s="2"/>
      <c r="BD147" s="2"/>
      <c r="BE147" s="2"/>
      <c r="BF147" s="3">
        <v>1</v>
      </c>
      <c r="BG147" s="3">
        <v>1</v>
      </c>
      <c r="BH147" s="2"/>
      <c r="BI147" s="2"/>
      <c r="BJ147" s="2"/>
      <c r="BK147" s="139">
        <f>Table11[[#This Row],[Average MHT
(Feet)]]/16</f>
        <v>0</v>
      </c>
      <c r="BL147" s="2"/>
      <c r="BM147" s="139">
        <f>Table11[[#This Row],[Average DBH
(inches)]]/18</f>
        <v>0</v>
      </c>
      <c r="BN147" s="235">
        <f>((Table11[[#This Row],[Average DBH
(inches)]]-4)^2)*(Table11[[#This Row],[Average MHT
(Feet)]]/16)</f>
        <v>0</v>
      </c>
      <c r="BO147" s="235">
        <f>Table11[[#This Row],[Average BF]]*Table11[[#This Row],[2024 '#Trees Inventory + Estimate]]</f>
        <v>0</v>
      </c>
      <c r="BP147" s="240">
        <f>(Table11[[#This Row],[Harvest Year
(10 year)]]-Table11[[#This Row],[Year of Inventory]]+1)*(Table11[[#This Row],[Average DBH
(inches)]]/(Table11[[#This Row],[Harvest Year
(10 year)]]-Table11[[#This Row],[Year of Inventory]]+1))+Table11[[#This Row],[Average DBH
(inches)]]</f>
        <v>0</v>
      </c>
      <c r="BQ147" s="235">
        <f>((Table11[[#This Row],[Projected DBH
(Extrapolated Growth/Year)]]-4)^2)*(Table11[[#This Row],[Average MHT
(Feet)]]/16)</f>
        <v>0</v>
      </c>
      <c r="BR147" s="235">
        <f>Table11[[#This Row],[Projected Average BF]]*Table11[[#This Row],[2024 '#Trees Inventory + Estimate]]</f>
        <v>0</v>
      </c>
      <c r="BS147" s="235">
        <f>196*Table11[[#This Row],[2024 '#Trees Inventory + Estimate]]</f>
        <v>1038800</v>
      </c>
      <c r="BT147" s="243">
        <f>Table11[[#This Row],[ETP Offering Expected BF]]-Table11[[#This Row],[Projected Total BF]]</f>
        <v>1038800</v>
      </c>
      <c r="BU147" s="235">
        <f>(18-Table11[[#This Row],[Average DBH
(inches)]])/(D147-Table11[[#This Row],[Year of Inventory]]+1)</f>
        <v>8.8669950738916262E-3</v>
      </c>
    </row>
    <row r="148" spans="1:73" hidden="1" x14ac:dyDescent="0.25">
      <c r="A148" s="7" t="s">
        <v>816</v>
      </c>
      <c r="B148" s="2">
        <v>2020</v>
      </c>
      <c r="C148" s="2">
        <v>2020</v>
      </c>
      <c r="D148" s="2">
        <f>Table11[[#This Row],[Planting Year]]+9</f>
        <v>2029</v>
      </c>
      <c r="E148" s="97" t="s">
        <v>817</v>
      </c>
      <c r="F148" s="161">
        <v>10071</v>
      </c>
      <c r="G148" t="s">
        <v>817</v>
      </c>
      <c r="H148" s="357" t="s">
        <v>818</v>
      </c>
      <c r="I148" t="s">
        <v>155</v>
      </c>
      <c r="J148" s="1" t="s">
        <v>819</v>
      </c>
      <c r="K148" s="1" t="s">
        <v>820</v>
      </c>
      <c r="L148" s="1" t="s">
        <v>820</v>
      </c>
      <c r="M148" s="1" t="s">
        <v>150</v>
      </c>
      <c r="N148" t="s">
        <v>821</v>
      </c>
      <c r="O148">
        <v>32.49</v>
      </c>
      <c r="P148">
        <v>-86.51</v>
      </c>
      <c r="Q148" s="2"/>
      <c r="R148" s="86"/>
      <c r="S148" s="2"/>
      <c r="T148" s="1">
        <v>1100</v>
      </c>
      <c r="U148" s="1">
        <v>1100</v>
      </c>
      <c r="V148" s="1" t="str">
        <f>IF(Table11[[#This Row],['#TreesContract]]-Table11[[#This Row],['#Planted]]=0,"",Table11[[#This Row],['#TreesContract]]-Table11[[#This Row],['#Planted]])</f>
        <v/>
      </c>
      <c r="W148" s="2"/>
      <c r="X148" s="34">
        <v>1</v>
      </c>
      <c r="Y148" s="163">
        <f>Table11[[#This Row],['#TreesContract]]*Table11[[#This Row],[USA Allocation %]]</f>
        <v>1100</v>
      </c>
      <c r="Z148" s="163">
        <f>Table11[[#This Row],['#Planted]]*Table11[[#This Row],[USA Allocation %]]</f>
        <v>1100</v>
      </c>
      <c r="AA148" s="34"/>
      <c r="AB148" s="163"/>
      <c r="AC148" s="34"/>
      <c r="AD148" s="163"/>
      <c r="AE148" s="163">
        <f>Table11[[#This Row],[Canada Allocation-tree '#''s]]+Table11[[#This Row],[Can trees/Allocation 2017]]</f>
        <v>0</v>
      </c>
      <c r="AF148" s="5">
        <v>0.97772727272727278</v>
      </c>
      <c r="AG148" s="35">
        <v>1075.5</v>
      </c>
      <c r="AH148" s="35">
        <f>Table11[[#This Row],['#Trees as of 12/31/23]]*Table11[[#This Row],[USA Allocation %]]</f>
        <v>1075.5</v>
      </c>
      <c r="AI148" s="437">
        <f>Table11[[#This Row],['#TreesContract]]*Table11[[#This Row],[2024 Inventory Survival%-master]]</f>
        <v>220</v>
      </c>
      <c r="AJ148" s="436">
        <v>0.2</v>
      </c>
      <c r="AK148" s="5">
        <v>0.2</v>
      </c>
      <c r="AL148" s="5">
        <v>0.2</v>
      </c>
      <c r="AM148" s="35">
        <v>220</v>
      </c>
      <c r="AN148" s="35">
        <f>Table11[[#This Row],[2024 '#Trees Inventory + Estimate]]*Table11[[#This Row],[USA Allocation %]]</f>
        <v>220</v>
      </c>
      <c r="AO148" s="35">
        <f>Table11[[#This Row],[2024 '#Trees Inventory + Estimate]]*Table11[[#This Row],[Canada Allocation %]]</f>
        <v>0</v>
      </c>
      <c r="AP148" s="35">
        <f>Table11[[#This Row],[2024 '#Trees Inventory + Estimate]]*Table11[[#This Row],[Canada Allocation2017 %]]</f>
        <v>0</v>
      </c>
      <c r="AQ148" s="35">
        <f>Table11[[#This Row],['#Trees as of 2024/estimate-Can allocation]]+Table11[[#This Row],['#Trees as of 2024/estimate-Can allocation 2017]]</f>
        <v>0</v>
      </c>
      <c r="AR148" s="1" t="s">
        <v>152</v>
      </c>
      <c r="AS148" s="2" t="s">
        <v>469</v>
      </c>
      <c r="AT148" s="6">
        <f>IFERROR(Table11[[#This Row],['#Total Replacements]]/Table11[[#This Row],['#TreesContract]],"")</f>
        <v>0.82545454545454544</v>
      </c>
      <c r="AU148" s="4">
        <f>IF(SUM(Table11[[#This Row],['#Replace 24]:['#Replace 16]])=0,0,SUM(Table11[[#This Row],['#Replace 24]:['#Replace 16]]))</f>
        <v>908</v>
      </c>
      <c r="AV148" s="2"/>
      <c r="AW148" s="2"/>
      <c r="AX148" s="3"/>
      <c r="AY148" s="2">
        <v>168</v>
      </c>
      <c r="AZ148" s="2">
        <v>740</v>
      </c>
      <c r="BA148" s="2"/>
      <c r="BB148" s="2"/>
      <c r="BC148" s="2"/>
      <c r="BD148" s="2"/>
      <c r="BE148" s="2"/>
      <c r="BF148" s="3">
        <v>1</v>
      </c>
      <c r="BG148" s="3">
        <v>1</v>
      </c>
      <c r="BH148" s="2">
        <v>2024</v>
      </c>
      <c r="BI148" s="2">
        <v>2.14</v>
      </c>
      <c r="BJ148" s="2">
        <v>0.56999999999999995</v>
      </c>
      <c r="BK148" s="139">
        <f>Table11[[#This Row],[Average MHT
(Feet)]]/16</f>
        <v>3.5624999999999997E-2</v>
      </c>
      <c r="BL148" s="2">
        <v>0.36</v>
      </c>
      <c r="BM148" s="139">
        <f>Table11[[#This Row],[Average DBH
(inches)]]/18</f>
        <v>0.02</v>
      </c>
      <c r="BN148" s="235">
        <f>((Table11[[#This Row],[Average DBH
(inches)]]-4)^2)*(Table11[[#This Row],[Average MHT
(Feet)]]/16)</f>
        <v>0.47201700000000002</v>
      </c>
      <c r="BO148" s="235">
        <f>Table11[[#This Row],[Average BF]]*Table11[[#This Row],[2024 '#Trees Inventory + Estimate]]</f>
        <v>103.84374000000001</v>
      </c>
      <c r="BP148" s="240">
        <f>(Table11[[#This Row],[Harvest Year
(10 year)]]-Table11[[#This Row],[Year of Inventory]]+1)*(Table11[[#This Row],[Average DBH
(inches)]]/(Table11[[#This Row],[Harvest Year
(10 year)]]-Table11[[#This Row],[Year of Inventory]]+1))+Table11[[#This Row],[Average DBH
(inches)]]</f>
        <v>0.72</v>
      </c>
      <c r="BQ148" s="235">
        <f>((Table11[[#This Row],[Projected DBH
(Extrapolated Growth/Year)]]-4)^2)*(Table11[[#This Row],[Average MHT
(Feet)]]/16)</f>
        <v>0.38326800000000005</v>
      </c>
      <c r="BR148" s="235">
        <f>Table11[[#This Row],[Projected Average BF]]*Table11[[#This Row],[2024 '#Trees Inventory + Estimate]]</f>
        <v>84.318960000000018</v>
      </c>
      <c r="BS148" s="235">
        <f>196*Table11[[#This Row],[2024 '#Trees Inventory + Estimate]]</f>
        <v>43120</v>
      </c>
      <c r="BT148" s="243">
        <f>Table11[[#This Row],[ETP Offering Expected BF]]-Table11[[#This Row],[Projected Total BF]]</f>
        <v>43035.681040000003</v>
      </c>
      <c r="BU148" s="235">
        <f>(18-Table11[[#This Row],[Average DBH
(inches)]])/(D148-Table11[[#This Row],[Year of Inventory]]+1)</f>
        <v>2.94</v>
      </c>
    </row>
    <row r="149" spans="1:73" hidden="1" x14ac:dyDescent="0.25">
      <c r="A149" s="7" t="s">
        <v>822</v>
      </c>
      <c r="B149" s="2">
        <v>2020</v>
      </c>
      <c r="C149" s="2">
        <v>2020</v>
      </c>
      <c r="D149" s="2">
        <f>Table11[[#This Row],[Planting Year]]+9</f>
        <v>2029</v>
      </c>
      <c r="E149" s="97" t="s">
        <v>823</v>
      </c>
      <c r="F149" s="161">
        <v>10072</v>
      </c>
      <c r="G149" t="s">
        <v>824</v>
      </c>
      <c r="H149" s="357" t="s">
        <v>825</v>
      </c>
      <c r="I149" t="s">
        <v>155</v>
      </c>
      <c r="J149" s="1" t="s">
        <v>826</v>
      </c>
      <c r="K149" s="1" t="s">
        <v>827</v>
      </c>
      <c r="L149" s="1" t="s">
        <v>828</v>
      </c>
      <c r="M149" s="1" t="s">
        <v>150</v>
      </c>
      <c r="N149" t="s">
        <v>829</v>
      </c>
      <c r="O149">
        <v>34.439190000000004</v>
      </c>
      <c r="P149">
        <v>-83.232460000000003</v>
      </c>
      <c r="Q149" s="2"/>
      <c r="R149" s="86"/>
      <c r="S149" s="2"/>
      <c r="T149" s="1">
        <v>3850</v>
      </c>
      <c r="U149" s="1">
        <v>3850</v>
      </c>
      <c r="V149" s="1" t="str">
        <f>IF(Table11[[#This Row],['#TreesContract]]-Table11[[#This Row],['#Planted]]=0,"",Table11[[#This Row],['#TreesContract]]-Table11[[#This Row],['#Planted]])</f>
        <v/>
      </c>
      <c r="W149" s="2"/>
      <c r="X149" s="34">
        <v>1</v>
      </c>
      <c r="Y149" s="163">
        <f>Table11[[#This Row],['#TreesContract]]*Table11[[#This Row],[USA Allocation %]]</f>
        <v>3850</v>
      </c>
      <c r="Z149" s="163">
        <f>Table11[[#This Row],['#Planted]]*Table11[[#This Row],[USA Allocation %]]</f>
        <v>3850</v>
      </c>
      <c r="AA149" s="34"/>
      <c r="AB149" s="163"/>
      <c r="AC149" s="34"/>
      <c r="AD149" s="163"/>
      <c r="AE149" s="163">
        <f>Table11[[#This Row],[Canada Allocation-tree '#''s]]+Table11[[#This Row],[Can trees/Allocation 2017]]</f>
        <v>0</v>
      </c>
      <c r="AF149" s="5">
        <v>1</v>
      </c>
      <c r="AG149" s="35">
        <v>3850</v>
      </c>
      <c r="AH149" s="35">
        <f>Table11[[#This Row],['#Trees as of 12/31/23]]*Table11[[#This Row],[USA Allocation %]]</f>
        <v>3850</v>
      </c>
      <c r="AI149" s="437">
        <f>Table11[[#This Row],['#TreesContract]]*Table11[[#This Row],[2024 Inventory Survival%-master]]</f>
        <v>3769.15</v>
      </c>
      <c r="AJ149" s="436">
        <v>0.97899999999999998</v>
      </c>
      <c r="AK149" s="5">
        <v>0.98</v>
      </c>
      <c r="AL149" s="5">
        <v>0.98</v>
      </c>
      <c r="AM149" s="35">
        <v>3769</v>
      </c>
      <c r="AN149" s="35">
        <f>Table11[[#This Row],[2024 '#Trees Inventory + Estimate]]*Table11[[#This Row],[USA Allocation %]]</f>
        <v>3769</v>
      </c>
      <c r="AO149" s="35">
        <f>Table11[[#This Row],[2024 '#Trees Inventory + Estimate]]*Table11[[#This Row],[Canada Allocation %]]</f>
        <v>0</v>
      </c>
      <c r="AP149" s="35">
        <f>Table11[[#This Row],[2024 '#Trees Inventory + Estimate]]*Table11[[#This Row],[Canada Allocation2017 %]]</f>
        <v>0</v>
      </c>
      <c r="AQ149" s="35">
        <f>Table11[[#This Row],['#Trees as of 2024/estimate-Can allocation]]+Table11[[#This Row],['#Trees as of 2024/estimate-Can allocation 2017]]</f>
        <v>0</v>
      </c>
      <c r="AR149" s="1" t="s">
        <v>152</v>
      </c>
      <c r="AS149" s="2" t="s">
        <v>830</v>
      </c>
      <c r="AT149" s="6">
        <f>IFERROR(Table11[[#This Row],['#Total Replacements]]/Table11[[#This Row],['#TreesContract]],"")</f>
        <v>0.2</v>
      </c>
      <c r="AU149" s="4">
        <f>IF(SUM(Table11[[#This Row],['#Replace 24]:['#Replace 16]])=0,0,SUM(Table11[[#This Row],['#Replace 24]:['#Replace 16]]))</f>
        <v>770</v>
      </c>
      <c r="AV149" s="2"/>
      <c r="AW149" s="2"/>
      <c r="AX149" s="3"/>
      <c r="AY149" s="2">
        <v>400</v>
      </c>
      <c r="AZ149" s="2">
        <v>370</v>
      </c>
      <c r="BA149" s="2"/>
      <c r="BB149" s="2"/>
      <c r="BC149" s="2"/>
      <c r="BD149" s="2"/>
      <c r="BE149" s="2"/>
      <c r="BF149" s="3">
        <v>1</v>
      </c>
      <c r="BG149" s="3">
        <v>1</v>
      </c>
      <c r="BH149" s="2">
        <v>2024</v>
      </c>
      <c r="BI149" s="2">
        <v>23</v>
      </c>
      <c r="BJ149" s="2">
        <v>9.8000000000000007</v>
      </c>
      <c r="BK149" s="139">
        <f>Table11[[#This Row],[Average MHT
(Feet)]]/16</f>
        <v>0.61250000000000004</v>
      </c>
      <c r="BL149" s="2">
        <v>5.19</v>
      </c>
      <c r="BM149" s="139">
        <f>Table11[[#This Row],[Average DBH
(inches)]]/18</f>
        <v>0.28833333333333333</v>
      </c>
      <c r="BN149" s="235">
        <f>((Table11[[#This Row],[Average DBH
(inches)]]-4)^2)*(Table11[[#This Row],[Average MHT
(Feet)]]/16)</f>
        <v>0.86736125000000064</v>
      </c>
      <c r="BO149" s="235">
        <f>Table11[[#This Row],[Average BF]]*Table11[[#This Row],[2024 '#Trees Inventory + Estimate]]</f>
        <v>3269.0845512500023</v>
      </c>
      <c r="BP149" s="240">
        <f>(Table11[[#This Row],[Harvest Year
(10 year)]]-Table11[[#This Row],[Year of Inventory]]+1)*(Table11[[#This Row],[Average DBH
(inches)]]/(Table11[[#This Row],[Harvest Year
(10 year)]]-Table11[[#This Row],[Year of Inventory]]+1))+Table11[[#This Row],[Average DBH
(inches)]]</f>
        <v>10.38</v>
      </c>
      <c r="BQ149" s="235">
        <f>((Table11[[#This Row],[Projected DBH
(Extrapolated Growth/Year)]]-4)^2)*(Table11[[#This Row],[Average MHT
(Feet)]]/16)</f>
        <v>24.931445000000007</v>
      </c>
      <c r="BR149" s="235">
        <f>Table11[[#This Row],[Projected Average BF]]*Table11[[#This Row],[2024 '#Trees Inventory + Estimate]]</f>
        <v>93966.616205000028</v>
      </c>
      <c r="BS149" s="235">
        <f>196*Table11[[#This Row],[2024 '#Trees Inventory + Estimate]]</f>
        <v>738724</v>
      </c>
      <c r="BT149" s="243">
        <f>Table11[[#This Row],[ETP Offering Expected BF]]-Table11[[#This Row],[Projected Total BF]]</f>
        <v>644757.38379499991</v>
      </c>
      <c r="BU149" s="235">
        <f>(18-Table11[[#This Row],[Average DBH
(inches)]])/(D149-Table11[[#This Row],[Year of Inventory]]+1)</f>
        <v>2.1349999999999998</v>
      </c>
    </row>
    <row r="150" spans="1:73" hidden="1" x14ac:dyDescent="0.25">
      <c r="A150" s="7" t="s">
        <v>831</v>
      </c>
      <c r="B150" s="2">
        <v>2020</v>
      </c>
      <c r="C150" s="2">
        <v>2020</v>
      </c>
      <c r="D150" s="2">
        <f>Table11[[#This Row],[Planting Year]]+9</f>
        <v>2029</v>
      </c>
      <c r="E150" s="97" t="s">
        <v>832</v>
      </c>
      <c r="F150" s="161">
        <v>10073</v>
      </c>
      <c r="G150" t="s">
        <v>832</v>
      </c>
      <c r="H150" s="357" t="s">
        <v>833</v>
      </c>
      <c r="I150" t="s">
        <v>155</v>
      </c>
      <c r="J150" s="1" t="s">
        <v>834</v>
      </c>
      <c r="K150" s="1" t="s">
        <v>835</v>
      </c>
      <c r="L150" s="1" t="s">
        <v>835</v>
      </c>
      <c r="M150" s="1" t="s">
        <v>150</v>
      </c>
      <c r="N150" t="s">
        <v>836</v>
      </c>
      <c r="O150">
        <v>31.246976</v>
      </c>
      <c r="P150">
        <v>-85.178191999999996</v>
      </c>
      <c r="Q150" s="2"/>
      <c r="R150" s="86"/>
      <c r="S150" s="2"/>
      <c r="T150" s="1">
        <v>1619</v>
      </c>
      <c r="U150" s="1">
        <v>1619</v>
      </c>
      <c r="V150" s="1" t="str">
        <f>IF(Table11[[#This Row],['#TreesContract]]-Table11[[#This Row],['#Planted]]=0,"",Table11[[#This Row],['#TreesContract]]-Table11[[#This Row],['#Planted]])</f>
        <v/>
      </c>
      <c r="W150" s="2"/>
      <c r="X150" s="34">
        <v>1</v>
      </c>
      <c r="Y150" s="163">
        <f>Table11[[#This Row],['#TreesContract]]*Table11[[#This Row],[USA Allocation %]]</f>
        <v>1619</v>
      </c>
      <c r="Z150" s="163">
        <f>Table11[[#This Row],['#Planted]]*Table11[[#This Row],[USA Allocation %]]</f>
        <v>1619</v>
      </c>
      <c r="AA150" s="34"/>
      <c r="AB150" s="163"/>
      <c r="AC150" s="34"/>
      <c r="AD150" s="163"/>
      <c r="AE150" s="163">
        <f>Table11[[#This Row],[Canada Allocation-tree '#''s]]+Table11[[#This Row],[Can trees/Allocation 2017]]</f>
        <v>0</v>
      </c>
      <c r="AF150" s="5">
        <v>0.95</v>
      </c>
      <c r="AG150" s="35">
        <v>1538.05</v>
      </c>
      <c r="AH150" s="35">
        <f>Table11[[#This Row],['#Trees as of 12/31/23]]*Table11[[#This Row],[USA Allocation %]]</f>
        <v>1538.05</v>
      </c>
      <c r="AI150" s="437">
        <f>Table11[[#This Row],['#TreesContract]]*Table11[[#This Row],[2024 Inventory Survival%-master]]</f>
        <v>1578.5249999999999</v>
      </c>
      <c r="AJ150" s="436">
        <v>0.97499999999999998</v>
      </c>
      <c r="AK150" s="5">
        <v>0.98</v>
      </c>
      <c r="AL150" s="5">
        <v>0.98</v>
      </c>
      <c r="AM150" s="35">
        <v>1579</v>
      </c>
      <c r="AN150" s="35">
        <f>Table11[[#This Row],[2024 '#Trees Inventory + Estimate]]*Table11[[#This Row],[USA Allocation %]]</f>
        <v>1579</v>
      </c>
      <c r="AO150" s="35">
        <f>Table11[[#This Row],[2024 '#Trees Inventory + Estimate]]*Table11[[#This Row],[Canada Allocation %]]</f>
        <v>0</v>
      </c>
      <c r="AP150" s="35">
        <f>Table11[[#This Row],[2024 '#Trees Inventory + Estimate]]*Table11[[#This Row],[Canada Allocation2017 %]]</f>
        <v>0</v>
      </c>
      <c r="AQ150" s="35">
        <f>Table11[[#This Row],['#Trees as of 2024/estimate-Can allocation]]+Table11[[#This Row],['#Trees as of 2024/estimate-Can allocation 2017]]</f>
        <v>0</v>
      </c>
      <c r="AR150" s="1" t="s">
        <v>152</v>
      </c>
      <c r="AS150" s="2" t="s">
        <v>486</v>
      </c>
      <c r="AT150" s="6">
        <f>IFERROR(Table11[[#This Row],['#Total Replacements]]/Table11[[#This Row],['#TreesContract]],"")</f>
        <v>0.24336009882643608</v>
      </c>
      <c r="AU150" s="4">
        <f>IF(SUM(Table11[[#This Row],['#Replace 24]:['#Replace 16]])=0,0,SUM(Table11[[#This Row],['#Replace 24]:['#Replace 16]]))</f>
        <v>394</v>
      </c>
      <c r="AV150" s="2"/>
      <c r="AW150" s="2"/>
      <c r="AX150" s="3"/>
      <c r="AY150" s="2"/>
      <c r="AZ150" s="2">
        <v>128</v>
      </c>
      <c r="BA150" s="2">
        <v>266</v>
      </c>
      <c r="BB150" s="2"/>
      <c r="BC150" s="2"/>
      <c r="BD150" s="2"/>
      <c r="BE150" s="2"/>
      <c r="BF150" s="3">
        <v>1</v>
      </c>
      <c r="BG150" s="3">
        <v>1</v>
      </c>
      <c r="BH150" s="2">
        <v>2024</v>
      </c>
      <c r="BI150" s="2">
        <v>20.63</v>
      </c>
      <c r="BJ150" s="2">
        <v>9.81</v>
      </c>
      <c r="BK150" s="139">
        <f>Table11[[#This Row],[Average MHT
(Feet)]]/16</f>
        <v>0.61312500000000003</v>
      </c>
      <c r="BL150" s="2">
        <v>3.88</v>
      </c>
      <c r="BM150" s="139">
        <f>Table11[[#This Row],[Average DBH
(inches)]]/18</f>
        <v>0.21555555555555556</v>
      </c>
      <c r="BN150" s="235">
        <f>((Table11[[#This Row],[Average DBH
(inches)]]-4)^2)*(Table11[[#This Row],[Average MHT
(Feet)]]/16)</f>
        <v>8.8290000000000157E-3</v>
      </c>
      <c r="BO150" s="235">
        <f>Table11[[#This Row],[Average BF]]*Table11[[#This Row],[2024 '#Trees Inventory + Estimate]]</f>
        <v>13.940991000000025</v>
      </c>
      <c r="BP150" s="240">
        <f>(Table11[[#This Row],[Harvest Year
(10 year)]]-Table11[[#This Row],[Year of Inventory]]+1)*(Table11[[#This Row],[Average DBH
(inches)]]/(Table11[[#This Row],[Harvest Year
(10 year)]]-Table11[[#This Row],[Year of Inventory]]+1))+Table11[[#This Row],[Average DBH
(inches)]]</f>
        <v>7.76</v>
      </c>
      <c r="BQ150" s="235">
        <f>((Table11[[#This Row],[Projected DBH
(Extrapolated Growth/Year)]]-4)^2)*(Table11[[#This Row],[Average MHT
(Feet)]]/16)</f>
        <v>8.6681159999999995</v>
      </c>
      <c r="BR150" s="235">
        <f>Table11[[#This Row],[Projected Average BF]]*Table11[[#This Row],[2024 '#Trees Inventory + Estimate]]</f>
        <v>13686.955163999999</v>
      </c>
      <c r="BS150" s="235">
        <f>196*Table11[[#This Row],[2024 '#Trees Inventory + Estimate]]</f>
        <v>309484</v>
      </c>
      <c r="BT150" s="243">
        <f>Table11[[#This Row],[ETP Offering Expected BF]]-Table11[[#This Row],[Projected Total BF]]</f>
        <v>295797.04483600002</v>
      </c>
      <c r="BU150" s="235">
        <f>(18-Table11[[#This Row],[Average DBH
(inches)]])/(D150-Table11[[#This Row],[Year of Inventory]]+1)</f>
        <v>2.3533333333333335</v>
      </c>
    </row>
    <row r="151" spans="1:73" hidden="1" x14ac:dyDescent="0.25">
      <c r="A151" s="7" t="s">
        <v>837</v>
      </c>
      <c r="B151" s="2">
        <v>2020</v>
      </c>
      <c r="C151" s="2">
        <v>2020</v>
      </c>
      <c r="D151" s="2">
        <f>Table11[[#This Row],[Planting Year]]+9</f>
        <v>2029</v>
      </c>
      <c r="E151" s="97" t="s">
        <v>838</v>
      </c>
      <c r="F151" s="161">
        <v>10074</v>
      </c>
      <c r="G151" t="s">
        <v>838</v>
      </c>
      <c r="H151" s="357" t="s">
        <v>839</v>
      </c>
      <c r="I151" t="s">
        <v>155</v>
      </c>
      <c r="J151" s="1" t="s">
        <v>840</v>
      </c>
      <c r="K151" s="1" t="s">
        <v>841</v>
      </c>
      <c r="L151" s="1" t="s">
        <v>842</v>
      </c>
      <c r="M151" s="1" t="s">
        <v>150</v>
      </c>
      <c r="N151" t="s">
        <v>843</v>
      </c>
      <c r="O151">
        <v>31.985177400000001</v>
      </c>
      <c r="P151">
        <v>-85.524640399999996</v>
      </c>
      <c r="Q151" s="2"/>
      <c r="R151" s="86"/>
      <c r="S151" s="2"/>
      <c r="T151" s="1">
        <v>1100</v>
      </c>
      <c r="U151" s="1">
        <v>1100</v>
      </c>
      <c r="V151" s="1" t="str">
        <f>IF(Table11[[#This Row],['#TreesContract]]-Table11[[#This Row],['#Planted]]=0,"",Table11[[#This Row],['#TreesContract]]-Table11[[#This Row],['#Planted]])</f>
        <v/>
      </c>
      <c r="W151" s="2"/>
      <c r="X151" s="34">
        <v>1</v>
      </c>
      <c r="Y151" s="163">
        <f>Table11[[#This Row],['#TreesContract]]*Table11[[#This Row],[USA Allocation %]]</f>
        <v>1100</v>
      </c>
      <c r="Z151" s="163">
        <f>Table11[[#This Row],['#Planted]]*Table11[[#This Row],[USA Allocation %]]</f>
        <v>1100</v>
      </c>
      <c r="AA151" s="34"/>
      <c r="AB151" s="163"/>
      <c r="AC151" s="34"/>
      <c r="AD151" s="163"/>
      <c r="AE151" s="163">
        <f>Table11[[#This Row],[Canada Allocation-tree '#''s]]+Table11[[#This Row],[Can trees/Allocation 2017]]</f>
        <v>0</v>
      </c>
      <c r="AF151" s="5">
        <v>0.82499999999999996</v>
      </c>
      <c r="AG151" s="35">
        <v>907.5</v>
      </c>
      <c r="AH151" s="35">
        <f>Table11[[#This Row],['#Trees as of 12/31/23]]*Table11[[#This Row],[USA Allocation %]]</f>
        <v>907.5</v>
      </c>
      <c r="AI151" s="437">
        <f>Table11[[#This Row],['#TreesContract]]*Table11[[#This Row],[2024 Inventory Survival%-master]]</f>
        <v>0</v>
      </c>
      <c r="AJ151" s="436"/>
      <c r="AK151" s="5">
        <v>0.82499999999999996</v>
      </c>
      <c r="AL151" s="5">
        <v>0.82499999999999996</v>
      </c>
      <c r="AM151" s="35">
        <v>907.5</v>
      </c>
      <c r="AN151" s="35">
        <f>Table11[[#This Row],[2024 '#Trees Inventory + Estimate]]*Table11[[#This Row],[USA Allocation %]]</f>
        <v>907.5</v>
      </c>
      <c r="AO151" s="35">
        <f>Table11[[#This Row],[2024 '#Trees Inventory + Estimate]]*Table11[[#This Row],[Canada Allocation %]]</f>
        <v>0</v>
      </c>
      <c r="AP151" s="35">
        <f>Table11[[#This Row],[2024 '#Trees Inventory + Estimate]]*Table11[[#This Row],[Canada Allocation2017 %]]</f>
        <v>0</v>
      </c>
      <c r="AQ151" s="35">
        <f>Table11[[#This Row],['#Trees as of 2024/estimate-Can allocation]]+Table11[[#This Row],['#Trees as of 2024/estimate-Can allocation 2017]]</f>
        <v>0</v>
      </c>
      <c r="AR151" s="1" t="s">
        <v>152</v>
      </c>
      <c r="AS151" s="2" t="s">
        <v>661</v>
      </c>
      <c r="AT151" s="6">
        <f>IFERROR(Table11[[#This Row],['#Total Replacements]]/Table11[[#This Row],['#TreesContract]],"")</f>
        <v>0.13181818181818181</v>
      </c>
      <c r="AU151" s="4">
        <f>IF(SUM(Table11[[#This Row],['#Replace 24]:['#Replace 16]])=0,0,SUM(Table11[[#This Row],['#Replace 24]:['#Replace 16]]))</f>
        <v>145</v>
      </c>
      <c r="AV151" s="2"/>
      <c r="AW151" s="2"/>
      <c r="AX151" s="3"/>
      <c r="AY151" s="2"/>
      <c r="AZ151" s="2">
        <v>145</v>
      </c>
      <c r="BA151" s="2"/>
      <c r="BB151" s="2"/>
      <c r="BC151" s="2"/>
      <c r="BD151" s="2"/>
      <c r="BE151" s="2"/>
      <c r="BF151" s="3">
        <v>1</v>
      </c>
      <c r="BG151" s="3">
        <v>1</v>
      </c>
      <c r="BH151" s="2"/>
      <c r="BI151" s="2"/>
      <c r="BJ151" s="2"/>
      <c r="BK151" s="139">
        <f>Table11[[#This Row],[Average MHT
(Feet)]]/16</f>
        <v>0</v>
      </c>
      <c r="BL151" s="2"/>
      <c r="BM151" s="139">
        <f>Table11[[#This Row],[Average DBH
(inches)]]/18</f>
        <v>0</v>
      </c>
      <c r="BN151" s="235">
        <f>((Table11[[#This Row],[Average DBH
(inches)]]-4)^2)*(Table11[[#This Row],[Average MHT
(Feet)]]/16)</f>
        <v>0</v>
      </c>
      <c r="BO151" s="235">
        <f>Table11[[#This Row],[Average BF]]*Table11[[#This Row],[2024 '#Trees Inventory + Estimate]]</f>
        <v>0</v>
      </c>
      <c r="BP151" s="240">
        <f>(Table11[[#This Row],[Harvest Year
(10 year)]]-Table11[[#This Row],[Year of Inventory]]+1)*(Table11[[#This Row],[Average DBH
(inches)]]/(Table11[[#This Row],[Harvest Year
(10 year)]]-Table11[[#This Row],[Year of Inventory]]+1))+Table11[[#This Row],[Average DBH
(inches)]]</f>
        <v>0</v>
      </c>
      <c r="BQ151" s="235">
        <f>((Table11[[#This Row],[Projected DBH
(Extrapolated Growth/Year)]]-4)^2)*(Table11[[#This Row],[Average MHT
(Feet)]]/16)</f>
        <v>0</v>
      </c>
      <c r="BR151" s="235">
        <f>Table11[[#This Row],[Projected Average BF]]*Table11[[#This Row],[2024 '#Trees Inventory + Estimate]]</f>
        <v>0</v>
      </c>
      <c r="BS151" s="235">
        <f>196*Table11[[#This Row],[2024 '#Trees Inventory + Estimate]]</f>
        <v>177870</v>
      </c>
      <c r="BT151" s="243">
        <f>Table11[[#This Row],[ETP Offering Expected BF]]-Table11[[#This Row],[Projected Total BF]]</f>
        <v>177870</v>
      </c>
      <c r="BU151" s="235">
        <f>(18-Table11[[#This Row],[Average DBH
(inches)]])/(D151-Table11[[#This Row],[Year of Inventory]]+1)</f>
        <v>8.8669950738916262E-3</v>
      </c>
    </row>
    <row r="152" spans="1:73" hidden="1" x14ac:dyDescent="0.25">
      <c r="A152" s="7" t="s">
        <v>844</v>
      </c>
      <c r="B152" s="2">
        <v>2020</v>
      </c>
      <c r="C152" s="2">
        <v>2020</v>
      </c>
      <c r="D152" s="2">
        <f>Table11[[#This Row],[Planting Year]]+9</f>
        <v>2029</v>
      </c>
      <c r="E152" s="97" t="s">
        <v>845</v>
      </c>
      <c r="F152" s="161">
        <v>10075</v>
      </c>
      <c r="G152" t="s">
        <v>846</v>
      </c>
      <c r="H152" s="357" t="s">
        <v>847</v>
      </c>
      <c r="I152" t="s">
        <v>155</v>
      </c>
      <c r="J152" s="1" t="s">
        <v>848</v>
      </c>
      <c r="K152" s="1" t="s">
        <v>849</v>
      </c>
      <c r="L152" s="1" t="s">
        <v>850</v>
      </c>
      <c r="M152" s="1" t="s">
        <v>150</v>
      </c>
      <c r="N152" t="s">
        <v>851</v>
      </c>
      <c r="O152">
        <v>32.278489</v>
      </c>
      <c r="P152">
        <v>-85.247918999999996</v>
      </c>
      <c r="Q152" s="2"/>
      <c r="R152" s="86"/>
      <c r="S152" s="2"/>
      <c r="T152" s="1">
        <v>1320</v>
      </c>
      <c r="U152" s="1">
        <v>1320</v>
      </c>
      <c r="V152" s="1" t="str">
        <f>IF(Table11[[#This Row],['#TreesContract]]-Table11[[#This Row],['#Planted]]=0,"",Table11[[#This Row],['#TreesContract]]-Table11[[#This Row],['#Planted]])</f>
        <v/>
      </c>
      <c r="W152" s="2"/>
      <c r="X152" s="34">
        <v>1</v>
      </c>
      <c r="Y152" s="163">
        <f>Table11[[#This Row],['#TreesContract]]*Table11[[#This Row],[USA Allocation %]]</f>
        <v>1320</v>
      </c>
      <c r="Z152" s="163">
        <f>Table11[[#This Row],['#Planted]]*Table11[[#This Row],[USA Allocation %]]</f>
        <v>1320</v>
      </c>
      <c r="AA152" s="34"/>
      <c r="AB152" s="163"/>
      <c r="AC152" s="34"/>
      <c r="AD152" s="163"/>
      <c r="AE152" s="163">
        <f>Table11[[#This Row],[Canada Allocation-tree '#''s]]+Table11[[#This Row],[Can trees/Allocation 2017]]</f>
        <v>0</v>
      </c>
      <c r="AF152" s="5">
        <v>0.82499999999999996</v>
      </c>
      <c r="AG152" s="35">
        <v>1089</v>
      </c>
      <c r="AH152" s="35">
        <f>Table11[[#This Row],['#Trees as of 12/31/23]]*Table11[[#This Row],[USA Allocation %]]</f>
        <v>1089</v>
      </c>
      <c r="AI152" s="437">
        <f>Table11[[#This Row],['#TreesContract]]*Table11[[#This Row],[2024 Inventory Survival%-master]]</f>
        <v>0</v>
      </c>
      <c r="AJ152" s="436"/>
      <c r="AK152" s="5">
        <v>0.82499999999999996</v>
      </c>
      <c r="AL152" s="5">
        <v>0.82499999999999996</v>
      </c>
      <c r="AM152" s="35">
        <v>1089</v>
      </c>
      <c r="AN152" s="35">
        <f>Table11[[#This Row],[2024 '#Trees Inventory + Estimate]]*Table11[[#This Row],[USA Allocation %]]</f>
        <v>1089</v>
      </c>
      <c r="AO152" s="35">
        <f>Table11[[#This Row],[2024 '#Trees Inventory + Estimate]]*Table11[[#This Row],[Canada Allocation %]]</f>
        <v>0</v>
      </c>
      <c r="AP152" s="35">
        <f>Table11[[#This Row],[2024 '#Trees Inventory + Estimate]]*Table11[[#This Row],[Canada Allocation2017 %]]</f>
        <v>0</v>
      </c>
      <c r="AQ152" s="35">
        <f>Table11[[#This Row],['#Trees as of 2024/estimate-Can allocation]]+Table11[[#This Row],['#Trees as of 2024/estimate-Can allocation 2017]]</f>
        <v>0</v>
      </c>
      <c r="AR152" s="1" t="s">
        <v>152</v>
      </c>
      <c r="AS152" s="2" t="s">
        <v>852</v>
      </c>
      <c r="AT152" s="6">
        <f>IFERROR(Table11[[#This Row],['#Total Replacements]]/Table11[[#This Row],['#TreesContract]],"")</f>
        <v>8.0303030303030307E-2</v>
      </c>
      <c r="AU152" s="4">
        <f>IF(SUM(Table11[[#This Row],['#Replace 24]:['#Replace 16]])=0,0,SUM(Table11[[#This Row],['#Replace 24]:['#Replace 16]]))</f>
        <v>106</v>
      </c>
      <c r="AV152" s="2"/>
      <c r="AW152" s="2"/>
      <c r="AX152" s="3"/>
      <c r="AY152" s="2"/>
      <c r="AZ152" s="2">
        <v>106</v>
      </c>
      <c r="BA152" s="2"/>
      <c r="BB152" s="2"/>
      <c r="BC152" s="2"/>
      <c r="BD152" s="2"/>
      <c r="BE152" s="2"/>
      <c r="BF152" s="3">
        <v>1</v>
      </c>
      <c r="BG152" s="3">
        <v>1</v>
      </c>
      <c r="BH152" s="2"/>
      <c r="BI152" s="2"/>
      <c r="BJ152" s="2"/>
      <c r="BK152" s="139">
        <f>Table11[[#This Row],[Average MHT
(Feet)]]/16</f>
        <v>0</v>
      </c>
      <c r="BL152" s="2"/>
      <c r="BM152" s="139">
        <f>Table11[[#This Row],[Average DBH
(inches)]]/18</f>
        <v>0</v>
      </c>
      <c r="BN152" s="235">
        <f>((Table11[[#This Row],[Average DBH
(inches)]]-4)^2)*(Table11[[#This Row],[Average MHT
(Feet)]]/16)</f>
        <v>0</v>
      </c>
      <c r="BO152" s="235">
        <f>Table11[[#This Row],[Average BF]]*Table11[[#This Row],[2024 '#Trees Inventory + Estimate]]</f>
        <v>0</v>
      </c>
      <c r="BP152" s="240">
        <f>(Table11[[#This Row],[Harvest Year
(10 year)]]-Table11[[#This Row],[Year of Inventory]]+1)*(Table11[[#This Row],[Average DBH
(inches)]]/(Table11[[#This Row],[Harvest Year
(10 year)]]-Table11[[#This Row],[Year of Inventory]]+1))+Table11[[#This Row],[Average DBH
(inches)]]</f>
        <v>0</v>
      </c>
      <c r="BQ152" s="235">
        <f>((Table11[[#This Row],[Projected DBH
(Extrapolated Growth/Year)]]-4)^2)*(Table11[[#This Row],[Average MHT
(Feet)]]/16)</f>
        <v>0</v>
      </c>
      <c r="BR152" s="235">
        <f>Table11[[#This Row],[Projected Average BF]]*Table11[[#This Row],[2024 '#Trees Inventory + Estimate]]</f>
        <v>0</v>
      </c>
      <c r="BS152" s="235">
        <f>196*Table11[[#This Row],[2024 '#Trees Inventory + Estimate]]</f>
        <v>213444</v>
      </c>
      <c r="BT152" s="243">
        <f>Table11[[#This Row],[ETP Offering Expected BF]]-Table11[[#This Row],[Projected Total BF]]</f>
        <v>213444</v>
      </c>
      <c r="BU152" s="235">
        <f>(18-Table11[[#This Row],[Average DBH
(inches)]])/(D152-Table11[[#This Row],[Year of Inventory]]+1)</f>
        <v>8.8669950738916262E-3</v>
      </c>
    </row>
    <row r="153" spans="1:73" hidden="1" x14ac:dyDescent="0.25">
      <c r="A153" s="7" t="s">
        <v>853</v>
      </c>
      <c r="B153" s="2">
        <v>2020</v>
      </c>
      <c r="C153" s="2">
        <v>2020</v>
      </c>
      <c r="D153" s="2">
        <v>0</v>
      </c>
      <c r="E153" s="97" t="s">
        <v>854</v>
      </c>
      <c r="F153" s="161">
        <v>10076</v>
      </c>
      <c r="G153" t="s">
        <v>854</v>
      </c>
      <c r="H153" s="357" t="s">
        <v>855</v>
      </c>
      <c r="I153" t="s">
        <v>160</v>
      </c>
      <c r="J153" s="1" t="s">
        <v>856</v>
      </c>
      <c r="K153" s="1" t="s">
        <v>857</v>
      </c>
      <c r="L153" s="1" t="s">
        <v>858</v>
      </c>
      <c r="M153" s="1" t="s">
        <v>150</v>
      </c>
      <c r="N153" t="s">
        <v>859</v>
      </c>
      <c r="O153">
        <v>33.621868999999997</v>
      </c>
      <c r="P153">
        <v>-85.456980000000001</v>
      </c>
      <c r="Q153" s="2"/>
      <c r="R153" s="86"/>
      <c r="S153" s="2"/>
      <c r="T153" s="1">
        <v>1100</v>
      </c>
      <c r="U153" s="1">
        <v>1100</v>
      </c>
      <c r="V153" s="1" t="str">
        <f>IF(Table11[[#This Row],['#TreesContract]]-Table11[[#This Row],['#Planted]]=0,"",Table11[[#This Row],['#TreesContract]]-Table11[[#This Row],['#Planted]])</f>
        <v/>
      </c>
      <c r="W153" s="2"/>
      <c r="X153" s="34">
        <v>1</v>
      </c>
      <c r="Y153" s="163">
        <f>Table11[[#This Row],['#TreesContract]]*Table11[[#This Row],[USA Allocation %]]</f>
        <v>1100</v>
      </c>
      <c r="Z153" s="163">
        <f>Table11[[#This Row],['#Planted]]*Table11[[#This Row],[USA Allocation %]]</f>
        <v>1100</v>
      </c>
      <c r="AA153" s="34"/>
      <c r="AB153" s="163"/>
      <c r="AC153" s="34"/>
      <c r="AD153" s="163"/>
      <c r="AE153" s="163">
        <f>Table11[[#This Row],[Canada Allocation-tree '#''s]]+Table11[[#This Row],[Can trees/Allocation 2017]]</f>
        <v>0</v>
      </c>
      <c r="AF153" s="5">
        <v>0.95</v>
      </c>
      <c r="AG153" s="35">
        <v>1045</v>
      </c>
      <c r="AH153" s="35">
        <f>Table11[[#This Row],['#Trees as of 12/31/23]]*Table11[[#This Row],[USA Allocation %]]</f>
        <v>1045</v>
      </c>
      <c r="AI153" s="404">
        <f>Table11[[#This Row],['#TreesContract]]*Table11[[#This Row],[2024 Inventory Survival%-master]]</f>
        <v>0</v>
      </c>
      <c r="AJ153" s="5">
        <v>0</v>
      </c>
      <c r="AK153" s="5">
        <v>0</v>
      </c>
      <c r="AL153" s="5">
        <v>0</v>
      </c>
      <c r="AM153" s="35">
        <v>0</v>
      </c>
      <c r="AN153" s="35">
        <f>Table11[[#This Row],[2024 '#Trees Inventory + Estimate]]*Table11[[#This Row],[USA Allocation %]]</f>
        <v>0</v>
      </c>
      <c r="AO153" s="35">
        <f>Table11[[#This Row],[2024 '#Trees Inventory + Estimate]]*Table11[[#This Row],[Canada Allocation %]]</f>
        <v>0</v>
      </c>
      <c r="AP153" s="35">
        <f>Table11[[#This Row],[2024 '#Trees Inventory + Estimate]]*Table11[[#This Row],[Canada Allocation2017 %]]</f>
        <v>0</v>
      </c>
      <c r="AQ153" s="35">
        <f>Table11[[#This Row],['#Trees as of 2024/estimate-Can allocation]]+Table11[[#This Row],['#Trees as of 2024/estimate-Can allocation 2017]]</f>
        <v>0</v>
      </c>
      <c r="AR153" s="1" t="s">
        <v>152</v>
      </c>
      <c r="AS153" s="2" t="s">
        <v>860</v>
      </c>
      <c r="AT153" s="6">
        <f>IFERROR(Table11[[#This Row],['#Total Replacements]]/Table11[[#This Row],['#TreesContract]],"")</f>
        <v>0.38818181818181818</v>
      </c>
      <c r="AU153" s="4">
        <f>IF(SUM(Table11[[#This Row],['#Replace 24]:['#Replace 16]])=0,0,SUM(Table11[[#This Row],['#Replace 24]:['#Replace 16]]))</f>
        <v>427</v>
      </c>
      <c r="AV153" s="2"/>
      <c r="AW153" s="2"/>
      <c r="AX153" s="3"/>
      <c r="AY153" s="2"/>
      <c r="AZ153" s="2">
        <v>427</v>
      </c>
      <c r="BA153" s="2"/>
      <c r="BB153" s="2"/>
      <c r="BC153" s="2"/>
      <c r="BD153" s="2"/>
      <c r="BE153" s="2"/>
      <c r="BF153" s="3">
        <v>1</v>
      </c>
      <c r="BG153" s="3">
        <v>1</v>
      </c>
      <c r="BH153" s="2"/>
      <c r="BI153" s="2"/>
      <c r="BJ153" s="2"/>
      <c r="BK153" s="139">
        <f>Table11[[#This Row],[Average MHT
(Feet)]]/16</f>
        <v>0</v>
      </c>
      <c r="BL153" s="2"/>
      <c r="BM153" s="139">
        <f>Table11[[#This Row],[Average DBH
(inches)]]/18</f>
        <v>0</v>
      </c>
      <c r="BN153" s="235">
        <f>((Table11[[#This Row],[Average DBH
(inches)]]-4)^2)*(Table11[[#This Row],[Average MHT
(Feet)]]/16)</f>
        <v>0</v>
      </c>
      <c r="BO153" s="235">
        <f>Table11[[#This Row],[Average BF]]*Table11[[#This Row],[2024 '#Trees Inventory + Estimate]]</f>
        <v>0</v>
      </c>
      <c r="BP153" s="240">
        <f>(Table11[[#This Row],[Harvest Year
(10 year)]]-Table11[[#This Row],[Year of Inventory]]+1)*(Table11[[#This Row],[Average DBH
(inches)]]/(Table11[[#This Row],[Harvest Year
(10 year)]]-Table11[[#This Row],[Year of Inventory]]+1))+Table11[[#This Row],[Average DBH
(inches)]]</f>
        <v>0</v>
      </c>
      <c r="BQ153" s="235">
        <f>((Table11[[#This Row],[Projected DBH
(Extrapolated Growth/Year)]]-4)^2)*(Table11[[#This Row],[Average MHT
(Feet)]]/16)</f>
        <v>0</v>
      </c>
      <c r="BR153" s="235">
        <f>Table11[[#This Row],[Projected Average BF]]*Table11[[#This Row],[2024 '#Trees Inventory + Estimate]]</f>
        <v>0</v>
      </c>
      <c r="BS153" s="235">
        <f>196*Table11[[#This Row],[2024 '#Trees Inventory + Estimate]]</f>
        <v>0</v>
      </c>
      <c r="BT153" s="235">
        <f>Table11[[#This Row],[ETP Offering Expected BF]]-Table11[[#This Row],[Projected Total BF]]</f>
        <v>0</v>
      </c>
      <c r="BU153" s="235">
        <f>(18-Table11[[#This Row],[Average DBH
(inches)]])/(D153-Table11[[#This Row],[Year of Inventory]]+1)</f>
        <v>18</v>
      </c>
    </row>
    <row r="154" spans="1:73" x14ac:dyDescent="0.25">
      <c r="A154" s="7" t="s">
        <v>861</v>
      </c>
      <c r="B154" s="2">
        <v>2020</v>
      </c>
      <c r="C154" s="2">
        <v>2020</v>
      </c>
      <c r="D154" s="2">
        <f>Table11[[#This Row],[Planting Year]]+9</f>
        <v>2029</v>
      </c>
      <c r="E154" t="s">
        <v>400</v>
      </c>
      <c r="F154" s="161">
        <v>20027</v>
      </c>
      <c r="G154" t="s">
        <v>400</v>
      </c>
      <c r="H154" s="357" t="s">
        <v>401</v>
      </c>
      <c r="I154" t="s">
        <v>155</v>
      </c>
      <c r="J154" s="1" t="s">
        <v>402</v>
      </c>
      <c r="K154" s="1" t="s">
        <v>403</v>
      </c>
      <c r="L154" s="1" t="s">
        <v>404</v>
      </c>
      <c r="M154" s="1" t="s">
        <v>213</v>
      </c>
      <c r="N154" t="s">
        <v>405</v>
      </c>
      <c r="O154">
        <v>10.1525978335</v>
      </c>
      <c r="P154">
        <v>-84.358619769200004</v>
      </c>
      <c r="Q154" s="2"/>
      <c r="R154" s="86"/>
      <c r="S154" s="2"/>
      <c r="T154" s="1">
        <v>500</v>
      </c>
      <c r="U154" s="1">
        <v>500</v>
      </c>
      <c r="V154" s="1" t="str">
        <f>IF(Table11[[#This Row],['#TreesContract]]-Table11[[#This Row],['#Planted]]=0,"",Table11[[#This Row],['#TreesContract]]-Table11[[#This Row],['#Planted]])</f>
        <v/>
      </c>
      <c r="W154" s="2"/>
      <c r="X154" s="34">
        <v>1</v>
      </c>
      <c r="Y154" s="163">
        <f>Table11[[#This Row],['#TreesContract]]*Table11[[#This Row],[USA Allocation %]]</f>
        <v>500</v>
      </c>
      <c r="Z154" s="163">
        <f>Table11[[#This Row],['#Planted]]*Table11[[#This Row],[USA Allocation %]]</f>
        <v>500</v>
      </c>
      <c r="AA154" s="34"/>
      <c r="AB154" s="163"/>
      <c r="AC154" s="34"/>
      <c r="AD154" s="163"/>
      <c r="AE154" s="163">
        <f>Table11[[#This Row],[Canada Allocation-tree '#''s]]+Table11[[#This Row],[Can trees/Allocation 2017]]</f>
        <v>0</v>
      </c>
      <c r="AF154" s="5">
        <v>0.6</v>
      </c>
      <c r="AG154" s="35">
        <v>300</v>
      </c>
      <c r="AH154" s="35">
        <f>Table11[[#This Row],['#Trees as of 12/31/23]]*Table11[[#This Row],[USA Allocation %]]</f>
        <v>300</v>
      </c>
      <c r="AI154" s="437">
        <f>Table11[[#This Row],['#TreesContract]]*Table11[[#This Row],[2024 Inventory Survival%-master]]</f>
        <v>321.5</v>
      </c>
      <c r="AJ154" s="436">
        <v>0.64300000000000002</v>
      </c>
      <c r="AK154" s="5">
        <v>0.64</v>
      </c>
      <c r="AL154" s="5">
        <v>0.64300000000000002</v>
      </c>
      <c r="AM154" s="35">
        <f>Table11[[#This Row],['#TreesContract]]*Table11[[#This Row],[2024 Inventory Survival%-master]]</f>
        <v>321.5</v>
      </c>
      <c r="AN154" s="35">
        <f>Table11[[#This Row],[2024 '#Trees Inventory + Estimate]]*Table11[[#This Row],[USA Allocation %]]</f>
        <v>321.5</v>
      </c>
      <c r="AO154" s="35">
        <f>Table11[[#This Row],[2024 '#Trees Inventory + Estimate]]*Table11[[#This Row],[Canada Allocation %]]</f>
        <v>0</v>
      </c>
      <c r="AP154" s="35">
        <f>Table11[[#This Row],[2024 '#Trees Inventory + Estimate]]*Table11[[#This Row],[Canada Allocation2017 %]]</f>
        <v>0</v>
      </c>
      <c r="AQ154" s="35">
        <f>Table11[[#This Row],['#Trees as of 2024/estimate-Can allocation]]+Table11[[#This Row],['#Trees as of 2024/estimate-Can allocation 2017]]</f>
        <v>0</v>
      </c>
      <c r="AR154" s="1" t="s">
        <v>531</v>
      </c>
      <c r="AS154" s="2"/>
      <c r="AT154" s="6">
        <f>IFERROR(Table11[[#This Row],['#Total Replacements]]/Table11[[#This Row],['#TreesContract]],"")</f>
        <v>0.4</v>
      </c>
      <c r="AU154" s="4">
        <f>IF(SUM(Table11[[#This Row],['#Replace 24]:['#Replace 16]])=0,0,SUM(Table11[[#This Row],['#Replace 24]:['#Replace 16]]))</f>
        <v>200</v>
      </c>
      <c r="AV154" s="2"/>
      <c r="AW154" s="2"/>
      <c r="AX154" s="3"/>
      <c r="AY154" s="2"/>
      <c r="AZ154" s="2">
        <v>200</v>
      </c>
      <c r="BA154" s="2"/>
      <c r="BB154" s="2"/>
      <c r="BC154" s="2"/>
      <c r="BD154" s="2"/>
      <c r="BE154" s="2"/>
      <c r="BF154" s="3">
        <v>1</v>
      </c>
      <c r="BG154" s="3">
        <v>1</v>
      </c>
      <c r="BH154" s="2">
        <v>2024</v>
      </c>
      <c r="BI154" s="158">
        <v>11.89</v>
      </c>
      <c r="BJ154" s="158">
        <v>5.24</v>
      </c>
      <c r="BK154" s="139">
        <f>Table11[[#This Row],[Average MHT
(Feet)]]/16</f>
        <v>0.32750000000000001</v>
      </c>
      <c r="BL154" s="2">
        <v>2.66</v>
      </c>
      <c r="BM154" s="139">
        <f>Table11[[#This Row],[Average DBH
(inches)]]/18</f>
        <v>0.14777777777777779</v>
      </c>
      <c r="BN154" s="235">
        <f>((Table11[[#This Row],[Average DBH
(inches)]]-4)^2)*(Table11[[#This Row],[Average MHT
(Feet)]]/16)</f>
        <v>0.58805899999999989</v>
      </c>
      <c r="BO154" s="235">
        <f>Table11[[#This Row],[Average BF]]*Table11[[#This Row],[2024 '#Trees Inventory + Estimate]]</f>
        <v>189.06096849999997</v>
      </c>
      <c r="BP154" s="240">
        <f>(Table11[[#This Row],[Harvest Year
(10 year)]]-Table11[[#This Row],[Year of Inventory]]+1)*(Table11[[#This Row],[Average DBH
(inches)]]/(Table11[[#This Row],[Harvest Year
(10 year)]]-Table11[[#This Row],[Year of Inventory]]+1))+Table11[[#This Row],[Average DBH
(inches)]]</f>
        <v>5.32</v>
      </c>
      <c r="BQ154" s="235">
        <f>((Table11[[#This Row],[Projected DBH
(Extrapolated Growth/Year)]]-4)^2)*(Table11[[#This Row],[Average MHT
(Feet)]]/16)</f>
        <v>0.57063600000000025</v>
      </c>
      <c r="BR154" s="235">
        <f>Table11[[#This Row],[Projected Average BF]]*Table11[[#This Row],[2024 '#Trees Inventory + Estimate]]</f>
        <v>183.45947400000009</v>
      </c>
      <c r="BS154" s="235">
        <f>196*Table11[[#This Row],[2024 '#Trees Inventory + Estimate]]</f>
        <v>63014</v>
      </c>
      <c r="BT154" s="243">
        <f>Table11[[#This Row],[ETP Offering Expected BF]]-Table11[[#This Row],[Projected Total BF]]</f>
        <v>62830.540525999997</v>
      </c>
      <c r="BU154" s="235">
        <f>(18-Table11[[#This Row],[Average DBH
(inches)]])/(D154-Table11[[#This Row],[Year of Inventory]]+1)</f>
        <v>2.5566666666666666</v>
      </c>
    </row>
    <row r="155" spans="1:73" x14ac:dyDescent="0.25">
      <c r="A155" s="7" t="s">
        <v>862</v>
      </c>
      <c r="B155" s="2">
        <v>2020</v>
      </c>
      <c r="C155" s="2">
        <v>2020</v>
      </c>
      <c r="D155" s="2">
        <f>Table11[[#This Row],[Planting Year]]+9</f>
        <v>2029</v>
      </c>
      <c r="E155" t="s">
        <v>863</v>
      </c>
      <c r="F155" s="161">
        <v>20031</v>
      </c>
      <c r="G155" t="s">
        <v>863</v>
      </c>
      <c r="H155" s="357" t="s">
        <v>864</v>
      </c>
      <c r="I155" t="s">
        <v>155</v>
      </c>
      <c r="J155" s="1" t="s">
        <v>865</v>
      </c>
      <c r="K155" s="1" t="s">
        <v>866</v>
      </c>
      <c r="L155" s="1" t="s">
        <v>867</v>
      </c>
      <c r="M155" s="1" t="s">
        <v>213</v>
      </c>
      <c r="N155" t="s">
        <v>868</v>
      </c>
      <c r="O155">
        <v>10.378710999999999</v>
      </c>
      <c r="P155">
        <v>-83.808141000000006</v>
      </c>
      <c r="Q155" s="2"/>
      <c r="R155" s="86"/>
      <c r="S155" s="2"/>
      <c r="T155" s="1">
        <v>1200</v>
      </c>
      <c r="U155" s="1">
        <v>1200</v>
      </c>
      <c r="V155" s="1" t="str">
        <f>IF(Table11[[#This Row],['#TreesContract]]-Table11[[#This Row],['#Planted]]=0,"",Table11[[#This Row],['#TreesContract]]-Table11[[#This Row],['#Planted]])</f>
        <v/>
      </c>
      <c r="W155" s="2"/>
      <c r="X155" s="34">
        <v>1</v>
      </c>
      <c r="Y155" s="163">
        <f>Table11[[#This Row],['#TreesContract]]*Table11[[#This Row],[USA Allocation %]]</f>
        <v>1200</v>
      </c>
      <c r="Z155" s="163">
        <f>Table11[[#This Row],['#Planted]]*Table11[[#This Row],[USA Allocation %]]</f>
        <v>1200</v>
      </c>
      <c r="AA155" s="34"/>
      <c r="AB155" s="163"/>
      <c r="AC155" s="34"/>
      <c r="AD155" s="163"/>
      <c r="AE155" s="163">
        <f>Table11[[#This Row],[Canada Allocation-tree '#''s]]+Table11[[#This Row],[Can trees/Allocation 2017]]</f>
        <v>0</v>
      </c>
      <c r="AF155" s="5">
        <v>1</v>
      </c>
      <c r="AG155" s="35">
        <v>1200</v>
      </c>
      <c r="AH155" s="35">
        <f>Table11[[#This Row],['#Trees as of 12/31/23]]*Table11[[#This Row],[USA Allocation %]]</f>
        <v>1200</v>
      </c>
      <c r="AI155" s="437">
        <f>Table11[[#This Row],['#TreesContract]]*Table11[[#This Row],[2024 Inventory Survival%-master]]</f>
        <v>1068</v>
      </c>
      <c r="AJ155" s="436">
        <v>0.89</v>
      </c>
      <c r="AK155" s="5">
        <v>0.89</v>
      </c>
      <c r="AL155" s="5">
        <v>0.89</v>
      </c>
      <c r="AM155" s="35">
        <f>AK155*Table11[[#This Row],['#TreesContract]]</f>
        <v>1068</v>
      </c>
      <c r="AN155" s="35">
        <f>Table11[[#This Row],[2024 '#Trees Inventory + Estimate]]*Table11[[#This Row],[USA Allocation %]]</f>
        <v>1068</v>
      </c>
      <c r="AO155" s="35">
        <f>Table11[[#This Row],[2024 '#Trees Inventory + Estimate]]*Table11[[#This Row],[Canada Allocation %]]</f>
        <v>0</v>
      </c>
      <c r="AP155" s="35">
        <f>Table11[[#This Row],[2024 '#Trees Inventory + Estimate]]*Table11[[#This Row],[Canada Allocation2017 %]]</f>
        <v>0</v>
      </c>
      <c r="AQ155" s="35">
        <f>Table11[[#This Row],['#Trees as of 2024/estimate-Can allocation]]+Table11[[#This Row],['#Trees as of 2024/estimate-Can allocation 2017]]</f>
        <v>0</v>
      </c>
      <c r="AR155" s="1" t="s">
        <v>531</v>
      </c>
      <c r="AS155" s="2"/>
      <c r="AT155" s="6">
        <f>IFERROR(Table11[[#This Row],['#Total Replacements]]/Table11[[#This Row],['#TreesContract]],"")</f>
        <v>0.16666666666666666</v>
      </c>
      <c r="AU155" s="4">
        <f>IF(SUM(Table11[[#This Row],['#Replace 24]:['#Replace 16]])=0,0,SUM(Table11[[#This Row],['#Replace 24]:['#Replace 16]]))</f>
        <v>200</v>
      </c>
      <c r="AV155" s="2"/>
      <c r="AW155" s="2"/>
      <c r="AX155" s="3"/>
      <c r="AY155" s="2"/>
      <c r="AZ155" s="2">
        <v>200</v>
      </c>
      <c r="BA155" s="2"/>
      <c r="BB155" s="2"/>
      <c r="BC155" s="2"/>
      <c r="BD155" s="2"/>
      <c r="BE155" s="2"/>
      <c r="BF155" s="3">
        <v>1</v>
      </c>
      <c r="BG155" s="3">
        <v>1</v>
      </c>
      <c r="BH155" s="2">
        <v>2024</v>
      </c>
      <c r="BI155" s="158">
        <v>21.2</v>
      </c>
      <c r="BJ155" s="158">
        <v>12.38</v>
      </c>
      <c r="BK155" s="139">
        <f>Table11[[#This Row],[Average MHT
(Feet)]]/16</f>
        <v>0.77375000000000005</v>
      </c>
      <c r="BL155" s="2">
        <v>4.25</v>
      </c>
      <c r="BM155" s="139">
        <f>Table11[[#This Row],[Average DBH
(inches)]]/18</f>
        <v>0.2361111111111111</v>
      </c>
      <c r="BN155" s="235">
        <f>((Table11[[#This Row],[Average DBH
(inches)]]-4)^2)*(Table11[[#This Row],[Average MHT
(Feet)]]/16)</f>
        <v>4.8359375000000003E-2</v>
      </c>
      <c r="BO155" s="235">
        <f>Table11[[#This Row],[Average BF]]*Table11[[#This Row],[2024 '#Trees Inventory + Estimate]]</f>
        <v>51.647812500000001</v>
      </c>
      <c r="BP155" s="240">
        <f>(Table11[[#This Row],[Harvest Year
(10 year)]]-Table11[[#This Row],[Year of Inventory]]+1)*(Table11[[#This Row],[Average DBH
(inches)]]/(Table11[[#This Row],[Harvest Year
(10 year)]]-Table11[[#This Row],[Year of Inventory]]+1))+Table11[[#This Row],[Average DBH
(inches)]]</f>
        <v>8.5</v>
      </c>
      <c r="BQ155" s="235">
        <f>((Table11[[#This Row],[Projected DBH
(Extrapolated Growth/Year)]]-4)^2)*(Table11[[#This Row],[Average MHT
(Feet)]]/16)</f>
        <v>15.668437500000001</v>
      </c>
      <c r="BR155" s="235">
        <f>Table11[[#This Row],[Projected Average BF]]*Table11[[#This Row],[2024 '#Trees Inventory + Estimate]]</f>
        <v>16733.891250000001</v>
      </c>
      <c r="BS155" s="235">
        <f>196*Table11[[#This Row],[2024 '#Trees Inventory + Estimate]]</f>
        <v>209328</v>
      </c>
      <c r="BT155" s="243">
        <f>Table11[[#This Row],[ETP Offering Expected BF]]-Table11[[#This Row],[Projected Total BF]]</f>
        <v>192594.10875000001</v>
      </c>
      <c r="BU155" s="235">
        <f>(18-Table11[[#This Row],[Average DBH
(inches)]])/(D155-Table11[[#This Row],[Year of Inventory]]+1)</f>
        <v>2.2916666666666665</v>
      </c>
    </row>
    <row r="156" spans="1:73" x14ac:dyDescent="0.25">
      <c r="A156" s="7" t="s">
        <v>869</v>
      </c>
      <c r="B156" s="2">
        <v>2020</v>
      </c>
      <c r="C156" s="2">
        <v>2020</v>
      </c>
      <c r="D156" s="2">
        <f>Table11[[#This Row],[Planting Year]]+9</f>
        <v>2029</v>
      </c>
      <c r="E156" t="s">
        <v>870</v>
      </c>
      <c r="F156" s="161">
        <v>20032</v>
      </c>
      <c r="G156" t="s">
        <v>871</v>
      </c>
      <c r="H156" s="357" t="s">
        <v>872</v>
      </c>
      <c r="I156" t="s">
        <v>147</v>
      </c>
      <c r="J156" s="1" t="s">
        <v>873</v>
      </c>
      <c r="K156" s="1" t="s">
        <v>874</v>
      </c>
      <c r="L156" s="1" t="s">
        <v>875</v>
      </c>
      <c r="M156" s="1" t="s">
        <v>213</v>
      </c>
      <c r="N156" t="s">
        <v>876</v>
      </c>
      <c r="O156">
        <v>10.061023</v>
      </c>
      <c r="P156">
        <v>-83.390801999999994</v>
      </c>
      <c r="Q156" s="2"/>
      <c r="R156" s="86"/>
      <c r="S156" s="2"/>
      <c r="T156" s="1">
        <v>5200</v>
      </c>
      <c r="U156" s="1">
        <v>5200</v>
      </c>
      <c r="V156" s="1" t="str">
        <f>IF(Table11[[#This Row],['#TreesContract]]-Table11[[#This Row],['#Planted]]=0,"",Table11[[#This Row],['#TreesContract]]-Table11[[#This Row],['#Planted]])</f>
        <v/>
      </c>
      <c r="W156" s="2"/>
      <c r="X156" s="34">
        <v>1</v>
      </c>
      <c r="Y156" s="163">
        <f>Table11[[#This Row],['#TreesContract]]*Table11[[#This Row],[USA Allocation %]]</f>
        <v>5200</v>
      </c>
      <c r="Z156" s="163">
        <f>Table11[[#This Row],['#Planted]]*Table11[[#This Row],[USA Allocation %]]</f>
        <v>5200</v>
      </c>
      <c r="AA156" s="34"/>
      <c r="AB156" s="163"/>
      <c r="AC156" s="34"/>
      <c r="AD156" s="163"/>
      <c r="AE156" s="163">
        <f>Table11[[#This Row],[Canada Allocation-tree '#''s]]+Table11[[#This Row],[Can trees/Allocation 2017]]</f>
        <v>0</v>
      </c>
      <c r="AF156" s="5">
        <v>0.82499999999999996</v>
      </c>
      <c r="AG156" s="35">
        <v>4290</v>
      </c>
      <c r="AH156" s="35">
        <f>Table11[[#This Row],['#Trees as of 12/31/23]]*Table11[[#This Row],[USA Allocation %]]</f>
        <v>4290</v>
      </c>
      <c r="AI156" s="404">
        <f>Table11[[#This Row],['#TreesContract]]*Table11[[#This Row],[2024 Inventory Survival%-master]]</f>
        <v>0</v>
      </c>
      <c r="AJ156" s="5"/>
      <c r="AK156" s="5">
        <v>0.82499999999999996</v>
      </c>
      <c r="AL156" s="5">
        <v>0.83</v>
      </c>
      <c r="AM156" s="35">
        <f>AK156*Table11[[#This Row],['#TreesContract]]</f>
        <v>4290</v>
      </c>
      <c r="AN156" s="35">
        <f>Table11[[#This Row],[2024 '#Trees Inventory + Estimate]]*Table11[[#This Row],[USA Allocation %]]</f>
        <v>4290</v>
      </c>
      <c r="AO156" s="35">
        <f>Table11[[#This Row],[2024 '#Trees Inventory + Estimate]]*Table11[[#This Row],[Canada Allocation %]]</f>
        <v>0</v>
      </c>
      <c r="AP156" s="35">
        <f>Table11[[#This Row],[2024 '#Trees Inventory + Estimate]]*Table11[[#This Row],[Canada Allocation2017 %]]</f>
        <v>0</v>
      </c>
      <c r="AQ156" s="35">
        <f>Table11[[#This Row],['#Trees as of 2024/estimate-Can allocation]]+Table11[[#This Row],['#Trees as of 2024/estimate-Can allocation 2017]]</f>
        <v>0</v>
      </c>
      <c r="AR156" s="1" t="s">
        <v>531</v>
      </c>
      <c r="AS156" s="2"/>
      <c r="AT156" s="6">
        <f>IFERROR(Table11[[#This Row],['#Total Replacements]]/Table11[[#This Row],['#TreesContract]],"")</f>
        <v>0</v>
      </c>
      <c r="AU156" s="4">
        <f>IF(SUM(Table11[[#This Row],['#Replace 24]:['#Replace 16]])=0,0,SUM(Table11[[#This Row],['#Replace 24]:['#Replace 16]]))</f>
        <v>0</v>
      </c>
      <c r="AV156" s="2"/>
      <c r="AW156" s="2"/>
      <c r="AX156" s="3"/>
      <c r="AY156" s="2"/>
      <c r="AZ156" s="2"/>
      <c r="BA156" s="2"/>
      <c r="BB156" s="2"/>
      <c r="BC156" s="2"/>
      <c r="BD156" s="2"/>
      <c r="BE156" s="2"/>
      <c r="BF156" s="3">
        <v>1</v>
      </c>
      <c r="BG156" s="3">
        <v>1</v>
      </c>
      <c r="BH156" s="2"/>
      <c r="BI156" s="2"/>
      <c r="BJ156" s="2"/>
      <c r="BK156" s="139">
        <f>Table11[[#This Row],[Average MHT
(Feet)]]/16</f>
        <v>0</v>
      </c>
      <c r="BL156" s="2"/>
      <c r="BM156" s="139">
        <f>Table11[[#This Row],[Average DBH
(inches)]]/18</f>
        <v>0</v>
      </c>
      <c r="BN156" s="235">
        <f>((Table11[[#This Row],[Average DBH
(inches)]]-4)^2)*(Table11[[#This Row],[Average MHT
(Feet)]]/16)</f>
        <v>0</v>
      </c>
      <c r="BO156" s="235">
        <f>Table11[[#This Row],[Average BF]]*Table11[[#This Row],[2024 '#Trees Inventory + Estimate]]</f>
        <v>0</v>
      </c>
      <c r="BP156" s="240">
        <f>(Table11[[#This Row],[Harvest Year
(10 year)]]-Table11[[#This Row],[Year of Inventory]]+1)*(Table11[[#This Row],[Average DBH
(inches)]]/(Table11[[#This Row],[Harvest Year
(10 year)]]-Table11[[#This Row],[Year of Inventory]]+1))+Table11[[#This Row],[Average DBH
(inches)]]</f>
        <v>0</v>
      </c>
      <c r="BQ156" s="235">
        <f>((Table11[[#This Row],[Projected DBH
(Extrapolated Growth/Year)]]-4)^2)*(Table11[[#This Row],[Average MHT
(Feet)]]/16)</f>
        <v>0</v>
      </c>
      <c r="BR156" s="235">
        <f>Table11[[#This Row],[Projected Average BF]]*Table11[[#This Row],[2024 '#Trees Inventory + Estimate]]</f>
        <v>0</v>
      </c>
      <c r="BS156" s="235">
        <f>196*Table11[[#This Row],[2024 '#Trees Inventory + Estimate]]</f>
        <v>840840</v>
      </c>
      <c r="BT156" s="235">
        <f>Table11[[#This Row],[ETP Offering Expected BF]]-Table11[[#This Row],[Projected Total BF]]</f>
        <v>840840</v>
      </c>
      <c r="BU156" s="235">
        <f>(18-Table11[[#This Row],[Average DBH
(inches)]])/(D156-Table11[[#This Row],[Year of Inventory]]+1)</f>
        <v>8.8669950738916262E-3</v>
      </c>
    </row>
    <row r="157" spans="1:73" x14ac:dyDescent="0.25">
      <c r="A157" s="7" t="s">
        <v>877</v>
      </c>
      <c r="B157" s="2">
        <v>2020</v>
      </c>
      <c r="C157" s="2">
        <v>2020</v>
      </c>
      <c r="D157" s="2">
        <f>Table11[[#This Row],[Planting Year]]+9</f>
        <v>2029</v>
      </c>
      <c r="E157" t="s">
        <v>878</v>
      </c>
      <c r="F157" s="161">
        <v>20033</v>
      </c>
      <c r="G157" t="s">
        <v>879</v>
      </c>
      <c r="H157" s="357" t="s">
        <v>880</v>
      </c>
      <c r="I157" t="s">
        <v>155</v>
      </c>
      <c r="J157" s="1" t="s">
        <v>881</v>
      </c>
      <c r="K157" s="1" t="s">
        <v>882</v>
      </c>
      <c r="L157" s="1" t="s">
        <v>883</v>
      </c>
      <c r="M157" s="1" t="s">
        <v>213</v>
      </c>
      <c r="N157" t="s">
        <v>883</v>
      </c>
      <c r="O157">
        <v>10.10031</v>
      </c>
      <c r="P157">
        <v>-83.383077999999998</v>
      </c>
      <c r="Q157" s="2"/>
      <c r="R157" s="86"/>
      <c r="S157" s="2"/>
      <c r="T157" s="1">
        <v>4000</v>
      </c>
      <c r="U157" s="1">
        <v>4000</v>
      </c>
      <c r="V157" s="1" t="str">
        <f>IF(Table11[[#This Row],['#TreesContract]]-Table11[[#This Row],['#Planted]]=0,"",Table11[[#This Row],['#TreesContract]]-Table11[[#This Row],['#Planted]])</f>
        <v/>
      </c>
      <c r="W157" s="2"/>
      <c r="X157" s="34">
        <v>1</v>
      </c>
      <c r="Y157" s="163">
        <f>Table11[[#This Row],['#TreesContract]]*Table11[[#This Row],[USA Allocation %]]</f>
        <v>4000</v>
      </c>
      <c r="Z157" s="163">
        <f>Table11[[#This Row],['#Planted]]*Table11[[#This Row],[USA Allocation %]]</f>
        <v>4000</v>
      </c>
      <c r="AA157" s="34"/>
      <c r="AB157" s="163"/>
      <c r="AC157" s="34"/>
      <c r="AD157" s="163"/>
      <c r="AE157" s="163">
        <f>Table11[[#This Row],[Canada Allocation-tree '#''s]]+Table11[[#This Row],[Can trees/Allocation 2017]]</f>
        <v>0</v>
      </c>
      <c r="AF157" s="5">
        <v>0.95</v>
      </c>
      <c r="AG157" s="35">
        <v>3800</v>
      </c>
      <c r="AH157" s="35">
        <f>Table11[[#This Row],['#Trees as of 12/31/23]]*Table11[[#This Row],[USA Allocation %]]</f>
        <v>3800</v>
      </c>
      <c r="AI157" s="437">
        <f>Table11[[#This Row],['#TreesContract]]*Table11[[#This Row],[2024 Inventory Survival%-master]]</f>
        <v>0</v>
      </c>
      <c r="AJ157" s="436"/>
      <c r="AK157" s="5">
        <v>0.95</v>
      </c>
      <c r="AL157" s="5">
        <v>0.95</v>
      </c>
      <c r="AM157" s="35">
        <f>AK157*Table11[[#This Row],['#TreesContract]]</f>
        <v>3800</v>
      </c>
      <c r="AN157" s="35">
        <f>Table11[[#This Row],[2024 '#Trees Inventory + Estimate]]*Table11[[#This Row],[USA Allocation %]]</f>
        <v>3800</v>
      </c>
      <c r="AO157" s="35">
        <f>Table11[[#This Row],[2024 '#Trees Inventory + Estimate]]*Table11[[#This Row],[Canada Allocation %]]</f>
        <v>0</v>
      </c>
      <c r="AP157" s="35">
        <f>Table11[[#This Row],[2024 '#Trees Inventory + Estimate]]*Table11[[#This Row],[Canada Allocation2017 %]]</f>
        <v>0</v>
      </c>
      <c r="AQ157" s="35">
        <f>Table11[[#This Row],['#Trees as of 2024/estimate-Can allocation]]+Table11[[#This Row],['#Trees as of 2024/estimate-Can allocation 2017]]</f>
        <v>0</v>
      </c>
      <c r="AR157" s="1" t="s">
        <v>531</v>
      </c>
      <c r="AS157" s="2"/>
      <c r="AT157" s="6">
        <f>IFERROR(Table11[[#This Row],['#Total Replacements]]/Table11[[#This Row],['#TreesContract]],"")</f>
        <v>0.1</v>
      </c>
      <c r="AU157" s="4">
        <f>IF(SUM(Table11[[#This Row],['#Replace 24]:['#Replace 16]])=0,0,SUM(Table11[[#This Row],['#Replace 24]:['#Replace 16]]))</f>
        <v>400</v>
      </c>
      <c r="AV157" s="2"/>
      <c r="AW157" s="2"/>
      <c r="AX157" s="3"/>
      <c r="AY157" s="2"/>
      <c r="AZ157" s="2"/>
      <c r="BA157" s="2">
        <v>400</v>
      </c>
      <c r="BB157" s="2"/>
      <c r="BC157" s="2"/>
      <c r="BD157" s="2"/>
      <c r="BE157" s="2"/>
      <c r="BF157" s="3">
        <v>1</v>
      </c>
      <c r="BG157" s="3">
        <v>1</v>
      </c>
      <c r="BH157" s="2"/>
      <c r="BI157" s="2"/>
      <c r="BJ157" s="2"/>
      <c r="BK157" s="139">
        <f>Table11[[#This Row],[Average MHT
(Feet)]]/16</f>
        <v>0</v>
      </c>
      <c r="BL157" s="2"/>
      <c r="BM157" s="139">
        <f>Table11[[#This Row],[Average DBH
(inches)]]/18</f>
        <v>0</v>
      </c>
      <c r="BN157" s="235">
        <f>((Table11[[#This Row],[Average DBH
(inches)]]-4)^2)*(Table11[[#This Row],[Average MHT
(Feet)]]/16)</f>
        <v>0</v>
      </c>
      <c r="BO157" s="235">
        <f>Table11[[#This Row],[Average BF]]*Table11[[#This Row],[2024 '#Trees Inventory + Estimate]]</f>
        <v>0</v>
      </c>
      <c r="BP157" s="240">
        <f>(Table11[[#This Row],[Harvest Year
(10 year)]]-Table11[[#This Row],[Year of Inventory]]+1)*(Table11[[#This Row],[Average DBH
(inches)]]/(Table11[[#This Row],[Harvest Year
(10 year)]]-Table11[[#This Row],[Year of Inventory]]+1))+Table11[[#This Row],[Average DBH
(inches)]]</f>
        <v>0</v>
      </c>
      <c r="BQ157" s="235">
        <f>((Table11[[#This Row],[Projected DBH
(Extrapolated Growth/Year)]]-4)^2)*(Table11[[#This Row],[Average MHT
(Feet)]]/16)</f>
        <v>0</v>
      </c>
      <c r="BR157" s="235">
        <f>Table11[[#This Row],[Projected Average BF]]*Table11[[#This Row],[2024 '#Trees Inventory + Estimate]]</f>
        <v>0</v>
      </c>
      <c r="BS157" s="235">
        <f>196*Table11[[#This Row],[2024 '#Trees Inventory + Estimate]]</f>
        <v>744800</v>
      </c>
      <c r="BT157" s="243">
        <f>Table11[[#This Row],[ETP Offering Expected BF]]-Table11[[#This Row],[Projected Total BF]]</f>
        <v>744800</v>
      </c>
      <c r="BU157" s="235">
        <f>(18-Table11[[#This Row],[Average DBH
(inches)]])/(D157-Table11[[#This Row],[Year of Inventory]]+1)</f>
        <v>8.8669950738916262E-3</v>
      </c>
    </row>
    <row r="158" spans="1:73" x14ac:dyDescent="0.25">
      <c r="A158" s="7" t="s">
        <v>884</v>
      </c>
      <c r="B158" s="2">
        <v>2020</v>
      </c>
      <c r="C158" s="2">
        <v>2020</v>
      </c>
      <c r="D158" s="2">
        <v>0</v>
      </c>
      <c r="E158" t="s">
        <v>885</v>
      </c>
      <c r="F158" s="161">
        <v>20034</v>
      </c>
      <c r="G158" t="s">
        <v>885</v>
      </c>
      <c r="H158" s="357"/>
      <c r="I158" t="s">
        <v>160</v>
      </c>
      <c r="J158" s="1"/>
      <c r="K158" s="1"/>
      <c r="L158" s="1"/>
      <c r="M158" s="1" t="s">
        <v>213</v>
      </c>
      <c r="Q158" s="2"/>
      <c r="R158" s="86"/>
      <c r="S158" s="2"/>
      <c r="T158" s="1">
        <v>1200</v>
      </c>
      <c r="U158" s="1">
        <v>1200</v>
      </c>
      <c r="V158" s="1" t="str">
        <f>IF(Table11[[#This Row],['#TreesContract]]-Table11[[#This Row],['#Planted]]=0,"",Table11[[#This Row],['#TreesContract]]-Table11[[#This Row],['#Planted]])</f>
        <v/>
      </c>
      <c r="W158" s="2"/>
      <c r="X158" s="34">
        <v>1</v>
      </c>
      <c r="Y158" s="163">
        <f>Table11[[#This Row],['#TreesContract]]*Table11[[#This Row],[USA Allocation %]]</f>
        <v>1200</v>
      </c>
      <c r="Z158" s="163">
        <f>Table11[[#This Row],['#Planted]]*Table11[[#This Row],[USA Allocation %]]</f>
        <v>1200</v>
      </c>
      <c r="AA158" s="34"/>
      <c r="AB158" s="163"/>
      <c r="AC158" s="34"/>
      <c r="AD158" s="163"/>
      <c r="AE158" s="163">
        <f>Table11[[#This Row],[Canada Allocation-tree '#''s]]+Table11[[#This Row],[Can trees/Allocation 2017]]</f>
        <v>0</v>
      </c>
      <c r="AF158" s="5">
        <v>0</v>
      </c>
      <c r="AG158" s="35">
        <v>0</v>
      </c>
      <c r="AH158" s="35">
        <f>Table11[[#This Row],['#Trees as of 12/31/23]]*Table11[[#This Row],[USA Allocation %]]</f>
        <v>0</v>
      </c>
      <c r="AI158" s="404">
        <f>Table11[[#This Row],['#TreesContract]]*Table11[[#This Row],[2024 Inventory Survival%-master]]</f>
        <v>0</v>
      </c>
      <c r="AJ158" s="5">
        <v>0</v>
      </c>
      <c r="AK158" s="5">
        <v>0</v>
      </c>
      <c r="AL158" s="5">
        <v>0</v>
      </c>
      <c r="AM158" s="35">
        <f>AK158*Table11[[#This Row],['#TreesContract]]</f>
        <v>0</v>
      </c>
      <c r="AN158" s="35">
        <f>Table11[[#This Row],[2024 '#Trees Inventory + Estimate]]*Table11[[#This Row],[USA Allocation %]]</f>
        <v>0</v>
      </c>
      <c r="AO158" s="35">
        <f>Table11[[#This Row],[2024 '#Trees Inventory + Estimate]]*Table11[[#This Row],[Canada Allocation %]]</f>
        <v>0</v>
      </c>
      <c r="AP158" s="35">
        <f>Table11[[#This Row],[2024 '#Trees Inventory + Estimate]]*Table11[[#This Row],[Canada Allocation2017 %]]</f>
        <v>0</v>
      </c>
      <c r="AQ158" s="35">
        <f>Table11[[#This Row],['#Trees as of 2024/estimate-Can allocation]]+Table11[[#This Row],['#Trees as of 2024/estimate-Can allocation 2017]]</f>
        <v>0</v>
      </c>
      <c r="AR158" s="1" t="s">
        <v>531</v>
      </c>
      <c r="AS158" s="2"/>
      <c r="AT158" s="6">
        <f>IFERROR(Table11[[#This Row],['#Total Replacements]]/Table11[[#This Row],['#TreesContract]],"")</f>
        <v>0</v>
      </c>
      <c r="AU158" s="4">
        <f>IF(SUM(Table11[[#This Row],['#Replace 24]:['#Replace 16]])=0,0,SUM(Table11[[#This Row],['#Replace 24]:['#Replace 16]]))</f>
        <v>0</v>
      </c>
      <c r="AV158" s="2"/>
      <c r="AW158" s="2"/>
      <c r="AX158" s="3"/>
      <c r="AY158" s="2"/>
      <c r="AZ158" s="2"/>
      <c r="BA158" s="2">
        <v>0</v>
      </c>
      <c r="BB158" s="2"/>
      <c r="BC158" s="2"/>
      <c r="BD158" s="2"/>
      <c r="BE158" s="2"/>
      <c r="BF158" s="3">
        <v>1</v>
      </c>
      <c r="BG158" s="3">
        <v>1</v>
      </c>
      <c r="BH158" s="2"/>
      <c r="BI158" s="158"/>
      <c r="BJ158" s="158"/>
      <c r="BK158" s="139">
        <f>Table11[[#This Row],[Average MHT
(Feet)]]/16</f>
        <v>0</v>
      </c>
      <c r="BL158" s="2"/>
      <c r="BM158" s="139">
        <f>Table11[[#This Row],[Average DBH
(inches)]]/18</f>
        <v>0</v>
      </c>
      <c r="BN158" s="235">
        <f>((Table11[[#This Row],[Average DBH
(inches)]]-4)^2)*(Table11[[#This Row],[Average MHT
(Feet)]]/16)</f>
        <v>0</v>
      </c>
      <c r="BO158" s="235">
        <f>Table11[[#This Row],[Average BF]]*Table11[[#This Row],[2024 '#Trees Inventory + Estimate]]</f>
        <v>0</v>
      </c>
      <c r="BP158" s="240">
        <f>(Table11[[#This Row],[Harvest Year
(10 year)]]-Table11[[#This Row],[Year of Inventory]]+1)*(Table11[[#This Row],[Average DBH
(inches)]]/(Table11[[#This Row],[Harvest Year
(10 year)]]-Table11[[#This Row],[Year of Inventory]]+1))+Table11[[#This Row],[Average DBH
(inches)]]</f>
        <v>0</v>
      </c>
      <c r="BQ158" s="235">
        <f>((Table11[[#This Row],[Projected DBH
(Extrapolated Growth/Year)]]-4)^2)*(Table11[[#This Row],[Average MHT
(Feet)]]/16)</f>
        <v>0</v>
      </c>
      <c r="BR158" s="235">
        <f>Table11[[#This Row],[Projected Average BF]]*Table11[[#This Row],[2024 '#Trees Inventory + Estimate]]</f>
        <v>0</v>
      </c>
      <c r="BS158" s="235">
        <f>196*Table11[[#This Row],[2024 '#Trees Inventory + Estimate]]</f>
        <v>0</v>
      </c>
      <c r="BT158" s="235">
        <f>Table11[[#This Row],[ETP Offering Expected BF]]-Table11[[#This Row],[Projected Total BF]]</f>
        <v>0</v>
      </c>
      <c r="BU158" s="235">
        <f>(18-Table11[[#This Row],[Average DBH
(inches)]])/(D158-Table11[[#This Row],[Year of Inventory]]+1)</f>
        <v>18</v>
      </c>
    </row>
    <row r="159" spans="1:73" x14ac:dyDescent="0.25">
      <c r="A159" s="7" t="s">
        <v>886</v>
      </c>
      <c r="B159" s="2">
        <v>2020</v>
      </c>
      <c r="C159" s="2">
        <v>2020</v>
      </c>
      <c r="D159" s="2">
        <f>Table11[[#This Row],[Planting Year]]+9</f>
        <v>2029</v>
      </c>
      <c r="E159" t="s">
        <v>887</v>
      </c>
      <c r="F159" s="161">
        <v>20035</v>
      </c>
      <c r="G159" t="s">
        <v>888</v>
      </c>
      <c r="H159" s="357" t="s">
        <v>889</v>
      </c>
      <c r="I159" t="s">
        <v>147</v>
      </c>
      <c r="J159" s="1" t="s">
        <v>890</v>
      </c>
      <c r="K159" s="1" t="s">
        <v>891</v>
      </c>
      <c r="L159" s="1" t="s">
        <v>892</v>
      </c>
      <c r="M159" s="1" t="s">
        <v>213</v>
      </c>
      <c r="N159" t="s">
        <v>893</v>
      </c>
      <c r="O159">
        <v>9.814743</v>
      </c>
      <c r="P159">
        <v>-84.175211000000004</v>
      </c>
      <c r="Q159" s="2"/>
      <c r="R159" s="86"/>
      <c r="S159" s="2"/>
      <c r="T159" s="1">
        <v>700</v>
      </c>
      <c r="U159" s="1">
        <v>700</v>
      </c>
      <c r="V159" s="1" t="str">
        <f>IF(Table11[[#This Row],['#TreesContract]]-Table11[[#This Row],['#Planted]]=0,"",Table11[[#This Row],['#TreesContract]]-Table11[[#This Row],['#Planted]])</f>
        <v/>
      </c>
      <c r="W159" s="2"/>
      <c r="X159" s="34">
        <v>1</v>
      </c>
      <c r="Y159" s="163">
        <f>Table11[[#This Row],['#TreesContract]]*Table11[[#This Row],[USA Allocation %]]</f>
        <v>700</v>
      </c>
      <c r="Z159" s="163">
        <f>Table11[[#This Row],['#Planted]]*Table11[[#This Row],[USA Allocation %]]</f>
        <v>700</v>
      </c>
      <c r="AA159" s="34"/>
      <c r="AB159" s="163"/>
      <c r="AC159" s="34"/>
      <c r="AD159" s="163"/>
      <c r="AE159" s="163">
        <f>Table11[[#This Row],[Canada Allocation-tree '#''s]]+Table11[[#This Row],[Can trees/Allocation 2017]]</f>
        <v>0</v>
      </c>
      <c r="AF159" s="5">
        <v>0.82499999999999996</v>
      </c>
      <c r="AG159" s="35">
        <v>577.5</v>
      </c>
      <c r="AH159" s="35">
        <f>Table11[[#This Row],['#Trees as of 12/31/23]]*Table11[[#This Row],[USA Allocation %]]</f>
        <v>577.5</v>
      </c>
      <c r="AI159" s="404">
        <f>Table11[[#This Row],['#TreesContract]]*Table11[[#This Row],[2024 Inventory Survival%-master]]</f>
        <v>369.6</v>
      </c>
      <c r="AJ159" s="5">
        <v>0.52800000000000002</v>
      </c>
      <c r="AK159" s="5">
        <v>0.53</v>
      </c>
      <c r="AL159" s="5">
        <v>0.53</v>
      </c>
      <c r="AM159" s="35">
        <f>AK159*Table11[[#This Row],['#TreesContract]]</f>
        <v>371</v>
      </c>
      <c r="AN159" s="35">
        <f>Table11[[#This Row],[2024 '#Trees Inventory + Estimate]]*Table11[[#This Row],[USA Allocation %]]</f>
        <v>371</v>
      </c>
      <c r="AO159" s="35">
        <f>Table11[[#This Row],[2024 '#Trees Inventory + Estimate]]*Table11[[#This Row],[Canada Allocation %]]</f>
        <v>0</v>
      </c>
      <c r="AP159" s="35">
        <f>Table11[[#This Row],[2024 '#Trees Inventory + Estimate]]*Table11[[#This Row],[Canada Allocation2017 %]]</f>
        <v>0</v>
      </c>
      <c r="AQ159" s="35">
        <f>Table11[[#This Row],['#Trees as of 2024/estimate-Can allocation]]+Table11[[#This Row],['#Trees as of 2024/estimate-Can allocation 2017]]</f>
        <v>0</v>
      </c>
      <c r="AR159" s="1" t="s">
        <v>531</v>
      </c>
      <c r="AS159" s="2"/>
      <c r="AT159" s="6">
        <f>IFERROR(Table11[[#This Row],['#Total Replacements]]/Table11[[#This Row],['#TreesContract]],"")</f>
        <v>0.14285714285714285</v>
      </c>
      <c r="AU159" s="4">
        <f>IF(SUM(Table11[[#This Row],['#Replace 24]:['#Replace 16]])=0,0,SUM(Table11[[#This Row],['#Replace 24]:['#Replace 16]]))</f>
        <v>100</v>
      </c>
      <c r="AV159" s="2"/>
      <c r="AW159" s="2"/>
      <c r="AX159" s="3"/>
      <c r="AY159" s="2"/>
      <c r="AZ159" s="2">
        <v>100</v>
      </c>
      <c r="BA159" s="2"/>
      <c r="BB159" s="2"/>
      <c r="BC159" s="2"/>
      <c r="BD159" s="2"/>
      <c r="BE159" s="2"/>
      <c r="BF159" s="3">
        <v>1</v>
      </c>
      <c r="BG159" s="3">
        <v>1</v>
      </c>
      <c r="BH159" s="2">
        <v>2024</v>
      </c>
      <c r="BI159" s="2">
        <v>9.2899999999999991</v>
      </c>
      <c r="BJ159" s="2">
        <v>5.35</v>
      </c>
      <c r="BK159" s="139">
        <f>Table11[[#This Row],[Average MHT
(Feet)]]/16</f>
        <v>0.33437499999999998</v>
      </c>
      <c r="BL159" s="2">
        <v>1.35</v>
      </c>
      <c r="BM159" s="139">
        <f>Table11[[#This Row],[Average DBH
(inches)]]/18</f>
        <v>7.5000000000000011E-2</v>
      </c>
      <c r="BN159" s="235">
        <f>((Table11[[#This Row],[Average DBH
(inches)]]-4)^2)*(Table11[[#This Row],[Average MHT
(Feet)]]/16)</f>
        <v>2.3481484374999999</v>
      </c>
      <c r="BO159" s="235">
        <f>Table11[[#This Row],[Average BF]]*Table11[[#This Row],[2024 '#Trees Inventory + Estimate]]</f>
        <v>871.16307031249994</v>
      </c>
      <c r="BP159" s="240">
        <f>(Table11[[#This Row],[Harvest Year
(10 year)]]-Table11[[#This Row],[Year of Inventory]]+1)*(Table11[[#This Row],[Average DBH
(inches)]]/(Table11[[#This Row],[Harvest Year
(10 year)]]-Table11[[#This Row],[Year of Inventory]]+1))+Table11[[#This Row],[Average DBH
(inches)]]</f>
        <v>2.7</v>
      </c>
      <c r="BQ159" s="235">
        <f>((Table11[[#This Row],[Projected DBH
(Extrapolated Growth/Year)]]-4)^2)*(Table11[[#This Row],[Average MHT
(Feet)]]/16)</f>
        <v>0.56509374999999984</v>
      </c>
      <c r="BR159" s="235">
        <f>Table11[[#This Row],[Projected Average BF]]*Table11[[#This Row],[2024 '#Trees Inventory + Estimate]]</f>
        <v>209.64978124999993</v>
      </c>
      <c r="BS159" s="235">
        <f>196*Table11[[#This Row],[2024 '#Trees Inventory + Estimate]]</f>
        <v>72716</v>
      </c>
      <c r="BT159" s="235">
        <f>Table11[[#This Row],[ETP Offering Expected BF]]-Table11[[#This Row],[Projected Total BF]]</f>
        <v>72506.350218749998</v>
      </c>
      <c r="BU159" s="235">
        <f>(18-Table11[[#This Row],[Average DBH
(inches)]])/(D159-Table11[[#This Row],[Year of Inventory]]+1)</f>
        <v>2.7749999999999999</v>
      </c>
    </row>
    <row r="160" spans="1:73" x14ac:dyDescent="0.25">
      <c r="A160" s="7" t="s">
        <v>894</v>
      </c>
      <c r="B160" s="2">
        <v>2020</v>
      </c>
      <c r="C160" s="2">
        <v>2020</v>
      </c>
      <c r="D160" s="2">
        <f>Table11[[#This Row],[Planting Year]]+9</f>
        <v>2029</v>
      </c>
      <c r="E160" t="s">
        <v>895</v>
      </c>
      <c r="F160" s="161">
        <v>20036</v>
      </c>
      <c r="G160" t="s">
        <v>896</v>
      </c>
      <c r="H160" s="357" t="s">
        <v>897</v>
      </c>
      <c r="I160" t="s">
        <v>155</v>
      </c>
      <c r="J160" s="1" t="s">
        <v>898</v>
      </c>
      <c r="K160" s="1" t="s">
        <v>899</v>
      </c>
      <c r="L160" s="1" t="s">
        <v>900</v>
      </c>
      <c r="M160" s="1" t="s">
        <v>213</v>
      </c>
      <c r="N160" t="s">
        <v>900</v>
      </c>
      <c r="O160">
        <v>9.9372799999999994</v>
      </c>
      <c r="P160">
        <v>-84.444672999999995</v>
      </c>
      <c r="Q160" s="2"/>
      <c r="R160" s="86"/>
      <c r="S160" s="2"/>
      <c r="T160" s="1">
        <v>730</v>
      </c>
      <c r="U160" s="1">
        <v>730</v>
      </c>
      <c r="V160" s="1" t="str">
        <f>IF(Table11[[#This Row],['#TreesContract]]-Table11[[#This Row],['#Planted]]=0,"",Table11[[#This Row],['#TreesContract]]-Table11[[#This Row],['#Planted]])</f>
        <v/>
      </c>
      <c r="W160" s="2"/>
      <c r="X160" s="34">
        <v>1</v>
      </c>
      <c r="Y160" s="163">
        <f>Table11[[#This Row],['#TreesContract]]*Table11[[#This Row],[USA Allocation %]]</f>
        <v>730</v>
      </c>
      <c r="Z160" s="163">
        <f>Table11[[#This Row],['#Planted]]*Table11[[#This Row],[USA Allocation %]]</f>
        <v>730</v>
      </c>
      <c r="AA160" s="34"/>
      <c r="AB160" s="163"/>
      <c r="AC160" s="34"/>
      <c r="AD160" s="163"/>
      <c r="AE160" s="163">
        <f>Table11[[#This Row],[Canada Allocation-tree '#''s]]+Table11[[#This Row],[Can trees/Allocation 2017]]</f>
        <v>0</v>
      </c>
      <c r="AF160" s="5">
        <v>0.95</v>
      </c>
      <c r="AG160" s="35">
        <v>693.5</v>
      </c>
      <c r="AH160" s="35">
        <f>Table11[[#This Row],['#Trees as of 12/31/23]]*Table11[[#This Row],[USA Allocation %]]</f>
        <v>693.5</v>
      </c>
      <c r="AI160" s="437">
        <f>Table11[[#This Row],['#TreesContract]]*Table11[[#This Row],[2024 Inventory Survival%-master]]</f>
        <v>680.36</v>
      </c>
      <c r="AJ160" s="436">
        <v>0.93200000000000005</v>
      </c>
      <c r="AK160" s="5">
        <v>0.93</v>
      </c>
      <c r="AL160" s="5">
        <v>0.93</v>
      </c>
      <c r="AM160" s="35">
        <f>AK160*Table11[[#This Row],['#TreesContract]]</f>
        <v>678.90000000000009</v>
      </c>
      <c r="AN160" s="35">
        <f>Table11[[#This Row],[2024 '#Trees Inventory + Estimate]]*Table11[[#This Row],[USA Allocation %]]</f>
        <v>678.90000000000009</v>
      </c>
      <c r="AO160" s="35">
        <f>Table11[[#This Row],[2024 '#Trees Inventory + Estimate]]*Table11[[#This Row],[Canada Allocation %]]</f>
        <v>0</v>
      </c>
      <c r="AP160" s="35">
        <f>Table11[[#This Row],[2024 '#Trees Inventory + Estimate]]*Table11[[#This Row],[Canada Allocation2017 %]]</f>
        <v>0</v>
      </c>
      <c r="AQ160" s="35">
        <f>Table11[[#This Row],['#Trees as of 2024/estimate-Can allocation]]+Table11[[#This Row],['#Trees as of 2024/estimate-Can allocation 2017]]</f>
        <v>0</v>
      </c>
      <c r="AR160" s="1" t="s">
        <v>531</v>
      </c>
      <c r="AS160" s="2"/>
      <c r="AT160" s="6">
        <f>IFERROR(Table11[[#This Row],['#Total Replacements]]/Table11[[#This Row],['#TreesContract]],"")</f>
        <v>0</v>
      </c>
      <c r="AU160" s="4">
        <f>IF(SUM(Table11[[#This Row],['#Replace 24]:['#Replace 16]])=0,0,SUM(Table11[[#This Row],['#Replace 24]:['#Replace 16]]))</f>
        <v>0</v>
      </c>
      <c r="AV160" s="2"/>
      <c r="AW160" s="2"/>
      <c r="AX160" s="3"/>
      <c r="AY160" s="2"/>
      <c r="AZ160" s="2"/>
      <c r="BA160" s="2"/>
      <c r="BB160" s="2"/>
      <c r="BC160" s="2"/>
      <c r="BD160" s="2"/>
      <c r="BE160" s="2"/>
      <c r="BF160" s="3">
        <v>1</v>
      </c>
      <c r="BG160" s="3">
        <v>1</v>
      </c>
      <c r="BH160" s="2">
        <v>2024</v>
      </c>
      <c r="BI160" s="158">
        <v>21.05</v>
      </c>
      <c r="BJ160" s="158">
        <v>12.67</v>
      </c>
      <c r="BK160" s="139">
        <f>Table11[[#This Row],[Average MHT
(Feet)]]/16</f>
        <v>0.791875</v>
      </c>
      <c r="BL160" s="2">
        <v>4.45</v>
      </c>
      <c r="BM160" s="139">
        <f>Table11[[#This Row],[Average DBH
(inches)]]/18</f>
        <v>0.24722222222222223</v>
      </c>
      <c r="BN160" s="235">
        <f>((Table11[[#This Row],[Average DBH
(inches)]]-4)^2)*(Table11[[#This Row],[Average MHT
(Feet)]]/16)</f>
        <v>0.16035468750000012</v>
      </c>
      <c r="BO160" s="235">
        <f>Table11[[#This Row],[Average BF]]*Table11[[#This Row],[2024 '#Trees Inventory + Estimate]]</f>
        <v>108.8647973437501</v>
      </c>
      <c r="BP160" s="240">
        <f>(Table11[[#This Row],[Harvest Year
(10 year)]]-Table11[[#This Row],[Year of Inventory]]+1)*(Table11[[#This Row],[Average DBH
(inches)]]/(Table11[[#This Row],[Harvest Year
(10 year)]]-Table11[[#This Row],[Year of Inventory]]+1))+Table11[[#This Row],[Average DBH
(inches)]]</f>
        <v>8.9</v>
      </c>
      <c r="BQ160" s="235">
        <f>((Table11[[#This Row],[Projected DBH
(Extrapolated Growth/Year)]]-4)^2)*(Table11[[#This Row],[Average MHT
(Feet)]]/16)</f>
        <v>19.012918750000004</v>
      </c>
      <c r="BR160" s="235">
        <f>Table11[[#This Row],[Projected Average BF]]*Table11[[#This Row],[2024 '#Trees Inventory + Estimate]]</f>
        <v>12907.870539375004</v>
      </c>
      <c r="BS160" s="235">
        <f>196*Table11[[#This Row],[2024 '#Trees Inventory + Estimate]]</f>
        <v>133064.40000000002</v>
      </c>
      <c r="BT160" s="243">
        <f>Table11[[#This Row],[ETP Offering Expected BF]]-Table11[[#This Row],[Projected Total BF]]</f>
        <v>120156.52946062502</v>
      </c>
      <c r="BU160" s="235">
        <f>(18-Table11[[#This Row],[Average DBH
(inches)]])/(D160-Table11[[#This Row],[Year of Inventory]]+1)</f>
        <v>2.2583333333333333</v>
      </c>
    </row>
    <row r="161" spans="1:73" x14ac:dyDescent="0.25">
      <c r="A161" s="7" t="s">
        <v>901</v>
      </c>
      <c r="B161" s="2">
        <v>2020</v>
      </c>
      <c r="C161" s="2">
        <v>2020</v>
      </c>
      <c r="D161" s="2">
        <v>0</v>
      </c>
      <c r="E161" t="s">
        <v>902</v>
      </c>
      <c r="F161" s="161">
        <v>20037</v>
      </c>
      <c r="G161" t="s">
        <v>902</v>
      </c>
      <c r="H161" s="357" t="s">
        <v>903</v>
      </c>
      <c r="I161" t="s">
        <v>160</v>
      </c>
      <c r="J161" s="1" t="s">
        <v>904</v>
      </c>
      <c r="K161" s="1" t="s">
        <v>905</v>
      </c>
      <c r="L161" s="1" t="s">
        <v>906</v>
      </c>
      <c r="M161" s="1" t="s">
        <v>213</v>
      </c>
      <c r="N161" t="s">
        <v>907</v>
      </c>
      <c r="O161">
        <v>10.250052999999999</v>
      </c>
      <c r="P161">
        <v>-84.877632000000006</v>
      </c>
      <c r="Q161" s="2"/>
      <c r="R161" s="86"/>
      <c r="S161" s="2"/>
      <c r="T161" s="1">
        <v>2000</v>
      </c>
      <c r="U161" s="1">
        <v>2000</v>
      </c>
      <c r="V161" s="1" t="str">
        <f>IF(Table11[[#This Row],['#TreesContract]]-Table11[[#This Row],['#Planted]]=0,"",Table11[[#This Row],['#TreesContract]]-Table11[[#This Row],['#Planted]])</f>
        <v/>
      </c>
      <c r="W161" s="2"/>
      <c r="X161" s="34">
        <v>1</v>
      </c>
      <c r="Y161" s="163">
        <f>Table11[[#This Row],['#TreesContract]]*Table11[[#This Row],[USA Allocation %]]</f>
        <v>2000</v>
      </c>
      <c r="Z161" s="163">
        <f>Table11[[#This Row],['#Planted]]*Table11[[#This Row],[USA Allocation %]]</f>
        <v>2000</v>
      </c>
      <c r="AA161" s="34"/>
      <c r="AB161" s="163"/>
      <c r="AC161" s="34"/>
      <c r="AD161" s="163"/>
      <c r="AE161" s="163">
        <f>Table11[[#This Row],[Canada Allocation-tree '#''s]]+Table11[[#This Row],[Can trees/Allocation 2017]]</f>
        <v>0</v>
      </c>
      <c r="AF161" s="5">
        <v>0</v>
      </c>
      <c r="AG161" s="35">
        <v>0</v>
      </c>
      <c r="AH161" s="35">
        <f>Table11[[#This Row],['#Trees as of 12/31/23]]*Table11[[#This Row],[USA Allocation %]]</f>
        <v>0</v>
      </c>
      <c r="AI161" s="404">
        <f>Table11[[#This Row],['#TreesContract]]*Table11[[#This Row],[2024 Inventory Survival%-master]]</f>
        <v>0</v>
      </c>
      <c r="AJ161" s="5">
        <v>0</v>
      </c>
      <c r="AK161" s="5">
        <v>0</v>
      </c>
      <c r="AL161" s="5">
        <v>0</v>
      </c>
      <c r="AM161" s="35">
        <f>AK161*Table11[[#This Row],['#TreesContract]]</f>
        <v>0</v>
      </c>
      <c r="AN161" s="35">
        <f>Table11[[#This Row],[2024 '#Trees Inventory + Estimate]]*Table11[[#This Row],[USA Allocation %]]</f>
        <v>0</v>
      </c>
      <c r="AO161" s="35">
        <f>Table11[[#This Row],[2024 '#Trees Inventory + Estimate]]*Table11[[#This Row],[Canada Allocation %]]</f>
        <v>0</v>
      </c>
      <c r="AP161" s="35">
        <f>Table11[[#This Row],[2024 '#Trees Inventory + Estimate]]*Table11[[#This Row],[Canada Allocation2017 %]]</f>
        <v>0</v>
      </c>
      <c r="AQ161" s="35">
        <f>Table11[[#This Row],['#Trees as of 2024/estimate-Can allocation]]+Table11[[#This Row],['#Trees as of 2024/estimate-Can allocation 2017]]</f>
        <v>0</v>
      </c>
      <c r="AR161" s="1" t="s">
        <v>531</v>
      </c>
      <c r="AS161" s="2"/>
      <c r="AT161" s="6">
        <f>IFERROR(Table11[[#This Row],['#Total Replacements]]/Table11[[#This Row],['#TreesContract]],"")</f>
        <v>0.4</v>
      </c>
      <c r="AU161" s="4">
        <f>IF(SUM(Table11[[#This Row],['#Replace 24]:['#Replace 16]])=0,0,SUM(Table11[[#This Row],['#Replace 24]:['#Replace 16]]))</f>
        <v>800</v>
      </c>
      <c r="AV161" s="2"/>
      <c r="AW161" s="2"/>
      <c r="AX161" s="3"/>
      <c r="AY161" s="2"/>
      <c r="AZ161" s="2">
        <v>800</v>
      </c>
      <c r="BA161" s="2"/>
      <c r="BB161" s="2"/>
      <c r="BC161" s="2"/>
      <c r="BD161" s="2"/>
      <c r="BE161" s="2"/>
      <c r="BF161" s="3">
        <v>1</v>
      </c>
      <c r="BG161" s="3">
        <v>1</v>
      </c>
      <c r="BH161" s="2"/>
      <c r="BI161" s="158"/>
      <c r="BJ161" s="158"/>
      <c r="BK161" s="139">
        <f>Table11[[#This Row],[Average MHT
(Feet)]]/16</f>
        <v>0</v>
      </c>
      <c r="BL161" s="2"/>
      <c r="BM161" s="139">
        <f>Table11[[#This Row],[Average DBH
(inches)]]/18</f>
        <v>0</v>
      </c>
      <c r="BN161" s="235">
        <f>((Table11[[#This Row],[Average DBH
(inches)]]-4)^2)*(Table11[[#This Row],[Average MHT
(Feet)]]/16)</f>
        <v>0</v>
      </c>
      <c r="BO161" s="235">
        <f>Table11[[#This Row],[Average BF]]*Table11[[#This Row],[2024 '#Trees Inventory + Estimate]]</f>
        <v>0</v>
      </c>
      <c r="BP161" s="240">
        <f>(Table11[[#This Row],[Harvest Year
(10 year)]]-Table11[[#This Row],[Year of Inventory]]+1)*(Table11[[#This Row],[Average DBH
(inches)]]/(Table11[[#This Row],[Harvest Year
(10 year)]]-Table11[[#This Row],[Year of Inventory]]+1))+Table11[[#This Row],[Average DBH
(inches)]]</f>
        <v>0</v>
      </c>
      <c r="BQ161" s="235">
        <f>((Table11[[#This Row],[Projected DBH
(Extrapolated Growth/Year)]]-4)^2)*(Table11[[#This Row],[Average MHT
(Feet)]]/16)</f>
        <v>0</v>
      </c>
      <c r="BR161" s="235">
        <f>Table11[[#This Row],[Projected Average BF]]*Table11[[#This Row],[2024 '#Trees Inventory + Estimate]]</f>
        <v>0</v>
      </c>
      <c r="BS161" s="235">
        <f>196*Table11[[#This Row],[2024 '#Trees Inventory + Estimate]]</f>
        <v>0</v>
      </c>
      <c r="BT161" s="235">
        <f>Table11[[#This Row],[ETP Offering Expected BF]]-Table11[[#This Row],[Projected Total BF]]</f>
        <v>0</v>
      </c>
      <c r="BU161" s="235">
        <f>(18-Table11[[#This Row],[Average DBH
(inches)]])/(D161-Table11[[#This Row],[Year of Inventory]]+1)</f>
        <v>18</v>
      </c>
    </row>
    <row r="162" spans="1:73" x14ac:dyDescent="0.25">
      <c r="A162" s="7" t="s">
        <v>908</v>
      </c>
      <c r="B162" s="2">
        <v>2020</v>
      </c>
      <c r="C162" s="2">
        <v>2020</v>
      </c>
      <c r="D162" s="2">
        <f>Table11[[#This Row],[Planting Year]]+9</f>
        <v>2029</v>
      </c>
      <c r="E162" t="s">
        <v>909</v>
      </c>
      <c r="F162" s="161">
        <v>20038</v>
      </c>
      <c r="G162" t="s">
        <v>910</v>
      </c>
      <c r="H162" s="357" t="s">
        <v>911</v>
      </c>
      <c r="I162" t="s">
        <v>155</v>
      </c>
      <c r="J162" s="1" t="s">
        <v>912</v>
      </c>
      <c r="K162" s="1" t="s">
        <v>913</v>
      </c>
      <c r="L162" s="1" t="s">
        <v>914</v>
      </c>
      <c r="M162" s="1" t="s">
        <v>213</v>
      </c>
      <c r="N162" t="s">
        <v>915</v>
      </c>
      <c r="O162">
        <v>10.770099999999999</v>
      </c>
      <c r="P162">
        <v>-84.514099999999999</v>
      </c>
      <c r="Q162" s="2"/>
      <c r="R162" s="86"/>
      <c r="S162" s="2"/>
      <c r="T162" s="1">
        <v>2980</v>
      </c>
      <c r="U162" s="1">
        <v>2980</v>
      </c>
      <c r="V162" s="1" t="str">
        <f>IF(Table11[[#This Row],['#TreesContract]]-Table11[[#This Row],['#Planted]]=0,"",Table11[[#This Row],['#TreesContract]]-Table11[[#This Row],['#Planted]])</f>
        <v/>
      </c>
      <c r="W162" s="2"/>
      <c r="X162" s="34">
        <v>1</v>
      </c>
      <c r="Y162" s="163">
        <f>Table11[[#This Row],['#TreesContract]]*Table11[[#This Row],[USA Allocation %]]</f>
        <v>2980</v>
      </c>
      <c r="Z162" s="163">
        <f>Table11[[#This Row],['#Planted]]*Table11[[#This Row],[USA Allocation %]]</f>
        <v>2980</v>
      </c>
      <c r="AA162" s="34"/>
      <c r="AB162" s="163"/>
      <c r="AC162" s="34"/>
      <c r="AD162" s="163"/>
      <c r="AE162" s="163">
        <f>Table11[[#This Row],[Canada Allocation-tree '#''s]]+Table11[[#This Row],[Can trees/Allocation 2017]]</f>
        <v>0</v>
      </c>
      <c r="AF162" s="5">
        <v>1</v>
      </c>
      <c r="AG162" s="35">
        <v>2980</v>
      </c>
      <c r="AH162" s="35">
        <f>Table11[[#This Row],['#Trees as of 12/31/23]]*Table11[[#This Row],[USA Allocation %]]</f>
        <v>2980</v>
      </c>
      <c r="AI162" s="437">
        <f>Table11[[#This Row],['#TreesContract]]*Table11[[#This Row],[2024 Inventory Survival%-master]]</f>
        <v>2071.1</v>
      </c>
      <c r="AJ162" s="436">
        <v>0.69499999999999995</v>
      </c>
      <c r="AK162" s="5">
        <v>0.7</v>
      </c>
      <c r="AL162" s="5">
        <v>0.7</v>
      </c>
      <c r="AM162" s="35">
        <f>AK162*Table11[[#This Row],['#TreesContract]]</f>
        <v>2086</v>
      </c>
      <c r="AN162" s="35">
        <f>Table11[[#This Row],[2024 '#Trees Inventory + Estimate]]*Table11[[#This Row],[USA Allocation %]]</f>
        <v>2086</v>
      </c>
      <c r="AO162" s="35">
        <f>Table11[[#This Row],[2024 '#Trees Inventory + Estimate]]*Table11[[#This Row],[Canada Allocation %]]</f>
        <v>0</v>
      </c>
      <c r="AP162" s="35">
        <f>Table11[[#This Row],[2024 '#Trees Inventory + Estimate]]*Table11[[#This Row],[Canada Allocation2017 %]]</f>
        <v>0</v>
      </c>
      <c r="AQ162" s="35">
        <f>Table11[[#This Row],['#Trees as of 2024/estimate-Can allocation]]+Table11[[#This Row],['#Trees as of 2024/estimate-Can allocation 2017]]</f>
        <v>0</v>
      </c>
      <c r="AR162" s="1" t="s">
        <v>531</v>
      </c>
      <c r="AS162" s="2"/>
      <c r="AT162" s="6">
        <f>IFERROR(Table11[[#This Row],['#Total Replacements]]/Table11[[#This Row],['#TreesContract]],"")</f>
        <v>0.34563758389261745</v>
      </c>
      <c r="AU162" s="4">
        <f>IF(SUM(Table11[[#This Row],['#Replace 24]:['#Replace 16]])=0,0,SUM(Table11[[#This Row],['#Replace 24]:['#Replace 16]]))</f>
        <v>1030</v>
      </c>
      <c r="AV162" s="2"/>
      <c r="AW162" s="2"/>
      <c r="AX162" s="3"/>
      <c r="AY162" s="2">
        <v>375</v>
      </c>
      <c r="AZ162" s="2"/>
      <c r="BA162" s="2">
        <v>655</v>
      </c>
      <c r="BB162" s="2"/>
      <c r="BC162" s="2"/>
      <c r="BD162" s="2"/>
      <c r="BE162" s="2"/>
      <c r="BF162" s="3">
        <v>1</v>
      </c>
      <c r="BG162" s="3">
        <v>1</v>
      </c>
      <c r="BH162" s="2">
        <v>2024</v>
      </c>
      <c r="BI162" s="2">
        <v>13.92</v>
      </c>
      <c r="BJ162" s="2">
        <v>11.31</v>
      </c>
      <c r="BK162" s="139">
        <f>Table11[[#This Row],[Average MHT
(Feet)]]/16</f>
        <v>0.70687500000000003</v>
      </c>
      <c r="BL162" s="2">
        <v>2.4300000000000002</v>
      </c>
      <c r="BM162" s="139">
        <f>Table11[[#This Row],[Average DBH
(inches)]]/18</f>
        <v>0.13500000000000001</v>
      </c>
      <c r="BN162" s="235">
        <f>((Table11[[#This Row],[Average DBH
(inches)]]-4)^2)*(Table11[[#This Row],[Average MHT
(Feet)]]/16)</f>
        <v>1.7423761874999999</v>
      </c>
      <c r="BO162" s="235">
        <f>Table11[[#This Row],[Average BF]]*Table11[[#This Row],[2024 '#Trees Inventory + Estimate]]</f>
        <v>3634.5967271249997</v>
      </c>
      <c r="BP162" s="240">
        <f>(Table11[[#This Row],[Harvest Year
(10 year)]]-Table11[[#This Row],[Year of Inventory]]+1)*(Table11[[#This Row],[Average DBH
(inches)]]/(Table11[[#This Row],[Harvest Year
(10 year)]]-Table11[[#This Row],[Year of Inventory]]+1))+Table11[[#This Row],[Average DBH
(inches)]]</f>
        <v>4.8600000000000003</v>
      </c>
      <c r="BQ162" s="235">
        <f>((Table11[[#This Row],[Projected DBH
(Extrapolated Growth/Year)]]-4)^2)*(Table11[[#This Row],[Average MHT
(Feet)]]/16)</f>
        <v>0.52280475000000048</v>
      </c>
      <c r="BR162" s="235">
        <f>Table11[[#This Row],[Projected Average BF]]*Table11[[#This Row],[2024 '#Trees Inventory + Estimate]]</f>
        <v>1090.570708500001</v>
      </c>
      <c r="BS162" s="235">
        <f>196*Table11[[#This Row],[2024 '#Trees Inventory + Estimate]]</f>
        <v>408856</v>
      </c>
      <c r="BT162" s="243">
        <f>Table11[[#This Row],[ETP Offering Expected BF]]-Table11[[#This Row],[Projected Total BF]]</f>
        <v>407765.42929150001</v>
      </c>
      <c r="BU162" s="235">
        <f>(18-Table11[[#This Row],[Average DBH
(inches)]])/(D162-Table11[[#This Row],[Year of Inventory]]+1)</f>
        <v>2.5950000000000002</v>
      </c>
    </row>
    <row r="163" spans="1:73" x14ac:dyDescent="0.25">
      <c r="A163" s="7" t="s">
        <v>916</v>
      </c>
      <c r="B163" s="2">
        <v>2020</v>
      </c>
      <c r="C163" s="2">
        <v>2020</v>
      </c>
      <c r="D163" s="2">
        <v>0</v>
      </c>
      <c r="E163" t="s">
        <v>917</v>
      </c>
      <c r="F163" s="161">
        <v>20039</v>
      </c>
      <c r="G163" t="s">
        <v>917</v>
      </c>
      <c r="H163" s="357" t="s">
        <v>918</v>
      </c>
      <c r="I163" t="s">
        <v>160</v>
      </c>
      <c r="J163" s="1" t="s">
        <v>919</v>
      </c>
      <c r="K163" s="1" t="s">
        <v>920</v>
      </c>
      <c r="L163" s="1" t="s">
        <v>921</v>
      </c>
      <c r="M163" s="1" t="s">
        <v>213</v>
      </c>
      <c r="N163" t="s">
        <v>922</v>
      </c>
      <c r="O163">
        <v>10.795</v>
      </c>
      <c r="P163">
        <v>-84.87</v>
      </c>
      <c r="Q163" s="2"/>
      <c r="R163" s="86"/>
      <c r="S163" s="2"/>
      <c r="T163" s="1">
        <v>1200</v>
      </c>
      <c r="U163" s="1">
        <v>1200</v>
      </c>
      <c r="V163" s="1" t="str">
        <f>IF(Table11[[#This Row],['#TreesContract]]-Table11[[#This Row],['#Planted]]=0,"",Table11[[#This Row],['#TreesContract]]-Table11[[#This Row],['#Planted]])</f>
        <v/>
      </c>
      <c r="W163" s="2"/>
      <c r="X163" s="34">
        <v>1</v>
      </c>
      <c r="Y163" s="163">
        <f>Table11[[#This Row],['#TreesContract]]*Table11[[#This Row],[USA Allocation %]]</f>
        <v>1200</v>
      </c>
      <c r="Z163" s="163">
        <f>Table11[[#This Row],['#Planted]]*Table11[[#This Row],[USA Allocation %]]</f>
        <v>1200</v>
      </c>
      <c r="AA163" s="34"/>
      <c r="AB163" s="163"/>
      <c r="AC163" s="34"/>
      <c r="AD163" s="163"/>
      <c r="AE163" s="163">
        <f>Table11[[#This Row],[Canada Allocation-tree '#''s]]+Table11[[#This Row],[Can trees/Allocation 2017]]</f>
        <v>0</v>
      </c>
      <c r="AF163" s="5">
        <v>0</v>
      </c>
      <c r="AG163" s="35">
        <v>0</v>
      </c>
      <c r="AH163" s="35">
        <f>Table11[[#This Row],['#Trees as of 12/31/23]]*Table11[[#This Row],[USA Allocation %]]</f>
        <v>0</v>
      </c>
      <c r="AI163" s="404">
        <f>Table11[[#This Row],['#TreesContract]]*Table11[[#This Row],[2024 Inventory Survival%-master]]</f>
        <v>0</v>
      </c>
      <c r="AJ163" s="5">
        <v>0</v>
      </c>
      <c r="AK163" s="5">
        <v>0</v>
      </c>
      <c r="AL163" s="5">
        <v>0</v>
      </c>
      <c r="AM163" s="35">
        <f>AK163*Table11[[#This Row],['#TreesContract]]</f>
        <v>0</v>
      </c>
      <c r="AN163" s="35">
        <f>Table11[[#This Row],[2024 '#Trees Inventory + Estimate]]*Table11[[#This Row],[USA Allocation %]]</f>
        <v>0</v>
      </c>
      <c r="AO163" s="35">
        <f>Table11[[#This Row],[2024 '#Trees Inventory + Estimate]]*Table11[[#This Row],[Canada Allocation %]]</f>
        <v>0</v>
      </c>
      <c r="AP163" s="35">
        <f>Table11[[#This Row],[2024 '#Trees Inventory + Estimate]]*Table11[[#This Row],[Canada Allocation2017 %]]</f>
        <v>0</v>
      </c>
      <c r="AQ163" s="35">
        <f>Table11[[#This Row],['#Trees as of 2024/estimate-Can allocation]]+Table11[[#This Row],['#Trees as of 2024/estimate-Can allocation 2017]]</f>
        <v>0</v>
      </c>
      <c r="AR163" s="1" t="s">
        <v>531</v>
      </c>
      <c r="AS163" s="2"/>
      <c r="AT163" s="6">
        <f>IFERROR(Table11[[#This Row],['#Total Replacements]]/Table11[[#This Row],['#TreesContract]],"")</f>
        <v>0.22</v>
      </c>
      <c r="AU163" s="4">
        <f>IF(SUM(Table11[[#This Row],['#Replace 24]:['#Replace 16]])=0,0,SUM(Table11[[#This Row],['#Replace 24]:['#Replace 16]]))</f>
        <v>264</v>
      </c>
      <c r="AV163" s="2"/>
      <c r="AW163" s="2"/>
      <c r="AX163" s="3"/>
      <c r="AY163" s="2"/>
      <c r="AZ163" s="2">
        <v>264</v>
      </c>
      <c r="BA163" s="2"/>
      <c r="BB163" s="2"/>
      <c r="BC163" s="2"/>
      <c r="BD163" s="2"/>
      <c r="BE163" s="2"/>
      <c r="BF163" s="3">
        <v>1</v>
      </c>
      <c r="BG163" s="3">
        <v>1</v>
      </c>
      <c r="BH163" s="2"/>
      <c r="BI163" s="2"/>
      <c r="BJ163" s="2"/>
      <c r="BK163" s="139">
        <f>Table11[[#This Row],[Average MHT
(Feet)]]/16</f>
        <v>0</v>
      </c>
      <c r="BL163" s="2"/>
      <c r="BM163" s="139">
        <f>Table11[[#This Row],[Average DBH
(inches)]]/18</f>
        <v>0</v>
      </c>
      <c r="BN163" s="235">
        <f>((Table11[[#This Row],[Average DBH
(inches)]]-4)^2)*(Table11[[#This Row],[Average MHT
(Feet)]]/16)</f>
        <v>0</v>
      </c>
      <c r="BO163" s="235">
        <f>Table11[[#This Row],[Average BF]]*Table11[[#This Row],[2024 '#Trees Inventory + Estimate]]</f>
        <v>0</v>
      </c>
      <c r="BP163" s="240">
        <f>(Table11[[#This Row],[Harvest Year
(10 year)]]-Table11[[#This Row],[Year of Inventory]]+1)*(Table11[[#This Row],[Average DBH
(inches)]]/(Table11[[#This Row],[Harvest Year
(10 year)]]-Table11[[#This Row],[Year of Inventory]]+1))+Table11[[#This Row],[Average DBH
(inches)]]</f>
        <v>0</v>
      </c>
      <c r="BQ163" s="235">
        <f>((Table11[[#This Row],[Projected DBH
(Extrapolated Growth/Year)]]-4)^2)*(Table11[[#This Row],[Average MHT
(Feet)]]/16)</f>
        <v>0</v>
      </c>
      <c r="BR163" s="235">
        <f>Table11[[#This Row],[Projected Average BF]]*Table11[[#This Row],[2024 '#Trees Inventory + Estimate]]</f>
        <v>0</v>
      </c>
      <c r="BS163" s="235">
        <f>196*Table11[[#This Row],[2024 '#Trees Inventory + Estimate]]</f>
        <v>0</v>
      </c>
      <c r="BT163" s="235">
        <f>Table11[[#This Row],[ETP Offering Expected BF]]-Table11[[#This Row],[Projected Total BF]]</f>
        <v>0</v>
      </c>
      <c r="BU163" s="235">
        <f>(18-Table11[[#This Row],[Average DBH
(inches)]])/(D163-Table11[[#This Row],[Year of Inventory]]+1)</f>
        <v>18</v>
      </c>
    </row>
    <row r="164" spans="1:73" x14ac:dyDescent="0.25">
      <c r="A164" s="7" t="s">
        <v>923</v>
      </c>
      <c r="B164" s="2">
        <v>2020</v>
      </c>
      <c r="C164" s="2">
        <v>2020</v>
      </c>
      <c r="D164" s="2">
        <f>Table11[[#This Row],[Planting Year]]+9</f>
        <v>2029</v>
      </c>
      <c r="E164" t="s">
        <v>924</v>
      </c>
      <c r="F164" s="161">
        <v>20040</v>
      </c>
      <c r="G164" t="s">
        <v>924</v>
      </c>
      <c r="H164" s="357" t="s">
        <v>925</v>
      </c>
      <c r="I164" t="s">
        <v>155</v>
      </c>
      <c r="J164" s="1" t="s">
        <v>926</v>
      </c>
      <c r="K164" s="1" t="s">
        <v>927</v>
      </c>
      <c r="L164" s="1" t="s">
        <v>928</v>
      </c>
      <c r="M164" s="1" t="s">
        <v>213</v>
      </c>
      <c r="N164" t="s">
        <v>929</v>
      </c>
      <c r="O164">
        <v>10.070442</v>
      </c>
      <c r="P164">
        <v>-84.415961999999993</v>
      </c>
      <c r="Q164" s="2"/>
      <c r="R164" s="86"/>
      <c r="S164" s="2"/>
      <c r="T164" s="1">
        <v>1000</v>
      </c>
      <c r="U164" s="1">
        <v>1000</v>
      </c>
      <c r="V164" s="1" t="str">
        <f>IF(Table11[[#This Row],['#TreesContract]]-Table11[[#This Row],['#Planted]]=0,"",Table11[[#This Row],['#TreesContract]]-Table11[[#This Row],['#Planted]])</f>
        <v/>
      </c>
      <c r="W164" s="2"/>
      <c r="X164" s="34">
        <v>1</v>
      </c>
      <c r="Y164" s="163">
        <f>Table11[[#This Row],['#TreesContract]]*Table11[[#This Row],[USA Allocation %]]</f>
        <v>1000</v>
      </c>
      <c r="Z164" s="163">
        <f>Table11[[#This Row],['#Planted]]*Table11[[#This Row],[USA Allocation %]]</f>
        <v>1000</v>
      </c>
      <c r="AA164" s="34"/>
      <c r="AB164" s="163"/>
      <c r="AC164" s="34"/>
      <c r="AD164" s="163"/>
      <c r="AE164" s="163">
        <f>Table11[[#This Row],[Canada Allocation-tree '#''s]]+Table11[[#This Row],[Can trees/Allocation 2017]]</f>
        <v>0</v>
      </c>
      <c r="AF164" s="5">
        <v>1</v>
      </c>
      <c r="AG164" s="35">
        <v>1000</v>
      </c>
      <c r="AH164" s="35">
        <f>Table11[[#This Row],['#Trees as of 12/31/23]]*Table11[[#This Row],[USA Allocation %]]</f>
        <v>1000</v>
      </c>
      <c r="AI164" s="437">
        <f>Table11[[#This Row],['#TreesContract]]*Table11[[#This Row],[2024 Inventory Survival%-master]]</f>
        <v>589</v>
      </c>
      <c r="AJ164" s="436">
        <v>0.58899999999999997</v>
      </c>
      <c r="AK164" s="5">
        <v>0.59</v>
      </c>
      <c r="AL164" s="5">
        <v>0.59</v>
      </c>
      <c r="AM164" s="35">
        <f>AK164*Table11[[#This Row],['#TreesContract]]</f>
        <v>590</v>
      </c>
      <c r="AN164" s="35">
        <f>Table11[[#This Row],[2024 '#Trees Inventory + Estimate]]*Table11[[#This Row],[USA Allocation %]]</f>
        <v>590</v>
      </c>
      <c r="AO164" s="35">
        <f>Table11[[#This Row],[2024 '#Trees Inventory + Estimate]]*Table11[[#This Row],[Canada Allocation %]]</f>
        <v>0</v>
      </c>
      <c r="AP164" s="35">
        <f>Table11[[#This Row],[2024 '#Trees Inventory + Estimate]]*Table11[[#This Row],[Canada Allocation2017 %]]</f>
        <v>0</v>
      </c>
      <c r="AQ164" s="35">
        <f>Table11[[#This Row],['#Trees as of 2024/estimate-Can allocation]]+Table11[[#This Row],['#Trees as of 2024/estimate-Can allocation 2017]]</f>
        <v>0</v>
      </c>
      <c r="AR164" s="1" t="s">
        <v>531</v>
      </c>
      <c r="AS164" s="2"/>
      <c r="AT164" s="6">
        <f>IFERROR(Table11[[#This Row],['#Total Replacements]]/Table11[[#This Row],['#TreesContract]],"")</f>
        <v>0.187</v>
      </c>
      <c r="AU164" s="4">
        <f>IF(SUM(Table11[[#This Row],['#Replace 24]:['#Replace 16]])=0,0,SUM(Table11[[#This Row],['#Replace 24]:['#Replace 16]]))</f>
        <v>187</v>
      </c>
      <c r="AV164" s="2"/>
      <c r="AW164" s="2"/>
      <c r="AX164" s="3"/>
      <c r="AY164" s="2">
        <v>97</v>
      </c>
      <c r="AZ164" s="2">
        <v>90</v>
      </c>
      <c r="BA164" s="2"/>
      <c r="BB164" s="2"/>
      <c r="BC164" s="2"/>
      <c r="BD164" s="2"/>
      <c r="BE164" s="2"/>
      <c r="BF164" s="3">
        <v>1</v>
      </c>
      <c r="BG164" s="3">
        <v>1</v>
      </c>
      <c r="BH164" s="2">
        <v>2024</v>
      </c>
      <c r="BI164" s="2">
        <v>11.96</v>
      </c>
      <c r="BJ164" s="2">
        <v>6.95</v>
      </c>
      <c r="BK164" s="139">
        <f>Table11[[#This Row],[Average MHT
(Feet)]]/16</f>
        <v>0.43437500000000001</v>
      </c>
      <c r="BL164" s="2">
        <v>2.16</v>
      </c>
      <c r="BM164" s="139">
        <f>Table11[[#This Row],[Average DBH
(inches)]]/18</f>
        <v>0.12000000000000001</v>
      </c>
      <c r="BN164" s="235">
        <f>((Table11[[#This Row],[Average DBH
(inches)]]-4)^2)*(Table11[[#This Row],[Average MHT
(Feet)]]/16)</f>
        <v>1.4706199999999998</v>
      </c>
      <c r="BO164" s="235">
        <f>Table11[[#This Row],[Average BF]]*Table11[[#This Row],[2024 '#Trees Inventory + Estimate]]</f>
        <v>867.66579999999988</v>
      </c>
      <c r="BP164" s="240">
        <f>(Table11[[#This Row],[Harvest Year
(10 year)]]-Table11[[#This Row],[Year of Inventory]]+1)*(Table11[[#This Row],[Average DBH
(inches)]]/(Table11[[#This Row],[Harvest Year
(10 year)]]-Table11[[#This Row],[Year of Inventory]]+1))+Table11[[#This Row],[Average DBH
(inches)]]</f>
        <v>4.32</v>
      </c>
      <c r="BQ164" s="235">
        <f>((Table11[[#This Row],[Projected DBH
(Extrapolated Growth/Year)]]-4)^2)*(Table11[[#This Row],[Average MHT
(Feet)]]/16)</f>
        <v>4.4480000000000082E-2</v>
      </c>
      <c r="BR164" s="235">
        <f>Table11[[#This Row],[Projected Average BF]]*Table11[[#This Row],[2024 '#Trees Inventory + Estimate]]</f>
        <v>26.243200000000048</v>
      </c>
      <c r="BS164" s="235">
        <f>196*Table11[[#This Row],[2024 '#Trees Inventory + Estimate]]</f>
        <v>115640</v>
      </c>
      <c r="BT164" s="243">
        <f>Table11[[#This Row],[ETP Offering Expected BF]]-Table11[[#This Row],[Projected Total BF]]</f>
        <v>115613.7568</v>
      </c>
      <c r="BU164" s="235">
        <f>(18-Table11[[#This Row],[Average DBH
(inches)]])/(D164-Table11[[#This Row],[Year of Inventory]]+1)</f>
        <v>2.64</v>
      </c>
    </row>
    <row r="165" spans="1:73" x14ac:dyDescent="0.25">
      <c r="A165" s="7" t="s">
        <v>930</v>
      </c>
      <c r="B165" s="2">
        <v>2020</v>
      </c>
      <c r="C165" s="2">
        <v>2020</v>
      </c>
      <c r="D165" s="2">
        <f>Table11[[#This Row],[Planting Year]]+9</f>
        <v>2029</v>
      </c>
      <c r="E165" t="s">
        <v>931</v>
      </c>
      <c r="F165" s="161">
        <v>20041</v>
      </c>
      <c r="G165" t="s">
        <v>931</v>
      </c>
      <c r="H165" s="357" t="s">
        <v>932</v>
      </c>
      <c r="I165" t="s">
        <v>147</v>
      </c>
      <c r="J165" s="1" t="s">
        <v>933</v>
      </c>
      <c r="K165" s="1" t="s">
        <v>934</v>
      </c>
      <c r="L165" s="1" t="s">
        <v>935</v>
      </c>
      <c r="M165" s="1" t="s">
        <v>213</v>
      </c>
      <c r="N165" t="s">
        <v>936</v>
      </c>
      <c r="O165">
        <v>10.681722000000001</v>
      </c>
      <c r="P165">
        <v>-84.068329000000006</v>
      </c>
      <c r="Q165" s="2"/>
      <c r="R165" s="86"/>
      <c r="S165" s="2"/>
      <c r="T165" s="1">
        <v>4500</v>
      </c>
      <c r="U165" s="1">
        <v>4500</v>
      </c>
      <c r="V165" s="1" t="str">
        <f>IF(Table11[[#This Row],['#TreesContract]]-Table11[[#This Row],['#Planted]]=0,"",Table11[[#This Row],['#TreesContract]]-Table11[[#This Row],['#Planted]])</f>
        <v/>
      </c>
      <c r="W165" s="2"/>
      <c r="X165" s="34">
        <v>1</v>
      </c>
      <c r="Y165" s="163">
        <f>Table11[[#This Row],['#TreesContract]]*Table11[[#This Row],[USA Allocation %]]</f>
        <v>4500</v>
      </c>
      <c r="Z165" s="163">
        <f>Table11[[#This Row],['#Planted]]*Table11[[#This Row],[USA Allocation %]]</f>
        <v>4500</v>
      </c>
      <c r="AA165" s="34"/>
      <c r="AB165" s="163"/>
      <c r="AC165" s="34"/>
      <c r="AD165" s="163"/>
      <c r="AE165" s="163">
        <f>Table11[[#This Row],[Canada Allocation-tree '#''s]]+Table11[[#This Row],[Can trees/Allocation 2017]]</f>
        <v>0</v>
      </c>
      <c r="AF165" s="5">
        <v>0.83</v>
      </c>
      <c r="AG165" s="35">
        <v>3735</v>
      </c>
      <c r="AH165" s="35">
        <f>Table11[[#This Row],['#Trees as of 12/31/23]]*Table11[[#This Row],[USA Allocation %]]</f>
        <v>3735</v>
      </c>
      <c r="AI165" s="404">
        <f>Table11[[#This Row],['#TreesContract]]*Table11[[#This Row],[2024 Inventory Survival%-master]]</f>
        <v>0</v>
      </c>
      <c r="AJ165" s="5"/>
      <c r="AK165" s="5">
        <v>0.83</v>
      </c>
      <c r="AL165" s="5">
        <v>0.83</v>
      </c>
      <c r="AM165" s="35">
        <f>AK165*Table11[[#This Row],['#TreesContract]]</f>
        <v>3735</v>
      </c>
      <c r="AN165" s="35">
        <f>Table11[[#This Row],[2024 '#Trees Inventory + Estimate]]*Table11[[#This Row],[USA Allocation %]]</f>
        <v>3735</v>
      </c>
      <c r="AO165" s="35">
        <f>Table11[[#This Row],[2024 '#Trees Inventory + Estimate]]*Table11[[#This Row],[Canada Allocation %]]</f>
        <v>0</v>
      </c>
      <c r="AP165" s="35">
        <f>Table11[[#This Row],[2024 '#Trees Inventory + Estimate]]*Table11[[#This Row],[Canada Allocation2017 %]]</f>
        <v>0</v>
      </c>
      <c r="AQ165" s="35">
        <f>Table11[[#This Row],['#Trees as of 2024/estimate-Can allocation]]+Table11[[#This Row],['#Trees as of 2024/estimate-Can allocation 2017]]</f>
        <v>0</v>
      </c>
      <c r="AR165" s="1" t="s">
        <v>531</v>
      </c>
      <c r="AS165" s="2"/>
      <c r="AT165" s="6">
        <f>IFERROR(Table11[[#This Row],['#Total Replacements]]/Table11[[#This Row],['#TreesContract]],"")</f>
        <v>0.1111111111111111</v>
      </c>
      <c r="AU165" s="4">
        <f>IF(SUM(Table11[[#This Row],['#Replace 24]:['#Replace 16]])=0,0,SUM(Table11[[#This Row],['#Replace 24]:['#Replace 16]]))</f>
        <v>500</v>
      </c>
      <c r="AV165" s="2"/>
      <c r="AW165" s="2"/>
      <c r="AX165" s="3"/>
      <c r="AY165" s="2"/>
      <c r="AZ165" s="2">
        <v>500</v>
      </c>
      <c r="BA165" s="2"/>
      <c r="BB165" s="2"/>
      <c r="BC165" s="2"/>
      <c r="BD165" s="2"/>
      <c r="BE165" s="2"/>
      <c r="BF165" s="3">
        <v>1</v>
      </c>
      <c r="BG165" s="3">
        <v>1</v>
      </c>
      <c r="BH165" s="2"/>
      <c r="BI165" s="158"/>
      <c r="BJ165" s="158"/>
      <c r="BK165" s="139">
        <f>Table11[[#This Row],[Average MHT
(Feet)]]/16</f>
        <v>0</v>
      </c>
      <c r="BL165" s="2"/>
      <c r="BM165" s="139">
        <f>Table11[[#This Row],[Average DBH
(inches)]]/18</f>
        <v>0</v>
      </c>
      <c r="BN165" s="235">
        <f>((Table11[[#This Row],[Average DBH
(inches)]]-4)^2)*(Table11[[#This Row],[Average MHT
(Feet)]]/16)</f>
        <v>0</v>
      </c>
      <c r="BO165" s="235">
        <f>Table11[[#This Row],[Average BF]]*Table11[[#This Row],[2024 '#Trees Inventory + Estimate]]</f>
        <v>0</v>
      </c>
      <c r="BP165" s="240">
        <f>(Table11[[#This Row],[Harvest Year
(10 year)]]-Table11[[#This Row],[Year of Inventory]]+1)*(Table11[[#This Row],[Average DBH
(inches)]]/(Table11[[#This Row],[Harvest Year
(10 year)]]-Table11[[#This Row],[Year of Inventory]]+1))+Table11[[#This Row],[Average DBH
(inches)]]</f>
        <v>0</v>
      </c>
      <c r="BQ165" s="235">
        <f>((Table11[[#This Row],[Projected DBH
(Extrapolated Growth/Year)]]-4)^2)*(Table11[[#This Row],[Average MHT
(Feet)]]/16)</f>
        <v>0</v>
      </c>
      <c r="BR165" s="235">
        <f>Table11[[#This Row],[Projected Average BF]]*Table11[[#This Row],[2024 '#Trees Inventory + Estimate]]</f>
        <v>0</v>
      </c>
      <c r="BS165" s="235">
        <f>196*Table11[[#This Row],[2024 '#Trees Inventory + Estimate]]</f>
        <v>732060</v>
      </c>
      <c r="BT165" s="235">
        <f>Table11[[#This Row],[ETP Offering Expected BF]]-Table11[[#This Row],[Projected Total BF]]</f>
        <v>732060</v>
      </c>
      <c r="BU165" s="235">
        <f>(18-Table11[[#This Row],[Average DBH
(inches)]])/(D165-Table11[[#This Row],[Year of Inventory]]+1)</f>
        <v>8.8669950738916262E-3</v>
      </c>
    </row>
    <row r="166" spans="1:73" x14ac:dyDescent="0.25">
      <c r="A166" s="7" t="s">
        <v>937</v>
      </c>
      <c r="B166" s="2">
        <v>2020</v>
      </c>
      <c r="C166" s="2">
        <v>2020</v>
      </c>
      <c r="D166" s="2">
        <f>Table11[[#This Row],[Planting Year]]+9</f>
        <v>2029</v>
      </c>
      <c r="E166" t="s">
        <v>938</v>
      </c>
      <c r="F166" s="161">
        <v>20042</v>
      </c>
      <c r="G166" t="s">
        <v>939</v>
      </c>
      <c r="H166" s="357" t="s">
        <v>940</v>
      </c>
      <c r="I166" t="s">
        <v>155</v>
      </c>
      <c r="J166" s="1" t="s">
        <v>941</v>
      </c>
      <c r="K166" s="1" t="s">
        <v>942</v>
      </c>
      <c r="L166" s="1" t="s">
        <v>943</v>
      </c>
      <c r="M166" s="1" t="s">
        <v>213</v>
      </c>
      <c r="N166" t="s">
        <v>944</v>
      </c>
      <c r="O166">
        <v>10.8096</v>
      </c>
      <c r="P166">
        <v>-84.636899999999997</v>
      </c>
      <c r="Q166" s="2"/>
      <c r="R166" s="86"/>
      <c r="S166" s="2"/>
      <c r="T166" s="1">
        <v>2000</v>
      </c>
      <c r="U166" s="1">
        <v>2000</v>
      </c>
      <c r="V166" s="1" t="str">
        <f>IF(Table11[[#This Row],['#TreesContract]]-Table11[[#This Row],['#Planted]]=0,"",Table11[[#This Row],['#TreesContract]]-Table11[[#This Row],['#Planted]])</f>
        <v/>
      </c>
      <c r="W166" s="2"/>
      <c r="X166" s="34">
        <v>1</v>
      </c>
      <c r="Y166" s="163">
        <f>Table11[[#This Row],['#TreesContract]]*Table11[[#This Row],[USA Allocation %]]</f>
        <v>2000</v>
      </c>
      <c r="Z166" s="163">
        <f>Table11[[#This Row],['#Planted]]*Table11[[#This Row],[USA Allocation %]]</f>
        <v>2000</v>
      </c>
      <c r="AA166" s="34"/>
      <c r="AB166" s="163"/>
      <c r="AC166" s="34"/>
      <c r="AD166" s="163"/>
      <c r="AE166" s="163">
        <f>Table11[[#This Row],[Canada Allocation-tree '#''s]]+Table11[[#This Row],[Can trees/Allocation 2017]]</f>
        <v>0</v>
      </c>
      <c r="AF166" s="5">
        <v>0.91</v>
      </c>
      <c r="AG166" s="35">
        <v>1820</v>
      </c>
      <c r="AH166" s="35">
        <f>Table11[[#This Row],['#Trees as of 12/31/23]]*Table11[[#This Row],[USA Allocation %]]</f>
        <v>1820</v>
      </c>
      <c r="AI166" s="437">
        <f>Table11[[#This Row],['#TreesContract]]*Table11[[#This Row],[2024 Inventory Survival%-master]]</f>
        <v>2000</v>
      </c>
      <c r="AJ166" s="436">
        <v>1</v>
      </c>
      <c r="AK166" s="5">
        <v>1</v>
      </c>
      <c r="AL166" s="5">
        <v>1</v>
      </c>
      <c r="AM166" s="35">
        <f>AK166*Table11[[#This Row],['#TreesContract]]</f>
        <v>2000</v>
      </c>
      <c r="AN166" s="35">
        <f>Table11[[#This Row],[2024 '#Trees Inventory + Estimate]]*Table11[[#This Row],[USA Allocation %]]</f>
        <v>2000</v>
      </c>
      <c r="AO166" s="35">
        <f>Table11[[#This Row],[2024 '#Trees Inventory + Estimate]]*Table11[[#This Row],[Canada Allocation %]]</f>
        <v>0</v>
      </c>
      <c r="AP166" s="35">
        <f>Table11[[#This Row],[2024 '#Trees Inventory + Estimate]]*Table11[[#This Row],[Canada Allocation2017 %]]</f>
        <v>0</v>
      </c>
      <c r="AQ166" s="35">
        <f>Table11[[#This Row],['#Trees as of 2024/estimate-Can allocation]]+Table11[[#This Row],['#Trees as of 2024/estimate-Can allocation 2017]]</f>
        <v>0</v>
      </c>
      <c r="AR166" s="1" t="s">
        <v>531</v>
      </c>
      <c r="AS166" s="2"/>
      <c r="AT166" s="6">
        <f>IFERROR(Table11[[#This Row],['#Total Replacements]]/Table11[[#This Row],['#TreesContract]],"")</f>
        <v>3.5000000000000003E-2</v>
      </c>
      <c r="AU166" s="4">
        <f>IF(SUM(Table11[[#This Row],['#Replace 24]:['#Replace 16]])=0,0,SUM(Table11[[#This Row],['#Replace 24]:['#Replace 16]]))</f>
        <v>70</v>
      </c>
      <c r="AV166" s="2"/>
      <c r="AW166" s="2"/>
      <c r="AX166" s="3"/>
      <c r="AY166" s="2"/>
      <c r="AZ166" s="2"/>
      <c r="BA166" s="2">
        <v>70</v>
      </c>
      <c r="BB166" s="2"/>
      <c r="BC166" s="2"/>
      <c r="BD166" s="2"/>
      <c r="BE166" s="2"/>
      <c r="BF166" s="3">
        <v>1</v>
      </c>
      <c r="BG166" s="3">
        <v>1</v>
      </c>
      <c r="BH166" s="2">
        <v>2024</v>
      </c>
      <c r="BI166" s="158">
        <v>21.27</v>
      </c>
      <c r="BJ166" s="158">
        <v>17</v>
      </c>
      <c r="BK166" s="139">
        <f>Table11[[#This Row],[Average MHT
(Feet)]]/16</f>
        <v>1.0625</v>
      </c>
      <c r="BL166" s="2">
        <v>4.68</v>
      </c>
      <c r="BM166" s="139">
        <f>Table11[[#This Row],[Average DBH
(inches)]]/18</f>
        <v>0.26</v>
      </c>
      <c r="BN166" s="235">
        <f>((Table11[[#This Row],[Average DBH
(inches)]]-4)^2)*(Table11[[#This Row],[Average MHT
(Feet)]]/16)</f>
        <v>0.49129999999999957</v>
      </c>
      <c r="BO166" s="235">
        <f>Table11[[#This Row],[Average BF]]*Table11[[#This Row],[2024 '#Trees Inventory + Estimate]]</f>
        <v>982.59999999999911</v>
      </c>
      <c r="BP166" s="240">
        <f>(Table11[[#This Row],[Harvest Year
(10 year)]]-Table11[[#This Row],[Year of Inventory]]+1)*(Table11[[#This Row],[Average DBH
(inches)]]/(Table11[[#This Row],[Harvest Year
(10 year)]]-Table11[[#This Row],[Year of Inventory]]+1))+Table11[[#This Row],[Average DBH
(inches)]]</f>
        <v>9.36</v>
      </c>
      <c r="BQ166" s="235">
        <f>((Table11[[#This Row],[Projected DBH
(Extrapolated Growth/Year)]]-4)^2)*(Table11[[#This Row],[Average MHT
(Feet)]]/16)</f>
        <v>30.525199999999995</v>
      </c>
      <c r="BR166" s="235">
        <f>Table11[[#This Row],[Projected Average BF]]*Table11[[#This Row],[2024 '#Trees Inventory + Estimate]]</f>
        <v>61050.399999999987</v>
      </c>
      <c r="BS166" s="235">
        <f>196*Table11[[#This Row],[2024 '#Trees Inventory + Estimate]]</f>
        <v>392000</v>
      </c>
      <c r="BT166" s="243">
        <f>Table11[[#This Row],[ETP Offering Expected BF]]-Table11[[#This Row],[Projected Total BF]]</f>
        <v>330949.60000000003</v>
      </c>
      <c r="BU166" s="235">
        <f>(18-Table11[[#This Row],[Average DBH
(inches)]])/(D166-Table11[[#This Row],[Year of Inventory]]+1)</f>
        <v>2.2200000000000002</v>
      </c>
    </row>
    <row r="167" spans="1:73" x14ac:dyDescent="0.25">
      <c r="A167" s="7" t="s">
        <v>945</v>
      </c>
      <c r="B167" s="2">
        <v>2020</v>
      </c>
      <c r="C167" s="2">
        <v>2020</v>
      </c>
      <c r="D167" s="2">
        <f>Table11[[#This Row],[Planting Year]]+9</f>
        <v>2029</v>
      </c>
      <c r="E167" t="s">
        <v>946</v>
      </c>
      <c r="F167" s="161">
        <v>20043</v>
      </c>
      <c r="G167" t="s">
        <v>947</v>
      </c>
      <c r="H167" s="357" t="s">
        <v>948</v>
      </c>
      <c r="I167" t="s">
        <v>155</v>
      </c>
      <c r="J167" s="1" t="s">
        <v>949</v>
      </c>
      <c r="K167" s="1" t="s">
        <v>950</v>
      </c>
      <c r="L167" s="1" t="s">
        <v>951</v>
      </c>
      <c r="M167" s="1" t="s">
        <v>213</v>
      </c>
      <c r="N167" t="s">
        <v>952</v>
      </c>
      <c r="O167">
        <v>9.0522989999999997</v>
      </c>
      <c r="P167">
        <v>-83.480109999999996</v>
      </c>
      <c r="Q167" s="2"/>
      <c r="R167" s="86"/>
      <c r="S167" s="2"/>
      <c r="T167" s="1">
        <v>1200</v>
      </c>
      <c r="U167" s="1">
        <v>1200</v>
      </c>
      <c r="V167" s="1" t="str">
        <f>IF(Table11[[#This Row],['#TreesContract]]-Table11[[#This Row],['#Planted]]=0,"",Table11[[#This Row],['#TreesContract]]-Table11[[#This Row],['#Planted]])</f>
        <v/>
      </c>
      <c r="W167" s="2"/>
      <c r="X167" s="34">
        <v>1</v>
      </c>
      <c r="Y167" s="163">
        <f>Table11[[#This Row],['#TreesContract]]*Table11[[#This Row],[USA Allocation %]]</f>
        <v>1200</v>
      </c>
      <c r="Z167" s="163">
        <f>Table11[[#This Row],['#Planted]]*Table11[[#This Row],[USA Allocation %]]</f>
        <v>1200</v>
      </c>
      <c r="AA167" s="34"/>
      <c r="AB167" s="163"/>
      <c r="AC167" s="34"/>
      <c r="AD167" s="163"/>
      <c r="AE167" s="163">
        <f>Table11[[#This Row],[Canada Allocation-tree '#''s]]+Table11[[#This Row],[Can trees/Allocation 2017]]</f>
        <v>0</v>
      </c>
      <c r="AF167" s="5">
        <v>0.95</v>
      </c>
      <c r="AG167" s="35">
        <v>1140</v>
      </c>
      <c r="AH167" s="35">
        <f>Table11[[#This Row],['#Trees as of 12/31/23]]*Table11[[#This Row],[USA Allocation %]]</f>
        <v>1140</v>
      </c>
      <c r="AI167" s="437">
        <f>Table11[[#This Row],['#TreesContract]]*Table11[[#This Row],[2024 Inventory Survival%-master]]</f>
        <v>1018.8</v>
      </c>
      <c r="AJ167" s="436">
        <v>0.84899999999999998</v>
      </c>
      <c r="AK167" s="5">
        <v>0.85</v>
      </c>
      <c r="AL167" s="5">
        <v>0.84899999999999998</v>
      </c>
      <c r="AM167" s="35">
        <f>Table11[[#This Row],['#TreesContract]]*Table11[[#This Row],[2024 Inventory Survival%-master]]</f>
        <v>1018.8</v>
      </c>
      <c r="AN167" s="35">
        <f>Table11[[#This Row],[2024 '#Trees Inventory + Estimate]]*Table11[[#This Row],[USA Allocation %]]</f>
        <v>1018.8</v>
      </c>
      <c r="AO167" s="35">
        <f>Table11[[#This Row],[2024 '#Trees Inventory + Estimate]]*Table11[[#This Row],[Canada Allocation %]]</f>
        <v>0</v>
      </c>
      <c r="AP167" s="35">
        <f>Table11[[#This Row],[2024 '#Trees Inventory + Estimate]]*Table11[[#This Row],[Canada Allocation2017 %]]</f>
        <v>0</v>
      </c>
      <c r="AQ167" s="35">
        <f>Table11[[#This Row],['#Trees as of 2024/estimate-Can allocation]]+Table11[[#This Row],['#Trees as of 2024/estimate-Can allocation 2017]]</f>
        <v>0</v>
      </c>
      <c r="AR167" s="1" t="s">
        <v>531</v>
      </c>
      <c r="AS167" s="2"/>
      <c r="AT167" s="6">
        <f>IFERROR(Table11[[#This Row],['#Total Replacements]]/Table11[[#This Row],['#TreesContract]],"")</f>
        <v>0.13333333333333333</v>
      </c>
      <c r="AU167" s="4">
        <f>IF(SUM(Table11[[#This Row],['#Replace 24]:['#Replace 16]])=0,0,SUM(Table11[[#This Row],['#Replace 24]:['#Replace 16]]))</f>
        <v>160</v>
      </c>
      <c r="AV167" s="2"/>
      <c r="AW167" s="2"/>
      <c r="AX167" s="3"/>
      <c r="AY167" s="2"/>
      <c r="AZ167" s="2">
        <v>160</v>
      </c>
      <c r="BA167" s="2"/>
      <c r="BB167" s="2"/>
      <c r="BC167" s="2"/>
      <c r="BD167" s="2"/>
      <c r="BE167" s="2"/>
      <c r="BF167" s="3">
        <v>1</v>
      </c>
      <c r="BG167" s="3">
        <v>1</v>
      </c>
      <c r="BH167" s="2">
        <v>2024</v>
      </c>
      <c r="BI167" s="2">
        <v>16.87</v>
      </c>
      <c r="BJ167" s="2">
        <v>8.7899999999999991</v>
      </c>
      <c r="BK167" s="139">
        <f>Table11[[#This Row],[Average MHT
(Feet)]]/16</f>
        <v>0.54937499999999995</v>
      </c>
      <c r="BL167" s="2">
        <v>3.99</v>
      </c>
      <c r="BM167" s="139">
        <f>Table11[[#This Row],[Average DBH
(inches)]]/18</f>
        <v>0.22166666666666668</v>
      </c>
      <c r="BN167" s="235">
        <f>((Table11[[#This Row],[Average DBH
(inches)]]-4)^2)*(Table11[[#This Row],[Average MHT
(Feet)]]/16)</f>
        <v>5.4937499999997649E-5</v>
      </c>
      <c r="BO167" s="235">
        <f>Table11[[#This Row],[Average BF]]*Table11[[#This Row],[2024 '#Trees Inventory + Estimate]]</f>
        <v>5.59703249999976E-2</v>
      </c>
      <c r="BP167" s="240">
        <f>(Table11[[#This Row],[Harvest Year
(10 year)]]-Table11[[#This Row],[Year of Inventory]]+1)*(Table11[[#This Row],[Average DBH
(inches)]]/(Table11[[#This Row],[Harvest Year
(10 year)]]-Table11[[#This Row],[Year of Inventory]]+1))+Table11[[#This Row],[Average DBH
(inches)]]</f>
        <v>7.98</v>
      </c>
      <c r="BQ167" s="235">
        <f>((Table11[[#This Row],[Projected DBH
(Extrapolated Growth/Year)]]-4)^2)*(Table11[[#This Row],[Average MHT
(Feet)]]/16)</f>
        <v>8.7023197500000009</v>
      </c>
      <c r="BR167" s="235">
        <f>Table11[[#This Row],[Projected Average BF]]*Table11[[#This Row],[2024 '#Trees Inventory + Estimate]]</f>
        <v>8865.9233612999997</v>
      </c>
      <c r="BS167" s="235">
        <f>196*Table11[[#This Row],[2024 '#Trees Inventory + Estimate]]</f>
        <v>199684.8</v>
      </c>
      <c r="BT167" s="243">
        <f>Table11[[#This Row],[ETP Offering Expected BF]]-Table11[[#This Row],[Projected Total BF]]</f>
        <v>190818.87663869999</v>
      </c>
      <c r="BU167" s="235">
        <f>(18-Table11[[#This Row],[Average DBH
(inches)]])/(D167-Table11[[#This Row],[Year of Inventory]]+1)</f>
        <v>2.335</v>
      </c>
    </row>
    <row r="168" spans="1:73" x14ac:dyDescent="0.25">
      <c r="A168" s="7" t="s">
        <v>953</v>
      </c>
      <c r="B168" s="2">
        <v>2020</v>
      </c>
      <c r="C168" s="2">
        <v>2020</v>
      </c>
      <c r="D168" s="2">
        <v>0</v>
      </c>
      <c r="E168" t="s">
        <v>954</v>
      </c>
      <c r="F168" s="161">
        <v>20044</v>
      </c>
      <c r="G168" t="s">
        <v>955</v>
      </c>
      <c r="H168" s="357" t="s">
        <v>956</v>
      </c>
      <c r="I168" t="s">
        <v>160</v>
      </c>
      <c r="J168" s="1" t="s">
        <v>957</v>
      </c>
      <c r="K168" s="1" t="s">
        <v>958</v>
      </c>
      <c r="L168" s="1" t="s">
        <v>959</v>
      </c>
      <c r="M168" s="1" t="s">
        <v>213</v>
      </c>
      <c r="N168" t="s">
        <v>960</v>
      </c>
      <c r="O168">
        <v>10.561321</v>
      </c>
      <c r="P168">
        <v>-85.595916000000003</v>
      </c>
      <c r="Q168" s="2"/>
      <c r="R168" s="86"/>
      <c r="S168" s="2"/>
      <c r="T168" s="1">
        <v>3600</v>
      </c>
      <c r="U168" s="1">
        <v>3600</v>
      </c>
      <c r="V168" s="1" t="str">
        <f>IF(Table11[[#This Row],['#TreesContract]]-Table11[[#This Row],['#Planted]]=0,"",Table11[[#This Row],['#TreesContract]]-Table11[[#This Row],['#Planted]])</f>
        <v/>
      </c>
      <c r="W168" s="2"/>
      <c r="X168" s="34">
        <v>1</v>
      </c>
      <c r="Y168" s="163">
        <f>Table11[[#This Row],['#TreesContract]]*Table11[[#This Row],[USA Allocation %]]</f>
        <v>3600</v>
      </c>
      <c r="Z168" s="163">
        <f>Table11[[#This Row],['#Planted]]*Table11[[#This Row],[USA Allocation %]]</f>
        <v>3600</v>
      </c>
      <c r="AA168" s="34"/>
      <c r="AB168" s="163"/>
      <c r="AC168" s="34"/>
      <c r="AD168" s="163"/>
      <c r="AE168" s="163">
        <f>Table11[[#This Row],[Canada Allocation-tree '#''s]]+Table11[[#This Row],[Can trees/Allocation 2017]]</f>
        <v>0</v>
      </c>
      <c r="AF168" s="5">
        <v>1</v>
      </c>
      <c r="AG168" s="35">
        <v>3600</v>
      </c>
      <c r="AH168" s="35">
        <f>Table11[[#This Row],['#Trees as of 12/31/23]]*Table11[[#This Row],[USA Allocation %]]</f>
        <v>3600</v>
      </c>
      <c r="AI168" s="404">
        <f>Table11[[#This Row],['#TreesContract]]*Table11[[#This Row],[2024 Inventory Survival%-master]]</f>
        <v>0</v>
      </c>
      <c r="AJ168" s="5">
        <v>0</v>
      </c>
      <c r="AK168" s="5">
        <v>0</v>
      </c>
      <c r="AL168" s="5">
        <v>0</v>
      </c>
      <c r="AM168" s="35">
        <f>AK168*Table11[[#This Row],['#TreesContract]]</f>
        <v>0</v>
      </c>
      <c r="AN168" s="35">
        <f>Table11[[#This Row],[2024 '#Trees Inventory + Estimate]]*Table11[[#This Row],[USA Allocation %]]</f>
        <v>0</v>
      </c>
      <c r="AO168" s="35">
        <f>Table11[[#This Row],[2024 '#Trees Inventory + Estimate]]*Table11[[#This Row],[Canada Allocation %]]</f>
        <v>0</v>
      </c>
      <c r="AP168" s="35">
        <f>Table11[[#This Row],[2024 '#Trees Inventory + Estimate]]*Table11[[#This Row],[Canada Allocation2017 %]]</f>
        <v>0</v>
      </c>
      <c r="AQ168" s="35">
        <f>Table11[[#This Row],['#Trees as of 2024/estimate-Can allocation]]+Table11[[#This Row],['#Trees as of 2024/estimate-Can allocation 2017]]</f>
        <v>0</v>
      </c>
      <c r="AR168" s="1" t="s">
        <v>531</v>
      </c>
      <c r="AS168" s="2"/>
      <c r="AT168" s="6">
        <f>IFERROR(Table11[[#This Row],['#Total Replacements]]/Table11[[#This Row],['#TreesContract]],"")</f>
        <v>0.2697222222222222</v>
      </c>
      <c r="AU168" s="4">
        <f>IF(SUM(Table11[[#This Row],['#Replace 24]:['#Replace 16]])=0,0,SUM(Table11[[#This Row],['#Replace 24]:['#Replace 16]]))</f>
        <v>971</v>
      </c>
      <c r="AV168" s="2"/>
      <c r="AW168" s="2"/>
      <c r="AX168" s="3"/>
      <c r="AY168" s="2">
        <v>971</v>
      </c>
      <c r="AZ168" s="2"/>
      <c r="BA168" s="2"/>
      <c r="BB168" s="2"/>
      <c r="BC168" s="2"/>
      <c r="BD168" s="2"/>
      <c r="BE168" s="2"/>
      <c r="BF168" s="3">
        <v>1</v>
      </c>
      <c r="BG168" s="3">
        <v>1</v>
      </c>
      <c r="BH168" s="2">
        <v>2024</v>
      </c>
      <c r="BI168" s="2">
        <v>0</v>
      </c>
      <c r="BJ168" s="2">
        <v>0</v>
      </c>
      <c r="BK168" s="139">
        <f>Table11[[#This Row],[Average MHT
(Feet)]]/16</f>
        <v>0</v>
      </c>
      <c r="BL168" s="2">
        <v>0</v>
      </c>
      <c r="BM168" s="139">
        <f>Table11[[#This Row],[Average DBH
(inches)]]/18</f>
        <v>0</v>
      </c>
      <c r="BN168" s="235">
        <f>((Table11[[#This Row],[Average DBH
(inches)]]-4)^2)*(Table11[[#This Row],[Average MHT
(Feet)]]/16)</f>
        <v>0</v>
      </c>
      <c r="BO168" s="235">
        <f>Table11[[#This Row],[Average BF]]*Table11[[#This Row],[2024 '#Trees Inventory + Estimate]]</f>
        <v>0</v>
      </c>
      <c r="BP168" s="240">
        <f>(Table11[[#This Row],[Harvest Year
(10 year)]]-Table11[[#This Row],[Year of Inventory]]+1)*(Table11[[#This Row],[Average DBH
(inches)]]/(Table11[[#This Row],[Harvest Year
(10 year)]]-Table11[[#This Row],[Year of Inventory]]+1))+Table11[[#This Row],[Average DBH
(inches)]]</f>
        <v>0</v>
      </c>
      <c r="BQ168" s="235">
        <f>((Table11[[#This Row],[Projected DBH
(Extrapolated Growth/Year)]]-4)^2)*(Table11[[#This Row],[Average MHT
(Feet)]]/16)</f>
        <v>0</v>
      </c>
      <c r="BR168" s="235">
        <f>Table11[[#This Row],[Projected Average BF]]*Table11[[#This Row],[2024 '#Trees Inventory + Estimate]]</f>
        <v>0</v>
      </c>
      <c r="BS168" s="235">
        <f>196*Table11[[#This Row],[2024 '#Trees Inventory + Estimate]]</f>
        <v>0</v>
      </c>
      <c r="BT168" s="235">
        <f>Table11[[#This Row],[ETP Offering Expected BF]]-Table11[[#This Row],[Projected Total BF]]</f>
        <v>0</v>
      </c>
      <c r="BU168" s="235">
        <f>(18-Table11[[#This Row],[Average DBH
(inches)]])/(D168-Table11[[#This Row],[Year of Inventory]]+1)</f>
        <v>-8.8976767177459219E-3</v>
      </c>
    </row>
    <row r="169" spans="1:73" x14ac:dyDescent="0.25">
      <c r="A169" s="7" t="s">
        <v>961</v>
      </c>
      <c r="B169" s="2">
        <v>2020</v>
      </c>
      <c r="C169" s="2">
        <v>2020</v>
      </c>
      <c r="D169" s="2">
        <f>Table11[[#This Row],[Planting Year]]+9</f>
        <v>2029</v>
      </c>
      <c r="E169" t="s">
        <v>962</v>
      </c>
      <c r="F169" s="161">
        <v>20045</v>
      </c>
      <c r="G169" t="s">
        <v>962</v>
      </c>
      <c r="H169" s="357" t="s">
        <v>963</v>
      </c>
      <c r="I169" t="s">
        <v>155</v>
      </c>
      <c r="J169" s="1" t="s">
        <v>964</v>
      </c>
      <c r="K169" s="1" t="s">
        <v>965</v>
      </c>
      <c r="L169" s="1" t="s">
        <v>966</v>
      </c>
      <c r="M169" s="1" t="s">
        <v>213</v>
      </c>
      <c r="N169" t="s">
        <v>967</v>
      </c>
      <c r="O169">
        <v>10.402094999999999</v>
      </c>
      <c r="P169">
        <v>-84.163056999999995</v>
      </c>
      <c r="Q169" s="2"/>
      <c r="R169" s="86"/>
      <c r="S169" s="2"/>
      <c r="T169" s="1">
        <v>1200</v>
      </c>
      <c r="U169" s="1">
        <v>1200</v>
      </c>
      <c r="V169" s="1" t="str">
        <f>IF(Table11[[#This Row],['#TreesContract]]-Table11[[#This Row],['#Planted]]=0,"",Table11[[#This Row],['#TreesContract]]-Table11[[#This Row],['#Planted]])</f>
        <v/>
      </c>
      <c r="W169" s="2"/>
      <c r="X169" s="34">
        <v>1</v>
      </c>
      <c r="Y169" s="163">
        <f>Table11[[#This Row],['#TreesContract]]*Table11[[#This Row],[USA Allocation %]]</f>
        <v>1200</v>
      </c>
      <c r="Z169" s="163">
        <f>Table11[[#This Row],['#Planted]]*Table11[[#This Row],[USA Allocation %]]</f>
        <v>1200</v>
      </c>
      <c r="AA169" s="34"/>
      <c r="AB169" s="163"/>
      <c r="AC169" s="34"/>
      <c r="AD169" s="163"/>
      <c r="AE169" s="163">
        <f>Table11[[#This Row],[Canada Allocation-tree '#''s]]+Table11[[#This Row],[Can trees/Allocation 2017]]</f>
        <v>0</v>
      </c>
      <c r="AF169" s="5">
        <v>0.95</v>
      </c>
      <c r="AG169" s="35">
        <v>1140</v>
      </c>
      <c r="AH169" s="35">
        <f>Table11[[#This Row],['#Trees as of 12/31/23]]*Table11[[#This Row],[USA Allocation %]]</f>
        <v>1140</v>
      </c>
      <c r="AI169" s="437">
        <f>Table11[[#This Row],['#TreesContract]]*Table11[[#This Row],[2024 Inventory Survival%-master]]</f>
        <v>806.40000000000009</v>
      </c>
      <c r="AJ169" s="436">
        <v>0.67200000000000004</v>
      </c>
      <c r="AK169" s="5">
        <v>0.67</v>
      </c>
      <c r="AL169" s="5">
        <v>0.67200000000000004</v>
      </c>
      <c r="AM169" s="35">
        <f>Table11[[#This Row],['#TreesContract]]*Table11[[#This Row],[2024 Inventory Survival%-master]]</f>
        <v>806.40000000000009</v>
      </c>
      <c r="AN169" s="35">
        <f>Table11[[#This Row],[2024 '#Trees Inventory + Estimate]]*Table11[[#This Row],[USA Allocation %]]</f>
        <v>806.40000000000009</v>
      </c>
      <c r="AO169" s="35">
        <f>Table11[[#This Row],[2024 '#Trees Inventory + Estimate]]*Table11[[#This Row],[Canada Allocation %]]</f>
        <v>0</v>
      </c>
      <c r="AP169" s="35">
        <f>Table11[[#This Row],[2024 '#Trees Inventory + Estimate]]*Table11[[#This Row],[Canada Allocation2017 %]]</f>
        <v>0</v>
      </c>
      <c r="AQ169" s="35">
        <f>Table11[[#This Row],['#Trees as of 2024/estimate-Can allocation]]+Table11[[#This Row],['#Trees as of 2024/estimate-Can allocation 2017]]</f>
        <v>0</v>
      </c>
      <c r="AR169" s="1" t="s">
        <v>531</v>
      </c>
      <c r="AS169" s="2"/>
      <c r="AT169" s="6">
        <f>IFERROR(Table11[[#This Row],['#Total Replacements]]/Table11[[#This Row],['#TreesContract]],"")</f>
        <v>0.1125</v>
      </c>
      <c r="AU169" s="4">
        <f>IF(SUM(Table11[[#This Row],['#Replace 24]:['#Replace 16]])=0,0,SUM(Table11[[#This Row],['#Replace 24]:['#Replace 16]]))</f>
        <v>135</v>
      </c>
      <c r="AV169" s="2"/>
      <c r="AW169" s="2"/>
      <c r="AX169" s="3"/>
      <c r="AY169" s="2"/>
      <c r="AZ169" s="2">
        <v>135</v>
      </c>
      <c r="BA169" s="2"/>
      <c r="BB169" s="2"/>
      <c r="BC169" s="2"/>
      <c r="BD169" s="2"/>
      <c r="BE169" s="2"/>
      <c r="BF169" s="3">
        <v>1</v>
      </c>
      <c r="BG169" s="3">
        <v>1</v>
      </c>
      <c r="BH169" s="2">
        <v>2024</v>
      </c>
      <c r="BI169" s="158">
        <v>12.55</v>
      </c>
      <c r="BJ169" s="158">
        <v>10.41</v>
      </c>
      <c r="BK169" s="139">
        <f>Table11[[#This Row],[Average MHT
(Feet)]]/16</f>
        <v>0.65062500000000001</v>
      </c>
      <c r="BL169" s="2">
        <v>2.38</v>
      </c>
      <c r="BM169" s="139">
        <f>Table11[[#This Row],[Average DBH
(inches)]]/18</f>
        <v>0.13222222222222221</v>
      </c>
      <c r="BN169" s="235">
        <f>((Table11[[#This Row],[Average DBH
(inches)]]-4)^2)*(Table11[[#This Row],[Average MHT
(Feet)]]/16)</f>
        <v>1.7075002500000003</v>
      </c>
      <c r="BO169" s="235">
        <f>Table11[[#This Row],[Average BF]]*Table11[[#This Row],[2024 '#Trees Inventory + Estimate]]</f>
        <v>1376.9282016000004</v>
      </c>
      <c r="BP169" s="240">
        <f>(Table11[[#This Row],[Harvest Year
(10 year)]]-Table11[[#This Row],[Year of Inventory]]+1)*(Table11[[#This Row],[Average DBH
(inches)]]/(Table11[[#This Row],[Harvest Year
(10 year)]]-Table11[[#This Row],[Year of Inventory]]+1))+Table11[[#This Row],[Average DBH
(inches)]]</f>
        <v>4.76</v>
      </c>
      <c r="BQ169" s="235">
        <f>((Table11[[#This Row],[Projected DBH
(Extrapolated Growth/Year)]]-4)^2)*(Table11[[#This Row],[Average MHT
(Feet)]]/16)</f>
        <v>0.37580099999999977</v>
      </c>
      <c r="BR169" s="235">
        <f>Table11[[#This Row],[Projected Average BF]]*Table11[[#This Row],[2024 '#Trees Inventory + Estimate]]</f>
        <v>303.04592639999987</v>
      </c>
      <c r="BS169" s="235">
        <f>196*Table11[[#This Row],[2024 '#Trees Inventory + Estimate]]</f>
        <v>158054.40000000002</v>
      </c>
      <c r="BT169" s="243">
        <f>Table11[[#This Row],[ETP Offering Expected BF]]-Table11[[#This Row],[Projected Total BF]]</f>
        <v>157751.35407360003</v>
      </c>
      <c r="BU169" s="235">
        <f>(18-Table11[[#This Row],[Average DBH
(inches)]])/(D169-Table11[[#This Row],[Year of Inventory]]+1)</f>
        <v>2.6033333333333335</v>
      </c>
    </row>
    <row r="170" spans="1:73" x14ac:dyDescent="0.25">
      <c r="A170" s="7" t="s">
        <v>968</v>
      </c>
      <c r="B170" s="2">
        <v>2020</v>
      </c>
      <c r="C170" s="2">
        <v>2020</v>
      </c>
      <c r="D170" s="2">
        <v>0</v>
      </c>
      <c r="E170" t="s">
        <v>969</v>
      </c>
      <c r="F170" s="161">
        <v>20046</v>
      </c>
      <c r="G170" t="s">
        <v>969</v>
      </c>
      <c r="H170" s="357" t="s">
        <v>970</v>
      </c>
      <c r="I170" t="s">
        <v>160</v>
      </c>
      <c r="J170" s="1" t="s">
        <v>971</v>
      </c>
      <c r="K170" s="1" t="s">
        <v>972</v>
      </c>
      <c r="L170" s="1" t="s">
        <v>973</v>
      </c>
      <c r="M170" s="1" t="s">
        <v>213</v>
      </c>
      <c r="N170" t="s">
        <v>974</v>
      </c>
      <c r="O170">
        <v>10.94816</v>
      </c>
      <c r="P170">
        <v>-85.378761999999995</v>
      </c>
      <c r="Q170" s="2"/>
      <c r="R170" s="86"/>
      <c r="S170" s="2"/>
      <c r="T170" s="1">
        <v>3440</v>
      </c>
      <c r="U170" s="1">
        <v>3440</v>
      </c>
      <c r="V170" s="1" t="str">
        <f>IF(Table11[[#This Row],['#TreesContract]]-Table11[[#This Row],['#Planted]]=0,"",Table11[[#This Row],['#TreesContract]]-Table11[[#This Row],['#Planted]])</f>
        <v/>
      </c>
      <c r="W170" s="2"/>
      <c r="X170" s="34">
        <v>1</v>
      </c>
      <c r="Y170" s="163">
        <f>Table11[[#This Row],['#TreesContract]]*Table11[[#This Row],[USA Allocation %]]</f>
        <v>3440</v>
      </c>
      <c r="Z170" s="163">
        <f>Table11[[#This Row],['#Planted]]*Table11[[#This Row],[USA Allocation %]]</f>
        <v>3440</v>
      </c>
      <c r="AA170" s="34"/>
      <c r="AB170" s="163"/>
      <c r="AC170" s="34"/>
      <c r="AD170" s="163"/>
      <c r="AE170" s="163">
        <f>Table11[[#This Row],[Canada Allocation-tree '#''s]]+Table11[[#This Row],[Can trees/Allocation 2017]]</f>
        <v>0</v>
      </c>
      <c r="AF170" s="5">
        <v>0.95</v>
      </c>
      <c r="AG170" s="35">
        <v>3268</v>
      </c>
      <c r="AH170" s="35">
        <f>Table11[[#This Row],['#Trees as of 12/31/23]]*Table11[[#This Row],[USA Allocation %]]</f>
        <v>3268</v>
      </c>
      <c r="AI170" s="404">
        <f>Table11[[#This Row],['#TreesContract]]*Table11[[#This Row],[2024 Inventory Survival%-master]]</f>
        <v>0</v>
      </c>
      <c r="AJ170" s="5">
        <v>0</v>
      </c>
      <c r="AK170" s="5">
        <v>0</v>
      </c>
      <c r="AL170" s="5">
        <v>0</v>
      </c>
      <c r="AM170" s="35">
        <f>AK170*Table11[[#This Row],['#TreesContract]]</f>
        <v>0</v>
      </c>
      <c r="AN170" s="35">
        <f>Table11[[#This Row],[2024 '#Trees Inventory + Estimate]]*Table11[[#This Row],[USA Allocation %]]</f>
        <v>0</v>
      </c>
      <c r="AO170" s="35">
        <f>Table11[[#This Row],[2024 '#Trees Inventory + Estimate]]*Table11[[#This Row],[Canada Allocation %]]</f>
        <v>0</v>
      </c>
      <c r="AP170" s="35">
        <f>Table11[[#This Row],[2024 '#Trees Inventory + Estimate]]*Table11[[#This Row],[Canada Allocation2017 %]]</f>
        <v>0</v>
      </c>
      <c r="AQ170" s="35">
        <f>Table11[[#This Row],['#Trees as of 2024/estimate-Can allocation]]+Table11[[#This Row],['#Trees as of 2024/estimate-Can allocation 2017]]</f>
        <v>0</v>
      </c>
      <c r="AR170" s="1" t="s">
        <v>531</v>
      </c>
      <c r="AS170" s="2"/>
      <c r="AT170" s="6">
        <f>IFERROR(Table11[[#This Row],['#Total Replacements]]/Table11[[#This Row],['#TreesContract]],"")</f>
        <v>1.1627906976744186E-2</v>
      </c>
      <c r="AU170" s="4">
        <f>IF(SUM(Table11[[#This Row],['#Replace 24]:['#Replace 16]])=0,0,SUM(Table11[[#This Row],['#Replace 24]:['#Replace 16]]))</f>
        <v>40</v>
      </c>
      <c r="AV170" s="2"/>
      <c r="AW170" s="2"/>
      <c r="AX170" s="3"/>
      <c r="AY170" s="2"/>
      <c r="AZ170" s="2">
        <v>40</v>
      </c>
      <c r="BA170" s="2"/>
      <c r="BB170" s="2"/>
      <c r="BC170" s="2"/>
      <c r="BD170" s="2"/>
      <c r="BE170" s="2"/>
      <c r="BF170" s="3">
        <v>1</v>
      </c>
      <c r="BG170" s="3">
        <v>1</v>
      </c>
      <c r="BH170" s="2"/>
      <c r="BI170" s="158"/>
      <c r="BJ170" s="158"/>
      <c r="BK170" s="139">
        <f>Table11[[#This Row],[Average MHT
(Feet)]]/16</f>
        <v>0</v>
      </c>
      <c r="BL170" s="2"/>
      <c r="BM170" s="139">
        <f>Table11[[#This Row],[Average DBH
(inches)]]/18</f>
        <v>0</v>
      </c>
      <c r="BN170" s="235">
        <f>((Table11[[#This Row],[Average DBH
(inches)]]-4)^2)*(Table11[[#This Row],[Average MHT
(Feet)]]/16)</f>
        <v>0</v>
      </c>
      <c r="BO170" s="235">
        <f>Table11[[#This Row],[Average BF]]*Table11[[#This Row],[2024 '#Trees Inventory + Estimate]]</f>
        <v>0</v>
      </c>
      <c r="BP170" s="240">
        <f>(Table11[[#This Row],[Harvest Year
(10 year)]]-Table11[[#This Row],[Year of Inventory]]+1)*(Table11[[#This Row],[Average DBH
(inches)]]/(Table11[[#This Row],[Harvest Year
(10 year)]]-Table11[[#This Row],[Year of Inventory]]+1))+Table11[[#This Row],[Average DBH
(inches)]]</f>
        <v>0</v>
      </c>
      <c r="BQ170" s="235">
        <f>((Table11[[#This Row],[Projected DBH
(Extrapolated Growth/Year)]]-4)^2)*(Table11[[#This Row],[Average MHT
(Feet)]]/16)</f>
        <v>0</v>
      </c>
      <c r="BR170" s="235">
        <f>Table11[[#This Row],[Projected Average BF]]*Table11[[#This Row],[2024 '#Trees Inventory + Estimate]]</f>
        <v>0</v>
      </c>
      <c r="BS170" s="235">
        <f>196*Table11[[#This Row],[2024 '#Trees Inventory + Estimate]]</f>
        <v>0</v>
      </c>
      <c r="BT170" s="235">
        <f>Table11[[#This Row],[ETP Offering Expected BF]]-Table11[[#This Row],[Projected Total BF]]</f>
        <v>0</v>
      </c>
      <c r="BU170" s="235">
        <f>(18-Table11[[#This Row],[Average DBH
(inches)]])/(D170-Table11[[#This Row],[Year of Inventory]]+1)</f>
        <v>18</v>
      </c>
    </row>
    <row r="171" spans="1:73" x14ac:dyDescent="0.25">
      <c r="A171" s="7" t="s">
        <v>975</v>
      </c>
      <c r="B171" s="2">
        <v>2020</v>
      </c>
      <c r="C171" s="2">
        <v>2020</v>
      </c>
      <c r="D171" s="2">
        <f>Table11[[#This Row],[Planting Year]]+9</f>
        <v>2029</v>
      </c>
      <c r="E171" t="s">
        <v>976</v>
      </c>
      <c r="F171" s="161">
        <v>20047</v>
      </c>
      <c r="G171" t="s">
        <v>976</v>
      </c>
      <c r="H171" s="357" t="s">
        <v>977</v>
      </c>
      <c r="I171" t="s">
        <v>155</v>
      </c>
      <c r="J171" s="1" t="s">
        <v>978</v>
      </c>
      <c r="K171" s="1" t="s">
        <v>979</v>
      </c>
      <c r="L171" s="1" t="s">
        <v>980</v>
      </c>
      <c r="M171" s="1" t="s">
        <v>213</v>
      </c>
      <c r="N171" t="s">
        <v>981</v>
      </c>
      <c r="O171">
        <v>10.763446999999999</v>
      </c>
      <c r="P171">
        <v>-84.884963999999997</v>
      </c>
      <c r="Q171" s="2"/>
      <c r="R171" s="86"/>
      <c r="S171" s="2"/>
      <c r="T171" s="1">
        <v>1300</v>
      </c>
      <c r="U171" s="1">
        <v>1300</v>
      </c>
      <c r="V171" s="1" t="str">
        <f>IF(Table11[[#This Row],['#TreesContract]]-Table11[[#This Row],['#Planted]]=0,"",Table11[[#This Row],['#TreesContract]]-Table11[[#This Row],['#Planted]])</f>
        <v/>
      </c>
      <c r="W171" s="2"/>
      <c r="X171" s="34">
        <v>1</v>
      </c>
      <c r="Y171" s="163">
        <f>Table11[[#This Row],['#TreesContract]]*Table11[[#This Row],[USA Allocation %]]</f>
        <v>1300</v>
      </c>
      <c r="Z171" s="163">
        <f>Table11[[#This Row],['#Planted]]*Table11[[#This Row],[USA Allocation %]]</f>
        <v>1300</v>
      </c>
      <c r="AA171" s="34"/>
      <c r="AB171" s="163"/>
      <c r="AC171" s="34"/>
      <c r="AD171" s="163"/>
      <c r="AE171" s="163">
        <f>Table11[[#This Row],[Canada Allocation-tree '#''s]]+Table11[[#This Row],[Can trees/Allocation 2017]]</f>
        <v>0</v>
      </c>
      <c r="AF171" s="5">
        <v>0.95</v>
      </c>
      <c r="AG171" s="35">
        <v>1235</v>
      </c>
      <c r="AH171" s="35">
        <f>Table11[[#This Row],['#Trees as of 12/31/23]]*Table11[[#This Row],[USA Allocation %]]</f>
        <v>1235</v>
      </c>
      <c r="AI171" s="437">
        <f>Table11[[#This Row],['#TreesContract]]*Table11[[#This Row],[2024 Inventory Survival%-master]]</f>
        <v>1235</v>
      </c>
      <c r="AJ171" s="436">
        <v>0.95</v>
      </c>
      <c r="AK171" s="5">
        <v>0.95</v>
      </c>
      <c r="AL171" s="5">
        <v>0.95</v>
      </c>
      <c r="AM171" s="35">
        <f>Table11[[#This Row],['#TreesContract]]*Table11[[#This Row],[2024 Inventory Survival%-master]]</f>
        <v>1235</v>
      </c>
      <c r="AN171" s="35">
        <f>Table11[[#This Row],[2024 '#Trees Inventory + Estimate]]*Table11[[#This Row],[USA Allocation %]]</f>
        <v>1235</v>
      </c>
      <c r="AO171" s="35">
        <f>Table11[[#This Row],[2024 '#Trees Inventory + Estimate]]*Table11[[#This Row],[Canada Allocation %]]</f>
        <v>0</v>
      </c>
      <c r="AP171" s="35">
        <f>Table11[[#This Row],[2024 '#Trees Inventory + Estimate]]*Table11[[#This Row],[Canada Allocation2017 %]]</f>
        <v>0</v>
      </c>
      <c r="AQ171" s="35">
        <f>Table11[[#This Row],['#Trees as of 2024/estimate-Can allocation]]+Table11[[#This Row],['#Trees as of 2024/estimate-Can allocation 2017]]</f>
        <v>0</v>
      </c>
      <c r="AR171" s="1" t="s">
        <v>531</v>
      </c>
      <c r="AS171" s="2"/>
      <c r="AT171" s="6">
        <f>IFERROR(Table11[[#This Row],['#Total Replacements]]/Table11[[#This Row],['#TreesContract]],"")</f>
        <v>6.1538461538461542E-2</v>
      </c>
      <c r="AU171" s="4">
        <f>IF(SUM(Table11[[#This Row],['#Replace 24]:['#Replace 16]])=0,0,SUM(Table11[[#This Row],['#Replace 24]:['#Replace 16]]))</f>
        <v>80</v>
      </c>
      <c r="AV171" s="2"/>
      <c r="AW171" s="2"/>
      <c r="AX171" s="3"/>
      <c r="AY171" s="2"/>
      <c r="AZ171" s="2">
        <v>80</v>
      </c>
      <c r="BA171" s="2"/>
      <c r="BB171" s="2"/>
      <c r="BC171" s="2"/>
      <c r="BD171" s="2"/>
      <c r="BE171" s="2"/>
      <c r="BF171" s="3">
        <v>1</v>
      </c>
      <c r="BG171" s="3">
        <v>1</v>
      </c>
      <c r="BH171" s="2">
        <v>2024</v>
      </c>
      <c r="BI171" s="2">
        <v>18.579999999999998</v>
      </c>
      <c r="BJ171" s="2">
        <v>13.87</v>
      </c>
      <c r="BK171" s="139">
        <f>Table11[[#This Row],[Average MHT
(Feet)]]/16</f>
        <v>0.86687499999999995</v>
      </c>
      <c r="BL171" s="2">
        <v>4.01</v>
      </c>
      <c r="BM171" s="139">
        <f>Table11[[#This Row],[Average DBH
(inches)]]/18</f>
        <v>0.22277777777777777</v>
      </c>
      <c r="BN171" s="235">
        <f>((Table11[[#This Row],[Average DBH
(inches)]]-4)^2)*(Table11[[#This Row],[Average MHT
(Feet)]]/16)</f>
        <v>8.66874999999963E-5</v>
      </c>
      <c r="BO171" s="235">
        <f>Table11[[#This Row],[Average BF]]*Table11[[#This Row],[2024 '#Trees Inventory + Estimate]]</f>
        <v>0.10705906249999543</v>
      </c>
      <c r="BP171" s="240">
        <f>(Table11[[#This Row],[Harvest Year
(10 year)]]-Table11[[#This Row],[Year of Inventory]]+1)*(Table11[[#This Row],[Average DBH
(inches)]]/(Table11[[#This Row],[Harvest Year
(10 year)]]-Table11[[#This Row],[Year of Inventory]]+1))+Table11[[#This Row],[Average DBH
(inches)]]</f>
        <v>8.02</v>
      </c>
      <c r="BQ171" s="235">
        <f>((Table11[[#This Row],[Projected DBH
(Extrapolated Growth/Year)]]-4)^2)*(Table11[[#This Row],[Average MHT
(Feet)]]/16)</f>
        <v>14.009046749999996</v>
      </c>
      <c r="BR171" s="235">
        <f>Table11[[#This Row],[Projected Average BF]]*Table11[[#This Row],[2024 '#Trees Inventory + Estimate]]</f>
        <v>17301.172736249995</v>
      </c>
      <c r="BS171" s="235">
        <f>196*Table11[[#This Row],[2024 '#Trees Inventory + Estimate]]</f>
        <v>242060</v>
      </c>
      <c r="BT171" s="243">
        <f>Table11[[#This Row],[ETP Offering Expected BF]]-Table11[[#This Row],[Projected Total BF]]</f>
        <v>224758.82726375002</v>
      </c>
      <c r="BU171" s="235">
        <f>(18-Table11[[#This Row],[Average DBH
(inches)]])/(D171-Table11[[#This Row],[Year of Inventory]]+1)</f>
        <v>2.3316666666666666</v>
      </c>
    </row>
    <row r="172" spans="1:73" x14ac:dyDescent="0.25">
      <c r="A172" s="7" t="s">
        <v>982</v>
      </c>
      <c r="B172" s="2">
        <v>2020</v>
      </c>
      <c r="C172" s="2">
        <v>2020</v>
      </c>
      <c r="D172" s="2">
        <f>Table11[[#This Row],[Planting Year]]+9</f>
        <v>2029</v>
      </c>
      <c r="E172" t="s">
        <v>983</v>
      </c>
      <c r="F172" s="161">
        <v>20048</v>
      </c>
      <c r="G172" t="s">
        <v>984</v>
      </c>
      <c r="H172" s="357" t="s">
        <v>985</v>
      </c>
      <c r="I172" t="s">
        <v>155</v>
      </c>
      <c r="J172" s="1" t="s">
        <v>986</v>
      </c>
      <c r="K172" s="1" t="s">
        <v>987</v>
      </c>
      <c r="L172" s="1" t="s">
        <v>988</v>
      </c>
      <c r="M172" s="1" t="s">
        <v>213</v>
      </c>
      <c r="N172" t="s">
        <v>989</v>
      </c>
      <c r="O172">
        <v>9.9489610000000006</v>
      </c>
      <c r="P172">
        <v>-84.476862999999994</v>
      </c>
      <c r="Q172" s="2"/>
      <c r="R172" s="86"/>
      <c r="S172" s="2"/>
      <c r="T172" s="1">
        <v>2400</v>
      </c>
      <c r="U172" s="1">
        <v>2400</v>
      </c>
      <c r="V172" s="1" t="str">
        <f>IF(Table11[[#This Row],['#TreesContract]]-Table11[[#This Row],['#Planted]]=0,"",Table11[[#This Row],['#TreesContract]]-Table11[[#This Row],['#Planted]])</f>
        <v/>
      </c>
      <c r="W172" s="2"/>
      <c r="X172" s="34">
        <v>1</v>
      </c>
      <c r="Y172" s="163">
        <f>Table11[[#This Row],['#TreesContract]]*Table11[[#This Row],[USA Allocation %]]</f>
        <v>2400</v>
      </c>
      <c r="Z172" s="163">
        <f>Table11[[#This Row],['#Planted]]*Table11[[#This Row],[USA Allocation %]]</f>
        <v>2400</v>
      </c>
      <c r="AA172" s="34"/>
      <c r="AB172" s="163"/>
      <c r="AC172" s="34"/>
      <c r="AD172" s="163"/>
      <c r="AE172" s="163">
        <f>Table11[[#This Row],[Canada Allocation-tree '#''s]]+Table11[[#This Row],[Can trees/Allocation 2017]]</f>
        <v>0</v>
      </c>
      <c r="AF172" s="5">
        <v>1</v>
      </c>
      <c r="AG172" s="35">
        <v>2400</v>
      </c>
      <c r="AH172" s="35">
        <f>Table11[[#This Row],['#Trees as of 12/31/23]]*Table11[[#This Row],[USA Allocation %]]</f>
        <v>2400</v>
      </c>
      <c r="AI172" s="437">
        <f>Table11[[#This Row],['#TreesContract]]*Table11[[#This Row],[2024 Inventory Survival%-master]]</f>
        <v>2040</v>
      </c>
      <c r="AJ172" s="436">
        <v>0.85</v>
      </c>
      <c r="AK172" s="5">
        <v>0.85</v>
      </c>
      <c r="AL172" s="5">
        <v>0.85</v>
      </c>
      <c r="AM172" s="35">
        <f>Table11[[#This Row],['#TreesContract]]*Table11[[#This Row],[2024 Inventory Survival%-master]]</f>
        <v>2040</v>
      </c>
      <c r="AN172" s="35">
        <f>Table11[[#This Row],[2024 '#Trees Inventory + Estimate]]*Table11[[#This Row],[USA Allocation %]]</f>
        <v>2040</v>
      </c>
      <c r="AO172" s="35">
        <f>Table11[[#This Row],[2024 '#Trees Inventory + Estimate]]*Table11[[#This Row],[Canada Allocation %]]</f>
        <v>0</v>
      </c>
      <c r="AP172" s="35">
        <f>Table11[[#This Row],[2024 '#Trees Inventory + Estimate]]*Table11[[#This Row],[Canada Allocation2017 %]]</f>
        <v>0</v>
      </c>
      <c r="AQ172" s="35">
        <f>Table11[[#This Row],['#Trees as of 2024/estimate-Can allocation]]+Table11[[#This Row],['#Trees as of 2024/estimate-Can allocation 2017]]</f>
        <v>0</v>
      </c>
      <c r="AR172" s="1" t="s">
        <v>531</v>
      </c>
      <c r="AS172" s="2"/>
      <c r="AT172" s="6">
        <f>IFERROR(Table11[[#This Row],['#Total Replacements]]/Table11[[#This Row],['#TreesContract]],"")</f>
        <v>0.46666666666666667</v>
      </c>
      <c r="AU172" s="4">
        <f>IF(SUM(Table11[[#This Row],['#Replace 24]:['#Replace 16]])=0,0,SUM(Table11[[#This Row],['#Replace 24]:['#Replace 16]]))</f>
        <v>1120</v>
      </c>
      <c r="AV172" s="2"/>
      <c r="AW172" s="2"/>
      <c r="AX172" s="3">
        <v>400</v>
      </c>
      <c r="AY172" s="2">
        <v>420</v>
      </c>
      <c r="AZ172" s="2">
        <v>300</v>
      </c>
      <c r="BA172" s="2"/>
      <c r="BB172" s="2"/>
      <c r="BC172" s="2"/>
      <c r="BD172" s="2"/>
      <c r="BE172" s="2"/>
      <c r="BF172" s="3">
        <v>1</v>
      </c>
      <c r="BG172" s="3">
        <v>1</v>
      </c>
      <c r="BH172" s="2">
        <v>2024</v>
      </c>
      <c r="BI172" s="158">
        <v>17.850000000000001</v>
      </c>
      <c r="BJ172" s="158">
        <v>11.37</v>
      </c>
      <c r="BK172" s="139">
        <f>Table11[[#This Row],[Average MHT
(Feet)]]/16</f>
        <v>0.71062499999999995</v>
      </c>
      <c r="BL172" s="2">
        <v>3.9</v>
      </c>
      <c r="BM172" s="139">
        <f>Table11[[#This Row],[Average DBH
(inches)]]/18</f>
        <v>0.21666666666666667</v>
      </c>
      <c r="BN172" s="235">
        <f>((Table11[[#This Row],[Average DBH
(inches)]]-4)^2)*(Table11[[#This Row],[Average MHT
(Feet)]]/16)</f>
        <v>7.1062500000000119E-3</v>
      </c>
      <c r="BO172" s="235">
        <f>Table11[[#This Row],[Average BF]]*Table11[[#This Row],[2024 '#Trees Inventory + Estimate]]</f>
        <v>14.496750000000024</v>
      </c>
      <c r="BP172" s="240">
        <f>(Table11[[#This Row],[Harvest Year
(10 year)]]-Table11[[#This Row],[Year of Inventory]]+1)*(Table11[[#This Row],[Average DBH
(inches)]]/(Table11[[#This Row],[Harvest Year
(10 year)]]-Table11[[#This Row],[Year of Inventory]]+1))+Table11[[#This Row],[Average DBH
(inches)]]</f>
        <v>7.8000000000000007</v>
      </c>
      <c r="BQ172" s="235">
        <f>((Table11[[#This Row],[Projected DBH
(Extrapolated Growth/Year)]]-4)^2)*(Table11[[#This Row],[Average MHT
(Feet)]]/16)</f>
        <v>10.261425000000003</v>
      </c>
      <c r="BR172" s="235">
        <f>Table11[[#This Row],[Projected Average BF]]*Table11[[#This Row],[2024 '#Trees Inventory + Estimate]]</f>
        <v>20933.307000000004</v>
      </c>
      <c r="BS172" s="235">
        <f>196*Table11[[#This Row],[2024 '#Trees Inventory + Estimate]]</f>
        <v>399840</v>
      </c>
      <c r="BT172" s="243">
        <f>Table11[[#This Row],[ETP Offering Expected BF]]-Table11[[#This Row],[Projected Total BF]]</f>
        <v>378906.69299999997</v>
      </c>
      <c r="BU172" s="235">
        <f>(18-Table11[[#This Row],[Average DBH
(inches)]])/(D172-Table11[[#This Row],[Year of Inventory]]+1)</f>
        <v>2.35</v>
      </c>
    </row>
    <row r="173" spans="1:73" x14ac:dyDescent="0.25">
      <c r="A173" s="343" t="s">
        <v>990</v>
      </c>
      <c r="B173" s="2">
        <v>2020</v>
      </c>
      <c r="C173" s="2">
        <v>2020</v>
      </c>
      <c r="D173" s="2">
        <f>Table11[[#This Row],[Planting Year]]+9</f>
        <v>2029</v>
      </c>
      <c r="E173" t="s">
        <v>991</v>
      </c>
      <c r="F173" s="161">
        <v>20049</v>
      </c>
      <c r="G173" t="s">
        <v>991</v>
      </c>
      <c r="H173" s="357" t="s">
        <v>992</v>
      </c>
      <c r="I173" t="s">
        <v>155</v>
      </c>
      <c r="J173" s="1" t="s">
        <v>993</v>
      </c>
      <c r="K173" s="1" t="s">
        <v>994</v>
      </c>
      <c r="L173" s="1" t="s">
        <v>995</v>
      </c>
      <c r="M173" s="1" t="s">
        <v>213</v>
      </c>
      <c r="N173" t="s">
        <v>996</v>
      </c>
      <c r="O173">
        <v>10.459256</v>
      </c>
      <c r="P173">
        <v>-84.085899999999995</v>
      </c>
      <c r="Q173" s="2"/>
      <c r="R173" s="86"/>
      <c r="S173" s="2"/>
      <c r="T173" s="1">
        <v>1000</v>
      </c>
      <c r="U173" s="1">
        <v>1000</v>
      </c>
      <c r="V173" s="1" t="str">
        <f>IF(Table11[[#This Row],['#TreesContract]]-Table11[[#This Row],['#Planted]]=0,"",Table11[[#This Row],['#TreesContract]]-Table11[[#This Row],['#Planted]])</f>
        <v/>
      </c>
      <c r="W173" s="2"/>
      <c r="X173" s="34">
        <v>1</v>
      </c>
      <c r="Y173" s="163">
        <f>Table11[[#This Row],['#TreesContract]]*Table11[[#This Row],[USA Allocation %]]</f>
        <v>1000</v>
      </c>
      <c r="Z173" s="163">
        <f>Table11[[#This Row],['#Planted]]*Table11[[#This Row],[USA Allocation %]]</f>
        <v>1000</v>
      </c>
      <c r="AA173" s="34"/>
      <c r="AB173" s="163"/>
      <c r="AC173" s="34"/>
      <c r="AD173" s="163"/>
      <c r="AE173" s="163">
        <f>Table11[[#This Row],[Canada Allocation-tree '#''s]]+Table11[[#This Row],[Can trees/Allocation 2017]]</f>
        <v>0</v>
      </c>
      <c r="AF173" s="5">
        <v>1</v>
      </c>
      <c r="AG173" s="35">
        <v>1000</v>
      </c>
      <c r="AH173" s="35">
        <f>Table11[[#This Row],['#Trees as of 12/31/23]]*Table11[[#This Row],[USA Allocation %]]</f>
        <v>1000</v>
      </c>
      <c r="AI173" s="437">
        <f>Table11[[#This Row],['#TreesContract]]*Table11[[#This Row],[2024 Inventory Survival%-master]]</f>
        <v>953</v>
      </c>
      <c r="AJ173" s="436">
        <v>0.95299999999999996</v>
      </c>
      <c r="AK173" s="5">
        <v>0.95</v>
      </c>
      <c r="AL173" s="5">
        <v>0.95299999999999996</v>
      </c>
      <c r="AM173" s="35">
        <f>Table11[[#This Row],['#TreesContract]]*Table11[[#This Row],[2024 Inventory Survival%-master]]</f>
        <v>953</v>
      </c>
      <c r="AN173" s="35">
        <f>Table11[[#This Row],[2024 '#Trees Inventory + Estimate]]*Table11[[#This Row],[USA Allocation %]]</f>
        <v>953</v>
      </c>
      <c r="AO173" s="35">
        <f>Table11[[#This Row],[2024 '#Trees Inventory + Estimate]]*Table11[[#This Row],[Canada Allocation %]]</f>
        <v>0</v>
      </c>
      <c r="AP173" s="35">
        <f>Table11[[#This Row],[2024 '#Trees Inventory + Estimate]]*Table11[[#This Row],[Canada Allocation2017 %]]</f>
        <v>0</v>
      </c>
      <c r="AQ173" s="35">
        <f>Table11[[#This Row],['#Trees as of 2024/estimate-Can allocation]]+Table11[[#This Row],['#Trees as of 2024/estimate-Can allocation 2017]]</f>
        <v>0</v>
      </c>
      <c r="AR173" s="1" t="s">
        <v>531</v>
      </c>
      <c r="AS173" s="2"/>
      <c r="AT173" s="6">
        <f>IFERROR(Table11[[#This Row],['#Total Replacements]]/Table11[[#This Row],['#TreesContract]],"")</f>
        <v>0.05</v>
      </c>
      <c r="AU173" s="4">
        <f>IF(SUM(Table11[[#This Row],['#Replace 24]:['#Replace 16]])=0,0,SUM(Table11[[#This Row],['#Replace 24]:['#Replace 16]]))</f>
        <v>50</v>
      </c>
      <c r="AV173" s="2"/>
      <c r="AW173" s="2"/>
      <c r="AX173" s="3"/>
      <c r="AY173" s="2">
        <v>50</v>
      </c>
      <c r="AZ173" s="2"/>
      <c r="BA173" s="2"/>
      <c r="BB173" s="2"/>
      <c r="BC173" s="2"/>
      <c r="BD173" s="2"/>
      <c r="BE173" s="2"/>
      <c r="BF173" s="3">
        <v>1</v>
      </c>
      <c r="BG173" s="3">
        <v>1</v>
      </c>
      <c r="BH173" s="2">
        <v>2024</v>
      </c>
      <c r="BI173" s="2">
        <v>23.51</v>
      </c>
      <c r="BJ173" s="2">
        <v>18.59</v>
      </c>
      <c r="BK173" s="139">
        <f>Table11[[#This Row],[Average MHT
(Feet)]]/16</f>
        <v>1.161875</v>
      </c>
      <c r="BL173" s="2">
        <v>4.4400000000000004</v>
      </c>
      <c r="BM173" s="139">
        <f>Table11[[#This Row],[Average DBH
(inches)]]/18</f>
        <v>0.2466666666666667</v>
      </c>
      <c r="BN173" s="235">
        <f>((Table11[[#This Row],[Average DBH
(inches)]]-4)^2)*(Table11[[#This Row],[Average MHT
(Feet)]]/16)</f>
        <v>0.22493900000000042</v>
      </c>
      <c r="BO173" s="235">
        <f>Table11[[#This Row],[Average BF]]*Table11[[#This Row],[2024 '#Trees Inventory + Estimate]]</f>
        <v>214.36686700000038</v>
      </c>
      <c r="BP173" s="240">
        <f>(Table11[[#This Row],[Harvest Year
(10 year)]]-Table11[[#This Row],[Year of Inventory]]+1)*(Table11[[#This Row],[Average DBH
(inches)]]/(Table11[[#This Row],[Harvest Year
(10 year)]]-Table11[[#This Row],[Year of Inventory]]+1))+Table11[[#This Row],[Average DBH
(inches)]]</f>
        <v>8.8800000000000008</v>
      </c>
      <c r="BQ173" s="235">
        <f>((Table11[[#This Row],[Projected DBH
(Extrapolated Growth/Year)]]-4)^2)*(Table11[[#This Row],[Average MHT
(Feet)]]/16)</f>
        <v>27.669356000000008</v>
      </c>
      <c r="BR173" s="235">
        <f>Table11[[#This Row],[Projected Average BF]]*Table11[[#This Row],[2024 '#Trees Inventory + Estimate]]</f>
        <v>26368.896268000008</v>
      </c>
      <c r="BS173" s="235">
        <f>196*Table11[[#This Row],[2024 '#Trees Inventory + Estimate]]</f>
        <v>186788</v>
      </c>
      <c r="BT173" s="243">
        <f>Table11[[#This Row],[ETP Offering Expected BF]]-Table11[[#This Row],[Projected Total BF]]</f>
        <v>160419.10373199999</v>
      </c>
      <c r="BU173" s="235">
        <f>(18-Table11[[#This Row],[Average DBH
(inches)]])/(D173-Table11[[#This Row],[Year of Inventory]]+1)</f>
        <v>2.2599999999999998</v>
      </c>
    </row>
    <row r="174" spans="1:73" x14ac:dyDescent="0.25">
      <c r="A174" s="7" t="s">
        <v>997</v>
      </c>
      <c r="B174" s="2">
        <v>2020</v>
      </c>
      <c r="C174" s="2">
        <v>2020</v>
      </c>
      <c r="D174" s="2">
        <v>0</v>
      </c>
      <c r="E174" t="s">
        <v>998</v>
      </c>
      <c r="F174" s="161">
        <v>20050</v>
      </c>
      <c r="G174" t="s">
        <v>998</v>
      </c>
      <c r="H174" s="357"/>
      <c r="I174" t="s">
        <v>160</v>
      </c>
      <c r="J174" s="1"/>
      <c r="K174" s="1"/>
      <c r="L174" s="1"/>
      <c r="M174" s="1" t="s">
        <v>213</v>
      </c>
      <c r="Q174" s="2"/>
      <c r="R174" s="86"/>
      <c r="S174" s="2"/>
      <c r="T174" s="1">
        <v>800</v>
      </c>
      <c r="U174" s="1">
        <v>800</v>
      </c>
      <c r="V174" s="1" t="str">
        <f>IF(Table11[[#This Row],['#TreesContract]]-Table11[[#This Row],['#Planted]]=0,"",Table11[[#This Row],['#TreesContract]]-Table11[[#This Row],['#Planted]])</f>
        <v/>
      </c>
      <c r="W174" s="2"/>
      <c r="X174" s="34">
        <v>1</v>
      </c>
      <c r="Y174" s="163">
        <f>Table11[[#This Row],['#TreesContract]]*Table11[[#This Row],[USA Allocation %]]</f>
        <v>800</v>
      </c>
      <c r="Z174" s="163">
        <f>Table11[[#This Row],['#Planted]]*Table11[[#This Row],[USA Allocation %]]</f>
        <v>800</v>
      </c>
      <c r="AA174" s="34"/>
      <c r="AB174" s="163"/>
      <c r="AC174" s="34"/>
      <c r="AD174" s="163"/>
      <c r="AE174" s="163">
        <f>Table11[[#This Row],[Canada Allocation-tree '#''s]]+Table11[[#This Row],[Can trees/Allocation 2017]]</f>
        <v>0</v>
      </c>
      <c r="AF174" s="5">
        <v>0</v>
      </c>
      <c r="AG174" s="35">
        <v>0</v>
      </c>
      <c r="AH174" s="35">
        <f>Table11[[#This Row],['#Trees as of 12/31/23]]*Table11[[#This Row],[USA Allocation %]]</f>
        <v>0</v>
      </c>
      <c r="AI174" s="404">
        <f>Table11[[#This Row],['#TreesContract]]*Table11[[#This Row],[2024 Inventory Survival%-master]]</f>
        <v>0</v>
      </c>
      <c r="AJ174" s="5">
        <v>0</v>
      </c>
      <c r="AK174" s="5">
        <v>0</v>
      </c>
      <c r="AL174" s="5">
        <v>0</v>
      </c>
      <c r="AM174" s="35">
        <f>AK174*Table11[[#This Row],['#TreesContract]]</f>
        <v>0</v>
      </c>
      <c r="AN174" s="35">
        <f>Table11[[#This Row],[2024 '#Trees Inventory + Estimate]]*Table11[[#This Row],[USA Allocation %]]</f>
        <v>0</v>
      </c>
      <c r="AO174" s="35">
        <f>Table11[[#This Row],[2024 '#Trees Inventory + Estimate]]*Table11[[#This Row],[Canada Allocation %]]</f>
        <v>0</v>
      </c>
      <c r="AP174" s="35">
        <f>Table11[[#This Row],[2024 '#Trees Inventory + Estimate]]*Table11[[#This Row],[Canada Allocation2017 %]]</f>
        <v>0</v>
      </c>
      <c r="AQ174" s="35">
        <f>Table11[[#This Row],['#Trees as of 2024/estimate-Can allocation]]+Table11[[#This Row],['#Trees as of 2024/estimate-Can allocation 2017]]</f>
        <v>0</v>
      </c>
      <c r="AR174" s="1" t="s">
        <v>531</v>
      </c>
      <c r="AS174" s="2"/>
      <c r="AT174" s="6">
        <f>IFERROR(Table11[[#This Row],['#Total Replacements]]/Table11[[#This Row],['#TreesContract]],"")</f>
        <v>0</v>
      </c>
      <c r="AU174" s="4">
        <f>IF(SUM(Table11[[#This Row],['#Replace 24]:['#Replace 16]])=0,0,SUM(Table11[[#This Row],['#Replace 24]:['#Replace 16]]))</f>
        <v>0</v>
      </c>
      <c r="AV174" s="2"/>
      <c r="AW174" s="2"/>
      <c r="AX174" s="3"/>
      <c r="AY174" s="2"/>
      <c r="AZ174" s="2"/>
      <c r="BA174" s="2"/>
      <c r="BB174" s="2"/>
      <c r="BC174" s="2"/>
      <c r="BD174" s="2"/>
      <c r="BE174" s="2"/>
      <c r="BF174" s="3">
        <v>1</v>
      </c>
      <c r="BG174" s="3">
        <v>1</v>
      </c>
      <c r="BH174" s="2"/>
      <c r="BI174" s="2"/>
      <c r="BJ174" s="2"/>
      <c r="BK174" s="139">
        <f>Table11[[#This Row],[Average MHT
(Feet)]]/16</f>
        <v>0</v>
      </c>
      <c r="BL174" s="2"/>
      <c r="BM174" s="139">
        <f>Table11[[#This Row],[Average DBH
(inches)]]/18</f>
        <v>0</v>
      </c>
      <c r="BN174" s="235">
        <f>((Table11[[#This Row],[Average DBH
(inches)]]-4)^2)*(Table11[[#This Row],[Average MHT
(Feet)]]/16)</f>
        <v>0</v>
      </c>
      <c r="BO174" s="235">
        <f>Table11[[#This Row],[Average BF]]*Table11[[#This Row],[2024 '#Trees Inventory + Estimate]]</f>
        <v>0</v>
      </c>
      <c r="BP174" s="240">
        <f>(Table11[[#This Row],[Harvest Year
(10 year)]]-Table11[[#This Row],[Year of Inventory]]+1)*(Table11[[#This Row],[Average DBH
(inches)]]/(Table11[[#This Row],[Harvest Year
(10 year)]]-Table11[[#This Row],[Year of Inventory]]+1))+Table11[[#This Row],[Average DBH
(inches)]]</f>
        <v>0</v>
      </c>
      <c r="BQ174" s="235">
        <f>((Table11[[#This Row],[Projected DBH
(Extrapolated Growth/Year)]]-4)^2)*(Table11[[#This Row],[Average MHT
(Feet)]]/16)</f>
        <v>0</v>
      </c>
      <c r="BR174" s="235">
        <f>Table11[[#This Row],[Projected Average BF]]*Table11[[#This Row],[2024 '#Trees Inventory + Estimate]]</f>
        <v>0</v>
      </c>
      <c r="BS174" s="235">
        <f>196*Table11[[#This Row],[2024 '#Trees Inventory + Estimate]]</f>
        <v>0</v>
      </c>
      <c r="BT174" s="235">
        <f>Table11[[#This Row],[ETP Offering Expected BF]]-Table11[[#This Row],[Projected Total BF]]</f>
        <v>0</v>
      </c>
      <c r="BU174" s="235">
        <f>(18-Table11[[#This Row],[Average DBH
(inches)]])/(D174-Table11[[#This Row],[Year of Inventory]]+1)</f>
        <v>18</v>
      </c>
    </row>
    <row r="175" spans="1:73" x14ac:dyDescent="0.25">
      <c r="A175" s="7" t="s">
        <v>999</v>
      </c>
      <c r="B175" s="2">
        <v>2020</v>
      </c>
      <c r="C175" s="2">
        <v>2020</v>
      </c>
      <c r="D175" s="2">
        <f>Table11[[#This Row],[Planting Year]]+9</f>
        <v>2029</v>
      </c>
      <c r="E175" t="s">
        <v>1000</v>
      </c>
      <c r="F175" s="161">
        <v>20051</v>
      </c>
      <c r="G175" t="s">
        <v>1000</v>
      </c>
      <c r="H175" s="357" t="s">
        <v>1001</v>
      </c>
      <c r="I175" t="s">
        <v>147</v>
      </c>
      <c r="J175" s="1" t="s">
        <v>1002</v>
      </c>
      <c r="K175" s="1" t="s">
        <v>1003</v>
      </c>
      <c r="L175" s="1" t="s">
        <v>1004</v>
      </c>
      <c r="M175" s="1" t="s">
        <v>213</v>
      </c>
      <c r="N175" t="s">
        <v>1005</v>
      </c>
      <c r="O175">
        <v>9.1543189999999992</v>
      </c>
      <c r="P175">
        <v>-83.550926000000004</v>
      </c>
      <c r="Q175" s="2"/>
      <c r="R175" s="86"/>
      <c r="S175" s="2"/>
      <c r="T175" s="1">
        <v>1000</v>
      </c>
      <c r="U175" s="1">
        <v>1000</v>
      </c>
      <c r="V175" s="1" t="str">
        <f>IF(Table11[[#This Row],['#TreesContract]]-Table11[[#This Row],['#Planted]]=0,"",Table11[[#This Row],['#TreesContract]]-Table11[[#This Row],['#Planted]])</f>
        <v/>
      </c>
      <c r="W175" s="2"/>
      <c r="X175" s="34">
        <v>1</v>
      </c>
      <c r="Y175" s="163">
        <f>Table11[[#This Row],['#TreesContract]]*Table11[[#This Row],[USA Allocation %]]</f>
        <v>1000</v>
      </c>
      <c r="Z175" s="163">
        <f>Table11[[#This Row],['#Planted]]*Table11[[#This Row],[USA Allocation %]]</f>
        <v>1000</v>
      </c>
      <c r="AA175" s="34"/>
      <c r="AB175" s="163"/>
      <c r="AC175" s="34"/>
      <c r="AD175" s="163"/>
      <c r="AE175" s="163">
        <f>Table11[[#This Row],[Canada Allocation-tree '#''s]]+Table11[[#This Row],[Can trees/Allocation 2017]]</f>
        <v>0</v>
      </c>
      <c r="AF175" s="5">
        <v>0.82499999999999996</v>
      </c>
      <c r="AG175" s="35">
        <v>825</v>
      </c>
      <c r="AH175" s="35">
        <f>Table11[[#This Row],['#Trees as of 12/31/23]]*Table11[[#This Row],[USA Allocation %]]</f>
        <v>825</v>
      </c>
      <c r="AI175" s="404">
        <f>Table11[[#This Row],['#TreesContract]]*Table11[[#This Row],[2024 Inventory Survival%-master]]</f>
        <v>454</v>
      </c>
      <c r="AJ175" s="5">
        <v>0.45400000000000001</v>
      </c>
      <c r="AK175" s="5">
        <v>0.45</v>
      </c>
      <c r="AL175" s="5">
        <v>0.45</v>
      </c>
      <c r="AM175" s="35">
        <f>AK175*Table11[[#This Row],['#TreesContract]]</f>
        <v>450</v>
      </c>
      <c r="AN175" s="35">
        <f>Table11[[#This Row],[2024 '#Trees Inventory + Estimate]]*Table11[[#This Row],[USA Allocation %]]</f>
        <v>450</v>
      </c>
      <c r="AO175" s="35">
        <f>Table11[[#This Row],[2024 '#Trees Inventory + Estimate]]*Table11[[#This Row],[Canada Allocation %]]</f>
        <v>0</v>
      </c>
      <c r="AP175" s="35">
        <f>Table11[[#This Row],[2024 '#Trees Inventory + Estimate]]*Table11[[#This Row],[Canada Allocation2017 %]]</f>
        <v>0</v>
      </c>
      <c r="AQ175" s="35">
        <f>Table11[[#This Row],['#Trees as of 2024/estimate-Can allocation]]+Table11[[#This Row],['#Trees as of 2024/estimate-Can allocation 2017]]</f>
        <v>0</v>
      </c>
      <c r="AR175" s="1" t="s">
        <v>531</v>
      </c>
      <c r="AS175" s="2"/>
      <c r="AT175" s="6">
        <f>IFERROR(Table11[[#This Row],['#Total Replacements]]/Table11[[#This Row],['#TreesContract]],"")</f>
        <v>0</v>
      </c>
      <c r="AU175" s="4">
        <f>IF(SUM(Table11[[#This Row],['#Replace 24]:['#Replace 16]])=0,0,SUM(Table11[[#This Row],['#Replace 24]:['#Replace 16]]))</f>
        <v>0</v>
      </c>
      <c r="AV175" s="2"/>
      <c r="AW175" s="2"/>
      <c r="AX175" s="3"/>
      <c r="AY175" s="2"/>
      <c r="AZ175" s="2"/>
      <c r="BA175" s="2"/>
      <c r="BB175" s="2"/>
      <c r="BC175" s="2"/>
      <c r="BD175" s="2"/>
      <c r="BE175" s="2"/>
      <c r="BF175" s="3">
        <v>1</v>
      </c>
      <c r="BG175" s="3">
        <v>1</v>
      </c>
      <c r="BH175" s="2">
        <v>2024</v>
      </c>
      <c r="BI175" s="158">
        <v>6.67</v>
      </c>
      <c r="BJ175" s="158">
        <v>1.89</v>
      </c>
      <c r="BK175" s="139">
        <f>Table11[[#This Row],[Average MHT
(Feet)]]/16</f>
        <v>0.11812499999999999</v>
      </c>
      <c r="BL175" s="2">
        <v>1.28</v>
      </c>
      <c r="BM175" s="139">
        <f>Table11[[#This Row],[Average DBH
(inches)]]/18</f>
        <v>7.1111111111111111E-2</v>
      </c>
      <c r="BN175" s="235">
        <f>((Table11[[#This Row],[Average DBH
(inches)]]-4)^2)*(Table11[[#This Row],[Average MHT
(Feet)]]/16)</f>
        <v>0.87393599999999982</v>
      </c>
      <c r="BO175" s="235">
        <f>Table11[[#This Row],[Average BF]]*Table11[[#This Row],[2024 '#Trees Inventory + Estimate]]</f>
        <v>393.27119999999991</v>
      </c>
      <c r="BP175" s="240">
        <f>(Table11[[#This Row],[Harvest Year
(10 year)]]-Table11[[#This Row],[Year of Inventory]]+1)*(Table11[[#This Row],[Average DBH
(inches)]]/(Table11[[#This Row],[Harvest Year
(10 year)]]-Table11[[#This Row],[Year of Inventory]]+1))+Table11[[#This Row],[Average DBH
(inches)]]</f>
        <v>2.56</v>
      </c>
      <c r="BQ175" s="235">
        <f>((Table11[[#This Row],[Projected DBH
(Extrapolated Growth/Year)]]-4)^2)*(Table11[[#This Row],[Average MHT
(Feet)]]/16)</f>
        <v>0.24494399999999997</v>
      </c>
      <c r="BR175" s="235">
        <f>Table11[[#This Row],[Projected Average BF]]*Table11[[#This Row],[2024 '#Trees Inventory + Estimate]]</f>
        <v>110.22479999999999</v>
      </c>
      <c r="BS175" s="235">
        <f>196*Table11[[#This Row],[2024 '#Trees Inventory + Estimate]]</f>
        <v>88200</v>
      </c>
      <c r="BT175" s="235">
        <f>Table11[[#This Row],[ETP Offering Expected BF]]-Table11[[#This Row],[Projected Total BF]]</f>
        <v>88089.775200000004</v>
      </c>
      <c r="BU175" s="235">
        <f>(18-Table11[[#This Row],[Average DBH
(inches)]])/(D175-Table11[[#This Row],[Year of Inventory]]+1)</f>
        <v>2.7866666666666666</v>
      </c>
    </row>
    <row r="176" spans="1:73" x14ac:dyDescent="0.25">
      <c r="A176" s="7" t="s">
        <v>1006</v>
      </c>
      <c r="B176" s="2">
        <v>2020</v>
      </c>
      <c r="C176" s="2">
        <v>2020</v>
      </c>
      <c r="D176" s="2">
        <f>Table11[[#This Row],[Planting Year]]+9</f>
        <v>2029</v>
      </c>
      <c r="E176" t="s">
        <v>1007</v>
      </c>
      <c r="F176" s="161">
        <v>20052</v>
      </c>
      <c r="G176" t="s">
        <v>1008</v>
      </c>
      <c r="H176" s="357" t="s">
        <v>1009</v>
      </c>
      <c r="I176" t="s">
        <v>147</v>
      </c>
      <c r="J176" s="1" t="s">
        <v>1010</v>
      </c>
      <c r="K176" s="1" t="s">
        <v>1011</v>
      </c>
      <c r="L176" s="1" t="s">
        <v>1012</v>
      </c>
      <c r="M176" s="1" t="s">
        <v>213</v>
      </c>
      <c r="N176" t="s">
        <v>1013</v>
      </c>
      <c r="O176">
        <v>9.8137349999999994</v>
      </c>
      <c r="P176">
        <v>-84.521879999999996</v>
      </c>
      <c r="Q176" s="2"/>
      <c r="R176" s="86"/>
      <c r="S176" s="2"/>
      <c r="T176" s="1">
        <v>4000</v>
      </c>
      <c r="U176" s="1">
        <v>4000</v>
      </c>
      <c r="V176" s="1" t="str">
        <f>IF(Table11[[#This Row],['#TreesContract]]-Table11[[#This Row],['#Planted]]=0,"",Table11[[#This Row],['#TreesContract]]-Table11[[#This Row],['#Planted]])</f>
        <v/>
      </c>
      <c r="W176" s="2"/>
      <c r="X176" s="34">
        <v>1</v>
      </c>
      <c r="Y176" s="163">
        <f>Table11[[#This Row],['#TreesContract]]*Table11[[#This Row],[USA Allocation %]]</f>
        <v>4000</v>
      </c>
      <c r="Z176" s="163">
        <f>Table11[[#This Row],['#Planted]]*Table11[[#This Row],[USA Allocation %]]</f>
        <v>4000</v>
      </c>
      <c r="AA176" s="34"/>
      <c r="AB176" s="163"/>
      <c r="AC176" s="34"/>
      <c r="AD176" s="163"/>
      <c r="AE176" s="163">
        <f>Table11[[#This Row],[Canada Allocation-tree '#''s]]+Table11[[#This Row],[Can trees/Allocation 2017]]</f>
        <v>0</v>
      </c>
      <c r="AF176" s="5">
        <v>0.82499999999999996</v>
      </c>
      <c r="AG176" s="35">
        <v>3300</v>
      </c>
      <c r="AH176" s="35">
        <f>Table11[[#This Row],['#Trees as of 12/31/23]]*Table11[[#This Row],[USA Allocation %]]</f>
        <v>3300</v>
      </c>
      <c r="AI176" s="404">
        <f>Table11[[#This Row],['#TreesContract]]*Table11[[#This Row],[2024 Inventory Survival%-master]]</f>
        <v>0</v>
      </c>
      <c r="AJ176" s="5"/>
      <c r="AK176" s="5">
        <v>0.82499999999999996</v>
      </c>
      <c r="AL176" s="5">
        <v>0.83</v>
      </c>
      <c r="AM176" s="35">
        <f>AK176*Table11[[#This Row],['#TreesContract]]</f>
        <v>3300</v>
      </c>
      <c r="AN176" s="35">
        <f>Table11[[#This Row],[2024 '#Trees Inventory + Estimate]]*Table11[[#This Row],[USA Allocation %]]</f>
        <v>3300</v>
      </c>
      <c r="AO176" s="35">
        <f>Table11[[#This Row],[2024 '#Trees Inventory + Estimate]]*Table11[[#This Row],[Canada Allocation %]]</f>
        <v>0</v>
      </c>
      <c r="AP176" s="35">
        <f>Table11[[#This Row],[2024 '#Trees Inventory + Estimate]]*Table11[[#This Row],[Canada Allocation2017 %]]</f>
        <v>0</v>
      </c>
      <c r="AQ176" s="35">
        <f>Table11[[#This Row],['#Trees as of 2024/estimate-Can allocation]]+Table11[[#This Row],['#Trees as of 2024/estimate-Can allocation 2017]]</f>
        <v>0</v>
      </c>
      <c r="AR176" s="1" t="s">
        <v>531</v>
      </c>
      <c r="AS176" s="2"/>
      <c r="AT176" s="6">
        <f>IFERROR(Table11[[#This Row],['#Total Replacements]]/Table11[[#This Row],['#TreesContract]],"")</f>
        <v>0.21299999999999999</v>
      </c>
      <c r="AU176" s="4">
        <f>IF(SUM(Table11[[#This Row],['#Replace 24]:['#Replace 16]])=0,0,SUM(Table11[[#This Row],['#Replace 24]:['#Replace 16]]))</f>
        <v>852</v>
      </c>
      <c r="AV176" s="2"/>
      <c r="AW176" s="2"/>
      <c r="AX176" s="3"/>
      <c r="AY176" s="2"/>
      <c r="AZ176" s="2">
        <v>852</v>
      </c>
      <c r="BA176" s="2"/>
      <c r="BB176" s="2"/>
      <c r="BC176" s="2"/>
      <c r="BD176" s="2"/>
      <c r="BE176" s="2"/>
      <c r="BF176" s="3">
        <v>1</v>
      </c>
      <c r="BG176" s="3">
        <v>1</v>
      </c>
      <c r="BH176" s="2"/>
      <c r="BI176" s="2"/>
      <c r="BJ176" s="2"/>
      <c r="BK176" s="139">
        <f>Table11[[#This Row],[Average MHT
(Feet)]]/16</f>
        <v>0</v>
      </c>
      <c r="BL176" s="2"/>
      <c r="BM176" s="139">
        <f>Table11[[#This Row],[Average DBH
(inches)]]/18</f>
        <v>0</v>
      </c>
      <c r="BN176" s="235">
        <f>((Table11[[#This Row],[Average DBH
(inches)]]-4)^2)*(Table11[[#This Row],[Average MHT
(Feet)]]/16)</f>
        <v>0</v>
      </c>
      <c r="BO176" s="235">
        <f>Table11[[#This Row],[Average BF]]*Table11[[#This Row],[2024 '#Trees Inventory + Estimate]]</f>
        <v>0</v>
      </c>
      <c r="BP176" s="240">
        <f>(Table11[[#This Row],[Harvest Year
(10 year)]]-Table11[[#This Row],[Year of Inventory]]+1)*(Table11[[#This Row],[Average DBH
(inches)]]/(Table11[[#This Row],[Harvest Year
(10 year)]]-Table11[[#This Row],[Year of Inventory]]+1))+Table11[[#This Row],[Average DBH
(inches)]]</f>
        <v>0</v>
      </c>
      <c r="BQ176" s="235">
        <f>((Table11[[#This Row],[Projected DBH
(Extrapolated Growth/Year)]]-4)^2)*(Table11[[#This Row],[Average MHT
(Feet)]]/16)</f>
        <v>0</v>
      </c>
      <c r="BR176" s="235">
        <f>Table11[[#This Row],[Projected Average BF]]*Table11[[#This Row],[2024 '#Trees Inventory + Estimate]]</f>
        <v>0</v>
      </c>
      <c r="BS176" s="235">
        <f>196*Table11[[#This Row],[2024 '#Trees Inventory + Estimate]]</f>
        <v>646800</v>
      </c>
      <c r="BT176" s="235">
        <f>Table11[[#This Row],[ETP Offering Expected BF]]-Table11[[#This Row],[Projected Total BF]]</f>
        <v>646800</v>
      </c>
      <c r="BU176" s="235">
        <f>(18-Table11[[#This Row],[Average DBH
(inches)]])/(D176-Table11[[#This Row],[Year of Inventory]]+1)</f>
        <v>8.8669950738916262E-3</v>
      </c>
    </row>
    <row r="177" spans="1:73" x14ac:dyDescent="0.25">
      <c r="A177" s="7" t="s">
        <v>1014</v>
      </c>
      <c r="B177" s="2">
        <v>2020</v>
      </c>
      <c r="C177" s="2">
        <v>2020</v>
      </c>
      <c r="D177" s="2">
        <f>Table11[[#This Row],[Planting Year]]+9</f>
        <v>2029</v>
      </c>
      <c r="E177" t="s">
        <v>1015</v>
      </c>
      <c r="F177" s="161">
        <v>20053</v>
      </c>
      <c r="G177" t="s">
        <v>1015</v>
      </c>
      <c r="H177" s="357" t="s">
        <v>1016</v>
      </c>
      <c r="I177" t="s">
        <v>147</v>
      </c>
      <c r="J177" s="1" t="s">
        <v>1017</v>
      </c>
      <c r="K177" s="1" t="s">
        <v>1018</v>
      </c>
      <c r="L177" s="1" t="s">
        <v>1019</v>
      </c>
      <c r="M177" s="1" t="s">
        <v>213</v>
      </c>
      <c r="N177" t="s">
        <v>1020</v>
      </c>
      <c r="O177">
        <v>8.9943059999999999</v>
      </c>
      <c r="P177">
        <v>-82.996703999999994</v>
      </c>
      <c r="Q177" s="2"/>
      <c r="R177" s="86"/>
      <c r="S177" s="2"/>
      <c r="T177" s="1">
        <v>2000</v>
      </c>
      <c r="U177" s="1">
        <v>2000</v>
      </c>
      <c r="V177" s="1" t="str">
        <f>IF(Table11[[#This Row],['#TreesContract]]-Table11[[#This Row],['#Planted]]=0,"",Table11[[#This Row],['#TreesContract]]-Table11[[#This Row],['#Planted]])</f>
        <v/>
      </c>
      <c r="W177" s="2"/>
      <c r="X177" s="34">
        <v>1</v>
      </c>
      <c r="Y177" s="163">
        <f>Table11[[#This Row],['#TreesContract]]*Table11[[#This Row],[USA Allocation %]]</f>
        <v>2000</v>
      </c>
      <c r="Z177" s="163">
        <f>Table11[[#This Row],['#Planted]]*Table11[[#This Row],[USA Allocation %]]</f>
        <v>2000</v>
      </c>
      <c r="AA177" s="34"/>
      <c r="AB177" s="163"/>
      <c r="AC177" s="34"/>
      <c r="AD177" s="163"/>
      <c r="AE177" s="163">
        <f>Table11[[#This Row],[Canada Allocation-tree '#''s]]+Table11[[#This Row],[Can trees/Allocation 2017]]</f>
        <v>0</v>
      </c>
      <c r="AF177" s="5">
        <v>0.73</v>
      </c>
      <c r="AG177" s="35">
        <v>1460</v>
      </c>
      <c r="AH177" s="35">
        <f>Table11[[#This Row],['#Trees as of 12/31/23]]*Table11[[#This Row],[USA Allocation %]]</f>
        <v>1460</v>
      </c>
      <c r="AI177" s="404">
        <f>Table11[[#This Row],['#TreesContract]]*Table11[[#This Row],[2024 Inventory Survival%-master]]</f>
        <v>0</v>
      </c>
      <c r="AJ177" s="5"/>
      <c r="AK177" s="5">
        <v>0.73</v>
      </c>
      <c r="AL177" s="5">
        <v>0.73</v>
      </c>
      <c r="AM177" s="35">
        <f>AK177*Table11[[#This Row],['#TreesContract]]</f>
        <v>1460</v>
      </c>
      <c r="AN177" s="35">
        <f>Table11[[#This Row],[2024 '#Trees Inventory + Estimate]]*Table11[[#This Row],[USA Allocation %]]</f>
        <v>1460</v>
      </c>
      <c r="AO177" s="35">
        <f>Table11[[#This Row],[2024 '#Trees Inventory + Estimate]]*Table11[[#This Row],[Canada Allocation %]]</f>
        <v>0</v>
      </c>
      <c r="AP177" s="35">
        <f>Table11[[#This Row],[2024 '#Trees Inventory + Estimate]]*Table11[[#This Row],[Canada Allocation2017 %]]</f>
        <v>0</v>
      </c>
      <c r="AQ177" s="35">
        <f>Table11[[#This Row],['#Trees as of 2024/estimate-Can allocation]]+Table11[[#This Row],['#Trees as of 2024/estimate-Can allocation 2017]]</f>
        <v>0</v>
      </c>
      <c r="AR177" s="1" t="s">
        <v>531</v>
      </c>
      <c r="AS177" s="2"/>
      <c r="AT177" s="6">
        <f>IFERROR(Table11[[#This Row],['#Total Replacements]]/Table11[[#This Row],['#TreesContract]],"")</f>
        <v>0.4</v>
      </c>
      <c r="AU177" s="4">
        <f>IF(SUM(Table11[[#This Row],['#Replace 24]:['#Replace 16]])=0,0,SUM(Table11[[#This Row],['#Replace 24]:['#Replace 16]]))</f>
        <v>800</v>
      </c>
      <c r="AV177" s="2"/>
      <c r="AW177" s="2"/>
      <c r="AX177" s="3"/>
      <c r="AY177" s="2"/>
      <c r="AZ177" s="2">
        <v>800</v>
      </c>
      <c r="BA177" s="2"/>
      <c r="BB177" s="2"/>
      <c r="BC177" s="2"/>
      <c r="BD177" s="2"/>
      <c r="BE177" s="2"/>
      <c r="BF177" s="3">
        <v>1</v>
      </c>
      <c r="BG177" s="3">
        <v>1</v>
      </c>
      <c r="BH177" s="2"/>
      <c r="BI177" s="158"/>
      <c r="BJ177" s="158"/>
      <c r="BK177" s="139">
        <f>Table11[[#This Row],[Average MHT
(Feet)]]/16</f>
        <v>0</v>
      </c>
      <c r="BL177" s="2"/>
      <c r="BM177" s="139">
        <f>Table11[[#This Row],[Average DBH
(inches)]]/18</f>
        <v>0</v>
      </c>
      <c r="BN177" s="235">
        <f>((Table11[[#This Row],[Average DBH
(inches)]]-4)^2)*(Table11[[#This Row],[Average MHT
(Feet)]]/16)</f>
        <v>0</v>
      </c>
      <c r="BO177" s="235">
        <f>Table11[[#This Row],[Average BF]]*Table11[[#This Row],[2024 '#Trees Inventory + Estimate]]</f>
        <v>0</v>
      </c>
      <c r="BP177" s="240">
        <f>(Table11[[#This Row],[Harvest Year
(10 year)]]-Table11[[#This Row],[Year of Inventory]]+1)*(Table11[[#This Row],[Average DBH
(inches)]]/(Table11[[#This Row],[Harvest Year
(10 year)]]-Table11[[#This Row],[Year of Inventory]]+1))+Table11[[#This Row],[Average DBH
(inches)]]</f>
        <v>0</v>
      </c>
      <c r="BQ177" s="235">
        <f>((Table11[[#This Row],[Projected DBH
(Extrapolated Growth/Year)]]-4)^2)*(Table11[[#This Row],[Average MHT
(Feet)]]/16)</f>
        <v>0</v>
      </c>
      <c r="BR177" s="235">
        <f>Table11[[#This Row],[Projected Average BF]]*Table11[[#This Row],[2024 '#Trees Inventory + Estimate]]</f>
        <v>0</v>
      </c>
      <c r="BS177" s="235">
        <f>196*Table11[[#This Row],[2024 '#Trees Inventory + Estimate]]</f>
        <v>286160</v>
      </c>
      <c r="BT177" s="235">
        <f>Table11[[#This Row],[ETP Offering Expected BF]]-Table11[[#This Row],[Projected Total BF]]</f>
        <v>286160</v>
      </c>
      <c r="BU177" s="235">
        <f>(18-Table11[[#This Row],[Average DBH
(inches)]])/(D177-Table11[[#This Row],[Year of Inventory]]+1)</f>
        <v>8.8669950738916262E-3</v>
      </c>
    </row>
    <row r="178" spans="1:73" x14ac:dyDescent="0.25">
      <c r="A178" s="7" t="s">
        <v>1021</v>
      </c>
      <c r="B178" s="2">
        <v>2020</v>
      </c>
      <c r="C178" s="2">
        <v>2020</v>
      </c>
      <c r="D178" s="2">
        <f>Table11[[#This Row],[Planting Year]]+9</f>
        <v>2029</v>
      </c>
      <c r="E178" t="s">
        <v>1022</v>
      </c>
      <c r="F178" s="161">
        <v>20054</v>
      </c>
      <c r="G178" t="s">
        <v>1022</v>
      </c>
      <c r="H178" s="357" t="s">
        <v>1023</v>
      </c>
      <c r="I178" t="s">
        <v>147</v>
      </c>
      <c r="J178" s="1" t="s">
        <v>1024</v>
      </c>
      <c r="K178" s="1" t="s">
        <v>1025</v>
      </c>
      <c r="L178" s="1" t="s">
        <v>1026</v>
      </c>
      <c r="M178" s="1" t="s">
        <v>213</v>
      </c>
      <c r="N178" t="s">
        <v>1027</v>
      </c>
      <c r="O178">
        <v>9.902965</v>
      </c>
      <c r="P178">
        <v>-84.179005000000004</v>
      </c>
      <c r="Q178" s="2"/>
      <c r="R178" s="86"/>
      <c r="S178" s="2"/>
      <c r="T178" s="1">
        <v>2000</v>
      </c>
      <c r="U178" s="1">
        <v>2000</v>
      </c>
      <c r="V178" s="1" t="str">
        <f>IF(Table11[[#This Row],['#TreesContract]]-Table11[[#This Row],['#Planted]]=0,"",Table11[[#This Row],['#TreesContract]]-Table11[[#This Row],['#Planted]])</f>
        <v/>
      </c>
      <c r="W178" s="2"/>
      <c r="X178" s="34">
        <v>1</v>
      </c>
      <c r="Y178" s="163">
        <f>Table11[[#This Row],['#TreesContract]]*Table11[[#This Row],[USA Allocation %]]</f>
        <v>2000</v>
      </c>
      <c r="Z178" s="163">
        <f>Table11[[#This Row],['#Planted]]*Table11[[#This Row],[USA Allocation %]]</f>
        <v>2000</v>
      </c>
      <c r="AA178" s="34"/>
      <c r="AB178" s="163"/>
      <c r="AC178" s="34"/>
      <c r="AD178" s="163"/>
      <c r="AE178" s="163">
        <f>Table11[[#This Row],[Canada Allocation-tree '#''s]]+Table11[[#This Row],[Can trees/Allocation 2017]]</f>
        <v>0</v>
      </c>
      <c r="AF178" s="5">
        <v>0.67</v>
      </c>
      <c r="AG178" s="35">
        <v>1340</v>
      </c>
      <c r="AH178" s="35">
        <f>Table11[[#This Row],['#Trees as of 12/31/23]]*Table11[[#This Row],[USA Allocation %]]</f>
        <v>1340</v>
      </c>
      <c r="AI178" s="404">
        <f>Table11[[#This Row],['#TreesContract]]*Table11[[#This Row],[2024 Inventory Survival%-master]]</f>
        <v>812</v>
      </c>
      <c r="AJ178" s="5">
        <v>0.40600000000000003</v>
      </c>
      <c r="AK178" s="5">
        <v>0.41</v>
      </c>
      <c r="AL178" s="5">
        <v>0.41</v>
      </c>
      <c r="AM178" s="35">
        <f>AK178*Table11[[#This Row],['#TreesContract]]</f>
        <v>820</v>
      </c>
      <c r="AN178" s="35">
        <f>Table11[[#This Row],[2024 '#Trees Inventory + Estimate]]*Table11[[#This Row],[USA Allocation %]]</f>
        <v>820</v>
      </c>
      <c r="AO178" s="35">
        <f>Table11[[#This Row],[2024 '#Trees Inventory + Estimate]]*Table11[[#This Row],[Canada Allocation %]]</f>
        <v>0</v>
      </c>
      <c r="AP178" s="35">
        <f>Table11[[#This Row],[2024 '#Trees Inventory + Estimate]]*Table11[[#This Row],[Canada Allocation2017 %]]</f>
        <v>0</v>
      </c>
      <c r="AQ178" s="35">
        <f>Table11[[#This Row],['#Trees as of 2024/estimate-Can allocation]]+Table11[[#This Row],['#Trees as of 2024/estimate-Can allocation 2017]]</f>
        <v>0</v>
      </c>
      <c r="AR178" s="1" t="s">
        <v>531</v>
      </c>
      <c r="AS178" s="2"/>
      <c r="AT178" s="6">
        <f>IFERROR(Table11[[#This Row],['#Total Replacements]]/Table11[[#This Row],['#TreesContract]],"")</f>
        <v>0.06</v>
      </c>
      <c r="AU178" s="4">
        <f>IF(SUM(Table11[[#This Row],['#Replace 24]:['#Replace 16]])=0,0,SUM(Table11[[#This Row],['#Replace 24]:['#Replace 16]]))</f>
        <v>120</v>
      </c>
      <c r="AV178" s="2"/>
      <c r="AW178" s="2"/>
      <c r="AX178" s="3"/>
      <c r="AY178" s="2"/>
      <c r="AZ178" s="2">
        <v>120</v>
      </c>
      <c r="BA178" s="2"/>
      <c r="BB178" s="2"/>
      <c r="BC178" s="2"/>
      <c r="BD178" s="2"/>
      <c r="BE178" s="2"/>
      <c r="BF178" s="3">
        <v>1</v>
      </c>
      <c r="BG178" s="3">
        <v>1</v>
      </c>
      <c r="BH178" s="2">
        <v>2024</v>
      </c>
      <c r="BI178" s="2">
        <v>6.67</v>
      </c>
      <c r="BJ178" s="2">
        <v>1.89</v>
      </c>
      <c r="BK178" s="139">
        <f>Table11[[#This Row],[Average MHT
(Feet)]]/16</f>
        <v>0.11812499999999999</v>
      </c>
      <c r="BL178" s="2">
        <v>1.28</v>
      </c>
      <c r="BM178" s="139">
        <f>Table11[[#This Row],[Average DBH
(inches)]]/18</f>
        <v>7.1111111111111111E-2</v>
      </c>
      <c r="BN178" s="235">
        <f>((Table11[[#This Row],[Average DBH
(inches)]]-4)^2)*(Table11[[#This Row],[Average MHT
(Feet)]]/16)</f>
        <v>0.87393599999999982</v>
      </c>
      <c r="BO178" s="235">
        <f>Table11[[#This Row],[Average BF]]*Table11[[#This Row],[2024 '#Trees Inventory + Estimate]]</f>
        <v>716.62751999999989</v>
      </c>
      <c r="BP178" s="240">
        <f>(Table11[[#This Row],[Harvest Year
(10 year)]]-Table11[[#This Row],[Year of Inventory]]+1)*(Table11[[#This Row],[Average DBH
(inches)]]/(Table11[[#This Row],[Harvest Year
(10 year)]]-Table11[[#This Row],[Year of Inventory]]+1))+Table11[[#This Row],[Average DBH
(inches)]]</f>
        <v>2.56</v>
      </c>
      <c r="BQ178" s="235">
        <f>((Table11[[#This Row],[Projected DBH
(Extrapolated Growth/Year)]]-4)^2)*(Table11[[#This Row],[Average MHT
(Feet)]]/16)</f>
        <v>0.24494399999999997</v>
      </c>
      <c r="BR178" s="235">
        <f>Table11[[#This Row],[Projected Average BF]]*Table11[[#This Row],[2024 '#Trees Inventory + Estimate]]</f>
        <v>200.85407999999998</v>
      </c>
      <c r="BS178" s="235">
        <f>196*Table11[[#This Row],[2024 '#Trees Inventory + Estimate]]</f>
        <v>160720</v>
      </c>
      <c r="BT178" s="235">
        <f>Table11[[#This Row],[ETP Offering Expected BF]]-Table11[[#This Row],[Projected Total BF]]</f>
        <v>160519.14592000001</v>
      </c>
      <c r="BU178" s="235">
        <f>(18-Table11[[#This Row],[Average DBH
(inches)]])/(D178-Table11[[#This Row],[Year of Inventory]]+1)</f>
        <v>2.7866666666666666</v>
      </c>
    </row>
    <row r="179" spans="1:73" x14ac:dyDescent="0.25">
      <c r="A179" s="7" t="s">
        <v>1028</v>
      </c>
      <c r="B179" s="2">
        <v>2020</v>
      </c>
      <c r="C179" s="2">
        <v>2020</v>
      </c>
      <c r="D179" s="2">
        <f>Table11[[#This Row],[Planting Year]]+9</f>
        <v>2029</v>
      </c>
      <c r="E179" t="s">
        <v>1029</v>
      </c>
      <c r="F179" s="161">
        <v>20055</v>
      </c>
      <c r="G179" t="s">
        <v>1030</v>
      </c>
      <c r="H179" s="357" t="s">
        <v>1031</v>
      </c>
      <c r="I179" t="s">
        <v>155</v>
      </c>
      <c r="J179" s="1" t="s">
        <v>1032</v>
      </c>
      <c r="K179" s="1" t="s">
        <v>1033</v>
      </c>
      <c r="L179" s="1" t="s">
        <v>1034</v>
      </c>
      <c r="M179" s="1" t="s">
        <v>213</v>
      </c>
      <c r="N179" t="s">
        <v>1035</v>
      </c>
      <c r="O179">
        <v>10.863716399999999</v>
      </c>
      <c r="P179">
        <v>-84.867088800000005</v>
      </c>
      <c r="Q179" s="2"/>
      <c r="R179" s="86"/>
      <c r="S179" s="2"/>
      <c r="T179" s="1">
        <v>2000</v>
      </c>
      <c r="U179" s="1">
        <v>2000</v>
      </c>
      <c r="V179" s="1" t="str">
        <f>IF(Table11[[#This Row],['#TreesContract]]-Table11[[#This Row],['#Planted]]=0,"",Table11[[#This Row],['#TreesContract]]-Table11[[#This Row],['#Planted]])</f>
        <v/>
      </c>
      <c r="W179" s="2"/>
      <c r="X179" s="34">
        <v>1</v>
      </c>
      <c r="Y179" s="163">
        <f>Table11[[#This Row],['#TreesContract]]*Table11[[#This Row],[USA Allocation %]]</f>
        <v>2000</v>
      </c>
      <c r="Z179" s="163">
        <f>Table11[[#This Row],['#Planted]]*Table11[[#This Row],[USA Allocation %]]</f>
        <v>2000</v>
      </c>
      <c r="AA179" s="34"/>
      <c r="AB179" s="163"/>
      <c r="AC179" s="34"/>
      <c r="AD179" s="163"/>
      <c r="AE179" s="163">
        <f>Table11[[#This Row],[Canada Allocation-tree '#''s]]+Table11[[#This Row],[Can trees/Allocation 2017]]</f>
        <v>0</v>
      </c>
      <c r="AF179" s="5">
        <v>1</v>
      </c>
      <c r="AG179" s="35">
        <v>2000</v>
      </c>
      <c r="AH179" s="35">
        <f>Table11[[#This Row],['#Trees as of 12/31/23]]*Table11[[#This Row],[USA Allocation %]]</f>
        <v>2000</v>
      </c>
      <c r="AI179" s="437">
        <f>Table11[[#This Row],['#TreesContract]]*Table11[[#This Row],[2024 Inventory Survival%-master]]</f>
        <v>1236</v>
      </c>
      <c r="AJ179" s="436">
        <v>0.61799999999999999</v>
      </c>
      <c r="AK179" s="5">
        <v>0.62</v>
      </c>
      <c r="AL179" s="5">
        <v>0.61799999999999999</v>
      </c>
      <c r="AM179" s="35">
        <v>600</v>
      </c>
      <c r="AN179" s="35">
        <f>Table11[[#This Row],[2024 '#Trees Inventory + Estimate]]*Table11[[#This Row],[USA Allocation %]]</f>
        <v>600</v>
      </c>
      <c r="AO179" s="35">
        <f>Table11[[#This Row],[2024 '#Trees Inventory + Estimate]]*Table11[[#This Row],[Canada Allocation %]]</f>
        <v>0</v>
      </c>
      <c r="AP179" s="35">
        <f>Table11[[#This Row],[2024 '#Trees Inventory + Estimate]]*Table11[[#This Row],[Canada Allocation2017 %]]</f>
        <v>0</v>
      </c>
      <c r="AQ179" s="35">
        <f>Table11[[#This Row],['#Trees as of 2024/estimate-Can allocation]]+Table11[[#This Row],['#Trees as of 2024/estimate-Can allocation 2017]]</f>
        <v>0</v>
      </c>
      <c r="AR179" s="1" t="s">
        <v>531</v>
      </c>
      <c r="AS179" s="2"/>
      <c r="AT179" s="6">
        <f>IFERROR(Table11[[#This Row],['#Total Replacements]]/Table11[[#This Row],['#TreesContract]],"")</f>
        <v>0</v>
      </c>
      <c r="AU179" s="4">
        <f>IF(SUM(Table11[[#This Row],['#Replace 24]:['#Replace 16]])=0,0,SUM(Table11[[#This Row],['#Replace 24]:['#Replace 16]]))</f>
        <v>0</v>
      </c>
      <c r="AV179" s="2"/>
      <c r="AW179" s="2"/>
      <c r="AX179" s="3"/>
      <c r="AY179" s="2"/>
      <c r="AZ179" s="2"/>
      <c r="BA179" s="2"/>
      <c r="BB179" s="2"/>
      <c r="BC179" s="2"/>
      <c r="BD179" s="2"/>
      <c r="BE179" s="2"/>
      <c r="BF179" s="3">
        <v>1</v>
      </c>
      <c r="BG179" s="3">
        <v>1</v>
      </c>
      <c r="BH179" s="2">
        <v>2024</v>
      </c>
      <c r="BI179" s="158">
        <v>12.55</v>
      </c>
      <c r="BJ179" s="158">
        <v>9.9499999999999993</v>
      </c>
      <c r="BK179" s="139">
        <f>Table11[[#This Row],[Average MHT
(Feet)]]/16</f>
        <v>0.62187499999999996</v>
      </c>
      <c r="BL179" s="2">
        <v>2.3199999999999998</v>
      </c>
      <c r="BM179" s="139">
        <f>Table11[[#This Row],[Average DBH
(inches)]]/18</f>
        <v>0.12888888888888889</v>
      </c>
      <c r="BN179" s="235">
        <f>((Table11[[#This Row],[Average DBH
(inches)]]-4)^2)*(Table11[[#This Row],[Average MHT
(Feet)]]/16)</f>
        <v>1.7551800000000002</v>
      </c>
      <c r="BO179" s="235">
        <f>Table11[[#This Row],[Average BF]]*Table11[[#This Row],[2024 '#Trees Inventory + Estimate]]</f>
        <v>1053.1080000000002</v>
      </c>
      <c r="BP179" s="240">
        <f>(Table11[[#This Row],[Harvest Year
(10 year)]]-Table11[[#This Row],[Year of Inventory]]+1)*(Table11[[#This Row],[Average DBH
(inches)]]/(Table11[[#This Row],[Harvest Year
(10 year)]]-Table11[[#This Row],[Year of Inventory]]+1))+Table11[[#This Row],[Average DBH
(inches)]]</f>
        <v>4.6399999999999997</v>
      </c>
      <c r="BQ179" s="235">
        <f>((Table11[[#This Row],[Projected DBH
(Extrapolated Growth/Year)]]-4)^2)*(Table11[[#This Row],[Average MHT
(Feet)]]/16)</f>
        <v>0.25471999999999972</v>
      </c>
      <c r="BR179" s="235">
        <f>Table11[[#This Row],[Projected Average BF]]*Table11[[#This Row],[2024 '#Trees Inventory + Estimate]]</f>
        <v>152.83199999999982</v>
      </c>
      <c r="BS179" s="235">
        <f>196*Table11[[#This Row],[2024 '#Trees Inventory + Estimate]]</f>
        <v>117600</v>
      </c>
      <c r="BT179" s="243">
        <f>Table11[[#This Row],[ETP Offering Expected BF]]-Table11[[#This Row],[Projected Total BF]]</f>
        <v>117447.16800000001</v>
      </c>
      <c r="BU179" s="235">
        <f>(18-Table11[[#This Row],[Average DBH
(inches)]])/(D179-Table11[[#This Row],[Year of Inventory]]+1)</f>
        <v>2.6133333333333333</v>
      </c>
    </row>
    <row r="180" spans="1:73" x14ac:dyDescent="0.25">
      <c r="A180" s="7" t="s">
        <v>1036</v>
      </c>
      <c r="B180" s="2">
        <v>2020</v>
      </c>
      <c r="C180" s="2">
        <v>2020</v>
      </c>
      <c r="D180" s="2">
        <f>Table11[[#This Row],[Planting Year]]+9</f>
        <v>2029</v>
      </c>
      <c r="E180" t="s">
        <v>1037</v>
      </c>
      <c r="F180" s="161">
        <v>20056</v>
      </c>
      <c r="G180" t="s">
        <v>1037</v>
      </c>
      <c r="H180" s="357" t="s">
        <v>1038</v>
      </c>
      <c r="I180" t="s">
        <v>155</v>
      </c>
      <c r="J180" s="1" t="s">
        <v>1039</v>
      </c>
      <c r="K180" s="1" t="s">
        <v>1040</v>
      </c>
      <c r="L180" s="1" t="s">
        <v>1041</v>
      </c>
      <c r="M180" s="1" t="s">
        <v>213</v>
      </c>
      <c r="N180" t="s">
        <v>1042</v>
      </c>
      <c r="O180">
        <v>10.9375</v>
      </c>
      <c r="P180">
        <v>-85.364999999999995</v>
      </c>
      <c r="Q180" s="2"/>
      <c r="R180" s="86"/>
      <c r="S180" s="2"/>
      <c r="T180" s="1">
        <v>2000</v>
      </c>
      <c r="U180" s="1">
        <v>2000</v>
      </c>
      <c r="V180" s="1" t="str">
        <f>IF(Table11[[#This Row],['#TreesContract]]-Table11[[#This Row],['#Planted]]=0,"",Table11[[#This Row],['#TreesContract]]-Table11[[#This Row],['#Planted]])</f>
        <v/>
      </c>
      <c r="W180" s="2"/>
      <c r="X180" s="34">
        <v>1</v>
      </c>
      <c r="Y180" s="163">
        <f>Table11[[#This Row],['#TreesContract]]*Table11[[#This Row],[USA Allocation %]]</f>
        <v>2000</v>
      </c>
      <c r="Z180" s="163">
        <f>Table11[[#This Row],['#Planted]]*Table11[[#This Row],[USA Allocation %]]</f>
        <v>2000</v>
      </c>
      <c r="AA180" s="34"/>
      <c r="AB180" s="163"/>
      <c r="AC180" s="34"/>
      <c r="AD180" s="163"/>
      <c r="AE180" s="163">
        <f>Table11[[#This Row],[Canada Allocation-tree '#''s]]+Table11[[#This Row],[Can trees/Allocation 2017]]</f>
        <v>0</v>
      </c>
      <c r="AF180" s="5">
        <v>1</v>
      </c>
      <c r="AG180" s="35">
        <v>2000</v>
      </c>
      <c r="AH180" s="35">
        <f>Table11[[#This Row],['#Trees as of 12/31/23]]*Table11[[#This Row],[USA Allocation %]]</f>
        <v>2000</v>
      </c>
      <c r="AI180" s="437">
        <f>Table11[[#This Row],['#TreesContract]]*Table11[[#This Row],[2024 Inventory Survival%-master]]</f>
        <v>1562</v>
      </c>
      <c r="AJ180" s="436">
        <v>0.78100000000000003</v>
      </c>
      <c r="AK180" s="5">
        <v>0.78</v>
      </c>
      <c r="AL180" s="5">
        <v>0.78100000000000003</v>
      </c>
      <c r="AM180" s="35">
        <f>Table11[[#This Row],['#TreesContract]]*Table11[[#This Row],[2024 Inventory Survival%-master]]</f>
        <v>1562</v>
      </c>
      <c r="AN180" s="35">
        <f>Table11[[#This Row],[2024 '#Trees Inventory + Estimate]]*Table11[[#This Row],[USA Allocation %]]</f>
        <v>1562</v>
      </c>
      <c r="AO180" s="35">
        <f>Table11[[#This Row],[2024 '#Trees Inventory + Estimate]]*Table11[[#This Row],[Canada Allocation %]]</f>
        <v>0</v>
      </c>
      <c r="AP180" s="35">
        <f>Table11[[#This Row],[2024 '#Trees Inventory + Estimate]]*Table11[[#This Row],[Canada Allocation2017 %]]</f>
        <v>0</v>
      </c>
      <c r="AQ180" s="35">
        <f>Table11[[#This Row],['#Trees as of 2024/estimate-Can allocation]]+Table11[[#This Row],['#Trees as of 2024/estimate-Can allocation 2017]]</f>
        <v>0</v>
      </c>
      <c r="AR180" s="1" t="s">
        <v>531</v>
      </c>
      <c r="AS180" s="2"/>
      <c r="AT180" s="6">
        <f>IFERROR(Table11[[#This Row],['#Total Replacements]]/Table11[[#This Row],['#TreesContract]],"")</f>
        <v>0.215</v>
      </c>
      <c r="AU180" s="4">
        <f>IF(SUM(Table11[[#This Row],['#Replace 24]:['#Replace 16]])=0,0,SUM(Table11[[#This Row],['#Replace 24]:['#Replace 16]]))</f>
        <v>430</v>
      </c>
      <c r="AV180" s="2"/>
      <c r="AW180" s="2"/>
      <c r="AX180" s="3"/>
      <c r="AY180" s="2">
        <v>430</v>
      </c>
      <c r="AZ180" s="2"/>
      <c r="BA180" s="2"/>
      <c r="BB180" s="2"/>
      <c r="BC180" s="2"/>
      <c r="BD180" s="2"/>
      <c r="BE180" s="2"/>
      <c r="BF180" s="3">
        <v>1</v>
      </c>
      <c r="BG180" s="3">
        <v>1</v>
      </c>
      <c r="BH180" s="2">
        <v>2024</v>
      </c>
      <c r="BI180" s="2">
        <v>16.2</v>
      </c>
      <c r="BJ180" s="2">
        <v>12.97</v>
      </c>
      <c r="BK180" s="139">
        <f>Table11[[#This Row],[Average MHT
(Feet)]]/16</f>
        <v>0.81062500000000004</v>
      </c>
      <c r="BL180" s="2">
        <v>2.2200000000000002</v>
      </c>
      <c r="BM180" s="139">
        <f>Table11[[#This Row],[Average DBH
(inches)]]/18</f>
        <v>0.12333333333333335</v>
      </c>
      <c r="BN180" s="235">
        <f>((Table11[[#This Row],[Average DBH
(inches)]]-4)^2)*(Table11[[#This Row],[Average MHT
(Feet)]]/16)</f>
        <v>2.5683842499999994</v>
      </c>
      <c r="BO180" s="235">
        <f>Table11[[#This Row],[Average BF]]*Table11[[#This Row],[2024 '#Trees Inventory + Estimate]]</f>
        <v>4011.8161984999988</v>
      </c>
      <c r="BP180" s="240">
        <f>(Table11[[#This Row],[Harvest Year
(10 year)]]-Table11[[#This Row],[Year of Inventory]]+1)*(Table11[[#This Row],[Average DBH
(inches)]]/(Table11[[#This Row],[Harvest Year
(10 year)]]-Table11[[#This Row],[Year of Inventory]]+1))+Table11[[#This Row],[Average DBH
(inches)]]</f>
        <v>4.4400000000000004</v>
      </c>
      <c r="BQ180" s="235">
        <f>((Table11[[#This Row],[Projected DBH
(Extrapolated Growth/Year)]]-4)^2)*(Table11[[#This Row],[Average MHT
(Feet)]]/16)</f>
        <v>0.1569370000000003</v>
      </c>
      <c r="BR180" s="235">
        <f>Table11[[#This Row],[Projected Average BF]]*Table11[[#This Row],[2024 '#Trees Inventory + Estimate]]</f>
        <v>245.13559400000045</v>
      </c>
      <c r="BS180" s="235">
        <f>196*Table11[[#This Row],[2024 '#Trees Inventory + Estimate]]</f>
        <v>306152</v>
      </c>
      <c r="BT180" s="243">
        <f>Table11[[#This Row],[ETP Offering Expected BF]]-Table11[[#This Row],[Projected Total BF]]</f>
        <v>305906.86440600001</v>
      </c>
      <c r="BU180" s="235">
        <f>(18-Table11[[#This Row],[Average DBH
(inches)]])/(D180-Table11[[#This Row],[Year of Inventory]]+1)</f>
        <v>2.63</v>
      </c>
    </row>
    <row r="181" spans="1:73" x14ac:dyDescent="0.25">
      <c r="A181" s="7" t="s">
        <v>1043</v>
      </c>
      <c r="B181" s="2">
        <v>2020</v>
      </c>
      <c r="C181" s="2">
        <v>2020</v>
      </c>
      <c r="D181" s="2">
        <f>Table11[[#This Row],[Planting Year]]+9</f>
        <v>2029</v>
      </c>
      <c r="E181" t="s">
        <v>1044</v>
      </c>
      <c r="F181" s="161">
        <v>20057</v>
      </c>
      <c r="G181" t="s">
        <v>1045</v>
      </c>
      <c r="H181" s="357" t="s">
        <v>1046</v>
      </c>
      <c r="I181" t="s">
        <v>155</v>
      </c>
      <c r="J181" s="1" t="s">
        <v>919</v>
      </c>
      <c r="K181" s="1" t="s">
        <v>1047</v>
      </c>
      <c r="L181" s="1" t="s">
        <v>1048</v>
      </c>
      <c r="M181" s="1" t="s">
        <v>213</v>
      </c>
      <c r="N181" t="s">
        <v>1049</v>
      </c>
      <c r="O181">
        <v>10.795</v>
      </c>
      <c r="P181">
        <v>-84.872222199999996</v>
      </c>
      <c r="Q181" s="2"/>
      <c r="R181" s="86"/>
      <c r="S181" s="2"/>
      <c r="T181" s="1">
        <v>1200</v>
      </c>
      <c r="U181" s="1">
        <v>1200</v>
      </c>
      <c r="V181" s="1" t="str">
        <f>IF(Table11[[#This Row],['#TreesContract]]-Table11[[#This Row],['#Planted]]=0,"",Table11[[#This Row],['#TreesContract]]-Table11[[#This Row],['#Planted]])</f>
        <v/>
      </c>
      <c r="W181" s="2"/>
      <c r="X181" s="34">
        <v>1</v>
      </c>
      <c r="Y181" s="163">
        <f>Table11[[#This Row],['#TreesContract]]*Table11[[#This Row],[USA Allocation %]]</f>
        <v>1200</v>
      </c>
      <c r="Z181" s="163">
        <f>Table11[[#This Row],['#Planted]]*Table11[[#This Row],[USA Allocation %]]</f>
        <v>1200</v>
      </c>
      <c r="AA181" s="34"/>
      <c r="AB181" s="163"/>
      <c r="AC181" s="34"/>
      <c r="AD181" s="163"/>
      <c r="AE181" s="163">
        <f>Table11[[#This Row],[Canada Allocation-tree '#''s]]+Table11[[#This Row],[Can trees/Allocation 2017]]</f>
        <v>0</v>
      </c>
      <c r="AF181" s="5">
        <v>1</v>
      </c>
      <c r="AG181" s="35">
        <v>1200</v>
      </c>
      <c r="AH181" s="35">
        <f>Table11[[#This Row],['#Trees as of 12/31/23]]*Table11[[#This Row],[USA Allocation %]]</f>
        <v>1200</v>
      </c>
      <c r="AI181" s="437">
        <f>Table11[[#This Row],['#TreesContract]]*Table11[[#This Row],[2024 Inventory Survival%-master]]</f>
        <v>1062</v>
      </c>
      <c r="AJ181" s="436">
        <v>0.88500000000000001</v>
      </c>
      <c r="AK181" s="5">
        <v>0.89</v>
      </c>
      <c r="AL181" s="5">
        <v>0.88500000000000001</v>
      </c>
      <c r="AM181" s="35">
        <f>Table11[[#This Row],['#TreesContract]]*Table11[[#This Row],[2024 Inventory Survival%-master]]</f>
        <v>1062</v>
      </c>
      <c r="AN181" s="35">
        <f>Table11[[#This Row],[2024 '#Trees Inventory + Estimate]]*Table11[[#This Row],[USA Allocation %]]</f>
        <v>1062</v>
      </c>
      <c r="AO181" s="35">
        <f>Table11[[#This Row],[2024 '#Trees Inventory + Estimate]]*Table11[[#This Row],[Canada Allocation %]]</f>
        <v>0</v>
      </c>
      <c r="AP181" s="35">
        <f>Table11[[#This Row],[2024 '#Trees Inventory + Estimate]]*Table11[[#This Row],[Canada Allocation2017 %]]</f>
        <v>0</v>
      </c>
      <c r="AQ181" s="35">
        <f>Table11[[#This Row],['#Trees as of 2024/estimate-Can allocation]]+Table11[[#This Row],['#Trees as of 2024/estimate-Can allocation 2017]]</f>
        <v>0</v>
      </c>
      <c r="AR181" s="1" t="s">
        <v>531</v>
      </c>
      <c r="AS181" s="2"/>
      <c r="AT181" s="6">
        <f>IFERROR(Table11[[#This Row],['#Total Replacements]]/Table11[[#This Row],['#TreesContract]],"")</f>
        <v>0.19666666666666666</v>
      </c>
      <c r="AU181" s="4">
        <f>IF(SUM(Table11[[#This Row],['#Replace 24]:['#Replace 16]])=0,0,SUM(Table11[[#This Row],['#Replace 24]:['#Replace 16]]))</f>
        <v>236</v>
      </c>
      <c r="AV181" s="2"/>
      <c r="AW181" s="2"/>
      <c r="AX181" s="3"/>
      <c r="AY181" s="2"/>
      <c r="AZ181" s="2">
        <v>236</v>
      </c>
      <c r="BA181" s="2"/>
      <c r="BB181" s="2"/>
      <c r="BC181" s="2"/>
      <c r="BD181" s="2"/>
      <c r="BE181" s="2"/>
      <c r="BF181" s="3">
        <v>1</v>
      </c>
      <c r="BG181" s="3">
        <v>1</v>
      </c>
      <c r="BH181" s="2">
        <v>2024</v>
      </c>
      <c r="BI181" s="2">
        <v>17.760000000000002</v>
      </c>
      <c r="BJ181" s="2">
        <v>14.64</v>
      </c>
      <c r="BK181" s="139">
        <f>Table11[[#This Row],[Average MHT
(Feet)]]/16</f>
        <v>0.91500000000000004</v>
      </c>
      <c r="BL181" s="2">
        <v>4.1100000000000003</v>
      </c>
      <c r="BM181" s="139">
        <f>Table11[[#This Row],[Average DBH
(inches)]]/18</f>
        <v>0.22833333333333336</v>
      </c>
      <c r="BN181" s="235">
        <f>((Table11[[#This Row],[Average DBH
(inches)]]-4)^2)*(Table11[[#This Row],[Average MHT
(Feet)]]/16)</f>
        <v>1.1071500000000066E-2</v>
      </c>
      <c r="BO181" s="235">
        <f>Table11[[#This Row],[Average BF]]*Table11[[#This Row],[2024 '#Trees Inventory + Estimate]]</f>
        <v>11.757933000000071</v>
      </c>
      <c r="BP181" s="240">
        <f>(Table11[[#This Row],[Harvest Year
(10 year)]]-Table11[[#This Row],[Year of Inventory]]+1)*(Table11[[#This Row],[Average DBH
(inches)]]/(Table11[[#This Row],[Harvest Year
(10 year)]]-Table11[[#This Row],[Year of Inventory]]+1))+Table11[[#This Row],[Average DBH
(inches)]]</f>
        <v>8.2200000000000006</v>
      </c>
      <c r="BQ181" s="235">
        <f>((Table11[[#This Row],[Projected DBH
(Extrapolated Growth/Year)]]-4)^2)*(Table11[[#This Row],[Average MHT
(Feet)]]/16)</f>
        <v>16.294686000000006</v>
      </c>
      <c r="BR181" s="235">
        <f>Table11[[#This Row],[Projected Average BF]]*Table11[[#This Row],[2024 '#Trees Inventory + Estimate]]</f>
        <v>17304.956532000007</v>
      </c>
      <c r="BS181" s="235">
        <f>196*Table11[[#This Row],[2024 '#Trees Inventory + Estimate]]</f>
        <v>208152</v>
      </c>
      <c r="BT181" s="243">
        <f>Table11[[#This Row],[ETP Offering Expected BF]]-Table11[[#This Row],[Projected Total BF]]</f>
        <v>190847.04346799999</v>
      </c>
      <c r="BU181" s="235">
        <f>(18-Table11[[#This Row],[Average DBH
(inches)]])/(D181-Table11[[#This Row],[Year of Inventory]]+1)</f>
        <v>2.3149999999999999</v>
      </c>
    </row>
    <row r="182" spans="1:73" x14ac:dyDescent="0.25">
      <c r="A182" s="7" t="s">
        <v>1050</v>
      </c>
      <c r="B182" s="2">
        <v>2020</v>
      </c>
      <c r="C182" s="2">
        <v>2020</v>
      </c>
      <c r="D182" s="2">
        <f>Table11[[#This Row],[Planting Year]]+9</f>
        <v>2029</v>
      </c>
      <c r="E182" t="s">
        <v>1051</v>
      </c>
      <c r="F182" s="161">
        <v>20058</v>
      </c>
      <c r="G182" t="s">
        <v>1051</v>
      </c>
      <c r="H182" s="357" t="s">
        <v>1052</v>
      </c>
      <c r="I182" t="s">
        <v>155</v>
      </c>
      <c r="J182" s="1" t="s">
        <v>1053</v>
      </c>
      <c r="K182" s="1" t="s">
        <v>1054</v>
      </c>
      <c r="L182" s="1" t="s">
        <v>1055</v>
      </c>
      <c r="M182" s="1" t="s">
        <v>213</v>
      </c>
      <c r="N182" t="s">
        <v>1056</v>
      </c>
      <c r="O182">
        <v>9.8222260000000006</v>
      </c>
      <c r="P182">
        <v>-84.173045999999999</v>
      </c>
      <c r="Q182" s="2"/>
      <c r="R182" s="86"/>
      <c r="S182" s="2"/>
      <c r="T182" s="1">
        <v>600</v>
      </c>
      <c r="U182" s="1">
        <v>600</v>
      </c>
      <c r="V182" s="1" t="str">
        <f>IF(Table11[[#This Row],['#TreesContract]]-Table11[[#This Row],['#Planted]]=0,"",Table11[[#This Row],['#TreesContract]]-Table11[[#This Row],['#Planted]])</f>
        <v/>
      </c>
      <c r="W182" s="2"/>
      <c r="X182" s="34">
        <v>1</v>
      </c>
      <c r="Y182" s="163">
        <f>Table11[[#This Row],['#TreesContract]]*Table11[[#This Row],[USA Allocation %]]</f>
        <v>600</v>
      </c>
      <c r="Z182" s="163">
        <f>Table11[[#This Row],['#Planted]]*Table11[[#This Row],[USA Allocation %]]</f>
        <v>600</v>
      </c>
      <c r="AA182" s="34"/>
      <c r="AB182" s="163"/>
      <c r="AC182" s="34"/>
      <c r="AD182" s="163"/>
      <c r="AE182" s="163">
        <f>Table11[[#This Row],[Canada Allocation-tree '#''s]]+Table11[[#This Row],[Can trees/Allocation 2017]]</f>
        <v>0</v>
      </c>
      <c r="AF182" s="5">
        <v>0.95</v>
      </c>
      <c r="AG182" s="35">
        <v>570</v>
      </c>
      <c r="AH182" s="35">
        <f>Table11[[#This Row],['#Trees as of 12/31/23]]*Table11[[#This Row],[USA Allocation %]]</f>
        <v>570</v>
      </c>
      <c r="AI182" s="437">
        <f>Table11[[#This Row],['#TreesContract]]*Table11[[#This Row],[2024 Inventory Survival%-master]]</f>
        <v>430.79999999999995</v>
      </c>
      <c r="AJ182" s="436">
        <v>0.71799999999999997</v>
      </c>
      <c r="AK182" s="5">
        <v>0.71799999999999997</v>
      </c>
      <c r="AL182" s="5">
        <v>0.71799999999999997</v>
      </c>
      <c r="AM182" s="35">
        <f>Table11[[#This Row],['#TreesContract]]*Table11[[#This Row],[2024 Inventory Survival%-master]]</f>
        <v>430.79999999999995</v>
      </c>
      <c r="AN182" s="35">
        <f>Table11[[#This Row],[2024 '#Trees Inventory + Estimate]]*Table11[[#This Row],[USA Allocation %]]</f>
        <v>430.79999999999995</v>
      </c>
      <c r="AO182" s="35">
        <f>Table11[[#This Row],[2024 '#Trees Inventory + Estimate]]*Table11[[#This Row],[Canada Allocation %]]</f>
        <v>0</v>
      </c>
      <c r="AP182" s="35">
        <f>Table11[[#This Row],[2024 '#Trees Inventory + Estimate]]*Table11[[#This Row],[Canada Allocation2017 %]]</f>
        <v>0</v>
      </c>
      <c r="AQ182" s="35">
        <f>Table11[[#This Row],['#Trees as of 2024/estimate-Can allocation]]+Table11[[#This Row],['#Trees as of 2024/estimate-Can allocation 2017]]</f>
        <v>0</v>
      </c>
      <c r="AR182" s="1" t="s">
        <v>531</v>
      </c>
      <c r="AS182" s="2"/>
      <c r="AT182" s="6">
        <f>IFERROR(Table11[[#This Row],['#Total Replacements]]/Table11[[#This Row],['#TreesContract]],"")</f>
        <v>0.2</v>
      </c>
      <c r="AU182" s="4">
        <f>IF(SUM(Table11[[#This Row],['#Replace 24]:['#Replace 16]])=0,0,SUM(Table11[[#This Row],['#Replace 24]:['#Replace 16]]))</f>
        <v>120</v>
      </c>
      <c r="AV182" s="2"/>
      <c r="AW182" s="2"/>
      <c r="AX182" s="3"/>
      <c r="AY182" s="2"/>
      <c r="AZ182" s="2">
        <v>120</v>
      </c>
      <c r="BA182" s="2"/>
      <c r="BB182" s="2"/>
      <c r="BC182" s="2"/>
      <c r="BD182" s="2"/>
      <c r="BE182" s="2"/>
      <c r="BF182" s="3">
        <v>1</v>
      </c>
      <c r="BG182" s="3">
        <v>1</v>
      </c>
      <c r="BH182" s="2">
        <v>2024</v>
      </c>
      <c r="BI182" s="158">
        <v>21.14</v>
      </c>
      <c r="BJ182" s="158">
        <v>12.63</v>
      </c>
      <c r="BK182" s="139">
        <f>Table11[[#This Row],[Average MHT
(Feet)]]/16</f>
        <v>0.78937500000000005</v>
      </c>
      <c r="BL182" s="2">
        <v>4.9400000000000004</v>
      </c>
      <c r="BM182" s="139">
        <f>Table11[[#This Row],[Average DBH
(inches)]]/18</f>
        <v>0.27444444444444449</v>
      </c>
      <c r="BN182" s="235">
        <f>((Table11[[#This Row],[Average DBH
(inches)]]-4)^2)*(Table11[[#This Row],[Average MHT
(Feet)]]/16)</f>
        <v>0.69749175000000063</v>
      </c>
      <c r="BO182" s="235">
        <f>Table11[[#This Row],[Average BF]]*Table11[[#This Row],[2024 '#Trees Inventory + Estimate]]</f>
        <v>300.47944590000026</v>
      </c>
      <c r="BP182" s="240">
        <f>(Table11[[#This Row],[Harvest Year
(10 year)]]-Table11[[#This Row],[Year of Inventory]]+1)*(Table11[[#This Row],[Average DBH
(inches)]]/(Table11[[#This Row],[Harvest Year
(10 year)]]-Table11[[#This Row],[Year of Inventory]]+1))+Table11[[#This Row],[Average DBH
(inches)]]</f>
        <v>9.8800000000000008</v>
      </c>
      <c r="BQ182" s="235">
        <f>((Table11[[#This Row],[Projected DBH
(Extrapolated Growth/Year)]]-4)^2)*(Table11[[#This Row],[Average MHT
(Feet)]]/16)</f>
        <v>27.29216700000001</v>
      </c>
      <c r="BR182" s="235">
        <f>Table11[[#This Row],[Projected Average BF]]*Table11[[#This Row],[2024 '#Trees Inventory + Estimate]]</f>
        <v>11757.465543600003</v>
      </c>
      <c r="BS182" s="235">
        <f>196*Table11[[#This Row],[2024 '#Trees Inventory + Estimate]]</f>
        <v>84436.799999999988</v>
      </c>
      <c r="BT182" s="243">
        <f>Table11[[#This Row],[ETP Offering Expected BF]]-Table11[[#This Row],[Projected Total BF]]</f>
        <v>72679.334456399985</v>
      </c>
      <c r="BU182" s="235">
        <f>(18-Table11[[#This Row],[Average DBH
(inches)]])/(D182-Table11[[#This Row],[Year of Inventory]]+1)</f>
        <v>2.1766666666666663</v>
      </c>
    </row>
    <row r="183" spans="1:73" x14ac:dyDescent="0.25">
      <c r="A183" s="7" t="s">
        <v>1057</v>
      </c>
      <c r="B183" s="2">
        <v>2020</v>
      </c>
      <c r="C183" s="2">
        <v>2020</v>
      </c>
      <c r="D183" s="2">
        <f>Table11[[#This Row],[Planting Year]]+9</f>
        <v>2029</v>
      </c>
      <c r="E183" t="s">
        <v>1058</v>
      </c>
      <c r="F183" s="161">
        <v>20059</v>
      </c>
      <c r="G183" t="s">
        <v>1059</v>
      </c>
      <c r="H183" s="357" t="s">
        <v>1060</v>
      </c>
      <c r="I183" t="s">
        <v>147</v>
      </c>
      <c r="J183" s="1" t="s">
        <v>1061</v>
      </c>
      <c r="K183" s="1" t="s">
        <v>1062</v>
      </c>
      <c r="L183" s="1" t="s">
        <v>1063</v>
      </c>
      <c r="M183" s="1" t="s">
        <v>213</v>
      </c>
      <c r="N183" t="s">
        <v>1064</v>
      </c>
      <c r="O183">
        <v>10.387119999999999</v>
      </c>
      <c r="P183">
        <v>-83.577759999999998</v>
      </c>
      <c r="Q183" s="2"/>
      <c r="R183" s="86"/>
      <c r="S183" s="2"/>
      <c r="T183" s="1">
        <v>1000</v>
      </c>
      <c r="U183" s="1">
        <v>1000</v>
      </c>
      <c r="V183" s="1" t="str">
        <f>IF(Table11[[#This Row],['#TreesContract]]-Table11[[#This Row],['#Planted]]=0,"",Table11[[#This Row],['#TreesContract]]-Table11[[#This Row],['#Planted]])</f>
        <v/>
      </c>
      <c r="W183" s="2"/>
      <c r="X183" s="34">
        <v>1</v>
      </c>
      <c r="Y183" s="163">
        <f>Table11[[#This Row],['#TreesContract]]*Table11[[#This Row],[USA Allocation %]]</f>
        <v>1000</v>
      </c>
      <c r="Z183" s="163">
        <f>Table11[[#This Row],['#Planted]]*Table11[[#This Row],[USA Allocation %]]</f>
        <v>1000</v>
      </c>
      <c r="AA183" s="34"/>
      <c r="AB183" s="163"/>
      <c r="AC183" s="34"/>
      <c r="AD183" s="163"/>
      <c r="AE183" s="163">
        <f>Table11[[#This Row],[Canada Allocation-tree '#''s]]+Table11[[#This Row],[Can trees/Allocation 2017]]</f>
        <v>0</v>
      </c>
      <c r="AF183" s="5">
        <v>0.625</v>
      </c>
      <c r="AG183" s="35">
        <v>625</v>
      </c>
      <c r="AH183" s="35">
        <f>Table11[[#This Row],['#Trees as of 12/31/23]]*Table11[[#This Row],[USA Allocation %]]</f>
        <v>625</v>
      </c>
      <c r="AI183" s="404">
        <f>Table11[[#This Row],['#TreesContract]]*Table11[[#This Row],[2024 Inventory Survival%-master]]</f>
        <v>241</v>
      </c>
      <c r="AJ183" s="5">
        <v>0.24099999999999999</v>
      </c>
      <c r="AK183" s="5">
        <v>0.24</v>
      </c>
      <c r="AL183" s="5">
        <v>0.24</v>
      </c>
      <c r="AM183" s="35">
        <f>AK183*Table11[[#This Row],['#TreesContract]]</f>
        <v>240</v>
      </c>
      <c r="AN183" s="35">
        <f>Table11[[#This Row],[2024 '#Trees Inventory + Estimate]]*Table11[[#This Row],[USA Allocation %]]</f>
        <v>240</v>
      </c>
      <c r="AO183" s="35">
        <f>Table11[[#This Row],[2024 '#Trees Inventory + Estimate]]*Table11[[#This Row],[Canada Allocation %]]</f>
        <v>0</v>
      </c>
      <c r="AP183" s="35">
        <f>Table11[[#This Row],[2024 '#Trees Inventory + Estimate]]*Table11[[#This Row],[Canada Allocation2017 %]]</f>
        <v>0</v>
      </c>
      <c r="AQ183" s="35">
        <f>Table11[[#This Row],['#Trees as of 2024/estimate-Can allocation]]+Table11[[#This Row],['#Trees as of 2024/estimate-Can allocation 2017]]</f>
        <v>0</v>
      </c>
      <c r="AR183" s="1" t="s">
        <v>531</v>
      </c>
      <c r="AS183" s="2"/>
      <c r="AT183" s="6">
        <f>IFERROR(Table11[[#This Row],['#Total Replacements]]/Table11[[#This Row],['#TreesContract]],"")</f>
        <v>0</v>
      </c>
      <c r="AU183" s="4">
        <f>IF(SUM(Table11[[#This Row],['#Replace 24]:['#Replace 16]])=0,0,SUM(Table11[[#This Row],['#Replace 24]:['#Replace 16]]))</f>
        <v>0</v>
      </c>
      <c r="AV183" s="2"/>
      <c r="AW183" s="2"/>
      <c r="AX183" s="3"/>
      <c r="AY183" s="2"/>
      <c r="AZ183" s="2"/>
      <c r="BA183" s="2"/>
      <c r="BB183" s="2"/>
      <c r="BC183" s="2"/>
      <c r="BD183" s="2"/>
      <c r="BE183" s="2"/>
      <c r="BF183" s="3">
        <v>1</v>
      </c>
      <c r="BG183" s="3">
        <v>1</v>
      </c>
      <c r="BH183" s="2">
        <v>2024</v>
      </c>
      <c r="BI183" s="158">
        <v>4.74</v>
      </c>
      <c r="BJ183" s="158">
        <v>2.64</v>
      </c>
      <c r="BK183" s="139">
        <f>Table11[[#This Row],[Average MHT
(Feet)]]/16</f>
        <v>0.16500000000000001</v>
      </c>
      <c r="BL183" s="2">
        <v>0.95</v>
      </c>
      <c r="BM183" s="139">
        <f>Table11[[#This Row],[Average DBH
(inches)]]/18</f>
        <v>5.2777777777777778E-2</v>
      </c>
      <c r="BN183" s="235">
        <f>((Table11[[#This Row],[Average DBH
(inches)]]-4)^2)*(Table11[[#This Row],[Average MHT
(Feet)]]/16)</f>
        <v>1.5349124999999999</v>
      </c>
      <c r="BO183" s="235">
        <f>Table11[[#This Row],[Average BF]]*Table11[[#This Row],[2024 '#Trees Inventory + Estimate]]</f>
        <v>368.37899999999996</v>
      </c>
      <c r="BP183" s="240">
        <f>(Table11[[#This Row],[Harvest Year
(10 year)]]-Table11[[#This Row],[Year of Inventory]]+1)*(Table11[[#This Row],[Average DBH
(inches)]]/(Table11[[#This Row],[Harvest Year
(10 year)]]-Table11[[#This Row],[Year of Inventory]]+1))+Table11[[#This Row],[Average DBH
(inches)]]</f>
        <v>1.9</v>
      </c>
      <c r="BQ183" s="235">
        <f>((Table11[[#This Row],[Projected DBH
(Extrapolated Growth/Year)]]-4)^2)*(Table11[[#This Row],[Average MHT
(Feet)]]/16)</f>
        <v>0.72765000000000002</v>
      </c>
      <c r="BR183" s="235">
        <f>Table11[[#This Row],[Projected Average BF]]*Table11[[#This Row],[2024 '#Trees Inventory + Estimate]]</f>
        <v>174.636</v>
      </c>
      <c r="BS183" s="235">
        <f>196*Table11[[#This Row],[2024 '#Trees Inventory + Estimate]]</f>
        <v>47040</v>
      </c>
      <c r="BT183" s="235">
        <f>Table11[[#This Row],[ETP Offering Expected BF]]-Table11[[#This Row],[Projected Total BF]]</f>
        <v>46865.364000000001</v>
      </c>
      <c r="BU183" s="235">
        <f>(18-Table11[[#This Row],[Average DBH
(inches)]])/(D183-Table11[[#This Row],[Year of Inventory]]+1)</f>
        <v>2.8416666666666668</v>
      </c>
    </row>
    <row r="184" spans="1:73" x14ac:dyDescent="0.25">
      <c r="A184" s="7" t="s">
        <v>1065</v>
      </c>
      <c r="B184" s="2">
        <v>2020</v>
      </c>
      <c r="C184" s="2">
        <v>2020</v>
      </c>
      <c r="D184" s="2">
        <f>Table11[[#This Row],[Planting Year]]+9</f>
        <v>2029</v>
      </c>
      <c r="E184" t="s">
        <v>1066</v>
      </c>
      <c r="F184" s="161">
        <v>20060</v>
      </c>
      <c r="G184" t="s">
        <v>1066</v>
      </c>
      <c r="H184" s="357" t="s">
        <v>1067</v>
      </c>
      <c r="I184" t="s">
        <v>155</v>
      </c>
      <c r="J184" s="1" t="s">
        <v>1068</v>
      </c>
      <c r="K184" s="1" t="s">
        <v>1069</v>
      </c>
      <c r="L184" s="1" t="s">
        <v>1070</v>
      </c>
      <c r="M184" s="1" t="s">
        <v>213</v>
      </c>
      <c r="N184" t="s">
        <v>1071</v>
      </c>
      <c r="O184">
        <v>10.3508</v>
      </c>
      <c r="P184">
        <v>-84.647199999999998</v>
      </c>
      <c r="Q184" s="2"/>
      <c r="R184" s="86"/>
      <c r="S184" s="2"/>
      <c r="T184" s="1">
        <v>1700</v>
      </c>
      <c r="U184" s="1">
        <v>1700</v>
      </c>
      <c r="V184" s="1" t="str">
        <f>IF(Table11[[#This Row],['#TreesContract]]-Table11[[#This Row],['#Planted]]=0,"",Table11[[#This Row],['#TreesContract]]-Table11[[#This Row],['#Planted]])</f>
        <v/>
      </c>
      <c r="W184" s="2"/>
      <c r="X184" s="34">
        <v>1</v>
      </c>
      <c r="Y184" s="163">
        <f>Table11[[#This Row],['#TreesContract]]*Table11[[#This Row],[USA Allocation %]]</f>
        <v>1700</v>
      </c>
      <c r="Z184" s="163">
        <f>Table11[[#This Row],['#Planted]]*Table11[[#This Row],[USA Allocation %]]</f>
        <v>1700</v>
      </c>
      <c r="AA184" s="34"/>
      <c r="AB184" s="163"/>
      <c r="AC184" s="34"/>
      <c r="AD184" s="163"/>
      <c r="AE184" s="163">
        <f>Table11[[#This Row],[Canada Allocation-tree '#''s]]+Table11[[#This Row],[Can trees/Allocation 2017]]</f>
        <v>0</v>
      </c>
      <c r="AF184" s="5">
        <v>1</v>
      </c>
      <c r="AG184" s="35">
        <v>1700</v>
      </c>
      <c r="AH184" s="35">
        <f>Table11[[#This Row],['#Trees as of 12/31/23]]*Table11[[#This Row],[USA Allocation %]]</f>
        <v>1700</v>
      </c>
      <c r="AI184" s="437">
        <f>Table11[[#This Row],['#TreesContract]]*Table11[[#This Row],[2024 Inventory Survival%-master]]</f>
        <v>1609.8999999999999</v>
      </c>
      <c r="AJ184" s="436">
        <v>0.94699999999999995</v>
      </c>
      <c r="AK184" s="5">
        <v>0.95</v>
      </c>
      <c r="AL184" s="5">
        <v>0.94699999999999995</v>
      </c>
      <c r="AM184" s="35">
        <f>Table11[[#This Row],['#TreesContract]]*Table11[[#This Row],[2024 Inventory Survival%-master]]</f>
        <v>1609.8999999999999</v>
      </c>
      <c r="AN184" s="35">
        <f>Table11[[#This Row],[2024 '#Trees Inventory + Estimate]]*Table11[[#This Row],[USA Allocation %]]</f>
        <v>1609.8999999999999</v>
      </c>
      <c r="AO184" s="35">
        <f>Table11[[#This Row],[2024 '#Trees Inventory + Estimate]]*Table11[[#This Row],[Canada Allocation %]]</f>
        <v>0</v>
      </c>
      <c r="AP184" s="35">
        <f>Table11[[#This Row],[2024 '#Trees Inventory + Estimate]]*Table11[[#This Row],[Canada Allocation2017 %]]</f>
        <v>0</v>
      </c>
      <c r="AQ184" s="35">
        <f>Table11[[#This Row],['#Trees as of 2024/estimate-Can allocation]]+Table11[[#This Row],['#Trees as of 2024/estimate-Can allocation 2017]]</f>
        <v>0</v>
      </c>
      <c r="AR184" s="1" t="s">
        <v>531</v>
      </c>
      <c r="AS184" s="2"/>
      <c r="AT184" s="6">
        <f>IFERROR(Table11[[#This Row],['#Total Replacements]]/Table11[[#This Row],['#TreesContract]],"")</f>
        <v>5.8823529411764705E-2</v>
      </c>
      <c r="AU184" s="4">
        <f>IF(SUM(Table11[[#This Row],['#Replace 24]:['#Replace 16]])=0,0,SUM(Table11[[#This Row],['#Replace 24]:['#Replace 16]]))</f>
        <v>100</v>
      </c>
      <c r="AV184" s="2"/>
      <c r="AW184" s="2"/>
      <c r="AX184" s="3"/>
      <c r="AY184" s="2">
        <v>100</v>
      </c>
      <c r="AZ184" s="2"/>
      <c r="BA184" s="2"/>
      <c r="BB184" s="2"/>
      <c r="BC184" s="2"/>
      <c r="BD184" s="2"/>
      <c r="BE184" s="2"/>
      <c r="BF184" s="3">
        <v>1</v>
      </c>
      <c r="BG184" s="3">
        <v>1</v>
      </c>
      <c r="BH184" s="2">
        <v>2024</v>
      </c>
      <c r="BI184" s="2">
        <v>22.08</v>
      </c>
      <c r="BJ184" s="2">
        <v>15.91</v>
      </c>
      <c r="BK184" s="139">
        <f>Table11[[#This Row],[Average MHT
(Feet)]]/16</f>
        <v>0.99437500000000001</v>
      </c>
      <c r="BL184" s="2">
        <v>4.05</v>
      </c>
      <c r="BM184" s="139">
        <f>Table11[[#This Row],[Average DBH
(inches)]]/18</f>
        <v>0.22499999999999998</v>
      </c>
      <c r="BN184" s="235">
        <f>((Table11[[#This Row],[Average DBH
(inches)]]-4)^2)*(Table11[[#This Row],[Average MHT
(Feet)]]/16)</f>
        <v>2.4859374999999825E-3</v>
      </c>
      <c r="BO184" s="235">
        <f>Table11[[#This Row],[Average BF]]*Table11[[#This Row],[2024 '#Trees Inventory + Estimate]]</f>
        <v>4.0021107812499714</v>
      </c>
      <c r="BP184" s="240">
        <f>(Table11[[#This Row],[Harvest Year
(10 year)]]-Table11[[#This Row],[Year of Inventory]]+1)*(Table11[[#This Row],[Average DBH
(inches)]]/(Table11[[#This Row],[Harvest Year
(10 year)]]-Table11[[#This Row],[Year of Inventory]]+1))+Table11[[#This Row],[Average DBH
(inches)]]</f>
        <v>8.1</v>
      </c>
      <c r="BQ184" s="235">
        <f>((Table11[[#This Row],[Projected DBH
(Extrapolated Growth/Year)]]-4)^2)*(Table11[[#This Row],[Average MHT
(Feet)]]/16)</f>
        <v>16.715443749999999</v>
      </c>
      <c r="BR184" s="235">
        <f>Table11[[#This Row],[Projected Average BF]]*Table11[[#This Row],[2024 '#Trees Inventory + Estimate]]</f>
        <v>26910.192893124997</v>
      </c>
      <c r="BS184" s="235">
        <f>196*Table11[[#This Row],[2024 '#Trees Inventory + Estimate]]</f>
        <v>315540.39999999997</v>
      </c>
      <c r="BT184" s="243">
        <f>Table11[[#This Row],[ETP Offering Expected BF]]-Table11[[#This Row],[Projected Total BF]]</f>
        <v>288630.20710687496</v>
      </c>
      <c r="BU184" s="235">
        <f>(18-Table11[[#This Row],[Average DBH
(inches)]])/(D184-Table11[[#This Row],[Year of Inventory]]+1)</f>
        <v>2.3249999999999997</v>
      </c>
    </row>
    <row r="185" spans="1:73" x14ac:dyDescent="0.25">
      <c r="A185" s="7" t="s">
        <v>1072</v>
      </c>
      <c r="B185" s="2">
        <v>2020</v>
      </c>
      <c r="C185" s="2">
        <v>2020</v>
      </c>
      <c r="D185" s="2">
        <f>Table11[[#This Row],[Planting Year]]+9</f>
        <v>2029</v>
      </c>
      <c r="E185" t="s">
        <v>1073</v>
      </c>
      <c r="F185" s="161">
        <v>20061</v>
      </c>
      <c r="G185" t="s">
        <v>1074</v>
      </c>
      <c r="H185" s="357" t="s">
        <v>1075</v>
      </c>
      <c r="I185" t="s">
        <v>155</v>
      </c>
      <c r="J185" s="1" t="s">
        <v>1076</v>
      </c>
      <c r="K185" s="1" t="s">
        <v>1077</v>
      </c>
      <c r="L185" s="1" t="s">
        <v>1078</v>
      </c>
      <c r="M185" s="1" t="s">
        <v>213</v>
      </c>
      <c r="N185" t="s">
        <v>1078</v>
      </c>
      <c r="O185">
        <v>9.5841449999999995</v>
      </c>
      <c r="P185">
        <v>-84.044776999999996</v>
      </c>
      <c r="Q185" s="2"/>
      <c r="R185" s="86"/>
      <c r="S185" s="2"/>
      <c r="T185" s="1">
        <v>1000</v>
      </c>
      <c r="U185" s="1">
        <v>1000</v>
      </c>
      <c r="V185" s="1" t="str">
        <f>IF(Table11[[#This Row],['#TreesContract]]-Table11[[#This Row],['#Planted]]=0,"",Table11[[#This Row],['#TreesContract]]-Table11[[#This Row],['#Planted]])</f>
        <v/>
      </c>
      <c r="W185" s="2"/>
      <c r="X185" s="34">
        <v>1</v>
      </c>
      <c r="Y185" s="163">
        <f>Table11[[#This Row],['#TreesContract]]*Table11[[#This Row],[USA Allocation %]]</f>
        <v>1000</v>
      </c>
      <c r="Z185" s="163">
        <f>Table11[[#This Row],['#Planted]]*Table11[[#This Row],[USA Allocation %]]</f>
        <v>1000</v>
      </c>
      <c r="AA185" s="34"/>
      <c r="AB185" s="163"/>
      <c r="AC185" s="34"/>
      <c r="AD185" s="163"/>
      <c r="AE185" s="163">
        <f>Table11[[#This Row],[Canada Allocation-tree '#''s]]+Table11[[#This Row],[Can trees/Allocation 2017]]</f>
        <v>0</v>
      </c>
      <c r="AF185" s="5">
        <v>0.95</v>
      </c>
      <c r="AG185" s="35">
        <v>950</v>
      </c>
      <c r="AH185" s="35">
        <f>Table11[[#This Row],['#Trees as of 12/31/23]]*Table11[[#This Row],[USA Allocation %]]</f>
        <v>950</v>
      </c>
      <c r="AI185" s="437">
        <f>Table11[[#This Row],['#TreesContract]]*Table11[[#This Row],[2024 Inventory Survival%-master]]</f>
        <v>827</v>
      </c>
      <c r="AJ185" s="436">
        <v>0.82699999999999996</v>
      </c>
      <c r="AK185" s="5">
        <v>0.83</v>
      </c>
      <c r="AL185" s="5">
        <v>0.82699999999999996</v>
      </c>
      <c r="AM185" s="35">
        <f>Table11[[#This Row],['#TreesContract]]*Table11[[#This Row],[2024 Inventory Survival%-master]]</f>
        <v>827</v>
      </c>
      <c r="AN185" s="35">
        <f>Table11[[#This Row],[2024 '#Trees Inventory + Estimate]]*Table11[[#This Row],[USA Allocation %]]</f>
        <v>827</v>
      </c>
      <c r="AO185" s="35">
        <f>Table11[[#This Row],[2024 '#Trees Inventory + Estimate]]*Table11[[#This Row],[Canada Allocation %]]</f>
        <v>0</v>
      </c>
      <c r="AP185" s="35">
        <f>Table11[[#This Row],[2024 '#Trees Inventory + Estimate]]*Table11[[#This Row],[Canada Allocation2017 %]]</f>
        <v>0</v>
      </c>
      <c r="AQ185" s="35">
        <f>Table11[[#This Row],['#Trees as of 2024/estimate-Can allocation]]+Table11[[#This Row],['#Trees as of 2024/estimate-Can allocation 2017]]</f>
        <v>0</v>
      </c>
      <c r="AR185" s="1" t="s">
        <v>531</v>
      </c>
      <c r="AS185" s="2"/>
      <c r="AT185" s="6">
        <f>IFERROR(Table11[[#This Row],['#Total Replacements]]/Table11[[#This Row],['#TreesContract]],"")</f>
        <v>0.12</v>
      </c>
      <c r="AU185" s="4">
        <f>IF(SUM(Table11[[#This Row],['#Replace 24]:['#Replace 16]])=0,0,SUM(Table11[[#This Row],['#Replace 24]:['#Replace 16]]))</f>
        <v>120</v>
      </c>
      <c r="AV185" s="2"/>
      <c r="AW185" s="2"/>
      <c r="AX185" s="3"/>
      <c r="AY185" s="2"/>
      <c r="AZ185" s="2">
        <v>120</v>
      </c>
      <c r="BA185" s="2"/>
      <c r="BB185" s="2"/>
      <c r="BC185" s="2"/>
      <c r="BD185" s="2"/>
      <c r="BE185" s="2"/>
      <c r="BF185" s="3">
        <v>1</v>
      </c>
      <c r="BG185" s="3">
        <v>1</v>
      </c>
      <c r="BH185" s="2">
        <v>2024</v>
      </c>
      <c r="BI185" s="158">
        <v>17.28</v>
      </c>
      <c r="BJ185" s="158">
        <v>12.43</v>
      </c>
      <c r="BK185" s="139">
        <f>Table11[[#This Row],[Average MHT
(Feet)]]/16</f>
        <v>0.77687499999999998</v>
      </c>
      <c r="BL185" s="2">
        <v>3.7</v>
      </c>
      <c r="BM185" s="139">
        <f>Table11[[#This Row],[Average DBH
(inches)]]/18</f>
        <v>0.20555555555555557</v>
      </c>
      <c r="BN185" s="235">
        <f>((Table11[[#This Row],[Average DBH
(inches)]]-4)^2)*(Table11[[#This Row],[Average MHT
(Feet)]]/16)</f>
        <v>6.9918749999999918E-2</v>
      </c>
      <c r="BO185" s="235">
        <f>Table11[[#This Row],[Average BF]]*Table11[[#This Row],[2024 '#Trees Inventory + Estimate]]</f>
        <v>57.822806249999935</v>
      </c>
      <c r="BP185" s="240">
        <f>(Table11[[#This Row],[Harvest Year
(10 year)]]-Table11[[#This Row],[Year of Inventory]]+1)*(Table11[[#This Row],[Average DBH
(inches)]]/(Table11[[#This Row],[Harvest Year
(10 year)]]-Table11[[#This Row],[Year of Inventory]]+1))+Table11[[#This Row],[Average DBH
(inches)]]</f>
        <v>7.4</v>
      </c>
      <c r="BQ185" s="235">
        <f>((Table11[[#This Row],[Projected DBH
(Extrapolated Growth/Year)]]-4)^2)*(Table11[[#This Row],[Average MHT
(Feet)]]/16)</f>
        <v>8.9806750000000015</v>
      </c>
      <c r="BR185" s="235">
        <f>Table11[[#This Row],[Projected Average BF]]*Table11[[#This Row],[2024 '#Trees Inventory + Estimate]]</f>
        <v>7427.0182250000016</v>
      </c>
      <c r="BS185" s="235">
        <f>196*Table11[[#This Row],[2024 '#Trees Inventory + Estimate]]</f>
        <v>162092</v>
      </c>
      <c r="BT185" s="243">
        <f>Table11[[#This Row],[ETP Offering Expected BF]]-Table11[[#This Row],[Projected Total BF]]</f>
        <v>154664.98177499999</v>
      </c>
      <c r="BU185" s="235">
        <f>(18-Table11[[#This Row],[Average DBH
(inches)]])/(D185-Table11[[#This Row],[Year of Inventory]]+1)</f>
        <v>2.3833333333333333</v>
      </c>
    </row>
    <row r="186" spans="1:73" x14ac:dyDescent="0.25">
      <c r="A186" s="7" t="s">
        <v>1079</v>
      </c>
      <c r="B186" s="2">
        <v>2020</v>
      </c>
      <c r="C186" s="2">
        <v>2020</v>
      </c>
      <c r="D186" s="2">
        <f>Table11[[#This Row],[Planting Year]]+9</f>
        <v>2029</v>
      </c>
      <c r="E186" t="s">
        <v>1080</v>
      </c>
      <c r="F186" s="161">
        <v>20062</v>
      </c>
      <c r="G186" t="s">
        <v>1080</v>
      </c>
      <c r="H186" s="357" t="s">
        <v>1081</v>
      </c>
      <c r="I186" t="s">
        <v>147</v>
      </c>
      <c r="J186" s="1" t="s">
        <v>1082</v>
      </c>
      <c r="K186" s="1" t="s">
        <v>1083</v>
      </c>
      <c r="L186" s="1" t="s">
        <v>1084</v>
      </c>
      <c r="M186" s="1" t="s">
        <v>213</v>
      </c>
      <c r="N186" t="s">
        <v>1085</v>
      </c>
      <c r="O186">
        <v>10.6152</v>
      </c>
      <c r="P186">
        <v>-84.331699999999998</v>
      </c>
      <c r="Q186" s="2"/>
      <c r="R186" s="86"/>
      <c r="S186" s="2"/>
      <c r="T186" s="1">
        <v>1200</v>
      </c>
      <c r="U186" s="1">
        <v>1200</v>
      </c>
      <c r="V186" s="1" t="str">
        <f>IF(Table11[[#This Row],['#TreesContract]]-Table11[[#This Row],['#Planted]]=0,"",Table11[[#This Row],['#TreesContract]]-Table11[[#This Row],['#Planted]])</f>
        <v/>
      </c>
      <c r="W186" s="2"/>
      <c r="X186" s="34">
        <v>1</v>
      </c>
      <c r="Y186" s="163">
        <f>Table11[[#This Row],['#TreesContract]]*Table11[[#This Row],[USA Allocation %]]</f>
        <v>1200</v>
      </c>
      <c r="Z186" s="163">
        <f>Table11[[#This Row],['#Planted]]*Table11[[#This Row],[USA Allocation %]]</f>
        <v>1200</v>
      </c>
      <c r="AA186" s="34"/>
      <c r="AB186" s="163"/>
      <c r="AC186" s="34"/>
      <c r="AD186" s="163"/>
      <c r="AE186" s="163">
        <f>Table11[[#This Row],[Canada Allocation-tree '#''s]]+Table11[[#This Row],[Can trees/Allocation 2017]]</f>
        <v>0</v>
      </c>
      <c r="AF186" s="5">
        <v>0.95</v>
      </c>
      <c r="AG186" s="35">
        <v>1140</v>
      </c>
      <c r="AH186" s="35">
        <f>Table11[[#This Row],['#Trees as of 12/31/23]]*Table11[[#This Row],[USA Allocation %]]</f>
        <v>1140</v>
      </c>
      <c r="AI186" s="404">
        <f>Table11[[#This Row],['#TreesContract]]*Table11[[#This Row],[2024 Inventory Survival%-master]]</f>
        <v>0</v>
      </c>
      <c r="AJ186" s="5"/>
      <c r="AK186" s="5">
        <v>0.95</v>
      </c>
      <c r="AL186" s="5">
        <v>0.95</v>
      </c>
      <c r="AM186" s="35">
        <f>AK186*Table11[[#This Row],['#TreesContract]]</f>
        <v>1140</v>
      </c>
      <c r="AN186" s="35">
        <f>Table11[[#This Row],[2024 '#Trees Inventory + Estimate]]*Table11[[#This Row],[USA Allocation %]]</f>
        <v>1140</v>
      </c>
      <c r="AO186" s="35">
        <f>Table11[[#This Row],[2024 '#Trees Inventory + Estimate]]*Table11[[#This Row],[Canada Allocation %]]</f>
        <v>0</v>
      </c>
      <c r="AP186" s="35">
        <f>Table11[[#This Row],[2024 '#Trees Inventory + Estimate]]*Table11[[#This Row],[Canada Allocation2017 %]]</f>
        <v>0</v>
      </c>
      <c r="AQ186" s="35">
        <f>Table11[[#This Row],['#Trees as of 2024/estimate-Can allocation]]+Table11[[#This Row],['#Trees as of 2024/estimate-Can allocation 2017]]</f>
        <v>0</v>
      </c>
      <c r="AR186" s="1" t="s">
        <v>531</v>
      </c>
      <c r="AS186" s="2"/>
      <c r="AT186" s="6">
        <f>IFERROR(Table11[[#This Row],['#Total Replacements]]/Table11[[#This Row],['#TreesContract]],"")</f>
        <v>0</v>
      </c>
      <c r="AU186" s="4">
        <f>IF(SUM(Table11[[#This Row],['#Replace 24]:['#Replace 16]])=0,0,SUM(Table11[[#This Row],['#Replace 24]:['#Replace 16]]))</f>
        <v>0</v>
      </c>
      <c r="AV186" s="2"/>
      <c r="AW186" s="2"/>
      <c r="AX186" s="3"/>
      <c r="AY186" s="2"/>
      <c r="AZ186" s="2"/>
      <c r="BA186" s="2"/>
      <c r="BB186" s="2"/>
      <c r="BC186" s="2"/>
      <c r="BD186" s="2"/>
      <c r="BE186" s="2"/>
      <c r="BF186" s="3">
        <v>1</v>
      </c>
      <c r="BG186" s="3">
        <v>1</v>
      </c>
      <c r="BH186" s="2"/>
      <c r="BI186" s="2"/>
      <c r="BJ186" s="2"/>
      <c r="BK186" s="139">
        <f>Table11[[#This Row],[Average MHT
(Feet)]]/16</f>
        <v>0</v>
      </c>
      <c r="BL186" s="2"/>
      <c r="BM186" s="139">
        <f>Table11[[#This Row],[Average DBH
(inches)]]/18</f>
        <v>0</v>
      </c>
      <c r="BN186" s="235">
        <f>((Table11[[#This Row],[Average DBH
(inches)]]-4)^2)*(Table11[[#This Row],[Average MHT
(Feet)]]/16)</f>
        <v>0</v>
      </c>
      <c r="BO186" s="235">
        <f>Table11[[#This Row],[Average BF]]*Table11[[#This Row],[2024 '#Trees Inventory + Estimate]]</f>
        <v>0</v>
      </c>
      <c r="BP186" s="240">
        <f>(Table11[[#This Row],[Harvest Year
(10 year)]]-Table11[[#This Row],[Year of Inventory]]+1)*(Table11[[#This Row],[Average DBH
(inches)]]/(Table11[[#This Row],[Harvest Year
(10 year)]]-Table11[[#This Row],[Year of Inventory]]+1))+Table11[[#This Row],[Average DBH
(inches)]]</f>
        <v>0</v>
      </c>
      <c r="BQ186" s="235">
        <f>((Table11[[#This Row],[Projected DBH
(Extrapolated Growth/Year)]]-4)^2)*(Table11[[#This Row],[Average MHT
(Feet)]]/16)</f>
        <v>0</v>
      </c>
      <c r="BR186" s="235">
        <f>Table11[[#This Row],[Projected Average BF]]*Table11[[#This Row],[2024 '#Trees Inventory + Estimate]]</f>
        <v>0</v>
      </c>
      <c r="BS186" s="235">
        <f>196*Table11[[#This Row],[2024 '#Trees Inventory + Estimate]]</f>
        <v>223440</v>
      </c>
      <c r="BT186" s="235">
        <f>Table11[[#This Row],[ETP Offering Expected BF]]-Table11[[#This Row],[Projected Total BF]]</f>
        <v>223440</v>
      </c>
      <c r="BU186" s="235">
        <f>(18-Table11[[#This Row],[Average DBH
(inches)]])/(D186-Table11[[#This Row],[Year of Inventory]]+1)</f>
        <v>8.8669950738916262E-3</v>
      </c>
    </row>
    <row r="187" spans="1:73" x14ac:dyDescent="0.25">
      <c r="A187" s="7" t="s">
        <v>1086</v>
      </c>
      <c r="B187" s="2">
        <v>2020</v>
      </c>
      <c r="C187" s="2">
        <v>2020</v>
      </c>
      <c r="D187" s="2">
        <f>Table11[[#This Row],[Planting Year]]+9</f>
        <v>2029</v>
      </c>
      <c r="E187" t="s">
        <v>1087</v>
      </c>
      <c r="F187" s="161">
        <v>20063</v>
      </c>
      <c r="G187" t="s">
        <v>1087</v>
      </c>
      <c r="H187" s="357" t="s">
        <v>1088</v>
      </c>
      <c r="I187" t="s">
        <v>155</v>
      </c>
      <c r="J187" s="1" t="s">
        <v>1089</v>
      </c>
      <c r="K187" s="1" t="s">
        <v>1090</v>
      </c>
      <c r="L187" s="1" t="s">
        <v>1091</v>
      </c>
      <c r="M187" s="1" t="s">
        <v>213</v>
      </c>
      <c r="N187" t="s">
        <v>1092</v>
      </c>
      <c r="O187">
        <v>10.8283</v>
      </c>
      <c r="P187">
        <v>-85.0779</v>
      </c>
      <c r="Q187" s="2"/>
      <c r="R187" s="86"/>
      <c r="S187" s="2"/>
      <c r="T187" s="1">
        <v>2000</v>
      </c>
      <c r="U187" s="1">
        <v>2000</v>
      </c>
      <c r="V187" s="1" t="str">
        <f>IF(Table11[[#This Row],['#TreesContract]]-Table11[[#This Row],['#Planted]]=0,"",Table11[[#This Row],['#TreesContract]]-Table11[[#This Row],['#Planted]])</f>
        <v/>
      </c>
      <c r="W187" s="2"/>
      <c r="X187" s="34">
        <v>1</v>
      </c>
      <c r="Y187" s="163">
        <f>Table11[[#This Row],['#TreesContract]]*Table11[[#This Row],[USA Allocation %]]</f>
        <v>2000</v>
      </c>
      <c r="Z187" s="163">
        <f>Table11[[#This Row],['#Planted]]*Table11[[#This Row],[USA Allocation %]]</f>
        <v>2000</v>
      </c>
      <c r="AA187" s="34"/>
      <c r="AB187" s="163"/>
      <c r="AC187" s="34"/>
      <c r="AD187" s="163"/>
      <c r="AE187" s="163">
        <f>Table11[[#This Row],[Canada Allocation-tree '#''s]]+Table11[[#This Row],[Can trees/Allocation 2017]]</f>
        <v>0</v>
      </c>
      <c r="AF187" s="5">
        <v>0.91</v>
      </c>
      <c r="AG187" s="35">
        <v>1820</v>
      </c>
      <c r="AH187" s="35">
        <f>Table11[[#This Row],['#Trees as of 12/31/23]]*Table11[[#This Row],[USA Allocation %]]</f>
        <v>1820</v>
      </c>
      <c r="AI187" s="437">
        <f>Table11[[#This Row],['#TreesContract]]*Table11[[#This Row],[2024 Inventory Survival%-master]]</f>
        <v>1514</v>
      </c>
      <c r="AJ187" s="436">
        <v>0.75700000000000001</v>
      </c>
      <c r="AK187" s="5">
        <v>0.76</v>
      </c>
      <c r="AL187" s="5">
        <v>0.75700000000000001</v>
      </c>
      <c r="AM187" s="35">
        <f>Table11[[#This Row],['#TreesContract]]*Table11[[#This Row],[2024 Inventory Survival%-master]]</f>
        <v>1514</v>
      </c>
      <c r="AN187" s="35">
        <f>Table11[[#This Row],[2024 '#Trees Inventory + Estimate]]*Table11[[#This Row],[USA Allocation %]]</f>
        <v>1514</v>
      </c>
      <c r="AO187" s="35">
        <f>Table11[[#This Row],[2024 '#Trees Inventory + Estimate]]*Table11[[#This Row],[Canada Allocation %]]</f>
        <v>0</v>
      </c>
      <c r="AP187" s="35">
        <f>Table11[[#This Row],[2024 '#Trees Inventory + Estimate]]*Table11[[#This Row],[Canada Allocation2017 %]]</f>
        <v>0</v>
      </c>
      <c r="AQ187" s="35">
        <f>Table11[[#This Row],['#Trees as of 2024/estimate-Can allocation]]+Table11[[#This Row],['#Trees as of 2024/estimate-Can allocation 2017]]</f>
        <v>0</v>
      </c>
      <c r="AR187" s="1" t="s">
        <v>531</v>
      </c>
      <c r="AS187" s="2"/>
      <c r="AT187" s="6">
        <f>IFERROR(Table11[[#This Row],['#Total Replacements]]/Table11[[#This Row],['#TreesContract]],"")</f>
        <v>0.02</v>
      </c>
      <c r="AU187" s="4">
        <f>IF(SUM(Table11[[#This Row],['#Replace 24]:['#Replace 16]])=0,0,SUM(Table11[[#This Row],['#Replace 24]:['#Replace 16]]))</f>
        <v>40</v>
      </c>
      <c r="AV187" s="2"/>
      <c r="AW187" s="2"/>
      <c r="AX187" s="3"/>
      <c r="AY187" s="2"/>
      <c r="AZ187" s="2">
        <v>40</v>
      </c>
      <c r="BA187" s="2"/>
      <c r="BB187" s="2"/>
      <c r="BC187" s="2"/>
      <c r="BD187" s="2"/>
      <c r="BE187" s="2"/>
      <c r="BF187" s="3">
        <v>1</v>
      </c>
      <c r="BG187" s="3">
        <v>1</v>
      </c>
      <c r="BH187" s="2">
        <v>2024</v>
      </c>
      <c r="BI187" s="2">
        <v>24.04</v>
      </c>
      <c r="BJ187" s="2">
        <v>18.63</v>
      </c>
      <c r="BK187" s="139">
        <f>Table11[[#This Row],[Average MHT
(Feet)]]/16</f>
        <v>1.1643749999999999</v>
      </c>
      <c r="BL187" s="2">
        <v>4.0199999999999996</v>
      </c>
      <c r="BM187" s="139">
        <f>Table11[[#This Row],[Average DBH
(inches)]]/18</f>
        <v>0.2233333333333333</v>
      </c>
      <c r="BN187" s="235">
        <f>((Table11[[#This Row],[Average DBH
(inches)]]-4)^2)*(Table11[[#This Row],[Average MHT
(Feet)]]/16)</f>
        <v>4.6574999999998012E-4</v>
      </c>
      <c r="BO187" s="235">
        <f>Table11[[#This Row],[Average BF]]*Table11[[#This Row],[2024 '#Trees Inventory + Estimate]]</f>
        <v>0.70514549999996989</v>
      </c>
      <c r="BP187" s="240">
        <f>(Table11[[#This Row],[Harvest Year
(10 year)]]-Table11[[#This Row],[Year of Inventory]]+1)*(Table11[[#This Row],[Average DBH
(inches)]]/(Table11[[#This Row],[Harvest Year
(10 year)]]-Table11[[#This Row],[Year of Inventory]]+1))+Table11[[#This Row],[Average DBH
(inches)]]</f>
        <v>8.0399999999999991</v>
      </c>
      <c r="BQ187" s="235">
        <f>((Table11[[#This Row],[Projected DBH
(Extrapolated Growth/Year)]]-4)^2)*(Table11[[#This Row],[Average MHT
(Feet)]]/16)</f>
        <v>19.004462999999991</v>
      </c>
      <c r="BR187" s="235">
        <f>Table11[[#This Row],[Projected Average BF]]*Table11[[#This Row],[2024 '#Trees Inventory + Estimate]]</f>
        <v>28772.756981999984</v>
      </c>
      <c r="BS187" s="235">
        <f>196*Table11[[#This Row],[2024 '#Trees Inventory + Estimate]]</f>
        <v>296744</v>
      </c>
      <c r="BT187" s="243">
        <f>Table11[[#This Row],[ETP Offering Expected BF]]-Table11[[#This Row],[Projected Total BF]]</f>
        <v>267971.24301800004</v>
      </c>
      <c r="BU187" s="235">
        <f>(18-Table11[[#This Row],[Average DBH
(inches)]])/(D187-Table11[[#This Row],[Year of Inventory]]+1)</f>
        <v>2.33</v>
      </c>
    </row>
    <row r="188" spans="1:73" x14ac:dyDescent="0.25">
      <c r="A188" s="7" t="s">
        <v>1093</v>
      </c>
      <c r="B188" s="2">
        <v>2020</v>
      </c>
      <c r="C188" s="2">
        <v>2020</v>
      </c>
      <c r="D188" s="2">
        <f>Table11[[#This Row],[Planting Year]]+9</f>
        <v>2029</v>
      </c>
      <c r="E188" t="s">
        <v>1094</v>
      </c>
      <c r="F188" s="161">
        <v>20064</v>
      </c>
      <c r="G188" t="s">
        <v>1094</v>
      </c>
      <c r="H188" s="357" t="s">
        <v>1095</v>
      </c>
      <c r="I188" t="s">
        <v>155</v>
      </c>
      <c r="J188" s="1" t="s">
        <v>1096</v>
      </c>
      <c r="K188" s="1" t="s">
        <v>1097</v>
      </c>
      <c r="L188" s="1" t="s">
        <v>1098</v>
      </c>
      <c r="M188" s="1" t="s">
        <v>213</v>
      </c>
      <c r="N188" t="s">
        <v>1099</v>
      </c>
      <c r="O188">
        <v>10.057484000000001</v>
      </c>
      <c r="P188">
        <v>-84.458329000000006</v>
      </c>
      <c r="Q188" s="2"/>
      <c r="R188" s="86"/>
      <c r="S188" s="2"/>
      <c r="T188" s="1">
        <v>1000</v>
      </c>
      <c r="U188" s="1">
        <v>1000</v>
      </c>
      <c r="V188" s="1" t="str">
        <f>IF(Table11[[#This Row],['#TreesContract]]-Table11[[#This Row],['#Planted]]=0,"",Table11[[#This Row],['#TreesContract]]-Table11[[#This Row],['#Planted]])</f>
        <v/>
      </c>
      <c r="W188" s="2"/>
      <c r="X188" s="34">
        <v>1</v>
      </c>
      <c r="Y188" s="163">
        <f>Table11[[#This Row],['#TreesContract]]*Table11[[#This Row],[USA Allocation %]]</f>
        <v>1000</v>
      </c>
      <c r="Z188" s="163">
        <f>Table11[[#This Row],['#Planted]]*Table11[[#This Row],[USA Allocation %]]</f>
        <v>1000</v>
      </c>
      <c r="AA188" s="34"/>
      <c r="AB188" s="163"/>
      <c r="AC188" s="34"/>
      <c r="AD188" s="163"/>
      <c r="AE188" s="163">
        <f>Table11[[#This Row],[Canada Allocation-tree '#''s]]+Table11[[#This Row],[Can trees/Allocation 2017]]</f>
        <v>0</v>
      </c>
      <c r="AF188" s="5">
        <v>1</v>
      </c>
      <c r="AG188" s="35">
        <v>1000</v>
      </c>
      <c r="AH188" s="35">
        <f>Table11[[#This Row],['#Trees as of 12/31/23]]*Table11[[#This Row],[USA Allocation %]]</f>
        <v>1000</v>
      </c>
      <c r="AI188" s="437">
        <f>Table11[[#This Row],['#TreesContract]]*Table11[[#This Row],[2024 Inventory Survival%-master]]</f>
        <v>580</v>
      </c>
      <c r="AJ188" s="436">
        <v>0.57999999999999996</v>
      </c>
      <c r="AK188" s="5">
        <v>0.57999999999999996</v>
      </c>
      <c r="AL188" s="5">
        <v>0.57999999999999996</v>
      </c>
      <c r="AM188" s="35">
        <f>Table11[[#This Row],['#TreesContract]]*Table11[[#This Row],[2024 Inventory Survival%-master]]</f>
        <v>580</v>
      </c>
      <c r="AN188" s="35">
        <f>Table11[[#This Row],[2024 '#Trees Inventory + Estimate]]*Table11[[#This Row],[USA Allocation %]]</f>
        <v>580</v>
      </c>
      <c r="AO188" s="35">
        <f>Table11[[#This Row],[2024 '#Trees Inventory + Estimate]]*Table11[[#This Row],[Canada Allocation %]]</f>
        <v>0</v>
      </c>
      <c r="AP188" s="35">
        <f>Table11[[#This Row],[2024 '#Trees Inventory + Estimate]]*Table11[[#This Row],[Canada Allocation2017 %]]</f>
        <v>0</v>
      </c>
      <c r="AQ188" s="35">
        <f>Table11[[#This Row],['#Trees as of 2024/estimate-Can allocation]]+Table11[[#This Row],['#Trees as of 2024/estimate-Can allocation 2017]]</f>
        <v>0</v>
      </c>
      <c r="AR188" s="1" t="s">
        <v>531</v>
      </c>
      <c r="AS188" s="2"/>
      <c r="AT188" s="6">
        <f>IFERROR(Table11[[#This Row],['#Total Replacements]]/Table11[[#This Row],['#TreesContract]],"")</f>
        <v>0.29199999999999998</v>
      </c>
      <c r="AU188" s="4">
        <f>IF(SUM(Table11[[#This Row],['#Replace 24]:['#Replace 16]])=0,0,SUM(Table11[[#This Row],['#Replace 24]:['#Replace 16]]))</f>
        <v>292</v>
      </c>
      <c r="AV188" s="2"/>
      <c r="AW188" s="2"/>
      <c r="AX188" s="3"/>
      <c r="AY188" s="2">
        <v>230</v>
      </c>
      <c r="AZ188" s="2">
        <v>62</v>
      </c>
      <c r="BA188" s="2"/>
      <c r="BB188" s="2"/>
      <c r="BC188" s="2"/>
      <c r="BD188" s="2"/>
      <c r="BE188" s="2"/>
      <c r="BF188" s="3">
        <v>1</v>
      </c>
      <c r="BG188" s="3">
        <v>1</v>
      </c>
      <c r="BH188" s="2">
        <v>2024</v>
      </c>
      <c r="BI188" s="158">
        <v>10.29</v>
      </c>
      <c r="BJ188" s="158">
        <v>5.83</v>
      </c>
      <c r="BK188" s="139">
        <f>Table11[[#This Row],[Average MHT
(Feet)]]/16</f>
        <v>0.364375</v>
      </c>
      <c r="BL188" s="2">
        <v>2.14</v>
      </c>
      <c r="BM188" s="139">
        <f>Table11[[#This Row],[Average DBH
(inches)]]/18</f>
        <v>0.11888888888888889</v>
      </c>
      <c r="BN188" s="235">
        <f>((Table11[[#This Row],[Average DBH
(inches)]]-4)^2)*(Table11[[#This Row],[Average MHT
(Feet)]]/16)</f>
        <v>1.2605917499999999</v>
      </c>
      <c r="BO188" s="235">
        <f>Table11[[#This Row],[Average BF]]*Table11[[#This Row],[2024 '#Trees Inventory + Estimate]]</f>
        <v>731.14321499999994</v>
      </c>
      <c r="BP188" s="240">
        <f>(Table11[[#This Row],[Harvest Year
(10 year)]]-Table11[[#This Row],[Year of Inventory]]+1)*(Table11[[#This Row],[Average DBH
(inches)]]/(Table11[[#This Row],[Harvest Year
(10 year)]]-Table11[[#This Row],[Year of Inventory]]+1))+Table11[[#This Row],[Average DBH
(inches)]]</f>
        <v>4.28</v>
      </c>
      <c r="BQ188" s="235">
        <f>((Table11[[#This Row],[Projected DBH
(Extrapolated Growth/Year)]]-4)^2)*(Table11[[#This Row],[Average MHT
(Feet)]]/16)</f>
        <v>2.8567000000000051E-2</v>
      </c>
      <c r="BR188" s="235">
        <f>Table11[[#This Row],[Projected Average BF]]*Table11[[#This Row],[2024 '#Trees Inventory + Estimate]]</f>
        <v>16.568860000000029</v>
      </c>
      <c r="BS188" s="235">
        <f>196*Table11[[#This Row],[2024 '#Trees Inventory + Estimate]]</f>
        <v>113680</v>
      </c>
      <c r="BT188" s="243">
        <f>Table11[[#This Row],[ETP Offering Expected BF]]-Table11[[#This Row],[Projected Total BF]]</f>
        <v>113663.43114</v>
      </c>
      <c r="BU188" s="235">
        <f>(18-Table11[[#This Row],[Average DBH
(inches)]])/(D188-Table11[[#This Row],[Year of Inventory]]+1)</f>
        <v>2.6433333333333331</v>
      </c>
    </row>
    <row r="189" spans="1:73" hidden="1" x14ac:dyDescent="0.25">
      <c r="A189" s="7" t="s">
        <v>1100</v>
      </c>
      <c r="B189" s="2">
        <v>2020</v>
      </c>
      <c r="C189" s="2">
        <v>2020</v>
      </c>
      <c r="D189" s="2">
        <v>0</v>
      </c>
      <c r="E189" t="s">
        <v>584</v>
      </c>
      <c r="F189" s="161">
        <v>30005</v>
      </c>
      <c r="G189" t="s">
        <v>584</v>
      </c>
      <c r="H189" s="357"/>
      <c r="I189" t="s">
        <v>160</v>
      </c>
      <c r="J189" s="1"/>
      <c r="K189" s="1"/>
      <c r="L189" s="1"/>
      <c r="M189" s="1" t="s">
        <v>574</v>
      </c>
      <c r="Q189" s="2"/>
      <c r="R189" s="86"/>
      <c r="S189" s="2"/>
      <c r="T189" s="1">
        <v>488</v>
      </c>
      <c r="U189" s="1">
        <v>488</v>
      </c>
      <c r="V189" s="1" t="str">
        <f>IF(Table11[[#This Row],['#TreesContract]]-Table11[[#This Row],['#Planted]]=0,"",Table11[[#This Row],['#TreesContract]]-Table11[[#This Row],['#Planted]])</f>
        <v/>
      </c>
      <c r="W189" s="2"/>
      <c r="X189" s="34">
        <v>1</v>
      </c>
      <c r="Y189" s="163">
        <f>Table11[[#This Row],['#TreesContract]]*Table11[[#This Row],[USA Allocation %]]</f>
        <v>488</v>
      </c>
      <c r="Z189" s="163">
        <f>Table11[[#This Row],['#Planted]]*Table11[[#This Row],[USA Allocation %]]</f>
        <v>488</v>
      </c>
      <c r="AA189" s="34"/>
      <c r="AB189" s="163"/>
      <c r="AC189" s="34"/>
      <c r="AD189" s="163"/>
      <c r="AE189" s="163">
        <f>Table11[[#This Row],[Canada Allocation-tree '#''s]]+Table11[[#This Row],[Can trees/Allocation 2017]]</f>
        <v>0</v>
      </c>
      <c r="AF189" s="5">
        <v>0</v>
      </c>
      <c r="AG189" s="35">
        <v>0</v>
      </c>
      <c r="AH189" s="35">
        <f>Table11[[#This Row],['#Trees as of 12/31/23]]*Table11[[#This Row],[USA Allocation %]]</f>
        <v>0</v>
      </c>
      <c r="AI189" s="404">
        <f>Table11[[#This Row],['#TreesContract]]*Table11[[#This Row],[2024 Inventory Survival%-master]]</f>
        <v>0</v>
      </c>
      <c r="AJ189" s="5">
        <v>0</v>
      </c>
      <c r="AK189" s="5">
        <v>0</v>
      </c>
      <c r="AL189" s="5">
        <v>0</v>
      </c>
      <c r="AM189" s="35">
        <f>AK189*Table11[[#This Row],['#TreesContract]]</f>
        <v>0</v>
      </c>
      <c r="AN189" s="35">
        <f>Table11[[#This Row],[2024 '#Trees Inventory + Estimate]]*Table11[[#This Row],[USA Allocation %]]</f>
        <v>0</v>
      </c>
      <c r="AO189" s="35">
        <f>Table11[[#This Row],[2024 '#Trees Inventory + Estimate]]*Table11[[#This Row],[Canada Allocation %]]</f>
        <v>0</v>
      </c>
      <c r="AP189" s="35">
        <f>Table11[[#This Row],[2024 '#Trees Inventory + Estimate]]*Table11[[#This Row],[Canada Allocation2017 %]]</f>
        <v>0</v>
      </c>
      <c r="AQ189" s="35">
        <f>Table11[[#This Row],['#Trees as of 2024/estimate-Can allocation]]+Table11[[#This Row],['#Trees as of 2024/estimate-Can allocation 2017]]</f>
        <v>0</v>
      </c>
      <c r="AR189" s="1" t="s">
        <v>576</v>
      </c>
      <c r="AS189" s="2"/>
      <c r="AT189" s="6">
        <f>IFERROR(Table11[[#This Row],['#Total Replacements]]/Table11[[#This Row],['#TreesContract]],"")</f>
        <v>0</v>
      </c>
      <c r="AU189" s="4">
        <f>IF(SUM(Table11[[#This Row],['#Replace 24]:['#Replace 16]])=0,0,SUM(Table11[[#This Row],['#Replace 24]:['#Replace 16]]))</f>
        <v>0</v>
      </c>
      <c r="AV189" s="2"/>
      <c r="AW189" s="2"/>
      <c r="AX189" s="3"/>
      <c r="AY189" s="2"/>
      <c r="AZ189" s="2"/>
      <c r="BA189" s="2"/>
      <c r="BB189" s="2"/>
      <c r="BC189" s="2"/>
      <c r="BD189" s="2"/>
      <c r="BE189" s="2"/>
      <c r="BF189" s="3">
        <v>1</v>
      </c>
      <c r="BG189" s="3">
        <v>1</v>
      </c>
      <c r="BH189" s="2"/>
      <c r="BI189" s="2"/>
      <c r="BJ189" s="2"/>
      <c r="BK189" s="139">
        <f>Table11[[#This Row],[Average MHT
(Feet)]]/16</f>
        <v>0</v>
      </c>
      <c r="BL189" s="2"/>
      <c r="BM189" s="139">
        <f>Table11[[#This Row],[Average DBH
(inches)]]/18</f>
        <v>0</v>
      </c>
      <c r="BN189" s="235">
        <f>((Table11[[#This Row],[Average DBH
(inches)]]-4)^2)*(Table11[[#This Row],[Average MHT
(Feet)]]/16)</f>
        <v>0</v>
      </c>
      <c r="BO189" s="235">
        <f>Table11[[#This Row],[Average BF]]*Table11[[#This Row],[2024 '#Trees Inventory + Estimate]]</f>
        <v>0</v>
      </c>
      <c r="BP189" s="240">
        <f>(Table11[[#This Row],[Harvest Year
(10 year)]]-Table11[[#This Row],[Year of Inventory]]+1)*(Table11[[#This Row],[Average DBH
(inches)]]/(Table11[[#This Row],[Harvest Year
(10 year)]]-Table11[[#This Row],[Year of Inventory]]+1))+Table11[[#This Row],[Average DBH
(inches)]]</f>
        <v>0</v>
      </c>
      <c r="BQ189" s="235">
        <f>((Table11[[#This Row],[Projected DBH
(Extrapolated Growth/Year)]]-4)^2)*(Table11[[#This Row],[Average MHT
(Feet)]]/16)</f>
        <v>0</v>
      </c>
      <c r="BR189" s="235">
        <f>Table11[[#This Row],[Projected Average BF]]*Table11[[#This Row],[2024 '#Trees Inventory + Estimate]]</f>
        <v>0</v>
      </c>
      <c r="BS189" s="235">
        <f>196*Table11[[#This Row],[2024 '#Trees Inventory + Estimate]]</f>
        <v>0</v>
      </c>
      <c r="BT189" s="235">
        <f>Table11[[#This Row],[ETP Offering Expected BF]]-Table11[[#This Row],[Projected Total BF]]</f>
        <v>0</v>
      </c>
      <c r="BU189" s="235">
        <f>(18-Table11[[#This Row],[Average DBH
(inches)]])/(D189-Table11[[#This Row],[Year of Inventory]]+1)</f>
        <v>18</v>
      </c>
    </row>
    <row r="190" spans="1:73" hidden="1" x14ac:dyDescent="0.25">
      <c r="A190" s="7" t="s">
        <v>1101</v>
      </c>
      <c r="B190" s="2">
        <v>2020</v>
      </c>
      <c r="C190" s="2">
        <v>2020</v>
      </c>
      <c r="D190" s="2">
        <f>Table11[[#This Row],[Planting Year]]+9</f>
        <v>2029</v>
      </c>
      <c r="E190" t="s">
        <v>1102</v>
      </c>
      <c r="F190" s="161">
        <v>30012</v>
      </c>
      <c r="G190" t="s">
        <v>1102</v>
      </c>
      <c r="H190" s="357" t="s">
        <v>1103</v>
      </c>
      <c r="I190" t="s">
        <v>147</v>
      </c>
      <c r="J190" s="1" t="s">
        <v>1104</v>
      </c>
      <c r="K190" s="1" t="s">
        <v>1105</v>
      </c>
      <c r="L190" s="1" t="s">
        <v>1106</v>
      </c>
      <c r="M190" s="1" t="s">
        <v>574</v>
      </c>
      <c r="N190" t="s">
        <v>1107</v>
      </c>
      <c r="O190">
        <v>14.569027999999999</v>
      </c>
      <c r="P190">
        <v>-89.387388999999999</v>
      </c>
      <c r="Q190" s="2"/>
      <c r="R190" s="86"/>
      <c r="S190" s="2"/>
      <c r="T190" s="1">
        <v>2000</v>
      </c>
      <c r="U190" s="1">
        <v>2000</v>
      </c>
      <c r="V190" s="1" t="str">
        <f>IF(Table11[[#This Row],['#TreesContract]]-Table11[[#This Row],['#Planted]]=0,"",Table11[[#This Row],['#TreesContract]]-Table11[[#This Row],['#Planted]])</f>
        <v/>
      </c>
      <c r="W190" s="2"/>
      <c r="X190" s="34">
        <v>1</v>
      </c>
      <c r="Y190" s="163">
        <f>Table11[[#This Row],['#TreesContract]]*Table11[[#This Row],[USA Allocation %]]</f>
        <v>2000</v>
      </c>
      <c r="Z190" s="163">
        <f>Table11[[#This Row],['#Planted]]*Table11[[#This Row],[USA Allocation %]]</f>
        <v>2000</v>
      </c>
      <c r="AA190" s="34"/>
      <c r="AB190" s="163"/>
      <c r="AC190" s="34"/>
      <c r="AD190" s="163"/>
      <c r="AE190" s="163">
        <f>Table11[[#This Row],[Canada Allocation-tree '#''s]]+Table11[[#This Row],[Can trees/Allocation 2017]]</f>
        <v>0</v>
      </c>
      <c r="AF190" s="5">
        <v>0.73600680000000007</v>
      </c>
      <c r="AG190" s="35">
        <v>1472.0136000000002</v>
      </c>
      <c r="AH190" s="35">
        <f>Table11[[#This Row],['#Trees as of 12/31/23]]*Table11[[#This Row],[USA Allocation %]]</f>
        <v>1472.0136000000002</v>
      </c>
      <c r="AI190" s="404">
        <f>Table11[[#This Row],['#TreesContract]]*Table11[[#This Row],[2024 Inventory Survival%-master]]</f>
        <v>0</v>
      </c>
      <c r="AJ190" s="5"/>
      <c r="AK190" s="5">
        <v>0.73600680000000007</v>
      </c>
      <c r="AL190" s="5">
        <v>0.74</v>
      </c>
      <c r="AM190" s="35">
        <f>AK190*Table11[[#This Row],['#TreesContract]]</f>
        <v>1472.0136000000002</v>
      </c>
      <c r="AN190" s="35">
        <f>Table11[[#This Row],[2024 '#Trees Inventory + Estimate]]*Table11[[#This Row],[USA Allocation %]]</f>
        <v>1472.0136000000002</v>
      </c>
      <c r="AO190" s="35">
        <f>Table11[[#This Row],[2024 '#Trees Inventory + Estimate]]*Table11[[#This Row],[Canada Allocation %]]</f>
        <v>0</v>
      </c>
      <c r="AP190" s="35">
        <f>Table11[[#This Row],[2024 '#Trees Inventory + Estimate]]*Table11[[#This Row],[Canada Allocation2017 %]]</f>
        <v>0</v>
      </c>
      <c r="AQ190" s="35">
        <f>Table11[[#This Row],['#Trees as of 2024/estimate-Can allocation]]+Table11[[#This Row],['#Trees as of 2024/estimate-Can allocation 2017]]</f>
        <v>0</v>
      </c>
      <c r="AR190" s="1" t="s">
        <v>576</v>
      </c>
      <c r="AS190" s="2"/>
      <c r="AT190" s="6">
        <f>IFERROR(Table11[[#This Row],['#Total Replacements]]/Table11[[#This Row],['#TreesContract]],"")</f>
        <v>0.30149999999999999</v>
      </c>
      <c r="AU190" s="4">
        <f>IF(SUM(Table11[[#This Row],['#Replace 24]:['#Replace 16]])=0,0,SUM(Table11[[#This Row],['#Replace 24]:['#Replace 16]]))</f>
        <v>603</v>
      </c>
      <c r="AV190" s="2"/>
      <c r="AW190" s="2"/>
      <c r="AX190" s="3"/>
      <c r="AY190" s="2"/>
      <c r="AZ190" s="2">
        <v>463</v>
      </c>
      <c r="BA190" s="2">
        <v>140</v>
      </c>
      <c r="BB190" s="2"/>
      <c r="BC190" s="2"/>
      <c r="BD190" s="2"/>
      <c r="BE190" s="2"/>
      <c r="BF190" s="3">
        <v>1</v>
      </c>
      <c r="BG190" s="3">
        <v>1</v>
      </c>
      <c r="BH190" s="2"/>
      <c r="BI190" s="2"/>
      <c r="BJ190" s="2"/>
      <c r="BK190" s="139">
        <f>Table11[[#This Row],[Average MHT
(Feet)]]/16</f>
        <v>0</v>
      </c>
      <c r="BL190" s="2"/>
      <c r="BM190" s="139">
        <f>Table11[[#This Row],[Average DBH
(inches)]]/18</f>
        <v>0</v>
      </c>
      <c r="BN190" s="235">
        <f>((Table11[[#This Row],[Average DBH
(inches)]]-4)^2)*(Table11[[#This Row],[Average MHT
(Feet)]]/16)</f>
        <v>0</v>
      </c>
      <c r="BO190" s="235">
        <f>Table11[[#This Row],[Average BF]]*Table11[[#This Row],[2024 '#Trees Inventory + Estimate]]</f>
        <v>0</v>
      </c>
      <c r="BP190" s="240">
        <f>(Table11[[#This Row],[Harvest Year
(10 year)]]-Table11[[#This Row],[Year of Inventory]]+1)*(Table11[[#This Row],[Average DBH
(inches)]]/(Table11[[#This Row],[Harvest Year
(10 year)]]-Table11[[#This Row],[Year of Inventory]]+1))+Table11[[#This Row],[Average DBH
(inches)]]</f>
        <v>0</v>
      </c>
      <c r="BQ190" s="235">
        <f>((Table11[[#This Row],[Projected DBH
(Extrapolated Growth/Year)]]-4)^2)*(Table11[[#This Row],[Average MHT
(Feet)]]/16)</f>
        <v>0</v>
      </c>
      <c r="BR190" s="235">
        <f>Table11[[#This Row],[Projected Average BF]]*Table11[[#This Row],[2024 '#Trees Inventory + Estimate]]</f>
        <v>0</v>
      </c>
      <c r="BS190" s="235">
        <f>196*Table11[[#This Row],[2024 '#Trees Inventory + Estimate]]</f>
        <v>288514.66560000007</v>
      </c>
      <c r="BT190" s="235">
        <f>Table11[[#This Row],[ETP Offering Expected BF]]-Table11[[#This Row],[Projected Total BF]]</f>
        <v>288514.66560000007</v>
      </c>
      <c r="BU190" s="235">
        <f>(18-Table11[[#This Row],[Average DBH
(inches)]])/(D190-Table11[[#This Row],[Year of Inventory]]+1)</f>
        <v>8.8669950738916262E-3</v>
      </c>
    </row>
    <row r="191" spans="1:73" hidden="1" x14ac:dyDescent="0.25">
      <c r="A191" s="7" t="s">
        <v>1108</v>
      </c>
      <c r="B191" s="2">
        <v>2020</v>
      </c>
      <c r="C191" s="2">
        <v>2020</v>
      </c>
      <c r="D191" s="2">
        <v>0</v>
      </c>
      <c r="E191" t="s">
        <v>1109</v>
      </c>
      <c r="F191" s="161">
        <v>30013</v>
      </c>
      <c r="G191" t="s">
        <v>1110</v>
      </c>
      <c r="H191" s="357" t="s">
        <v>1111</v>
      </c>
      <c r="I191" t="s">
        <v>160</v>
      </c>
      <c r="J191" s="1" t="s">
        <v>1112</v>
      </c>
      <c r="K191" s="1" t="s">
        <v>1113</v>
      </c>
      <c r="L191" s="1" t="s">
        <v>1114</v>
      </c>
      <c r="M191" s="1" t="s">
        <v>574</v>
      </c>
      <c r="N191" t="s">
        <v>1115</v>
      </c>
      <c r="O191">
        <v>14.722678999999999</v>
      </c>
      <c r="P191">
        <v>-90.010600400000001</v>
      </c>
      <c r="Q191" s="2"/>
      <c r="R191" s="86"/>
      <c r="S191" s="2"/>
      <c r="T191" s="1">
        <v>2000</v>
      </c>
      <c r="U191" s="1">
        <v>2000</v>
      </c>
      <c r="V191" s="1" t="str">
        <f>IF(Table11[[#This Row],['#TreesContract]]-Table11[[#This Row],['#Planted]]=0,"",Table11[[#This Row],['#TreesContract]]-Table11[[#This Row],['#Planted]])</f>
        <v/>
      </c>
      <c r="W191" s="2"/>
      <c r="X191" s="34">
        <v>1</v>
      </c>
      <c r="Y191" s="163">
        <f>Table11[[#This Row],['#TreesContract]]*Table11[[#This Row],[USA Allocation %]]</f>
        <v>2000</v>
      </c>
      <c r="Z191" s="163">
        <f>Table11[[#This Row],['#Planted]]*Table11[[#This Row],[USA Allocation %]]</f>
        <v>2000</v>
      </c>
      <c r="AA191" s="34"/>
      <c r="AB191" s="163"/>
      <c r="AC191" s="34"/>
      <c r="AD191" s="163"/>
      <c r="AE191" s="163">
        <f>Table11[[#This Row],[Canada Allocation-tree '#''s]]+Table11[[#This Row],[Can trees/Allocation 2017]]</f>
        <v>0</v>
      </c>
      <c r="AF191" s="5">
        <v>0.54460477499999993</v>
      </c>
      <c r="AG191" s="35">
        <v>1089.2095499999998</v>
      </c>
      <c r="AH191" s="35">
        <f>Table11[[#This Row],['#Trees as of 12/31/23]]*Table11[[#This Row],[USA Allocation %]]</f>
        <v>1089.2095499999998</v>
      </c>
      <c r="AI191" s="404">
        <f>Table11[[#This Row],['#TreesContract]]*Table11[[#This Row],[2024 Inventory Survival%-master]]</f>
        <v>0</v>
      </c>
      <c r="AJ191" s="5">
        <v>0</v>
      </c>
      <c r="AK191" s="5">
        <v>0</v>
      </c>
      <c r="AL191" s="5">
        <v>0</v>
      </c>
      <c r="AM191" s="35">
        <f>AK191*Table11[[#This Row],['#TreesContract]]</f>
        <v>0</v>
      </c>
      <c r="AN191" s="35">
        <f>Table11[[#This Row],[2024 '#Trees Inventory + Estimate]]*Table11[[#This Row],[USA Allocation %]]</f>
        <v>0</v>
      </c>
      <c r="AO191" s="35">
        <f>Table11[[#This Row],[2024 '#Trees Inventory + Estimate]]*Table11[[#This Row],[Canada Allocation %]]</f>
        <v>0</v>
      </c>
      <c r="AP191" s="35">
        <f>Table11[[#This Row],[2024 '#Trees Inventory + Estimate]]*Table11[[#This Row],[Canada Allocation2017 %]]</f>
        <v>0</v>
      </c>
      <c r="AQ191" s="35">
        <f>Table11[[#This Row],['#Trees as of 2024/estimate-Can allocation]]+Table11[[#This Row],['#Trees as of 2024/estimate-Can allocation 2017]]</f>
        <v>0</v>
      </c>
      <c r="AR191" s="1" t="s">
        <v>576</v>
      </c>
      <c r="AS191" s="2"/>
      <c r="AT191" s="6">
        <f>IFERROR(Table11[[#This Row],['#Total Replacements]]/Table11[[#This Row],['#TreesContract]],"")</f>
        <v>5.2499999999999998E-2</v>
      </c>
      <c r="AU191" s="4">
        <f>IF(SUM(Table11[[#This Row],['#Replace 24]:['#Replace 16]])=0,0,SUM(Table11[[#This Row],['#Replace 24]:['#Replace 16]]))</f>
        <v>105</v>
      </c>
      <c r="AV191" s="2"/>
      <c r="AW191" s="2"/>
      <c r="AX191" s="3"/>
      <c r="AY191" s="2"/>
      <c r="AZ191" s="2"/>
      <c r="BA191" s="2">
        <v>105</v>
      </c>
      <c r="BB191" s="2"/>
      <c r="BC191" s="2"/>
      <c r="BD191" s="2"/>
      <c r="BE191" s="2"/>
      <c r="BF191" s="3">
        <v>1</v>
      </c>
      <c r="BG191" s="3">
        <v>1</v>
      </c>
      <c r="BH191" s="2"/>
      <c r="BI191" s="158"/>
      <c r="BJ191" s="158"/>
      <c r="BK191" s="139">
        <f>Table11[[#This Row],[Average MHT
(Feet)]]/16</f>
        <v>0</v>
      </c>
      <c r="BL191" s="2"/>
      <c r="BM191" s="139">
        <f>Table11[[#This Row],[Average DBH
(inches)]]/18</f>
        <v>0</v>
      </c>
      <c r="BN191" s="235">
        <f>((Table11[[#This Row],[Average DBH
(inches)]]-4)^2)*(Table11[[#This Row],[Average MHT
(Feet)]]/16)</f>
        <v>0</v>
      </c>
      <c r="BO191" s="235">
        <f>Table11[[#This Row],[Average BF]]*Table11[[#This Row],[2024 '#Trees Inventory + Estimate]]</f>
        <v>0</v>
      </c>
      <c r="BP191" s="240">
        <f>(Table11[[#This Row],[Harvest Year
(10 year)]]-Table11[[#This Row],[Year of Inventory]]+1)*(Table11[[#This Row],[Average DBH
(inches)]]/(Table11[[#This Row],[Harvest Year
(10 year)]]-Table11[[#This Row],[Year of Inventory]]+1))+Table11[[#This Row],[Average DBH
(inches)]]</f>
        <v>0</v>
      </c>
      <c r="BQ191" s="235">
        <f>((Table11[[#This Row],[Projected DBH
(Extrapolated Growth/Year)]]-4)^2)*(Table11[[#This Row],[Average MHT
(Feet)]]/16)</f>
        <v>0</v>
      </c>
      <c r="BR191" s="235">
        <f>Table11[[#This Row],[Projected Average BF]]*Table11[[#This Row],[2024 '#Trees Inventory + Estimate]]</f>
        <v>0</v>
      </c>
      <c r="BS191" s="235">
        <f>196*Table11[[#This Row],[2024 '#Trees Inventory + Estimate]]</f>
        <v>0</v>
      </c>
      <c r="BT191" s="235">
        <f>Table11[[#This Row],[ETP Offering Expected BF]]-Table11[[#This Row],[Projected Total BF]]</f>
        <v>0</v>
      </c>
      <c r="BU191" s="235">
        <f>(18-Table11[[#This Row],[Average DBH
(inches)]])/(D191-Table11[[#This Row],[Year of Inventory]]+1)</f>
        <v>18</v>
      </c>
    </row>
    <row r="192" spans="1:73" hidden="1" x14ac:dyDescent="0.25">
      <c r="A192" s="7" t="s">
        <v>1116</v>
      </c>
      <c r="B192" s="2">
        <v>2020</v>
      </c>
      <c r="C192" s="2">
        <v>2020</v>
      </c>
      <c r="D192" s="2">
        <f>Table11[[#This Row],[Planting Year]]+9</f>
        <v>2029</v>
      </c>
      <c r="E192" t="s">
        <v>1117</v>
      </c>
      <c r="F192" s="161">
        <v>30014</v>
      </c>
      <c r="G192" t="s">
        <v>1118</v>
      </c>
      <c r="H192" s="357" t="s">
        <v>1119</v>
      </c>
      <c r="I192" t="s">
        <v>155</v>
      </c>
      <c r="J192" s="1" t="s">
        <v>1120</v>
      </c>
      <c r="K192" s="1" t="s">
        <v>1121</v>
      </c>
      <c r="L192" s="1" t="s">
        <v>1122</v>
      </c>
      <c r="M192" s="1" t="s">
        <v>574</v>
      </c>
      <c r="N192" t="s">
        <v>1123</v>
      </c>
      <c r="O192">
        <v>14.568407300000001</v>
      </c>
      <c r="P192">
        <v>-89.366941699999998</v>
      </c>
      <c r="Q192">
        <v>14.568407300000001</v>
      </c>
      <c r="R192" s="2">
        <v>-89.243806000000006</v>
      </c>
      <c r="S192" s="2"/>
      <c r="T192" s="1">
        <v>8000</v>
      </c>
      <c r="U192" s="1">
        <v>8000</v>
      </c>
      <c r="V192" s="1" t="str">
        <f>IF(Table11[[#This Row],['#TreesContract]]-Table11[[#This Row],['#Planted]]=0,"",Table11[[#This Row],['#TreesContract]]-Table11[[#This Row],['#Planted]])</f>
        <v/>
      </c>
      <c r="W192" s="2"/>
      <c r="X192" s="34">
        <v>1</v>
      </c>
      <c r="Y192" s="163">
        <f>Table11[[#This Row],['#TreesContract]]*Table11[[#This Row],[USA Allocation %]]</f>
        <v>8000</v>
      </c>
      <c r="Z192" s="163">
        <f>Table11[[#This Row],['#Planted]]*Table11[[#This Row],[USA Allocation %]]</f>
        <v>8000</v>
      </c>
      <c r="AA192" s="34"/>
      <c r="AB192" s="163"/>
      <c r="AC192" s="34"/>
      <c r="AD192" s="163"/>
      <c r="AE192" s="163">
        <f>Table11[[#This Row],[Canada Allocation-tree '#''s]]+Table11[[#This Row],[Can trees/Allocation 2017]]</f>
        <v>0</v>
      </c>
      <c r="AF192" s="5">
        <v>0.95</v>
      </c>
      <c r="AG192" s="35">
        <v>7600</v>
      </c>
      <c r="AH192" s="35">
        <f>Table11[[#This Row],['#Trees as of 12/31/23]]*Table11[[#This Row],[USA Allocation %]]</f>
        <v>7600</v>
      </c>
      <c r="AI192" s="437">
        <f>Table11[[#This Row],['#TreesContract]]*Table11[[#This Row],[2024 Inventory Survival%-master]]</f>
        <v>7416</v>
      </c>
      <c r="AJ192" s="436">
        <v>0.92700000000000005</v>
      </c>
      <c r="AK192" s="5">
        <v>0.93</v>
      </c>
      <c r="AL192" s="5">
        <v>0.93</v>
      </c>
      <c r="AM192" s="35">
        <f>AK192*Table11[[#This Row],['#TreesContract]]</f>
        <v>7440</v>
      </c>
      <c r="AN192" s="35">
        <f>Table11[[#This Row],[2024 '#Trees Inventory + Estimate]]*Table11[[#This Row],[USA Allocation %]]</f>
        <v>7440</v>
      </c>
      <c r="AO192" s="35">
        <f>Table11[[#This Row],[2024 '#Trees Inventory + Estimate]]*Table11[[#This Row],[Canada Allocation %]]</f>
        <v>0</v>
      </c>
      <c r="AP192" s="35">
        <f>Table11[[#This Row],[2024 '#Trees Inventory + Estimate]]*Table11[[#This Row],[Canada Allocation2017 %]]</f>
        <v>0</v>
      </c>
      <c r="AQ192" s="35">
        <f>Table11[[#This Row],['#Trees as of 2024/estimate-Can allocation]]+Table11[[#This Row],['#Trees as of 2024/estimate-Can allocation 2017]]</f>
        <v>0</v>
      </c>
      <c r="AR192" s="1" t="s">
        <v>576</v>
      </c>
      <c r="AS192" s="2"/>
      <c r="AT192" s="6">
        <f>IFERROR(Table11[[#This Row],['#Total Replacements]]/Table11[[#This Row],['#TreesContract]],"")</f>
        <v>0.35</v>
      </c>
      <c r="AU192" s="4">
        <f>IF(SUM(Table11[[#This Row],['#Replace 24]:['#Replace 16]])=0,0,SUM(Table11[[#This Row],['#Replace 24]:['#Replace 16]]))</f>
        <v>2800</v>
      </c>
      <c r="AV192" s="2"/>
      <c r="AW192" s="2"/>
      <c r="AX192" s="3"/>
      <c r="AY192" s="2">
        <v>2800</v>
      </c>
      <c r="AZ192" s="2"/>
      <c r="BA192" s="2"/>
      <c r="BB192" s="2"/>
      <c r="BC192" s="2"/>
      <c r="BD192" s="2"/>
      <c r="BE192" s="2"/>
      <c r="BF192" s="3">
        <v>1</v>
      </c>
      <c r="BG192" s="3">
        <v>1</v>
      </c>
      <c r="BH192" s="2">
        <v>2024</v>
      </c>
      <c r="BI192" s="2">
        <v>7.03</v>
      </c>
      <c r="BJ192" s="2">
        <v>0</v>
      </c>
      <c r="BK192" s="139">
        <f>Table11[[#This Row],[Average MHT
(Feet)]]/16</f>
        <v>0</v>
      </c>
      <c r="BL192" s="2">
        <v>1.35</v>
      </c>
      <c r="BM192" s="139">
        <f>Table11[[#This Row],[Average DBH
(inches)]]/18</f>
        <v>7.5000000000000011E-2</v>
      </c>
      <c r="BN192" s="235">
        <f>((Table11[[#This Row],[Average DBH
(inches)]]-4)^2)*(Table11[[#This Row],[Average MHT
(Feet)]]/16)</f>
        <v>0</v>
      </c>
      <c r="BO192" s="235">
        <f>Table11[[#This Row],[Average BF]]*Table11[[#This Row],[2024 '#Trees Inventory + Estimate]]</f>
        <v>0</v>
      </c>
      <c r="BP192" s="240">
        <f>(Table11[[#This Row],[Harvest Year
(10 year)]]-Table11[[#This Row],[Year of Inventory]]+1)*(Table11[[#This Row],[Average DBH
(inches)]]/(Table11[[#This Row],[Harvest Year
(10 year)]]-Table11[[#This Row],[Year of Inventory]]+1))+Table11[[#This Row],[Average DBH
(inches)]]</f>
        <v>2.7</v>
      </c>
      <c r="BQ192" s="235">
        <f>((Table11[[#This Row],[Projected DBH
(Extrapolated Growth/Year)]]-4)^2)*(Table11[[#This Row],[Average MHT
(Feet)]]/16)</f>
        <v>0</v>
      </c>
      <c r="BR192" s="235">
        <f>Table11[[#This Row],[Projected Average BF]]*Table11[[#This Row],[2024 '#Trees Inventory + Estimate]]</f>
        <v>0</v>
      </c>
      <c r="BS192" s="235">
        <f>196*Table11[[#This Row],[2024 '#Trees Inventory + Estimate]]</f>
        <v>1458240</v>
      </c>
      <c r="BT192" s="235">
        <f>Table11[[#This Row],[ETP Offering Expected BF]]-Table11[[#This Row],[Projected Total BF]]</f>
        <v>1458240</v>
      </c>
      <c r="BU192" s="235">
        <f>(18-Table11[[#This Row],[Average DBH
(inches)]])/(D192-Table11[[#This Row],[Year of Inventory]]+1)</f>
        <v>2.7749999999999999</v>
      </c>
    </row>
    <row r="193" spans="1:73" hidden="1" x14ac:dyDescent="0.25">
      <c r="A193" s="7" t="s">
        <v>1124</v>
      </c>
      <c r="B193" s="2">
        <v>2020</v>
      </c>
      <c r="C193" s="2">
        <v>2020</v>
      </c>
      <c r="D193" s="2">
        <v>0</v>
      </c>
      <c r="E193" t="s">
        <v>1125</v>
      </c>
      <c r="F193" s="161">
        <v>30015</v>
      </c>
      <c r="G193" t="s">
        <v>1126</v>
      </c>
      <c r="H193" s="357" t="s">
        <v>1127</v>
      </c>
      <c r="I193" t="s">
        <v>160</v>
      </c>
      <c r="J193" s="1" t="s">
        <v>1128</v>
      </c>
      <c r="K193" s="1" t="s">
        <v>1129</v>
      </c>
      <c r="L193" s="1" t="s">
        <v>1130</v>
      </c>
      <c r="M193" s="1" t="s">
        <v>574</v>
      </c>
      <c r="N193" t="s">
        <v>1131</v>
      </c>
      <c r="O193">
        <v>14.670583000000001</v>
      </c>
      <c r="P193">
        <v>-91.861889000000005</v>
      </c>
      <c r="Q193" s="2"/>
      <c r="R193" s="86"/>
      <c r="S193" s="2"/>
      <c r="T193" s="1">
        <v>0</v>
      </c>
      <c r="U193" s="1">
        <v>0</v>
      </c>
      <c r="V193" s="1" t="str">
        <f>IF(Table11[[#This Row],['#TreesContract]]-Table11[[#This Row],['#Planted]]=0,"",Table11[[#This Row],['#TreesContract]]-Table11[[#This Row],['#Planted]])</f>
        <v/>
      </c>
      <c r="W193" s="2"/>
      <c r="X193" s="34">
        <v>1</v>
      </c>
      <c r="Y193" s="163"/>
      <c r="Z193" s="163"/>
      <c r="AA193" s="34"/>
      <c r="AB193" s="163"/>
      <c r="AC193" s="34"/>
      <c r="AD193" s="163"/>
      <c r="AE193" s="163">
        <f>Table11[[#This Row],[Canada Allocation-tree '#''s]]+Table11[[#This Row],[Can trees/Allocation 2017]]</f>
        <v>0</v>
      </c>
      <c r="AF193" s="5">
        <v>0</v>
      </c>
      <c r="AG193" s="35">
        <v>0</v>
      </c>
      <c r="AH193" s="35">
        <f>Table11[[#This Row],['#Trees as of 12/31/23]]*Table11[[#This Row],[USA Allocation %]]</f>
        <v>0</v>
      </c>
      <c r="AI193" s="404">
        <f>Table11[[#This Row],['#TreesContract]]*Table11[[#This Row],[2024 Inventory Survival%-master]]</f>
        <v>0</v>
      </c>
      <c r="AJ193" s="5">
        <v>0</v>
      </c>
      <c r="AK193" s="5">
        <v>0</v>
      </c>
      <c r="AL193" s="5">
        <v>0</v>
      </c>
      <c r="AM193" s="35">
        <f>AK193*Table11[[#This Row],['#TreesContract]]</f>
        <v>0</v>
      </c>
      <c r="AN193" s="35">
        <f>Table11[[#This Row],[2024 '#Trees Inventory + Estimate]]*Table11[[#This Row],[USA Allocation %]]</f>
        <v>0</v>
      </c>
      <c r="AO193" s="35">
        <f>Table11[[#This Row],[2024 '#Trees Inventory + Estimate]]*Table11[[#This Row],[Canada Allocation %]]</f>
        <v>0</v>
      </c>
      <c r="AP193" s="35">
        <f>Table11[[#This Row],[2024 '#Trees Inventory + Estimate]]*Table11[[#This Row],[Canada Allocation2017 %]]</f>
        <v>0</v>
      </c>
      <c r="AQ193" s="35">
        <f>Table11[[#This Row],['#Trees as of 2024/estimate-Can allocation]]+Table11[[#This Row],['#Trees as of 2024/estimate-Can allocation 2017]]</f>
        <v>0</v>
      </c>
      <c r="AR193" s="1"/>
      <c r="AS193" s="2"/>
      <c r="AT193" s="6" t="str">
        <f>IFERROR(Table11[[#This Row],['#Total Replacements]]/Table11[[#This Row],['#TreesContract]],"")</f>
        <v/>
      </c>
      <c r="AU193" s="4">
        <f>IF(SUM(Table11[[#This Row],['#Replace 24]:['#Replace 16]])=0,0,SUM(Table11[[#This Row],['#Replace 24]:['#Replace 16]]))</f>
        <v>0</v>
      </c>
      <c r="AV193" s="2"/>
      <c r="AW193" s="2"/>
      <c r="AX193" s="3"/>
      <c r="AY193" s="2"/>
      <c r="AZ193" s="2"/>
      <c r="BA193" s="2"/>
      <c r="BB193" s="2"/>
      <c r="BC193" s="2"/>
      <c r="BD193" s="2"/>
      <c r="BE193" s="2"/>
      <c r="BF193" s="43"/>
      <c r="BG193" s="3">
        <v>1</v>
      </c>
      <c r="BH193" s="2"/>
      <c r="BI193" s="158"/>
      <c r="BJ193" s="158"/>
      <c r="BK193" s="139">
        <f>Table11[[#This Row],[Average MHT
(Feet)]]/16</f>
        <v>0</v>
      </c>
      <c r="BL193" s="2"/>
      <c r="BM193" s="139">
        <f>Table11[[#This Row],[Average DBH
(inches)]]/18</f>
        <v>0</v>
      </c>
      <c r="BN193" s="235">
        <f>((Table11[[#This Row],[Average DBH
(inches)]]-4)^2)*(Table11[[#This Row],[Average MHT
(Feet)]]/16)</f>
        <v>0</v>
      </c>
      <c r="BO193" s="235">
        <f>Table11[[#This Row],[Average BF]]*Table11[[#This Row],[2024 '#Trees Inventory + Estimate]]</f>
        <v>0</v>
      </c>
      <c r="BP193" s="240">
        <f>(Table11[[#This Row],[Harvest Year
(10 year)]]-Table11[[#This Row],[Year of Inventory]]+1)*(Table11[[#This Row],[Average DBH
(inches)]]/(Table11[[#This Row],[Harvest Year
(10 year)]]-Table11[[#This Row],[Year of Inventory]]+1))+Table11[[#This Row],[Average DBH
(inches)]]</f>
        <v>0</v>
      </c>
      <c r="BQ193" s="235">
        <f>((Table11[[#This Row],[Projected DBH
(Extrapolated Growth/Year)]]-4)^2)*(Table11[[#This Row],[Average MHT
(Feet)]]/16)</f>
        <v>0</v>
      </c>
      <c r="BR193" s="235">
        <f>Table11[[#This Row],[Projected Average BF]]*Table11[[#This Row],[2024 '#Trees Inventory + Estimate]]</f>
        <v>0</v>
      </c>
      <c r="BS193" s="235">
        <f>196*Table11[[#This Row],[2024 '#Trees Inventory + Estimate]]</f>
        <v>0</v>
      </c>
      <c r="BT193" s="235">
        <f>Table11[[#This Row],[ETP Offering Expected BF]]-Table11[[#This Row],[Projected Total BF]]</f>
        <v>0</v>
      </c>
      <c r="BU193" s="235">
        <f>(18-Table11[[#This Row],[Average DBH
(inches)]])/(D193-Table11[[#This Row],[Year of Inventory]]+1)</f>
        <v>18</v>
      </c>
    </row>
    <row r="194" spans="1:73" hidden="1" x14ac:dyDescent="0.25">
      <c r="A194" s="7" t="s">
        <v>1132</v>
      </c>
      <c r="B194" s="2">
        <v>2020</v>
      </c>
      <c r="C194" s="2">
        <v>2020</v>
      </c>
      <c r="D194" s="2">
        <f>Table11[[#This Row],[Planting Year]]+9</f>
        <v>2029</v>
      </c>
      <c r="E194" t="s">
        <v>1133</v>
      </c>
      <c r="F194" s="161">
        <v>30016</v>
      </c>
      <c r="G194" t="s">
        <v>1134</v>
      </c>
      <c r="H194" s="357" t="s">
        <v>1135</v>
      </c>
      <c r="I194" t="s">
        <v>147</v>
      </c>
      <c r="J194" s="1" t="s">
        <v>1136</v>
      </c>
      <c r="K194" s="1" t="s">
        <v>1137</v>
      </c>
      <c r="L194" s="1" t="s">
        <v>1138</v>
      </c>
      <c r="M194" s="1" t="s">
        <v>574</v>
      </c>
      <c r="N194" t="s">
        <v>1139</v>
      </c>
      <c r="O194">
        <v>14.075889</v>
      </c>
      <c r="P194">
        <v>-90.571944000000002</v>
      </c>
      <c r="Q194" s="2"/>
      <c r="R194" s="86"/>
      <c r="S194" s="2"/>
      <c r="T194" s="1">
        <v>1469</v>
      </c>
      <c r="U194" s="1">
        <v>1469</v>
      </c>
      <c r="V194" s="1" t="str">
        <f>IF(Table11[[#This Row],['#TreesContract]]-Table11[[#This Row],['#Planted]]=0,"",Table11[[#This Row],['#TreesContract]]-Table11[[#This Row],['#Planted]])</f>
        <v/>
      </c>
      <c r="W194" s="2"/>
      <c r="X194" s="34">
        <v>1</v>
      </c>
      <c r="Y194" s="163">
        <f>Table11[[#This Row],['#TreesContract]]*Table11[[#This Row],[USA Allocation %]]</f>
        <v>1469</v>
      </c>
      <c r="Z194" s="163">
        <f>Table11[[#This Row],['#Planted]]*Table11[[#This Row],[USA Allocation %]]</f>
        <v>1469</v>
      </c>
      <c r="AA194" s="34"/>
      <c r="AB194" s="163"/>
      <c r="AC194" s="34"/>
      <c r="AD194" s="163"/>
      <c r="AE194" s="163">
        <f>Table11[[#This Row],[Canada Allocation-tree '#''s]]+Table11[[#This Row],[Can trees/Allocation 2017]]</f>
        <v>0</v>
      </c>
      <c r="AF194" s="5">
        <v>0.33614608695652171</v>
      </c>
      <c r="AG194" s="35">
        <v>493.79860173913039</v>
      </c>
      <c r="AH194" s="35">
        <f>Table11[[#This Row],['#Trees as of 12/31/23]]*Table11[[#This Row],[USA Allocation %]]</f>
        <v>493.79860173913039</v>
      </c>
      <c r="AI194" s="404">
        <f>Table11[[#This Row],['#TreesContract]]*Table11[[#This Row],[2024 Inventory Survival%-master]]</f>
        <v>0</v>
      </c>
      <c r="AJ194" s="5"/>
      <c r="AK194" s="5">
        <v>0.33614608695652171</v>
      </c>
      <c r="AL194" s="5">
        <v>0.34</v>
      </c>
      <c r="AM194" s="35">
        <f>AK194*Table11[[#This Row],['#TreesContract]]</f>
        <v>493.79860173913039</v>
      </c>
      <c r="AN194" s="35">
        <f>Table11[[#This Row],[2024 '#Trees Inventory + Estimate]]*Table11[[#This Row],[USA Allocation %]]</f>
        <v>493.79860173913039</v>
      </c>
      <c r="AO194" s="35">
        <f>Table11[[#This Row],[2024 '#Trees Inventory + Estimate]]*Table11[[#This Row],[Canada Allocation %]]</f>
        <v>0</v>
      </c>
      <c r="AP194" s="35">
        <f>Table11[[#This Row],[2024 '#Trees Inventory + Estimate]]*Table11[[#This Row],[Canada Allocation2017 %]]</f>
        <v>0</v>
      </c>
      <c r="AQ194" s="35">
        <f>Table11[[#This Row],['#Trees as of 2024/estimate-Can allocation]]+Table11[[#This Row],['#Trees as of 2024/estimate-Can allocation 2017]]</f>
        <v>0</v>
      </c>
      <c r="AR194" s="1" t="s">
        <v>576</v>
      </c>
      <c r="AS194" s="2"/>
      <c r="AT194" s="6">
        <f>IFERROR(Table11[[#This Row],['#Total Replacements]]/Table11[[#This Row],['#TreesContract]],"")</f>
        <v>0.97889720898570454</v>
      </c>
      <c r="AU194" s="4">
        <f>IF(SUM(Table11[[#This Row],['#Replace 24]:['#Replace 16]])=0,0,SUM(Table11[[#This Row],['#Replace 24]:['#Replace 16]]))</f>
        <v>1438</v>
      </c>
      <c r="AV194" s="2"/>
      <c r="AW194" s="2"/>
      <c r="AX194" s="3"/>
      <c r="AY194" s="2"/>
      <c r="AZ194" s="2">
        <v>1438</v>
      </c>
      <c r="BA194" s="2"/>
      <c r="BB194" s="2"/>
      <c r="BC194" s="2"/>
      <c r="BD194" s="2"/>
      <c r="BE194" s="2"/>
      <c r="BF194" s="3">
        <v>1</v>
      </c>
      <c r="BG194" s="3">
        <v>1</v>
      </c>
      <c r="BH194" s="2"/>
      <c r="BI194" s="2"/>
      <c r="BJ194" s="2"/>
      <c r="BK194" s="139">
        <f>Table11[[#This Row],[Average MHT
(Feet)]]/16</f>
        <v>0</v>
      </c>
      <c r="BL194" s="2"/>
      <c r="BM194" s="139">
        <f>Table11[[#This Row],[Average DBH
(inches)]]/18</f>
        <v>0</v>
      </c>
      <c r="BN194" s="235">
        <f>((Table11[[#This Row],[Average DBH
(inches)]]-4)^2)*(Table11[[#This Row],[Average MHT
(Feet)]]/16)</f>
        <v>0</v>
      </c>
      <c r="BO194" s="235">
        <f>Table11[[#This Row],[Average BF]]*Table11[[#This Row],[2024 '#Trees Inventory + Estimate]]</f>
        <v>0</v>
      </c>
      <c r="BP194" s="240">
        <f>(Table11[[#This Row],[Harvest Year
(10 year)]]-Table11[[#This Row],[Year of Inventory]]+1)*(Table11[[#This Row],[Average DBH
(inches)]]/(Table11[[#This Row],[Harvest Year
(10 year)]]-Table11[[#This Row],[Year of Inventory]]+1))+Table11[[#This Row],[Average DBH
(inches)]]</f>
        <v>0</v>
      </c>
      <c r="BQ194" s="235">
        <f>((Table11[[#This Row],[Projected DBH
(Extrapolated Growth/Year)]]-4)^2)*(Table11[[#This Row],[Average MHT
(Feet)]]/16)</f>
        <v>0</v>
      </c>
      <c r="BR194" s="235">
        <f>Table11[[#This Row],[Projected Average BF]]*Table11[[#This Row],[2024 '#Trees Inventory + Estimate]]</f>
        <v>0</v>
      </c>
      <c r="BS194" s="235">
        <f>196*Table11[[#This Row],[2024 '#Trees Inventory + Estimate]]</f>
        <v>96784.525940869557</v>
      </c>
      <c r="BT194" s="235">
        <f>Table11[[#This Row],[ETP Offering Expected BF]]-Table11[[#This Row],[Projected Total BF]]</f>
        <v>96784.525940869557</v>
      </c>
      <c r="BU194" s="235">
        <f>(18-Table11[[#This Row],[Average DBH
(inches)]])/(D194-Table11[[#This Row],[Year of Inventory]]+1)</f>
        <v>8.8669950738916262E-3</v>
      </c>
    </row>
    <row r="195" spans="1:73" hidden="1" x14ac:dyDescent="0.25">
      <c r="A195" s="7" t="s">
        <v>1140</v>
      </c>
      <c r="B195" s="2">
        <v>2020</v>
      </c>
      <c r="C195" s="2">
        <v>2020</v>
      </c>
      <c r="D195" s="2">
        <v>0</v>
      </c>
      <c r="E195" t="s">
        <v>1141</v>
      </c>
      <c r="F195" s="161">
        <v>30017</v>
      </c>
      <c r="G195" t="s">
        <v>1141</v>
      </c>
      <c r="H195" s="357" t="s">
        <v>1142</v>
      </c>
      <c r="I195" t="s">
        <v>160</v>
      </c>
      <c r="J195" s="1" t="s">
        <v>1143</v>
      </c>
      <c r="K195" s="1" t="s">
        <v>1144</v>
      </c>
      <c r="L195" s="1" t="s">
        <v>1145</v>
      </c>
      <c r="M195" s="1" t="s">
        <v>574</v>
      </c>
      <c r="N195" t="s">
        <v>1146</v>
      </c>
      <c r="O195">
        <v>14.8485947</v>
      </c>
      <c r="P195">
        <v>-89.678330700000004</v>
      </c>
      <c r="Q195" s="2"/>
      <c r="R195" s="86"/>
      <c r="S195" s="2"/>
      <c r="T195" s="1">
        <v>1000</v>
      </c>
      <c r="U195" s="1">
        <v>1000</v>
      </c>
      <c r="V195" s="1" t="str">
        <f>IF(Table11[[#This Row],['#TreesContract]]-Table11[[#This Row],['#Planted]]=0,"",Table11[[#This Row],['#TreesContract]]-Table11[[#This Row],['#Planted]])</f>
        <v/>
      </c>
      <c r="W195" s="2"/>
      <c r="X195" s="34">
        <v>1</v>
      </c>
      <c r="Y195" s="163">
        <f>Table11[[#This Row],['#TreesContract]]*Table11[[#This Row],[USA Allocation %]]</f>
        <v>1000</v>
      </c>
      <c r="Z195" s="163">
        <f>Table11[[#This Row],['#Planted]]*Table11[[#This Row],[USA Allocation %]]</f>
        <v>1000</v>
      </c>
      <c r="AA195" s="34"/>
      <c r="AB195" s="163"/>
      <c r="AC195" s="34"/>
      <c r="AD195" s="163"/>
      <c r="AE195" s="163">
        <f>Table11[[#This Row],[Canada Allocation-tree '#''s]]+Table11[[#This Row],[Can trees/Allocation 2017]]</f>
        <v>0</v>
      </c>
      <c r="AF195" s="5">
        <v>0.4741032</v>
      </c>
      <c r="AG195" s="35">
        <v>474.10320000000002</v>
      </c>
      <c r="AH195" s="35">
        <f>Table11[[#This Row],['#Trees as of 12/31/23]]*Table11[[#This Row],[USA Allocation %]]</f>
        <v>474.10320000000002</v>
      </c>
      <c r="AI195" s="404">
        <f>Table11[[#This Row],['#TreesContract]]*Table11[[#This Row],[2024 Inventory Survival%-master]]</f>
        <v>0</v>
      </c>
      <c r="AJ195" s="5">
        <v>0</v>
      </c>
      <c r="AK195" s="5">
        <v>0</v>
      </c>
      <c r="AL195" s="5">
        <v>0</v>
      </c>
      <c r="AM195" s="35">
        <f>AK195*Table11[[#This Row],['#TreesContract]]</f>
        <v>0</v>
      </c>
      <c r="AN195" s="35">
        <f>Table11[[#This Row],[2024 '#Trees Inventory + Estimate]]*Table11[[#This Row],[USA Allocation %]]</f>
        <v>0</v>
      </c>
      <c r="AO195" s="35">
        <f>Table11[[#This Row],[2024 '#Trees Inventory + Estimate]]*Table11[[#This Row],[Canada Allocation %]]</f>
        <v>0</v>
      </c>
      <c r="AP195" s="35">
        <f>Table11[[#This Row],[2024 '#Trees Inventory + Estimate]]*Table11[[#This Row],[Canada Allocation2017 %]]</f>
        <v>0</v>
      </c>
      <c r="AQ195" s="35">
        <f>Table11[[#This Row],['#Trees as of 2024/estimate-Can allocation]]+Table11[[#This Row],['#Trees as of 2024/estimate-Can allocation 2017]]</f>
        <v>0</v>
      </c>
      <c r="AR195" s="1" t="s">
        <v>576</v>
      </c>
      <c r="AS195" s="2"/>
      <c r="AT195" s="6">
        <f>IFERROR(Table11[[#This Row],['#Total Replacements]]/Table11[[#This Row],['#TreesContract]],"")</f>
        <v>0.7</v>
      </c>
      <c r="AU195" s="4">
        <f>IF(SUM(Table11[[#This Row],['#Replace 24]:['#Replace 16]])=0,0,SUM(Table11[[#This Row],['#Replace 24]:['#Replace 16]]))</f>
        <v>700</v>
      </c>
      <c r="AV195" s="2"/>
      <c r="AW195" s="2"/>
      <c r="AX195" s="3"/>
      <c r="AY195" s="2"/>
      <c r="AZ195" s="2">
        <v>700</v>
      </c>
      <c r="BA195" s="2"/>
      <c r="BB195" s="2"/>
      <c r="BC195" s="2"/>
      <c r="BD195" s="2"/>
      <c r="BE195" s="2"/>
      <c r="BF195" s="3">
        <v>1</v>
      </c>
      <c r="BG195" s="3">
        <v>1</v>
      </c>
      <c r="BH195" s="2"/>
      <c r="BI195" s="158"/>
      <c r="BJ195" s="158"/>
      <c r="BK195" s="139">
        <f>Table11[[#This Row],[Average MHT
(Feet)]]/16</f>
        <v>0</v>
      </c>
      <c r="BL195" s="2"/>
      <c r="BM195" s="139">
        <f>Table11[[#This Row],[Average DBH
(inches)]]/18</f>
        <v>0</v>
      </c>
      <c r="BN195" s="235">
        <f>((Table11[[#This Row],[Average DBH
(inches)]]-4)^2)*(Table11[[#This Row],[Average MHT
(Feet)]]/16)</f>
        <v>0</v>
      </c>
      <c r="BO195" s="235">
        <f>Table11[[#This Row],[Average BF]]*Table11[[#This Row],[2024 '#Trees Inventory + Estimate]]</f>
        <v>0</v>
      </c>
      <c r="BP195" s="240">
        <f>(Table11[[#This Row],[Harvest Year
(10 year)]]-Table11[[#This Row],[Year of Inventory]]+1)*(Table11[[#This Row],[Average DBH
(inches)]]/(Table11[[#This Row],[Harvest Year
(10 year)]]-Table11[[#This Row],[Year of Inventory]]+1))+Table11[[#This Row],[Average DBH
(inches)]]</f>
        <v>0</v>
      </c>
      <c r="BQ195" s="235">
        <f>((Table11[[#This Row],[Projected DBH
(Extrapolated Growth/Year)]]-4)^2)*(Table11[[#This Row],[Average MHT
(Feet)]]/16)</f>
        <v>0</v>
      </c>
      <c r="BR195" s="235">
        <f>Table11[[#This Row],[Projected Average BF]]*Table11[[#This Row],[2024 '#Trees Inventory + Estimate]]</f>
        <v>0</v>
      </c>
      <c r="BS195" s="235">
        <f>196*Table11[[#This Row],[2024 '#Trees Inventory + Estimate]]</f>
        <v>0</v>
      </c>
      <c r="BT195" s="235">
        <f>Table11[[#This Row],[ETP Offering Expected BF]]-Table11[[#This Row],[Projected Total BF]]</f>
        <v>0</v>
      </c>
      <c r="BU195" s="235">
        <f>(18-Table11[[#This Row],[Average DBH
(inches)]])/(D195-Table11[[#This Row],[Year of Inventory]]+1)</f>
        <v>18</v>
      </c>
    </row>
    <row r="196" spans="1:73" hidden="1" x14ac:dyDescent="0.25">
      <c r="A196" s="7" t="s">
        <v>1147</v>
      </c>
      <c r="B196" s="2">
        <v>2020</v>
      </c>
      <c r="C196" s="2">
        <v>2020</v>
      </c>
      <c r="D196" s="2">
        <f>Table11[[#This Row],[Planting Year]]+9</f>
        <v>2029</v>
      </c>
      <c r="E196" t="s">
        <v>1125</v>
      </c>
      <c r="F196" s="161">
        <v>30018</v>
      </c>
      <c r="G196" t="s">
        <v>1148</v>
      </c>
      <c r="H196" s="357" t="s">
        <v>1149</v>
      </c>
      <c r="I196" t="s">
        <v>155</v>
      </c>
      <c r="J196" s="1" t="s">
        <v>1150</v>
      </c>
      <c r="K196" s="1" t="s">
        <v>1151</v>
      </c>
      <c r="L196" s="1" t="s">
        <v>1151</v>
      </c>
      <c r="M196" s="1" t="s">
        <v>574</v>
      </c>
      <c r="N196" t="s">
        <v>1152</v>
      </c>
      <c r="O196">
        <v>14.664795</v>
      </c>
      <c r="P196">
        <v>-91.86009</v>
      </c>
      <c r="Q196" s="2"/>
      <c r="R196" s="86"/>
      <c r="S196" s="2"/>
      <c r="T196" s="1">
        <v>2650</v>
      </c>
      <c r="U196" s="1">
        <v>2650</v>
      </c>
      <c r="V196" s="1" t="str">
        <f>IF(Table11[[#This Row],['#TreesContract]]-Table11[[#This Row],['#Planted]]=0,"",Table11[[#This Row],['#TreesContract]]-Table11[[#This Row],['#Planted]])</f>
        <v/>
      </c>
      <c r="W196" s="2"/>
      <c r="X196" s="34">
        <v>1</v>
      </c>
      <c r="Y196" s="163">
        <f>Table11[[#This Row],['#TreesContract]]*Table11[[#This Row],[USA Allocation %]]</f>
        <v>2650</v>
      </c>
      <c r="Z196" s="163">
        <f>Table11[[#This Row],['#Planted]]*Table11[[#This Row],[USA Allocation %]]</f>
        <v>2650</v>
      </c>
      <c r="AA196" s="34"/>
      <c r="AB196" s="163"/>
      <c r="AC196" s="34"/>
      <c r="AD196" s="163"/>
      <c r="AE196" s="163">
        <f>Table11[[#This Row],[Canada Allocation-tree '#''s]]+Table11[[#This Row],[Can trees/Allocation 2017]]</f>
        <v>0</v>
      </c>
      <c r="AF196" s="5">
        <v>0.74312650188679252</v>
      </c>
      <c r="AG196" s="35">
        <v>1969.2852300000002</v>
      </c>
      <c r="AH196" s="35">
        <f>Table11[[#This Row],['#Trees as of 12/31/23]]*Table11[[#This Row],[USA Allocation %]]</f>
        <v>1969.2852300000002</v>
      </c>
      <c r="AI196" s="437">
        <f>Table11[[#This Row],['#TreesContract]]*Table11[[#This Row],[2024 Inventory Survival%-master]]</f>
        <v>2493.6499999999996</v>
      </c>
      <c r="AJ196" s="436">
        <v>0.94099999999999995</v>
      </c>
      <c r="AK196" s="5">
        <v>0.94</v>
      </c>
      <c r="AL196" s="5">
        <v>0.94099999999999995</v>
      </c>
      <c r="AM196" s="35">
        <f>Table11[[#This Row],['#TreesContract]]*Table11[[#This Row],[2024 Inventory Survival%-master]]</f>
        <v>2493.6499999999996</v>
      </c>
      <c r="AN196" s="35">
        <f>Table11[[#This Row],[2024 '#Trees Inventory + Estimate]]*Table11[[#This Row],[USA Allocation %]]</f>
        <v>2493.6499999999996</v>
      </c>
      <c r="AO196" s="35">
        <f>Table11[[#This Row],[2024 '#Trees Inventory + Estimate]]*Table11[[#This Row],[Canada Allocation %]]</f>
        <v>0</v>
      </c>
      <c r="AP196" s="35">
        <f>Table11[[#This Row],[2024 '#Trees Inventory + Estimate]]*Table11[[#This Row],[Canada Allocation2017 %]]</f>
        <v>0</v>
      </c>
      <c r="AQ196" s="35">
        <f>Table11[[#This Row],['#Trees as of 2024/estimate-Can allocation]]+Table11[[#This Row],['#Trees as of 2024/estimate-Can allocation 2017]]</f>
        <v>0</v>
      </c>
      <c r="AR196" s="1" t="s">
        <v>576</v>
      </c>
      <c r="AS196" s="2"/>
      <c r="AT196" s="6">
        <f>IFERROR(Table11[[#This Row],['#Total Replacements]]/Table11[[#This Row],['#TreesContract]],"")</f>
        <v>0.87056603773584906</v>
      </c>
      <c r="AU196" s="4">
        <f>IF(SUM(Table11[[#This Row],['#Replace 24]:['#Replace 16]])=0,0,SUM(Table11[[#This Row],['#Replace 24]:['#Replace 16]]))</f>
        <v>2307</v>
      </c>
      <c r="AV196" s="2"/>
      <c r="AW196" s="2"/>
      <c r="AX196" s="3">
        <f>600+650+75</f>
        <v>1325</v>
      </c>
      <c r="AY196" s="2"/>
      <c r="AZ196" s="2">
        <v>982</v>
      </c>
      <c r="BA196" s="2"/>
      <c r="BB196" s="2"/>
      <c r="BC196" s="2"/>
      <c r="BD196" s="2"/>
      <c r="BE196" s="2"/>
      <c r="BF196" s="3">
        <v>1</v>
      </c>
      <c r="BG196" s="3">
        <v>1</v>
      </c>
      <c r="BH196" s="2">
        <v>2024</v>
      </c>
      <c r="BI196" s="2">
        <v>13.13</v>
      </c>
      <c r="BJ196" s="2">
        <v>0.17</v>
      </c>
      <c r="BK196" s="139">
        <f>Table11[[#This Row],[Average MHT
(Feet)]]/16</f>
        <v>1.0625000000000001E-2</v>
      </c>
      <c r="BL196" s="2">
        <v>1.88</v>
      </c>
      <c r="BM196" s="139">
        <f>Table11[[#This Row],[Average DBH
(inches)]]/18</f>
        <v>0.10444444444444444</v>
      </c>
      <c r="BN196" s="235">
        <f>((Table11[[#This Row],[Average DBH
(inches)]]-4)^2)*(Table11[[#This Row],[Average MHT
(Feet)]]/16)</f>
        <v>4.7753000000000011E-2</v>
      </c>
      <c r="BO196" s="235">
        <f>Table11[[#This Row],[Average BF]]*Table11[[#This Row],[2024 '#Trees Inventory + Estimate]]</f>
        <v>119.07926845000001</v>
      </c>
      <c r="BP196" s="240">
        <f>(Table11[[#This Row],[Harvest Year
(10 year)]]-Table11[[#This Row],[Year of Inventory]]+1)*(Table11[[#This Row],[Average DBH
(inches)]]/(Table11[[#This Row],[Harvest Year
(10 year)]]-Table11[[#This Row],[Year of Inventory]]+1))+Table11[[#This Row],[Average DBH
(inches)]]</f>
        <v>3.76</v>
      </c>
      <c r="BQ196" s="235">
        <f>((Table11[[#This Row],[Projected DBH
(Extrapolated Growth/Year)]]-4)^2)*(Table11[[#This Row],[Average MHT
(Feet)]]/16)</f>
        <v>6.1200000000000111E-4</v>
      </c>
      <c r="BR196" s="235">
        <f>Table11[[#This Row],[Projected Average BF]]*Table11[[#This Row],[2024 '#Trees Inventory + Estimate]]</f>
        <v>1.5261138000000025</v>
      </c>
      <c r="BS196" s="235">
        <f>196*Table11[[#This Row],[2024 '#Trees Inventory + Estimate]]</f>
        <v>488755.39999999991</v>
      </c>
      <c r="BT196" s="243">
        <f>Table11[[#This Row],[ETP Offering Expected BF]]-Table11[[#This Row],[Projected Total BF]]</f>
        <v>488753.8738861999</v>
      </c>
      <c r="BU196" s="235">
        <f>(18-Table11[[#This Row],[Average DBH
(inches)]])/(D196-Table11[[#This Row],[Year of Inventory]]+1)</f>
        <v>2.686666666666667</v>
      </c>
    </row>
    <row r="197" spans="1:73" hidden="1" x14ac:dyDescent="0.25">
      <c r="A197" s="7" t="s">
        <v>1153</v>
      </c>
      <c r="B197" s="2">
        <v>2020</v>
      </c>
      <c r="C197" s="2">
        <v>2020</v>
      </c>
      <c r="D197" s="2">
        <v>0</v>
      </c>
      <c r="E197" t="s">
        <v>1154</v>
      </c>
      <c r="F197" s="161">
        <v>30019</v>
      </c>
      <c r="G197" t="s">
        <v>1155</v>
      </c>
      <c r="H197" s="357"/>
      <c r="I197" t="s">
        <v>160</v>
      </c>
      <c r="J197" s="1"/>
      <c r="K197" s="1"/>
      <c r="L197" s="1"/>
      <c r="M197" s="1" t="s">
        <v>574</v>
      </c>
      <c r="Q197" s="2"/>
      <c r="R197" s="86"/>
      <c r="S197" s="2"/>
      <c r="T197" s="1">
        <v>1000</v>
      </c>
      <c r="U197" s="1">
        <v>1000</v>
      </c>
      <c r="V197" s="1" t="str">
        <f>IF(Table11[[#This Row],['#TreesContract]]-Table11[[#This Row],['#Planted]]=0,"",Table11[[#This Row],['#TreesContract]]-Table11[[#This Row],['#Planted]])</f>
        <v/>
      </c>
      <c r="W197" s="2"/>
      <c r="X197" s="34">
        <v>1</v>
      </c>
      <c r="Y197" s="163">
        <f>Table11[[#This Row],['#TreesContract]]*Table11[[#This Row],[USA Allocation %]]</f>
        <v>1000</v>
      </c>
      <c r="Z197" s="163">
        <f>Table11[[#This Row],['#Planted]]*Table11[[#This Row],[USA Allocation %]]</f>
        <v>1000</v>
      </c>
      <c r="AA197" s="34"/>
      <c r="AB197" s="163"/>
      <c r="AC197" s="34"/>
      <c r="AD197" s="163"/>
      <c r="AE197" s="163">
        <f>Table11[[#This Row],[Canada Allocation-tree '#''s]]+Table11[[#This Row],[Can trees/Allocation 2017]]</f>
        <v>0</v>
      </c>
      <c r="AF197" s="5">
        <v>0</v>
      </c>
      <c r="AG197" s="35">
        <v>0</v>
      </c>
      <c r="AH197" s="35">
        <f>Table11[[#This Row],['#Trees as of 12/31/23]]*Table11[[#This Row],[USA Allocation %]]</f>
        <v>0</v>
      </c>
      <c r="AI197" s="404">
        <f>Table11[[#This Row],['#TreesContract]]*Table11[[#This Row],[2024 Inventory Survival%-master]]</f>
        <v>0</v>
      </c>
      <c r="AJ197" s="5">
        <v>0</v>
      </c>
      <c r="AK197" s="5">
        <v>0</v>
      </c>
      <c r="AL197" s="5">
        <v>0</v>
      </c>
      <c r="AM197" s="35">
        <f>AK197*Table11[[#This Row],['#TreesContract]]</f>
        <v>0</v>
      </c>
      <c r="AN197" s="35">
        <f>Table11[[#This Row],[2024 '#Trees Inventory + Estimate]]*Table11[[#This Row],[USA Allocation %]]</f>
        <v>0</v>
      </c>
      <c r="AO197" s="35">
        <f>Table11[[#This Row],[2024 '#Trees Inventory + Estimate]]*Table11[[#This Row],[Canada Allocation %]]</f>
        <v>0</v>
      </c>
      <c r="AP197" s="35">
        <f>Table11[[#This Row],[2024 '#Trees Inventory + Estimate]]*Table11[[#This Row],[Canada Allocation2017 %]]</f>
        <v>0</v>
      </c>
      <c r="AQ197" s="35">
        <f>Table11[[#This Row],['#Trees as of 2024/estimate-Can allocation]]+Table11[[#This Row],['#Trees as of 2024/estimate-Can allocation 2017]]</f>
        <v>0</v>
      </c>
      <c r="AR197" s="1" t="s">
        <v>576</v>
      </c>
      <c r="AS197" s="2"/>
      <c r="AT197" s="6">
        <f>IFERROR(Table11[[#This Row],['#Total Replacements]]/Table11[[#This Row],['#TreesContract]],"")</f>
        <v>0</v>
      </c>
      <c r="AU197" s="4">
        <f>IF(SUM(Table11[[#This Row],['#Replace 24]:['#Replace 16]])=0,0,SUM(Table11[[#This Row],['#Replace 24]:['#Replace 16]]))</f>
        <v>0</v>
      </c>
      <c r="AV197" s="2"/>
      <c r="AW197" s="2"/>
      <c r="AX197" s="3"/>
      <c r="AY197" s="2"/>
      <c r="AZ197" s="2"/>
      <c r="BA197" s="2"/>
      <c r="BB197" s="2"/>
      <c r="BC197" s="2"/>
      <c r="BD197" s="2"/>
      <c r="BE197" s="2"/>
      <c r="BF197" s="3">
        <v>1</v>
      </c>
      <c r="BG197" s="3">
        <v>1</v>
      </c>
      <c r="BH197" s="2"/>
      <c r="BI197" s="158"/>
      <c r="BJ197" s="158"/>
      <c r="BK197" s="139">
        <f>Table11[[#This Row],[Average MHT
(Feet)]]/16</f>
        <v>0</v>
      </c>
      <c r="BL197" s="2"/>
      <c r="BM197" s="139">
        <f>Table11[[#This Row],[Average DBH
(inches)]]/18</f>
        <v>0</v>
      </c>
      <c r="BN197" s="235">
        <f>((Table11[[#This Row],[Average DBH
(inches)]]-4)^2)*(Table11[[#This Row],[Average MHT
(Feet)]]/16)</f>
        <v>0</v>
      </c>
      <c r="BO197" s="235">
        <f>Table11[[#This Row],[Average BF]]*Table11[[#This Row],[2024 '#Trees Inventory + Estimate]]</f>
        <v>0</v>
      </c>
      <c r="BP197" s="240">
        <f>(Table11[[#This Row],[Harvest Year
(10 year)]]-Table11[[#This Row],[Year of Inventory]]+1)*(Table11[[#This Row],[Average DBH
(inches)]]/(Table11[[#This Row],[Harvest Year
(10 year)]]-Table11[[#This Row],[Year of Inventory]]+1))+Table11[[#This Row],[Average DBH
(inches)]]</f>
        <v>0</v>
      </c>
      <c r="BQ197" s="235">
        <f>((Table11[[#This Row],[Projected DBH
(Extrapolated Growth/Year)]]-4)^2)*(Table11[[#This Row],[Average MHT
(Feet)]]/16)</f>
        <v>0</v>
      </c>
      <c r="BR197" s="235">
        <f>Table11[[#This Row],[Projected Average BF]]*Table11[[#This Row],[2024 '#Trees Inventory + Estimate]]</f>
        <v>0</v>
      </c>
      <c r="BS197" s="235">
        <f>196*Table11[[#This Row],[2024 '#Trees Inventory + Estimate]]</f>
        <v>0</v>
      </c>
      <c r="BT197" s="235">
        <f>Table11[[#This Row],[ETP Offering Expected BF]]-Table11[[#This Row],[Projected Total BF]]</f>
        <v>0</v>
      </c>
      <c r="BU197" s="235">
        <f>(18-Table11[[#This Row],[Average DBH
(inches)]])/(D197-Table11[[#This Row],[Year of Inventory]]+1)</f>
        <v>18</v>
      </c>
    </row>
    <row r="198" spans="1:73" hidden="1" x14ac:dyDescent="0.25">
      <c r="A198" s="7" t="s">
        <v>1156</v>
      </c>
      <c r="B198" s="2">
        <v>2020</v>
      </c>
      <c r="C198" s="2">
        <v>2020</v>
      </c>
      <c r="D198" s="2">
        <v>0</v>
      </c>
      <c r="E198" t="s">
        <v>1157</v>
      </c>
      <c r="F198" s="161">
        <v>30020</v>
      </c>
      <c r="G198" t="s">
        <v>1157</v>
      </c>
      <c r="H198" s="357"/>
      <c r="I198" t="s">
        <v>160</v>
      </c>
      <c r="J198" s="1"/>
      <c r="K198" s="1"/>
      <c r="L198" s="1"/>
      <c r="M198" s="1" t="s">
        <v>574</v>
      </c>
      <c r="Q198" s="2"/>
      <c r="R198" s="86"/>
      <c r="S198" s="2"/>
      <c r="T198" s="1">
        <v>1200</v>
      </c>
      <c r="U198" s="1">
        <v>1200</v>
      </c>
      <c r="V198" s="1" t="str">
        <f>IF(Table11[[#This Row],['#TreesContract]]-Table11[[#This Row],['#Planted]]=0,"",Table11[[#This Row],['#TreesContract]]-Table11[[#This Row],['#Planted]])</f>
        <v/>
      </c>
      <c r="W198" s="2"/>
      <c r="X198" s="34">
        <v>1</v>
      </c>
      <c r="Y198" s="163">
        <f>Table11[[#This Row],['#TreesContract]]*Table11[[#This Row],[USA Allocation %]]</f>
        <v>1200</v>
      </c>
      <c r="Z198" s="163">
        <f>Table11[[#This Row],['#Planted]]*Table11[[#This Row],[USA Allocation %]]</f>
        <v>1200</v>
      </c>
      <c r="AA198" s="34"/>
      <c r="AB198" s="163"/>
      <c r="AC198" s="34"/>
      <c r="AD198" s="163"/>
      <c r="AE198" s="163">
        <f>Table11[[#This Row],[Canada Allocation-tree '#''s]]+Table11[[#This Row],[Can trees/Allocation 2017]]</f>
        <v>0</v>
      </c>
      <c r="AF198" s="5">
        <v>0</v>
      </c>
      <c r="AG198" s="35">
        <v>0</v>
      </c>
      <c r="AH198" s="35">
        <f>Table11[[#This Row],['#Trees as of 12/31/23]]*Table11[[#This Row],[USA Allocation %]]</f>
        <v>0</v>
      </c>
      <c r="AI198" s="404">
        <f>Table11[[#This Row],['#TreesContract]]*Table11[[#This Row],[2024 Inventory Survival%-master]]</f>
        <v>0</v>
      </c>
      <c r="AJ198" s="5">
        <v>0</v>
      </c>
      <c r="AK198" s="5">
        <v>0</v>
      </c>
      <c r="AL198" s="5">
        <v>0</v>
      </c>
      <c r="AM198" s="35">
        <f>AK198*Table11[[#This Row],['#TreesContract]]</f>
        <v>0</v>
      </c>
      <c r="AN198" s="35">
        <f>Table11[[#This Row],[2024 '#Trees Inventory + Estimate]]*Table11[[#This Row],[USA Allocation %]]</f>
        <v>0</v>
      </c>
      <c r="AO198" s="35">
        <f>Table11[[#This Row],[2024 '#Trees Inventory + Estimate]]*Table11[[#This Row],[Canada Allocation %]]</f>
        <v>0</v>
      </c>
      <c r="AP198" s="35">
        <f>Table11[[#This Row],[2024 '#Trees Inventory + Estimate]]*Table11[[#This Row],[Canada Allocation2017 %]]</f>
        <v>0</v>
      </c>
      <c r="AQ198" s="35">
        <f>Table11[[#This Row],['#Trees as of 2024/estimate-Can allocation]]+Table11[[#This Row],['#Trees as of 2024/estimate-Can allocation 2017]]</f>
        <v>0</v>
      </c>
      <c r="AR198" s="1" t="s">
        <v>576</v>
      </c>
      <c r="AS198" s="2"/>
      <c r="AT198" s="6">
        <f>IFERROR(Table11[[#This Row],['#Total Replacements]]/Table11[[#This Row],['#TreesContract]],"")</f>
        <v>0</v>
      </c>
      <c r="AU198" s="4">
        <f>IF(SUM(Table11[[#This Row],['#Replace 24]:['#Replace 16]])=0,0,SUM(Table11[[#This Row],['#Replace 24]:['#Replace 16]]))</f>
        <v>0</v>
      </c>
      <c r="AV198" s="2"/>
      <c r="AW198" s="2"/>
      <c r="AX198" s="3"/>
      <c r="AY198" s="2"/>
      <c r="AZ198" s="2"/>
      <c r="BA198" s="2"/>
      <c r="BB198" s="2"/>
      <c r="BC198" s="2"/>
      <c r="BD198" s="2"/>
      <c r="BE198" s="2"/>
      <c r="BF198" s="3">
        <v>1</v>
      </c>
      <c r="BG198" s="3">
        <v>1</v>
      </c>
      <c r="BH198" s="2"/>
      <c r="BI198" s="2"/>
      <c r="BJ198" s="2"/>
      <c r="BK198" s="139">
        <f>Table11[[#This Row],[Average MHT
(Feet)]]/16</f>
        <v>0</v>
      </c>
      <c r="BL198" s="2"/>
      <c r="BM198" s="139">
        <f>Table11[[#This Row],[Average DBH
(inches)]]/18</f>
        <v>0</v>
      </c>
      <c r="BN198" s="235">
        <f>((Table11[[#This Row],[Average DBH
(inches)]]-4)^2)*(Table11[[#This Row],[Average MHT
(Feet)]]/16)</f>
        <v>0</v>
      </c>
      <c r="BO198" s="235">
        <f>Table11[[#This Row],[Average BF]]*Table11[[#This Row],[2024 '#Trees Inventory + Estimate]]</f>
        <v>0</v>
      </c>
      <c r="BP198" s="240">
        <f>(Table11[[#This Row],[Harvest Year
(10 year)]]-Table11[[#This Row],[Year of Inventory]]+1)*(Table11[[#This Row],[Average DBH
(inches)]]/(Table11[[#This Row],[Harvest Year
(10 year)]]-Table11[[#This Row],[Year of Inventory]]+1))+Table11[[#This Row],[Average DBH
(inches)]]</f>
        <v>0</v>
      </c>
      <c r="BQ198" s="235">
        <f>((Table11[[#This Row],[Projected DBH
(Extrapolated Growth/Year)]]-4)^2)*(Table11[[#This Row],[Average MHT
(Feet)]]/16)</f>
        <v>0</v>
      </c>
      <c r="BR198" s="235">
        <f>Table11[[#This Row],[Projected Average BF]]*Table11[[#This Row],[2024 '#Trees Inventory + Estimate]]</f>
        <v>0</v>
      </c>
      <c r="BS198" s="235">
        <f>196*Table11[[#This Row],[2024 '#Trees Inventory + Estimate]]</f>
        <v>0</v>
      </c>
      <c r="BT198" s="235">
        <f>Table11[[#This Row],[ETP Offering Expected BF]]-Table11[[#This Row],[Projected Total BF]]</f>
        <v>0</v>
      </c>
      <c r="BU198" s="235">
        <f>(18-Table11[[#This Row],[Average DBH
(inches)]])/(D198-Table11[[#This Row],[Year of Inventory]]+1)</f>
        <v>18</v>
      </c>
    </row>
    <row r="199" spans="1:73" hidden="1" x14ac:dyDescent="0.25">
      <c r="A199" s="7" t="s">
        <v>1158</v>
      </c>
      <c r="B199" s="2">
        <v>2020</v>
      </c>
      <c r="C199" s="2">
        <v>2020</v>
      </c>
      <c r="D199" s="2">
        <v>0</v>
      </c>
      <c r="E199" t="s">
        <v>1159</v>
      </c>
      <c r="F199" s="161">
        <v>30021</v>
      </c>
      <c r="G199" t="s">
        <v>1159</v>
      </c>
      <c r="H199" s="357" t="s">
        <v>1160</v>
      </c>
      <c r="I199" t="s">
        <v>160</v>
      </c>
      <c r="J199" s="1" t="s">
        <v>1161</v>
      </c>
      <c r="K199" s="1" t="s">
        <v>1162</v>
      </c>
      <c r="L199" s="1" t="s">
        <v>1163</v>
      </c>
      <c r="M199" s="1" t="s">
        <v>574</v>
      </c>
      <c r="N199" t="s">
        <v>1164</v>
      </c>
      <c r="O199">
        <v>15.6174366</v>
      </c>
      <c r="P199">
        <v>-88.550625999999994</v>
      </c>
      <c r="Q199" s="2"/>
      <c r="R199" s="86"/>
      <c r="S199" s="2"/>
      <c r="T199" s="1">
        <v>2000</v>
      </c>
      <c r="U199" s="1">
        <v>2000</v>
      </c>
      <c r="V199" s="1" t="str">
        <f>IF(Table11[[#This Row],['#TreesContract]]-Table11[[#This Row],['#Planted]]=0,"",Table11[[#This Row],['#TreesContract]]-Table11[[#This Row],['#Planted]])</f>
        <v/>
      </c>
      <c r="W199" s="2"/>
      <c r="X199" s="34">
        <v>1</v>
      </c>
      <c r="Y199" s="163">
        <f>Table11[[#This Row],['#TreesContract]]*Table11[[#This Row],[USA Allocation %]]</f>
        <v>2000</v>
      </c>
      <c r="Z199" s="163">
        <f>Table11[[#This Row],['#Planted]]*Table11[[#This Row],[USA Allocation %]]</f>
        <v>2000</v>
      </c>
      <c r="AA199" s="34"/>
      <c r="AB199" s="163"/>
      <c r="AC199" s="34"/>
      <c r="AD199" s="163"/>
      <c r="AE199" s="163">
        <f>Table11[[#This Row],[Canada Allocation-tree '#''s]]+Table11[[#This Row],[Can trees/Allocation 2017]]</f>
        <v>0</v>
      </c>
      <c r="AF199" s="5">
        <v>0.57519228</v>
      </c>
      <c r="AG199" s="35">
        <v>1150.38456</v>
      </c>
      <c r="AH199" s="35">
        <f>Table11[[#This Row],['#Trees as of 12/31/23]]*Table11[[#This Row],[USA Allocation %]]</f>
        <v>1150.38456</v>
      </c>
      <c r="AI199" s="404">
        <f>Table11[[#This Row],['#TreesContract]]*Table11[[#This Row],[2024 Inventory Survival%-master]]</f>
        <v>0</v>
      </c>
      <c r="AJ199" s="5">
        <v>0</v>
      </c>
      <c r="AK199" s="5">
        <v>0</v>
      </c>
      <c r="AL199" s="5">
        <v>0</v>
      </c>
      <c r="AM199" s="35">
        <f>AK199*Table11[[#This Row],['#TreesContract]]</f>
        <v>0</v>
      </c>
      <c r="AN199" s="35">
        <f>Table11[[#This Row],[2024 '#Trees Inventory + Estimate]]*Table11[[#This Row],[USA Allocation %]]</f>
        <v>0</v>
      </c>
      <c r="AO199" s="35">
        <f>Table11[[#This Row],[2024 '#Trees Inventory + Estimate]]*Table11[[#This Row],[Canada Allocation %]]</f>
        <v>0</v>
      </c>
      <c r="AP199" s="35">
        <f>Table11[[#This Row],[2024 '#Trees Inventory + Estimate]]*Table11[[#This Row],[Canada Allocation2017 %]]</f>
        <v>0</v>
      </c>
      <c r="AQ199" s="35">
        <f>Table11[[#This Row],['#Trees as of 2024/estimate-Can allocation]]+Table11[[#This Row],['#Trees as of 2024/estimate-Can allocation 2017]]</f>
        <v>0</v>
      </c>
      <c r="AR199" s="1" t="s">
        <v>576</v>
      </c>
      <c r="AS199" s="2"/>
      <c r="AT199" s="6">
        <f>IFERROR(Table11[[#This Row],['#Total Replacements]]/Table11[[#This Row],['#TreesContract]],"")</f>
        <v>0.5</v>
      </c>
      <c r="AU199" s="4">
        <f>IF(SUM(Table11[[#This Row],['#Replace 24]:['#Replace 16]])=0,0,SUM(Table11[[#This Row],['#Replace 24]:['#Replace 16]]))</f>
        <v>1000</v>
      </c>
      <c r="AV199" s="2"/>
      <c r="AW199" s="2"/>
      <c r="AX199" s="3"/>
      <c r="AY199" s="2"/>
      <c r="AZ199" s="2">
        <v>1000</v>
      </c>
      <c r="BA199" s="2"/>
      <c r="BB199" s="2"/>
      <c r="BC199" s="2"/>
      <c r="BD199" s="2"/>
      <c r="BE199" s="2"/>
      <c r="BF199" s="3">
        <v>1</v>
      </c>
      <c r="BG199" s="3">
        <v>1</v>
      </c>
      <c r="BH199" s="2"/>
      <c r="BI199" s="158"/>
      <c r="BJ199" s="158"/>
      <c r="BK199" s="139">
        <f>Table11[[#This Row],[Average MHT
(Feet)]]/16</f>
        <v>0</v>
      </c>
      <c r="BL199" s="2"/>
      <c r="BM199" s="139">
        <f>Table11[[#This Row],[Average DBH
(inches)]]/18</f>
        <v>0</v>
      </c>
      <c r="BN199" s="235">
        <f>((Table11[[#This Row],[Average DBH
(inches)]]-4)^2)*(Table11[[#This Row],[Average MHT
(Feet)]]/16)</f>
        <v>0</v>
      </c>
      <c r="BO199" s="235">
        <f>Table11[[#This Row],[Average BF]]*Table11[[#This Row],[2024 '#Trees Inventory + Estimate]]</f>
        <v>0</v>
      </c>
      <c r="BP199" s="240">
        <f>(Table11[[#This Row],[Harvest Year
(10 year)]]-Table11[[#This Row],[Year of Inventory]]+1)*(Table11[[#This Row],[Average DBH
(inches)]]/(Table11[[#This Row],[Harvest Year
(10 year)]]-Table11[[#This Row],[Year of Inventory]]+1))+Table11[[#This Row],[Average DBH
(inches)]]</f>
        <v>0</v>
      </c>
      <c r="BQ199" s="235">
        <f>((Table11[[#This Row],[Projected DBH
(Extrapolated Growth/Year)]]-4)^2)*(Table11[[#This Row],[Average MHT
(Feet)]]/16)</f>
        <v>0</v>
      </c>
      <c r="BR199" s="235">
        <f>Table11[[#This Row],[Projected Average BF]]*Table11[[#This Row],[2024 '#Trees Inventory + Estimate]]</f>
        <v>0</v>
      </c>
      <c r="BS199" s="235">
        <f>196*Table11[[#This Row],[2024 '#Trees Inventory + Estimate]]</f>
        <v>0</v>
      </c>
      <c r="BT199" s="235">
        <f>Table11[[#This Row],[ETP Offering Expected BF]]-Table11[[#This Row],[Projected Total BF]]</f>
        <v>0</v>
      </c>
      <c r="BU199" s="235">
        <f>(18-Table11[[#This Row],[Average DBH
(inches)]])/(D199-Table11[[#This Row],[Year of Inventory]]+1)</f>
        <v>18</v>
      </c>
    </row>
    <row r="200" spans="1:73" hidden="1" x14ac:dyDescent="0.25">
      <c r="A200" s="7" t="s">
        <v>1165</v>
      </c>
      <c r="B200" s="2">
        <v>2020</v>
      </c>
      <c r="C200" s="2">
        <v>2020</v>
      </c>
      <c r="D200" s="2">
        <f>Table11[[#This Row],[Planting Year]]+9</f>
        <v>2029</v>
      </c>
      <c r="E200" t="s">
        <v>1166</v>
      </c>
      <c r="F200" s="161">
        <v>30022</v>
      </c>
      <c r="G200" t="s">
        <v>1166</v>
      </c>
      <c r="H200" s="357" t="s">
        <v>1167</v>
      </c>
      <c r="I200" t="s">
        <v>147</v>
      </c>
      <c r="J200" s="1" t="s">
        <v>1168</v>
      </c>
      <c r="K200" s="1" t="s">
        <v>1169</v>
      </c>
      <c r="L200" s="1" t="s">
        <v>1170</v>
      </c>
      <c r="M200" s="1" t="s">
        <v>574</v>
      </c>
      <c r="N200" t="s">
        <v>1171</v>
      </c>
      <c r="O200">
        <v>14.844633</v>
      </c>
      <c r="P200">
        <v>-91.779991999999993</v>
      </c>
      <c r="Q200" s="2"/>
      <c r="R200" s="86"/>
      <c r="S200" s="2"/>
      <c r="T200" s="1">
        <v>2865</v>
      </c>
      <c r="U200" s="1">
        <v>2865</v>
      </c>
      <c r="V200" s="1" t="str">
        <f>IF(Table11[[#This Row],['#TreesContract]]-Table11[[#This Row],['#Planted]]=0,"",Table11[[#This Row],['#TreesContract]]-Table11[[#This Row],['#Planted]])</f>
        <v/>
      </c>
      <c r="W200" s="2"/>
      <c r="X200" s="34">
        <v>1</v>
      </c>
      <c r="Y200" s="163">
        <f>Table11[[#This Row],['#TreesContract]]*Table11[[#This Row],[USA Allocation %]]</f>
        <v>2865</v>
      </c>
      <c r="Z200" s="163">
        <f>Table11[[#This Row],['#Planted]]*Table11[[#This Row],[USA Allocation %]]</f>
        <v>2865</v>
      </c>
      <c r="AA200" s="34"/>
      <c r="AB200" s="163"/>
      <c r="AC200" s="34"/>
      <c r="AD200" s="163"/>
      <c r="AE200" s="163">
        <f>Table11[[#This Row],[Canada Allocation-tree '#''s]]+Table11[[#This Row],[Can trees/Allocation 2017]]</f>
        <v>0</v>
      </c>
      <c r="AF200" s="5">
        <v>0.30791167539267017</v>
      </c>
      <c r="AG200" s="35">
        <v>882.16695000000004</v>
      </c>
      <c r="AH200" s="35">
        <f>Table11[[#This Row],['#Trees as of 12/31/23]]*Table11[[#This Row],[USA Allocation %]]</f>
        <v>882.16695000000004</v>
      </c>
      <c r="AI200" s="404">
        <f>Table11[[#This Row],['#TreesContract]]*Table11[[#This Row],[2024 Inventory Survival%-master]]</f>
        <v>0</v>
      </c>
      <c r="AJ200" s="5"/>
      <c r="AK200" s="5">
        <v>0.30791167539267017</v>
      </c>
      <c r="AL200" s="5">
        <v>0.31</v>
      </c>
      <c r="AM200" s="35">
        <f>AK200*Table11[[#This Row],['#TreesContract]]</f>
        <v>882.16695000000004</v>
      </c>
      <c r="AN200" s="35">
        <f>Table11[[#This Row],[2024 '#Trees Inventory + Estimate]]*Table11[[#This Row],[USA Allocation %]]</f>
        <v>882.16695000000004</v>
      </c>
      <c r="AO200" s="35">
        <f>Table11[[#This Row],[2024 '#Trees Inventory + Estimate]]*Table11[[#This Row],[Canada Allocation %]]</f>
        <v>0</v>
      </c>
      <c r="AP200" s="35">
        <f>Table11[[#This Row],[2024 '#Trees Inventory + Estimate]]*Table11[[#This Row],[Canada Allocation2017 %]]</f>
        <v>0</v>
      </c>
      <c r="AQ200" s="35">
        <f>Table11[[#This Row],['#Trees as of 2024/estimate-Can allocation]]+Table11[[#This Row],['#Trees as of 2024/estimate-Can allocation 2017]]</f>
        <v>0</v>
      </c>
      <c r="AR200" s="1" t="s">
        <v>576</v>
      </c>
      <c r="AS200" s="2"/>
      <c r="AT200" s="6">
        <f>IFERROR(Table11[[#This Row],['#Total Replacements]]/Table11[[#This Row],['#TreesContract]],"")</f>
        <v>0.32041884816753929</v>
      </c>
      <c r="AU200" s="4">
        <f>IF(SUM(Table11[[#This Row],['#Replace 24]:['#Replace 16]])=0,0,SUM(Table11[[#This Row],['#Replace 24]:['#Replace 16]]))</f>
        <v>918</v>
      </c>
      <c r="AV200" s="2"/>
      <c r="AW200" s="2"/>
      <c r="AX200" s="3"/>
      <c r="AY200" s="2"/>
      <c r="AZ200" s="2">
        <v>918</v>
      </c>
      <c r="BA200" s="2"/>
      <c r="BB200" s="2"/>
      <c r="BC200" s="2"/>
      <c r="BD200" s="2"/>
      <c r="BE200" s="2"/>
      <c r="BF200" s="3">
        <v>1</v>
      </c>
      <c r="BG200" s="3">
        <v>1</v>
      </c>
      <c r="BH200" s="2"/>
      <c r="BI200" s="158"/>
      <c r="BJ200" s="158"/>
      <c r="BK200" s="139">
        <f>Table11[[#This Row],[Average MHT
(Feet)]]/16</f>
        <v>0</v>
      </c>
      <c r="BL200" s="2"/>
      <c r="BM200" s="139">
        <f>Table11[[#This Row],[Average DBH
(inches)]]/18</f>
        <v>0</v>
      </c>
      <c r="BN200" s="235">
        <f>((Table11[[#This Row],[Average DBH
(inches)]]-4)^2)*(Table11[[#This Row],[Average MHT
(Feet)]]/16)</f>
        <v>0</v>
      </c>
      <c r="BO200" s="235">
        <f>Table11[[#This Row],[Average BF]]*Table11[[#This Row],[2024 '#Trees Inventory + Estimate]]</f>
        <v>0</v>
      </c>
      <c r="BP200" s="240">
        <f>(Table11[[#This Row],[Harvest Year
(10 year)]]-Table11[[#This Row],[Year of Inventory]]+1)*(Table11[[#This Row],[Average DBH
(inches)]]/(Table11[[#This Row],[Harvest Year
(10 year)]]-Table11[[#This Row],[Year of Inventory]]+1))+Table11[[#This Row],[Average DBH
(inches)]]</f>
        <v>0</v>
      </c>
      <c r="BQ200" s="235">
        <f>((Table11[[#This Row],[Projected DBH
(Extrapolated Growth/Year)]]-4)^2)*(Table11[[#This Row],[Average MHT
(Feet)]]/16)</f>
        <v>0</v>
      </c>
      <c r="BR200" s="235">
        <f>Table11[[#This Row],[Projected Average BF]]*Table11[[#This Row],[2024 '#Trees Inventory + Estimate]]</f>
        <v>0</v>
      </c>
      <c r="BS200" s="235">
        <f>196*Table11[[#This Row],[2024 '#Trees Inventory + Estimate]]</f>
        <v>172904.72220000002</v>
      </c>
      <c r="BT200" s="235">
        <f>Table11[[#This Row],[ETP Offering Expected BF]]-Table11[[#This Row],[Projected Total BF]]</f>
        <v>172904.72220000002</v>
      </c>
      <c r="BU200" s="235">
        <f>(18-Table11[[#This Row],[Average DBH
(inches)]])/(D200-Table11[[#This Row],[Year of Inventory]]+1)</f>
        <v>8.8669950738916262E-3</v>
      </c>
    </row>
    <row r="201" spans="1:73" hidden="1" x14ac:dyDescent="0.25">
      <c r="A201" s="7" t="s">
        <v>1172</v>
      </c>
      <c r="B201" s="2">
        <v>2020</v>
      </c>
      <c r="C201" s="2">
        <v>2020</v>
      </c>
      <c r="D201" s="2">
        <f>Table11[[#This Row],[Planting Year]]+9</f>
        <v>2029</v>
      </c>
      <c r="E201" t="s">
        <v>1173</v>
      </c>
      <c r="F201" s="161">
        <v>30023</v>
      </c>
      <c r="G201" t="s">
        <v>1173</v>
      </c>
      <c r="H201" s="357" t="s">
        <v>1174</v>
      </c>
      <c r="I201" t="s">
        <v>155</v>
      </c>
      <c r="J201" s="1" t="s">
        <v>1175</v>
      </c>
      <c r="K201" s="1" t="s">
        <v>1176</v>
      </c>
      <c r="L201" s="1" t="s">
        <v>1177</v>
      </c>
      <c r="M201" s="1" t="s">
        <v>574</v>
      </c>
      <c r="N201" t="s">
        <v>1178</v>
      </c>
      <c r="O201">
        <v>14.696111</v>
      </c>
      <c r="P201">
        <v>-91.608056000000005</v>
      </c>
      <c r="Q201" s="2"/>
      <c r="R201" s="86"/>
      <c r="S201" s="2"/>
      <c r="T201" s="1">
        <v>5220</v>
      </c>
      <c r="U201" s="1">
        <v>5220</v>
      </c>
      <c r="V201" s="1" t="str">
        <f>IF(Table11[[#This Row],['#TreesContract]]-Table11[[#This Row],['#Planted]]=0,"",Table11[[#This Row],['#TreesContract]]-Table11[[#This Row],['#Planted]])</f>
        <v/>
      </c>
      <c r="W201" s="2"/>
      <c r="X201" s="34">
        <v>1</v>
      </c>
      <c r="Y201" s="163">
        <f>Table11[[#This Row],['#TreesContract]]*Table11[[#This Row],[USA Allocation %]]</f>
        <v>5220</v>
      </c>
      <c r="Z201" s="163">
        <f>Table11[[#This Row],['#Planted]]*Table11[[#This Row],[USA Allocation %]]</f>
        <v>5220</v>
      </c>
      <c r="AA201" s="34"/>
      <c r="AB201" s="163"/>
      <c r="AC201" s="34"/>
      <c r="AD201" s="163"/>
      <c r="AE201" s="163">
        <f>Table11[[#This Row],[Canada Allocation-tree '#''s]]+Table11[[#This Row],[Can trees/Allocation 2017]]</f>
        <v>0</v>
      </c>
      <c r="AF201" s="5">
        <v>0.82858216683583918</v>
      </c>
      <c r="AG201" s="35">
        <v>4325.1989108830803</v>
      </c>
      <c r="AH201" s="35">
        <f>Table11[[#This Row],['#Trees as of 12/31/23]]*Table11[[#This Row],[USA Allocation %]]</f>
        <v>4325.1989108830803</v>
      </c>
      <c r="AI201" s="437">
        <f>Table11[[#This Row],['#TreesContract]]*Table11[[#This Row],[2024 Inventory Survival%-master]]</f>
        <v>0</v>
      </c>
      <c r="AJ201" s="436"/>
      <c r="AK201" s="5">
        <v>0.82858216683583918</v>
      </c>
      <c r="AL201" s="5">
        <v>0.82858216683583918</v>
      </c>
      <c r="AM201" s="35">
        <v>4325.1989108830803</v>
      </c>
      <c r="AN201" s="35">
        <f>Table11[[#This Row],[2024 '#Trees Inventory + Estimate]]*Table11[[#This Row],[USA Allocation %]]</f>
        <v>4325.1989108830803</v>
      </c>
      <c r="AO201" s="35">
        <f>Table11[[#This Row],[2024 '#Trees Inventory + Estimate]]*Table11[[#This Row],[Canada Allocation %]]</f>
        <v>0</v>
      </c>
      <c r="AP201" s="35">
        <f>Table11[[#This Row],[2024 '#Trees Inventory + Estimate]]*Table11[[#This Row],[Canada Allocation2017 %]]</f>
        <v>0</v>
      </c>
      <c r="AQ201" s="35">
        <f>Table11[[#This Row],['#Trees as of 2024/estimate-Can allocation]]+Table11[[#This Row],['#Trees as of 2024/estimate-Can allocation 2017]]</f>
        <v>0</v>
      </c>
      <c r="AR201" s="1" t="s">
        <v>576</v>
      </c>
      <c r="AS201" s="2"/>
      <c r="AT201" s="6">
        <f>IFERROR(Table11[[#This Row],['#Total Replacements]]/Table11[[#This Row],['#TreesContract]],"")</f>
        <v>0.864176245210728</v>
      </c>
      <c r="AU201" s="4">
        <f>IF(SUM(Table11[[#This Row],['#Replace 24]:['#Replace 16]])=0,0,SUM(Table11[[#This Row],['#Replace 24]:['#Replace 16]]))</f>
        <v>4511</v>
      </c>
      <c r="AV201" s="2"/>
      <c r="AW201" s="2"/>
      <c r="AX201" s="3"/>
      <c r="AY201" s="2"/>
      <c r="AZ201" s="2">
        <v>4511</v>
      </c>
      <c r="BA201" s="2"/>
      <c r="BB201" s="2"/>
      <c r="BC201" s="2"/>
      <c r="BD201" s="2"/>
      <c r="BE201" s="2"/>
      <c r="BF201" s="3">
        <v>1</v>
      </c>
      <c r="BG201" s="3">
        <v>1</v>
      </c>
      <c r="BH201" s="2"/>
      <c r="BI201" s="158"/>
      <c r="BJ201" s="158"/>
      <c r="BK201" s="139">
        <f>Table11[[#This Row],[Average MHT
(Feet)]]/16</f>
        <v>0</v>
      </c>
      <c r="BL201" s="2"/>
      <c r="BM201" s="139">
        <f>Table11[[#This Row],[Average DBH
(inches)]]/18</f>
        <v>0</v>
      </c>
      <c r="BN201" s="235">
        <f>((Table11[[#This Row],[Average DBH
(inches)]]-4)^2)*(Table11[[#This Row],[Average MHT
(Feet)]]/16)</f>
        <v>0</v>
      </c>
      <c r="BO201" s="235">
        <f>Table11[[#This Row],[Average BF]]*Table11[[#This Row],[2024 '#Trees Inventory + Estimate]]</f>
        <v>0</v>
      </c>
      <c r="BP201" s="240">
        <f>(Table11[[#This Row],[Harvest Year
(10 year)]]-Table11[[#This Row],[Year of Inventory]]+1)*(Table11[[#This Row],[Average DBH
(inches)]]/(Table11[[#This Row],[Harvest Year
(10 year)]]-Table11[[#This Row],[Year of Inventory]]+1))+Table11[[#This Row],[Average DBH
(inches)]]</f>
        <v>0</v>
      </c>
      <c r="BQ201" s="235">
        <f>((Table11[[#This Row],[Projected DBH
(Extrapolated Growth/Year)]]-4)^2)*(Table11[[#This Row],[Average MHT
(Feet)]]/16)</f>
        <v>0</v>
      </c>
      <c r="BR201" s="235">
        <f>Table11[[#This Row],[Projected Average BF]]*Table11[[#This Row],[2024 '#Trees Inventory + Estimate]]</f>
        <v>0</v>
      </c>
      <c r="BS201" s="235">
        <f>196*Table11[[#This Row],[2024 '#Trees Inventory + Estimate]]</f>
        <v>847738.98653308372</v>
      </c>
      <c r="BT201" s="243">
        <f>Table11[[#This Row],[ETP Offering Expected BF]]-Table11[[#This Row],[Projected Total BF]]</f>
        <v>847738.98653308372</v>
      </c>
      <c r="BU201" s="235">
        <f>(18-Table11[[#This Row],[Average DBH
(inches)]])/(D201-Table11[[#This Row],[Year of Inventory]]+1)</f>
        <v>8.8669950738916262E-3</v>
      </c>
    </row>
    <row r="202" spans="1:73" hidden="1" x14ac:dyDescent="0.25">
      <c r="A202" s="7" t="s">
        <v>1179</v>
      </c>
      <c r="B202" s="2">
        <v>2020</v>
      </c>
      <c r="C202" s="2">
        <v>2020</v>
      </c>
      <c r="D202" s="2">
        <f>Table11[[#This Row],[Planting Year]]+9</f>
        <v>2029</v>
      </c>
      <c r="E202" t="s">
        <v>1180</v>
      </c>
      <c r="F202" s="161">
        <v>30024</v>
      </c>
      <c r="G202" t="s">
        <v>1180</v>
      </c>
      <c r="H202" s="357" t="s">
        <v>1181</v>
      </c>
      <c r="I202" t="s">
        <v>147</v>
      </c>
      <c r="J202" s="1" t="s">
        <v>1182</v>
      </c>
      <c r="K202" s="1" t="s">
        <v>1183</v>
      </c>
      <c r="L202" s="1" t="s">
        <v>1184</v>
      </c>
      <c r="M202" s="1" t="s">
        <v>574</v>
      </c>
      <c r="N202" t="s">
        <v>1185</v>
      </c>
      <c r="O202">
        <v>16.074252999999999</v>
      </c>
      <c r="P202">
        <v>-89.729667000000006</v>
      </c>
      <c r="Q202" s="2"/>
      <c r="R202" s="86"/>
      <c r="S202" s="2"/>
      <c r="T202" s="1">
        <v>6666</v>
      </c>
      <c r="U202" s="1">
        <v>6666</v>
      </c>
      <c r="V202" s="1" t="str">
        <f>IF(Table11[[#This Row],['#TreesContract]]-Table11[[#This Row],['#Planted]]=0,"",Table11[[#This Row],['#TreesContract]]-Table11[[#This Row],['#Planted]])</f>
        <v/>
      </c>
      <c r="W202" s="2"/>
      <c r="X202" s="34">
        <v>1</v>
      </c>
      <c r="Y202" s="163">
        <f>Table11[[#This Row],['#TreesContract]]*Table11[[#This Row],[USA Allocation %]]</f>
        <v>6666</v>
      </c>
      <c r="Z202" s="163">
        <f>Table11[[#This Row],['#Planted]]*Table11[[#This Row],[USA Allocation %]]</f>
        <v>6666</v>
      </c>
      <c r="AA202" s="34"/>
      <c r="AB202" s="163"/>
      <c r="AC202" s="34"/>
      <c r="AD202" s="163"/>
      <c r="AE202" s="163">
        <f>Table11[[#This Row],[Canada Allocation-tree '#''s]]+Table11[[#This Row],[Can trees/Allocation 2017]]</f>
        <v>0</v>
      </c>
      <c r="AF202" s="5">
        <v>0.93050765076507658</v>
      </c>
      <c r="AG202" s="35">
        <v>6202.7640000000001</v>
      </c>
      <c r="AH202" s="35">
        <f>Table11[[#This Row],['#Trees as of 12/31/23]]*Table11[[#This Row],[USA Allocation %]]</f>
        <v>6202.7640000000001</v>
      </c>
      <c r="AI202" s="404">
        <f>Table11[[#This Row],['#TreesContract]]*Table11[[#This Row],[2024 Inventory Survival%-master]]</f>
        <v>0</v>
      </c>
      <c r="AJ202" s="5"/>
      <c r="AK202" s="5">
        <v>0.93050765076507658</v>
      </c>
      <c r="AL202" s="5">
        <v>0.93</v>
      </c>
      <c r="AM202" s="35">
        <f>AK202*Table11[[#This Row],['#TreesContract]]</f>
        <v>6202.7640000000001</v>
      </c>
      <c r="AN202" s="35">
        <f>Table11[[#This Row],[2024 '#Trees Inventory + Estimate]]*Table11[[#This Row],[USA Allocation %]]</f>
        <v>6202.7640000000001</v>
      </c>
      <c r="AO202" s="35">
        <f>Table11[[#This Row],[2024 '#Trees Inventory + Estimate]]*Table11[[#This Row],[Canada Allocation %]]</f>
        <v>0</v>
      </c>
      <c r="AP202" s="35">
        <f>Table11[[#This Row],[2024 '#Trees Inventory + Estimate]]*Table11[[#This Row],[Canada Allocation2017 %]]</f>
        <v>0</v>
      </c>
      <c r="AQ202" s="35">
        <f>Table11[[#This Row],['#Trees as of 2024/estimate-Can allocation]]+Table11[[#This Row],['#Trees as of 2024/estimate-Can allocation 2017]]</f>
        <v>0</v>
      </c>
      <c r="AR202" s="1" t="s">
        <v>576</v>
      </c>
      <c r="AS202" s="2"/>
      <c r="AT202" s="6">
        <f>IFERROR(Table11[[#This Row],['#Total Replacements]]/Table11[[#This Row],['#TreesContract]],"")</f>
        <v>0.16411641164116411</v>
      </c>
      <c r="AU202" s="4">
        <f>IF(SUM(Table11[[#This Row],['#Replace 24]:['#Replace 16]])=0,0,SUM(Table11[[#This Row],['#Replace 24]:['#Replace 16]]))</f>
        <v>1094</v>
      </c>
      <c r="AV202" s="2"/>
      <c r="AW202" s="2"/>
      <c r="AX202" s="3"/>
      <c r="AY202" s="2"/>
      <c r="AZ202" s="2">
        <v>1094</v>
      </c>
      <c r="BA202" s="2"/>
      <c r="BB202" s="2"/>
      <c r="BC202" s="2"/>
      <c r="BD202" s="2"/>
      <c r="BE202" s="2"/>
      <c r="BF202" s="3">
        <v>1</v>
      </c>
      <c r="BG202" s="3">
        <v>1</v>
      </c>
      <c r="BH202" s="2"/>
      <c r="BI202" s="2"/>
      <c r="BJ202" s="2"/>
      <c r="BK202" s="139">
        <f>Table11[[#This Row],[Average MHT
(Feet)]]/16</f>
        <v>0</v>
      </c>
      <c r="BL202" s="2"/>
      <c r="BM202" s="139">
        <f>Table11[[#This Row],[Average DBH
(inches)]]/18</f>
        <v>0</v>
      </c>
      <c r="BN202" s="235">
        <f>((Table11[[#This Row],[Average DBH
(inches)]]-4)^2)*(Table11[[#This Row],[Average MHT
(Feet)]]/16)</f>
        <v>0</v>
      </c>
      <c r="BO202" s="235">
        <f>Table11[[#This Row],[Average BF]]*Table11[[#This Row],[2024 '#Trees Inventory + Estimate]]</f>
        <v>0</v>
      </c>
      <c r="BP202" s="240">
        <f>(Table11[[#This Row],[Harvest Year
(10 year)]]-Table11[[#This Row],[Year of Inventory]]+1)*(Table11[[#This Row],[Average DBH
(inches)]]/(Table11[[#This Row],[Harvest Year
(10 year)]]-Table11[[#This Row],[Year of Inventory]]+1))+Table11[[#This Row],[Average DBH
(inches)]]</f>
        <v>0</v>
      </c>
      <c r="BQ202" s="235">
        <f>((Table11[[#This Row],[Projected DBH
(Extrapolated Growth/Year)]]-4)^2)*(Table11[[#This Row],[Average MHT
(Feet)]]/16)</f>
        <v>0</v>
      </c>
      <c r="BR202" s="235">
        <f>Table11[[#This Row],[Projected Average BF]]*Table11[[#This Row],[2024 '#Trees Inventory + Estimate]]</f>
        <v>0</v>
      </c>
      <c r="BS202" s="235">
        <f>196*Table11[[#This Row],[2024 '#Trees Inventory + Estimate]]</f>
        <v>1215741.7439999999</v>
      </c>
      <c r="BT202" s="235">
        <f>Table11[[#This Row],[ETP Offering Expected BF]]-Table11[[#This Row],[Projected Total BF]]</f>
        <v>1215741.7439999999</v>
      </c>
      <c r="BU202" s="235">
        <f>(18-Table11[[#This Row],[Average DBH
(inches)]])/(D202-Table11[[#This Row],[Year of Inventory]]+1)</f>
        <v>8.8669950738916262E-3</v>
      </c>
    </row>
    <row r="203" spans="1:73" hidden="1" x14ac:dyDescent="0.25">
      <c r="A203" s="7" t="s">
        <v>1186</v>
      </c>
      <c r="B203" s="2">
        <v>2020</v>
      </c>
      <c r="C203" s="2">
        <v>2020</v>
      </c>
      <c r="D203" s="2">
        <v>0</v>
      </c>
      <c r="E203" t="s">
        <v>1187</v>
      </c>
      <c r="F203" s="161">
        <v>30025</v>
      </c>
      <c r="G203" t="s">
        <v>1188</v>
      </c>
      <c r="H203" s="357"/>
      <c r="I203" t="s">
        <v>160</v>
      </c>
      <c r="J203" s="1"/>
      <c r="K203" s="1"/>
      <c r="L203" s="1"/>
      <c r="M203" s="1" t="s">
        <v>574</v>
      </c>
      <c r="Q203" s="2"/>
      <c r="R203" s="86"/>
      <c r="S203" s="2"/>
      <c r="T203" s="1">
        <v>990</v>
      </c>
      <c r="U203" s="1">
        <v>990</v>
      </c>
      <c r="V203" s="1" t="str">
        <f>IF(Table11[[#This Row],['#TreesContract]]-Table11[[#This Row],['#Planted]]=0,"",Table11[[#This Row],['#TreesContract]]-Table11[[#This Row],['#Planted]])</f>
        <v/>
      </c>
      <c r="W203" s="2"/>
      <c r="X203" s="34">
        <v>1</v>
      </c>
      <c r="Y203" s="163">
        <f>Table11[[#This Row],['#TreesContract]]*Table11[[#This Row],[USA Allocation %]]</f>
        <v>990</v>
      </c>
      <c r="Z203" s="163">
        <f>Table11[[#This Row],['#Planted]]*Table11[[#This Row],[USA Allocation %]]</f>
        <v>990</v>
      </c>
      <c r="AA203" s="34"/>
      <c r="AB203" s="163"/>
      <c r="AC203" s="34"/>
      <c r="AD203" s="163"/>
      <c r="AE203" s="163">
        <f>Table11[[#This Row],[Canada Allocation-tree '#''s]]+Table11[[#This Row],[Can trees/Allocation 2017]]</f>
        <v>0</v>
      </c>
      <c r="AF203" s="5">
        <v>0</v>
      </c>
      <c r="AG203" s="35">
        <v>0</v>
      </c>
      <c r="AH203" s="35">
        <f>Table11[[#This Row],['#Trees as of 12/31/23]]*Table11[[#This Row],[USA Allocation %]]</f>
        <v>0</v>
      </c>
      <c r="AI203" s="404">
        <f>Table11[[#This Row],['#TreesContract]]*Table11[[#This Row],[2024 Inventory Survival%-master]]</f>
        <v>0</v>
      </c>
      <c r="AJ203" s="5">
        <v>0</v>
      </c>
      <c r="AK203" s="5">
        <v>0</v>
      </c>
      <c r="AL203" s="5">
        <v>0</v>
      </c>
      <c r="AM203" s="35">
        <v>0</v>
      </c>
      <c r="AN203" s="35">
        <v>0</v>
      </c>
      <c r="AO203" s="35">
        <f>Table11[[#This Row],[2024 '#Trees Inventory + Estimate]]*Table11[[#This Row],[Canada Allocation %]]</f>
        <v>0</v>
      </c>
      <c r="AP203" s="35">
        <f>Table11[[#This Row],[2024 '#Trees Inventory + Estimate]]*Table11[[#This Row],[Canada Allocation2017 %]]</f>
        <v>0</v>
      </c>
      <c r="AQ203" s="35">
        <f>Table11[[#This Row],['#Trees as of 2024/estimate-Can allocation]]+Table11[[#This Row],['#Trees as of 2024/estimate-Can allocation 2017]]</f>
        <v>0</v>
      </c>
      <c r="AR203" s="1" t="s">
        <v>576</v>
      </c>
      <c r="AS203" s="2"/>
      <c r="AT203" s="6">
        <f>IFERROR(Table11[[#This Row],['#Total Replacements]]/Table11[[#This Row],['#TreesContract]],"")</f>
        <v>0</v>
      </c>
      <c r="AU203" s="4">
        <f>IF(SUM(Table11[[#This Row],['#Replace 24]:['#Replace 16]])=0,0,SUM(Table11[[#This Row],['#Replace 24]:['#Replace 16]]))</f>
        <v>0</v>
      </c>
      <c r="AV203" s="2"/>
      <c r="AW203" s="2"/>
      <c r="AX203" s="3"/>
      <c r="AY203" s="2"/>
      <c r="AZ203" s="2"/>
      <c r="BA203" s="2"/>
      <c r="BB203" s="2"/>
      <c r="BC203" s="2"/>
      <c r="BD203" s="2"/>
      <c r="BE203" s="2"/>
      <c r="BF203" s="3">
        <v>1</v>
      </c>
      <c r="BG203" s="3">
        <v>1</v>
      </c>
      <c r="BH203" s="2"/>
      <c r="BI203" s="158"/>
      <c r="BJ203" s="158"/>
      <c r="BK203" s="139">
        <f>Table11[[#This Row],[Average MHT
(Feet)]]/16</f>
        <v>0</v>
      </c>
      <c r="BL203" s="2"/>
      <c r="BM203" s="139">
        <f>Table11[[#This Row],[Average DBH
(inches)]]/18</f>
        <v>0</v>
      </c>
      <c r="BN203" s="235">
        <f>((Table11[[#This Row],[Average DBH
(inches)]]-4)^2)*(Table11[[#This Row],[Average MHT
(Feet)]]/16)</f>
        <v>0</v>
      </c>
      <c r="BO203" s="235">
        <f>Table11[[#This Row],[Average BF]]*Table11[[#This Row],[2024 '#Trees Inventory + Estimate]]</f>
        <v>0</v>
      </c>
      <c r="BP203" s="240">
        <f>(Table11[[#This Row],[Harvest Year
(10 year)]]-Table11[[#This Row],[Year of Inventory]]+1)*(Table11[[#This Row],[Average DBH
(inches)]]/(Table11[[#This Row],[Harvest Year
(10 year)]]-Table11[[#This Row],[Year of Inventory]]+1))+Table11[[#This Row],[Average DBH
(inches)]]</f>
        <v>0</v>
      </c>
      <c r="BQ203" s="235">
        <f>((Table11[[#This Row],[Projected DBH
(Extrapolated Growth/Year)]]-4)^2)*(Table11[[#This Row],[Average MHT
(Feet)]]/16)</f>
        <v>0</v>
      </c>
      <c r="BR203" s="235">
        <f>Table11[[#This Row],[Projected Average BF]]*Table11[[#This Row],[2024 '#Trees Inventory + Estimate]]</f>
        <v>0</v>
      </c>
      <c r="BS203" s="235">
        <f>196*Table11[[#This Row],[2024 '#Trees Inventory + Estimate]]</f>
        <v>0</v>
      </c>
      <c r="BT203" s="235">
        <f>Table11[[#This Row],[ETP Offering Expected BF]]-Table11[[#This Row],[Projected Total BF]]</f>
        <v>0</v>
      </c>
      <c r="BU203" s="235">
        <f>(18-Table11[[#This Row],[Average DBH
(inches)]])/(D203-Table11[[#This Row],[Year of Inventory]]+1)</f>
        <v>18</v>
      </c>
    </row>
    <row r="204" spans="1:73" hidden="1" x14ac:dyDescent="0.25">
      <c r="A204" s="7" t="s">
        <v>1189</v>
      </c>
      <c r="B204" s="2">
        <v>2020</v>
      </c>
      <c r="C204" s="2">
        <v>2020</v>
      </c>
      <c r="D204" s="2">
        <f>Table11[[#This Row],[Planting Year]]+9</f>
        <v>2029</v>
      </c>
      <c r="E204" t="s">
        <v>1190</v>
      </c>
      <c r="F204" s="161">
        <v>30026</v>
      </c>
      <c r="G204" t="s">
        <v>1191</v>
      </c>
      <c r="H204" s="357" t="s">
        <v>1192</v>
      </c>
      <c r="I204" t="s">
        <v>147</v>
      </c>
      <c r="J204" s="1" t="s">
        <v>1193</v>
      </c>
      <c r="K204" s="1" t="s">
        <v>1194</v>
      </c>
      <c r="L204" s="1" t="s">
        <v>1195</v>
      </c>
      <c r="M204" s="1" t="s">
        <v>574</v>
      </c>
      <c r="N204" t="s">
        <v>1196</v>
      </c>
      <c r="O204">
        <v>14.323333</v>
      </c>
      <c r="P204">
        <v>-90.434027999999998</v>
      </c>
      <c r="Q204" s="2"/>
      <c r="R204" s="86"/>
      <c r="S204" s="2"/>
      <c r="T204" s="1">
        <v>6788</v>
      </c>
      <c r="U204" s="1">
        <v>6788</v>
      </c>
      <c r="V204" s="1" t="str">
        <f>IF(Table11[[#This Row],['#TreesContract]]-Table11[[#This Row],['#Planted]]=0,"",Table11[[#This Row],['#TreesContract]]-Table11[[#This Row],['#Planted]])</f>
        <v/>
      </c>
      <c r="W204" s="2"/>
      <c r="X204" s="34">
        <v>1</v>
      </c>
      <c r="Y204" s="163">
        <f>Table11[[#This Row],['#TreesContract]]*Table11[[#This Row],[USA Allocation %]]</f>
        <v>6788</v>
      </c>
      <c r="Z204" s="163">
        <f>Table11[[#This Row],['#Planted]]*Table11[[#This Row],[USA Allocation %]]</f>
        <v>6788</v>
      </c>
      <c r="AA204" s="34"/>
      <c r="AB204" s="163"/>
      <c r="AC204" s="34"/>
      <c r="AD204" s="163"/>
      <c r="AE204" s="163">
        <f>Table11[[#This Row],[Canada Allocation-tree '#''s]]+Table11[[#This Row],[Can trees/Allocation 2017]]</f>
        <v>0</v>
      </c>
      <c r="AF204" s="5">
        <v>0.80951679430000001</v>
      </c>
      <c r="AG204" s="35">
        <v>5494.9999997083996</v>
      </c>
      <c r="AH204" s="35">
        <f>Table11[[#This Row],['#Trees as of 12/31/23]]*Table11[[#This Row],[USA Allocation %]]</f>
        <v>5494.9999997083996</v>
      </c>
      <c r="AI204" s="404">
        <f>Table11[[#This Row],['#TreesContract]]*Table11[[#This Row],[2024 Inventory Survival%-master]]</f>
        <v>0</v>
      </c>
      <c r="AJ204" s="5"/>
      <c r="AK204" s="5">
        <v>0.80951679430000001</v>
      </c>
      <c r="AL204" s="5">
        <v>0.81</v>
      </c>
      <c r="AM204" s="35">
        <f>AK204*Table11[[#This Row],['#TreesContract]]</f>
        <v>5494.9999997083996</v>
      </c>
      <c r="AN204" s="35">
        <v>0</v>
      </c>
      <c r="AO204" s="35">
        <f>Table11[[#This Row],[2024 '#Trees Inventory + Estimate]]*Table11[[#This Row],[Canada Allocation %]]</f>
        <v>0</v>
      </c>
      <c r="AP204" s="35">
        <f>Table11[[#This Row],[2024 '#Trees Inventory + Estimate]]*Table11[[#This Row],[Canada Allocation2017 %]]</f>
        <v>0</v>
      </c>
      <c r="AQ204" s="35">
        <f>Table11[[#This Row],['#Trees as of 2024/estimate-Can allocation]]+Table11[[#This Row],['#Trees as of 2024/estimate-Can allocation 2017]]</f>
        <v>0</v>
      </c>
      <c r="AR204" s="1" t="s">
        <v>576</v>
      </c>
      <c r="AS204" s="2"/>
      <c r="AT204" s="6">
        <f>IFERROR(Table11[[#This Row],['#Total Replacements]]/Table11[[#This Row],['#TreesContract]],"")</f>
        <v>7.3659398939304654E-3</v>
      </c>
      <c r="AU204" s="4">
        <f>IF(SUM(Table11[[#This Row],['#Replace 24]:['#Replace 16]])=0,0,SUM(Table11[[#This Row],['#Replace 24]:['#Replace 16]]))</f>
        <v>50</v>
      </c>
      <c r="AV204" s="2"/>
      <c r="AW204" s="2"/>
      <c r="AX204" s="3"/>
      <c r="AY204" s="2"/>
      <c r="AZ204" s="2"/>
      <c r="BA204" s="2">
        <v>50</v>
      </c>
      <c r="BB204" s="2"/>
      <c r="BC204" s="2"/>
      <c r="BD204" s="2"/>
      <c r="BE204" s="2"/>
      <c r="BF204" s="3">
        <v>1</v>
      </c>
      <c r="BG204" s="3">
        <v>1</v>
      </c>
      <c r="BH204" s="2"/>
      <c r="BI204" s="2"/>
      <c r="BJ204" s="2"/>
      <c r="BK204" s="139">
        <f>Table11[[#This Row],[Average MHT
(Feet)]]/16</f>
        <v>0</v>
      </c>
      <c r="BL204" s="2"/>
      <c r="BM204" s="139">
        <f>Table11[[#This Row],[Average DBH
(inches)]]/18</f>
        <v>0</v>
      </c>
      <c r="BN204" s="235">
        <f>((Table11[[#This Row],[Average DBH
(inches)]]-4)^2)*(Table11[[#This Row],[Average MHT
(Feet)]]/16)</f>
        <v>0</v>
      </c>
      <c r="BO204" s="235">
        <f>Table11[[#This Row],[Average BF]]*Table11[[#This Row],[2024 '#Trees Inventory + Estimate]]</f>
        <v>0</v>
      </c>
      <c r="BP204" s="240">
        <f>(Table11[[#This Row],[Harvest Year
(10 year)]]-Table11[[#This Row],[Year of Inventory]]+1)*(Table11[[#This Row],[Average DBH
(inches)]]/(Table11[[#This Row],[Harvest Year
(10 year)]]-Table11[[#This Row],[Year of Inventory]]+1))+Table11[[#This Row],[Average DBH
(inches)]]</f>
        <v>0</v>
      </c>
      <c r="BQ204" s="235">
        <f>((Table11[[#This Row],[Projected DBH
(Extrapolated Growth/Year)]]-4)^2)*(Table11[[#This Row],[Average MHT
(Feet)]]/16)</f>
        <v>0</v>
      </c>
      <c r="BR204" s="235">
        <f>Table11[[#This Row],[Projected Average BF]]*Table11[[#This Row],[2024 '#Trees Inventory + Estimate]]</f>
        <v>0</v>
      </c>
      <c r="BS204" s="235">
        <f>196*Table11[[#This Row],[2024 '#Trees Inventory + Estimate]]</f>
        <v>1077019.9999428464</v>
      </c>
      <c r="BT204" s="235">
        <f>Table11[[#This Row],[ETP Offering Expected BF]]-Table11[[#This Row],[Projected Total BF]]</f>
        <v>1077019.9999428464</v>
      </c>
      <c r="BU204" s="235">
        <f>(18-Table11[[#This Row],[Average DBH
(inches)]])/(D204-Table11[[#This Row],[Year of Inventory]]+1)</f>
        <v>8.8669950738916262E-3</v>
      </c>
    </row>
    <row r="205" spans="1:73" hidden="1" x14ac:dyDescent="0.25">
      <c r="A205" s="7" t="s">
        <v>1197</v>
      </c>
      <c r="B205" s="2">
        <v>2020</v>
      </c>
      <c r="C205" s="2">
        <v>2020</v>
      </c>
      <c r="D205" s="2">
        <f>Table11[[#This Row],[Planting Year]]+9</f>
        <v>2029</v>
      </c>
      <c r="E205" t="s">
        <v>1198</v>
      </c>
      <c r="F205" s="161">
        <v>30027</v>
      </c>
      <c r="G205" t="s">
        <v>1198</v>
      </c>
      <c r="H205" s="357" t="s">
        <v>1199</v>
      </c>
      <c r="I205" t="s">
        <v>147</v>
      </c>
      <c r="J205" s="1" t="s">
        <v>1200</v>
      </c>
      <c r="K205" s="1" t="s">
        <v>1201</v>
      </c>
      <c r="L205" s="1" t="s">
        <v>1202</v>
      </c>
      <c r="M205" s="1" t="s">
        <v>574</v>
      </c>
      <c r="N205" t="s">
        <v>1203</v>
      </c>
      <c r="O205">
        <v>14.723705000000001</v>
      </c>
      <c r="P205">
        <v>-89.190388299999995</v>
      </c>
      <c r="Q205" s="2"/>
      <c r="R205" s="86"/>
      <c r="S205" s="2"/>
      <c r="T205" s="1">
        <v>1000</v>
      </c>
      <c r="U205" s="1">
        <v>1000</v>
      </c>
      <c r="V205" s="1" t="str">
        <f>IF(Table11[[#This Row],['#TreesContract]]-Table11[[#This Row],['#Planted]]=0,"",Table11[[#This Row],['#TreesContract]]-Table11[[#This Row],['#Planted]])</f>
        <v/>
      </c>
      <c r="W205" s="2"/>
      <c r="X205" s="34">
        <v>1</v>
      </c>
      <c r="Y205" s="163">
        <f>Table11[[#This Row],['#TreesContract]]*Table11[[#This Row],[USA Allocation %]]</f>
        <v>1000</v>
      </c>
      <c r="Z205" s="163">
        <f>Table11[[#This Row],['#Planted]]*Table11[[#This Row],[USA Allocation %]]</f>
        <v>1000</v>
      </c>
      <c r="AA205" s="34"/>
      <c r="AB205" s="163"/>
      <c r="AC205" s="34"/>
      <c r="AD205" s="163"/>
      <c r="AE205" s="163">
        <f>Table11[[#This Row],[Canada Allocation-tree '#''s]]+Table11[[#This Row],[Can trees/Allocation 2017]]</f>
        <v>0</v>
      </c>
      <c r="AF205" s="5">
        <v>0.75014183999999995</v>
      </c>
      <c r="AG205" s="35">
        <v>750.14184</v>
      </c>
      <c r="AH205" s="35">
        <f>Table11[[#This Row],['#Trees as of 12/31/23]]*Table11[[#This Row],[USA Allocation %]]</f>
        <v>750.14184</v>
      </c>
      <c r="AI205" s="404">
        <f>Table11[[#This Row],['#TreesContract]]*Table11[[#This Row],[2024 Inventory Survival%-master]]</f>
        <v>0</v>
      </c>
      <c r="AJ205" s="5"/>
      <c r="AK205" s="5">
        <v>0.75014183999999995</v>
      </c>
      <c r="AL205" s="5">
        <v>0.75</v>
      </c>
      <c r="AM205" s="35">
        <f>AK205*Table11[[#This Row],['#TreesContract]]</f>
        <v>750.14184</v>
      </c>
      <c r="AN205" s="35">
        <v>0</v>
      </c>
      <c r="AO205" s="35">
        <f>Table11[[#This Row],[2024 '#Trees Inventory + Estimate]]*Table11[[#This Row],[Canada Allocation %]]</f>
        <v>0</v>
      </c>
      <c r="AP205" s="35">
        <f>Table11[[#This Row],[2024 '#Trees Inventory + Estimate]]*Table11[[#This Row],[Canada Allocation2017 %]]</f>
        <v>0</v>
      </c>
      <c r="AQ205" s="35">
        <f>Table11[[#This Row],['#Trees as of 2024/estimate-Can allocation]]+Table11[[#This Row],['#Trees as of 2024/estimate-Can allocation 2017]]</f>
        <v>0</v>
      </c>
      <c r="AR205" s="1" t="s">
        <v>576</v>
      </c>
      <c r="AS205" s="2"/>
      <c r="AT205" s="6">
        <f>IFERROR(Table11[[#This Row],['#Total Replacements]]/Table11[[#This Row],['#TreesContract]],"")</f>
        <v>0.246</v>
      </c>
      <c r="AU205" s="4">
        <f>IF(SUM(Table11[[#This Row],['#Replace 24]:['#Replace 16]])=0,0,SUM(Table11[[#This Row],['#Replace 24]:['#Replace 16]]))</f>
        <v>246</v>
      </c>
      <c r="AV205" s="2"/>
      <c r="AW205" s="2"/>
      <c r="AX205" s="3"/>
      <c r="AY205" s="2"/>
      <c r="AZ205" s="2">
        <v>211</v>
      </c>
      <c r="BA205" s="2">
        <v>35</v>
      </c>
      <c r="BB205" s="2"/>
      <c r="BC205" s="2"/>
      <c r="BD205" s="2"/>
      <c r="BE205" s="2"/>
      <c r="BF205" s="3">
        <v>1</v>
      </c>
      <c r="BG205" s="3">
        <v>1</v>
      </c>
      <c r="BH205" s="2"/>
      <c r="BI205" s="158"/>
      <c r="BJ205" s="158"/>
      <c r="BK205" s="139">
        <f>Table11[[#This Row],[Average MHT
(Feet)]]/16</f>
        <v>0</v>
      </c>
      <c r="BL205" s="2"/>
      <c r="BM205" s="139">
        <f>Table11[[#This Row],[Average DBH
(inches)]]/18</f>
        <v>0</v>
      </c>
      <c r="BN205" s="235">
        <f>((Table11[[#This Row],[Average DBH
(inches)]]-4)^2)*(Table11[[#This Row],[Average MHT
(Feet)]]/16)</f>
        <v>0</v>
      </c>
      <c r="BO205" s="235">
        <f>Table11[[#This Row],[Average BF]]*Table11[[#This Row],[2024 '#Trees Inventory + Estimate]]</f>
        <v>0</v>
      </c>
      <c r="BP205" s="240">
        <f>(Table11[[#This Row],[Harvest Year
(10 year)]]-Table11[[#This Row],[Year of Inventory]]+1)*(Table11[[#This Row],[Average DBH
(inches)]]/(Table11[[#This Row],[Harvest Year
(10 year)]]-Table11[[#This Row],[Year of Inventory]]+1))+Table11[[#This Row],[Average DBH
(inches)]]</f>
        <v>0</v>
      </c>
      <c r="BQ205" s="235">
        <f>((Table11[[#This Row],[Projected DBH
(Extrapolated Growth/Year)]]-4)^2)*(Table11[[#This Row],[Average MHT
(Feet)]]/16)</f>
        <v>0</v>
      </c>
      <c r="BR205" s="235">
        <f>Table11[[#This Row],[Projected Average BF]]*Table11[[#This Row],[2024 '#Trees Inventory + Estimate]]</f>
        <v>0</v>
      </c>
      <c r="BS205" s="235">
        <f>196*Table11[[#This Row],[2024 '#Trees Inventory + Estimate]]</f>
        <v>147027.80064</v>
      </c>
      <c r="BT205" s="235">
        <f>Table11[[#This Row],[ETP Offering Expected BF]]-Table11[[#This Row],[Projected Total BF]]</f>
        <v>147027.80064</v>
      </c>
      <c r="BU205" s="235">
        <f>(18-Table11[[#This Row],[Average DBH
(inches)]])/(D205-Table11[[#This Row],[Year of Inventory]]+1)</f>
        <v>8.8669950738916262E-3</v>
      </c>
    </row>
    <row r="206" spans="1:73" hidden="1" x14ac:dyDescent="0.25">
      <c r="A206" s="7" t="s">
        <v>1204</v>
      </c>
      <c r="B206" s="2">
        <v>2018</v>
      </c>
      <c r="C206" s="2">
        <v>2020</v>
      </c>
      <c r="D206" s="2">
        <v>0</v>
      </c>
      <c r="E206" t="s">
        <v>1205</v>
      </c>
      <c r="F206" s="161">
        <v>40004</v>
      </c>
      <c r="G206" t="s">
        <v>1206</v>
      </c>
      <c r="H206" s="357"/>
      <c r="I206" t="s">
        <v>160</v>
      </c>
      <c r="J206" s="1"/>
      <c r="K206" s="1"/>
      <c r="L206" s="1"/>
      <c r="M206" s="1" t="s">
        <v>621</v>
      </c>
      <c r="Q206" s="2"/>
      <c r="R206" s="86"/>
      <c r="S206" s="2"/>
      <c r="T206" s="1">
        <v>5500</v>
      </c>
      <c r="U206" s="1">
        <v>5500</v>
      </c>
      <c r="V206" s="1" t="str">
        <f>IF(Table11[[#This Row],['#TreesContract]]-Table11[[#This Row],['#Planted]]=0,"",Table11[[#This Row],['#TreesContract]]-Table11[[#This Row],['#Planted]])</f>
        <v/>
      </c>
      <c r="W206" s="2"/>
      <c r="X206" s="34">
        <v>0.64</v>
      </c>
      <c r="Y206" s="163">
        <f>Table11[[#This Row],['#TreesContract]]*Table11[[#This Row],[USA Allocation %]]</f>
        <v>3520</v>
      </c>
      <c r="Z206" s="163">
        <f>Table11[[#This Row],['#Planted]]*Table11[[#This Row],[USA Allocation %]]</f>
        <v>3520</v>
      </c>
      <c r="AA206" s="34">
        <v>0.36</v>
      </c>
      <c r="AB206" s="163">
        <f>Table11[[#This Row],['#TreesContract]]*0.36</f>
        <v>1980</v>
      </c>
      <c r="AC206" s="34"/>
      <c r="AD206" s="163"/>
      <c r="AE206" s="163">
        <f>Table11[[#This Row],[Canada Allocation-tree '#''s]]+Table11[[#This Row],[Can trees/Allocation 2017]]</f>
        <v>1980</v>
      </c>
      <c r="AF206" s="5">
        <v>0</v>
      </c>
      <c r="AG206" s="35">
        <v>0</v>
      </c>
      <c r="AH206" s="35">
        <f>Table11[[#This Row],['#Trees as of 12/31/23]]*Table11[[#This Row],[USA Allocation %]]</f>
        <v>0</v>
      </c>
      <c r="AI206" s="404">
        <f>Table11[[#This Row],['#TreesContract]]*Table11[[#This Row],[2024 Inventory Survival%-master]]</f>
        <v>0</v>
      </c>
      <c r="AJ206" s="5">
        <v>0</v>
      </c>
      <c r="AK206" s="5">
        <v>0</v>
      </c>
      <c r="AL206" s="5">
        <v>0</v>
      </c>
      <c r="AM206" s="35">
        <f>AK206*Table11[[#This Row],['#TreesContract]]</f>
        <v>0</v>
      </c>
      <c r="AN206" s="35">
        <f>Table11[[#This Row],[2024 '#Trees Inventory + Estimate]]*Table11[[#This Row],[USA Allocation %]]</f>
        <v>0</v>
      </c>
      <c r="AO206" s="35">
        <f>Table11[[#This Row],[2024 '#Trees Inventory + Estimate]]*Table11[[#This Row],[Canada Allocation %]]</f>
        <v>0</v>
      </c>
      <c r="AP206" s="35">
        <f>Table11[[#This Row],[2024 '#Trees Inventory + Estimate]]*Table11[[#This Row],[Canada Allocation2017 %]]</f>
        <v>0</v>
      </c>
      <c r="AQ206" s="35">
        <f>Table11[[#This Row],['#Trees as of 2024/estimate-Can allocation]]+Table11[[#This Row],['#Trees as of 2024/estimate-Can allocation 2017]]</f>
        <v>0</v>
      </c>
      <c r="AR206" s="1"/>
      <c r="AS206" s="2"/>
      <c r="AT206" s="6">
        <f>IFERROR(Table11[[#This Row],['#Total Replacements]]/Table11[[#This Row],['#TreesContract]],"")</f>
        <v>0.72727272727272729</v>
      </c>
      <c r="AU206" s="4">
        <f>IF(SUM(Table11[[#This Row],['#Replace 24]:['#Replace 16]])=0,0,SUM(Table11[[#This Row],['#Replace 24]:['#Replace 16]]))</f>
        <v>4000</v>
      </c>
      <c r="AV206" s="2"/>
      <c r="AW206" s="2"/>
      <c r="AX206" s="3"/>
      <c r="AY206" s="2"/>
      <c r="AZ206" s="2">
        <v>4000</v>
      </c>
      <c r="BA206" s="2"/>
      <c r="BB206" s="2"/>
      <c r="BC206" s="2"/>
      <c r="BD206" s="2"/>
      <c r="BE206" s="2"/>
      <c r="BF206" s="3">
        <v>1</v>
      </c>
      <c r="BG206" s="3">
        <v>1</v>
      </c>
      <c r="BH206" s="2"/>
      <c r="BI206" s="158"/>
      <c r="BJ206" s="158"/>
      <c r="BK206" s="139">
        <f>Table11[[#This Row],[Average MHT
(Feet)]]/16</f>
        <v>0</v>
      </c>
      <c r="BL206" s="2"/>
      <c r="BM206" s="139">
        <f>Table11[[#This Row],[Average DBH
(inches)]]/18</f>
        <v>0</v>
      </c>
      <c r="BN206" s="235">
        <f>((Table11[[#This Row],[Average DBH
(inches)]]-4)^2)*(Table11[[#This Row],[Average MHT
(Feet)]]/16)</f>
        <v>0</v>
      </c>
      <c r="BO206" s="235">
        <f>Table11[[#This Row],[Average BF]]*Table11[[#This Row],[2024 '#Trees Inventory + Estimate]]</f>
        <v>0</v>
      </c>
      <c r="BP206" s="240">
        <f>(Table11[[#This Row],[Harvest Year
(10 year)]]-Table11[[#This Row],[Year of Inventory]]+1)*(Table11[[#This Row],[Average DBH
(inches)]]/(Table11[[#This Row],[Harvest Year
(10 year)]]-Table11[[#This Row],[Year of Inventory]]+1))+Table11[[#This Row],[Average DBH
(inches)]]</f>
        <v>0</v>
      </c>
      <c r="BQ206" s="235">
        <f>((Table11[[#This Row],[Projected DBH
(Extrapolated Growth/Year)]]-4)^2)*(Table11[[#This Row],[Average MHT
(Feet)]]/16)</f>
        <v>0</v>
      </c>
      <c r="BR206" s="235">
        <f>Table11[[#This Row],[Projected Average BF]]*Table11[[#This Row],[2024 '#Trees Inventory + Estimate]]</f>
        <v>0</v>
      </c>
      <c r="BS206" s="235">
        <f>196*Table11[[#This Row],[2024 '#Trees Inventory + Estimate]]</f>
        <v>0</v>
      </c>
      <c r="BT206" s="235">
        <f>Table11[[#This Row],[ETP Offering Expected BF]]-Table11[[#This Row],[Projected Total BF]]</f>
        <v>0</v>
      </c>
      <c r="BU206" s="235">
        <f>(18-Table11[[#This Row],[Average DBH
(inches)]])/(D206-Table11[[#This Row],[Year of Inventory]]+1)</f>
        <v>18</v>
      </c>
    </row>
    <row r="207" spans="1:73" hidden="1" x14ac:dyDescent="0.25">
      <c r="A207" s="7" t="s">
        <v>1207</v>
      </c>
      <c r="B207" s="2">
        <v>2020</v>
      </c>
      <c r="C207" s="2">
        <v>2020</v>
      </c>
      <c r="D207" s="2">
        <f>Table11[[#This Row],[Planting Year]]+9</f>
        <v>2029</v>
      </c>
      <c r="E207" t="s">
        <v>1208</v>
      </c>
      <c r="F207" s="161">
        <v>40005</v>
      </c>
      <c r="G207" t="s">
        <v>1208</v>
      </c>
      <c r="H207" s="357" t="s">
        <v>1209</v>
      </c>
      <c r="I207" t="s">
        <v>147</v>
      </c>
      <c r="J207" s="1" t="s">
        <v>1210</v>
      </c>
      <c r="K207" s="1" t="s">
        <v>1211</v>
      </c>
      <c r="L207" s="1" t="s">
        <v>1212</v>
      </c>
      <c r="M207" s="1" t="s">
        <v>621</v>
      </c>
      <c r="N207" t="s">
        <v>1213</v>
      </c>
      <c r="O207">
        <v>17.523197</v>
      </c>
      <c r="P207">
        <v>-95.390517000000003</v>
      </c>
      <c r="Q207" s="2"/>
      <c r="R207" s="86"/>
      <c r="S207" s="2"/>
      <c r="T207" s="1">
        <v>1100</v>
      </c>
      <c r="U207" s="1">
        <v>1100</v>
      </c>
      <c r="V207" s="1" t="str">
        <f>IF(Table11[[#This Row],['#TreesContract]]-Table11[[#This Row],['#Planted]]=0,"",Table11[[#This Row],['#TreesContract]]-Table11[[#This Row],['#Planted]])</f>
        <v/>
      </c>
      <c r="W207" s="2"/>
      <c r="X207" s="34">
        <v>1</v>
      </c>
      <c r="Y207" s="163">
        <f>Table11[[#This Row],['#TreesContract]]*Table11[[#This Row],[USA Allocation %]]</f>
        <v>1100</v>
      </c>
      <c r="Z207" s="163">
        <f>Table11[[#This Row],['#Planted]]*Table11[[#This Row],[USA Allocation %]]</f>
        <v>1100</v>
      </c>
      <c r="AA207" s="34"/>
      <c r="AB207" s="163"/>
      <c r="AC207" s="34"/>
      <c r="AD207" s="163"/>
      <c r="AE207" s="163">
        <f>Table11[[#This Row],[Canada Allocation-tree '#''s]]+Table11[[#This Row],[Can trees/Allocation 2017]]</f>
        <v>0</v>
      </c>
      <c r="AF207" s="5">
        <v>0.95</v>
      </c>
      <c r="AG207" s="35">
        <v>1045</v>
      </c>
      <c r="AH207" s="35">
        <f>Table11[[#This Row],['#Trees as of 12/31/23]]*Table11[[#This Row],[USA Allocation %]]</f>
        <v>1045</v>
      </c>
      <c r="AI207" s="404">
        <f>Table11[[#This Row],['#TreesContract]]*Table11[[#This Row],[2024 Inventory Survival%-master]]</f>
        <v>0</v>
      </c>
      <c r="AJ207" s="5"/>
      <c r="AK207" s="5">
        <v>0.95</v>
      </c>
      <c r="AL207" s="5">
        <v>0.95</v>
      </c>
      <c r="AM207" s="35">
        <f>AK207*Table11[[#This Row],['#TreesContract]]</f>
        <v>1045</v>
      </c>
      <c r="AN207" s="35">
        <f>Table11[[#This Row],[2024 '#Trees Inventory + Estimate]]*Table11[[#This Row],[USA Allocation %]]</f>
        <v>1045</v>
      </c>
      <c r="AO207" s="35">
        <f>Table11[[#This Row],[2024 '#Trees Inventory + Estimate]]*Table11[[#This Row],[Canada Allocation %]]</f>
        <v>0</v>
      </c>
      <c r="AP207" s="35">
        <f>Table11[[#This Row],[2024 '#Trees Inventory + Estimate]]*Table11[[#This Row],[Canada Allocation2017 %]]</f>
        <v>0</v>
      </c>
      <c r="AQ207" s="35">
        <f>Table11[[#This Row],['#Trees as of 2024/estimate-Can allocation]]+Table11[[#This Row],['#Trees as of 2024/estimate-Can allocation 2017]]</f>
        <v>0</v>
      </c>
      <c r="AR207" s="1"/>
      <c r="AS207" s="2"/>
      <c r="AT207" s="6">
        <f>IFERROR(Table11[[#This Row],['#Total Replacements]]/Table11[[#This Row],['#TreesContract]],"")</f>
        <v>0</v>
      </c>
      <c r="AU207" s="4">
        <f>IF(SUM(Table11[[#This Row],['#Replace 24]:['#Replace 16]])=0,0,SUM(Table11[[#This Row],['#Replace 24]:['#Replace 16]]))</f>
        <v>0</v>
      </c>
      <c r="AV207" s="2"/>
      <c r="AW207" s="2"/>
      <c r="AX207" s="3"/>
      <c r="AY207" s="2"/>
      <c r="AZ207" s="2"/>
      <c r="BA207" s="2"/>
      <c r="BB207" s="2"/>
      <c r="BC207" s="2"/>
      <c r="BD207" s="2"/>
      <c r="BE207" s="2"/>
      <c r="BF207" s="3">
        <v>1</v>
      </c>
      <c r="BG207" s="3">
        <v>1</v>
      </c>
      <c r="BH207" s="2"/>
      <c r="BI207" s="2"/>
      <c r="BJ207" s="2"/>
      <c r="BK207" s="139">
        <f>Table11[[#This Row],[Average MHT
(Feet)]]/16</f>
        <v>0</v>
      </c>
      <c r="BL207" s="2"/>
      <c r="BM207" s="139">
        <f>Table11[[#This Row],[Average DBH
(inches)]]/18</f>
        <v>0</v>
      </c>
      <c r="BN207" s="235">
        <f>((Table11[[#This Row],[Average DBH
(inches)]]-4)^2)*(Table11[[#This Row],[Average MHT
(Feet)]]/16)</f>
        <v>0</v>
      </c>
      <c r="BO207" s="235">
        <f>Table11[[#This Row],[Average BF]]*Table11[[#This Row],[2024 '#Trees Inventory + Estimate]]</f>
        <v>0</v>
      </c>
      <c r="BP207" s="240">
        <f>(Table11[[#This Row],[Harvest Year
(10 year)]]-Table11[[#This Row],[Year of Inventory]]+1)*(Table11[[#This Row],[Average DBH
(inches)]]/(Table11[[#This Row],[Harvest Year
(10 year)]]-Table11[[#This Row],[Year of Inventory]]+1))+Table11[[#This Row],[Average DBH
(inches)]]</f>
        <v>0</v>
      </c>
      <c r="BQ207" s="235">
        <f>((Table11[[#This Row],[Projected DBH
(Extrapolated Growth/Year)]]-4)^2)*(Table11[[#This Row],[Average MHT
(Feet)]]/16)</f>
        <v>0</v>
      </c>
      <c r="BR207" s="235">
        <f>Table11[[#This Row],[Projected Average BF]]*Table11[[#This Row],[2024 '#Trees Inventory + Estimate]]</f>
        <v>0</v>
      </c>
      <c r="BS207" s="235">
        <f>196*Table11[[#This Row],[2024 '#Trees Inventory + Estimate]]</f>
        <v>204820</v>
      </c>
      <c r="BT207" s="235">
        <f>Table11[[#This Row],[ETP Offering Expected BF]]-Table11[[#This Row],[Projected Total BF]]</f>
        <v>204820</v>
      </c>
      <c r="BU207" s="235">
        <f>(18-Table11[[#This Row],[Average DBH
(inches)]])/(D207-Table11[[#This Row],[Year of Inventory]]+1)</f>
        <v>8.8669950738916262E-3</v>
      </c>
    </row>
    <row r="208" spans="1:73" hidden="1" x14ac:dyDescent="0.25">
      <c r="A208" s="7" t="s">
        <v>1214</v>
      </c>
      <c r="B208" s="2">
        <v>2020</v>
      </c>
      <c r="C208" s="2">
        <v>2020</v>
      </c>
      <c r="D208" s="2">
        <v>0</v>
      </c>
      <c r="E208" t="s">
        <v>1215</v>
      </c>
      <c r="F208" s="161">
        <v>40006</v>
      </c>
      <c r="G208" t="s">
        <v>1215</v>
      </c>
      <c r="H208" s="357"/>
      <c r="I208" t="s">
        <v>160</v>
      </c>
      <c r="J208" s="1"/>
      <c r="K208" s="1"/>
      <c r="L208" s="1"/>
      <c r="M208" s="1" t="s">
        <v>621</v>
      </c>
      <c r="Q208" s="2"/>
      <c r="R208" s="86"/>
      <c r="S208" s="2"/>
      <c r="T208" s="1">
        <v>7700</v>
      </c>
      <c r="U208" s="1">
        <v>7700</v>
      </c>
      <c r="V208" s="1" t="str">
        <f>IF(Table11[[#This Row],['#TreesContract]]-Table11[[#This Row],['#Planted]]=0,"",Table11[[#This Row],['#TreesContract]]-Table11[[#This Row],['#Planted]])</f>
        <v/>
      </c>
      <c r="W208" s="2"/>
      <c r="X208" s="34">
        <v>1</v>
      </c>
      <c r="Y208" s="163">
        <f>Table11[[#This Row],['#TreesContract]]*Table11[[#This Row],[USA Allocation %]]</f>
        <v>7700</v>
      </c>
      <c r="Z208" s="163">
        <f>Table11[[#This Row],['#Planted]]*Table11[[#This Row],[USA Allocation %]]</f>
        <v>7700</v>
      </c>
      <c r="AA208" s="34"/>
      <c r="AB208" s="163"/>
      <c r="AC208" s="34"/>
      <c r="AD208" s="163"/>
      <c r="AE208" s="163">
        <f>Table11[[#This Row],[Canada Allocation-tree '#''s]]+Table11[[#This Row],[Can trees/Allocation 2017]]</f>
        <v>0</v>
      </c>
      <c r="AF208" s="5">
        <v>0</v>
      </c>
      <c r="AG208" s="35">
        <v>0</v>
      </c>
      <c r="AH208" s="35">
        <f>Table11[[#This Row],['#Trees as of 12/31/23]]*Table11[[#This Row],[USA Allocation %]]</f>
        <v>0</v>
      </c>
      <c r="AI208" s="404">
        <f>Table11[[#This Row],['#TreesContract]]*Table11[[#This Row],[2024 Inventory Survival%-master]]</f>
        <v>0</v>
      </c>
      <c r="AJ208" s="5">
        <v>0</v>
      </c>
      <c r="AK208" s="5">
        <v>0</v>
      </c>
      <c r="AL208" s="5">
        <v>0</v>
      </c>
      <c r="AM208" s="35">
        <v>0</v>
      </c>
      <c r="AN208" s="35">
        <f>Table11[[#This Row],[2024 '#Trees Inventory + Estimate]]*Table11[[#This Row],[USA Allocation %]]</f>
        <v>0</v>
      </c>
      <c r="AO208" s="35">
        <f>Table11[[#This Row],[2024 '#Trees Inventory + Estimate]]*Table11[[#This Row],[Canada Allocation %]]</f>
        <v>0</v>
      </c>
      <c r="AP208" s="35">
        <f>Table11[[#This Row],[2024 '#Trees Inventory + Estimate]]*Table11[[#This Row],[Canada Allocation2017 %]]</f>
        <v>0</v>
      </c>
      <c r="AQ208" s="35">
        <f>Table11[[#This Row],['#Trees as of 2024/estimate-Can allocation]]+Table11[[#This Row],['#Trees as of 2024/estimate-Can allocation 2017]]</f>
        <v>0</v>
      </c>
      <c r="AR208" s="1"/>
      <c r="AS208" s="2"/>
      <c r="AT208" s="6">
        <f>IFERROR(Table11[[#This Row],['#Total Replacements]]/Table11[[#This Row],['#TreesContract]],"")</f>
        <v>0</v>
      </c>
      <c r="AU208" s="4">
        <f>IF(SUM(Table11[[#This Row],['#Replace 24]:['#Replace 16]])=0,0,SUM(Table11[[#This Row],['#Replace 24]:['#Replace 16]]))</f>
        <v>0</v>
      </c>
      <c r="AV208" s="2"/>
      <c r="AW208" s="2"/>
      <c r="AX208" s="3"/>
      <c r="AY208" s="2"/>
      <c r="AZ208" s="2"/>
      <c r="BA208" s="2"/>
      <c r="BB208" s="2"/>
      <c r="BC208" s="2"/>
      <c r="BD208" s="2"/>
      <c r="BE208" s="2"/>
      <c r="BF208" s="3">
        <v>1</v>
      </c>
      <c r="BG208" s="3">
        <v>1</v>
      </c>
      <c r="BH208" s="2"/>
      <c r="BI208" s="158"/>
      <c r="BJ208" s="158"/>
      <c r="BK208" s="139">
        <f>Table11[[#This Row],[Average MHT
(Feet)]]/16</f>
        <v>0</v>
      </c>
      <c r="BL208" s="2"/>
      <c r="BM208" s="139">
        <f>Table11[[#This Row],[Average DBH
(inches)]]/18</f>
        <v>0</v>
      </c>
      <c r="BN208" s="235">
        <f>((Table11[[#This Row],[Average DBH
(inches)]]-4)^2)*(Table11[[#This Row],[Average MHT
(Feet)]]/16)</f>
        <v>0</v>
      </c>
      <c r="BO208" s="235">
        <f>Table11[[#This Row],[Average BF]]*Table11[[#This Row],[2024 '#Trees Inventory + Estimate]]</f>
        <v>0</v>
      </c>
      <c r="BP208" s="240">
        <f>(Table11[[#This Row],[Harvest Year
(10 year)]]-Table11[[#This Row],[Year of Inventory]]+1)*(Table11[[#This Row],[Average DBH
(inches)]]/(Table11[[#This Row],[Harvest Year
(10 year)]]-Table11[[#This Row],[Year of Inventory]]+1))+Table11[[#This Row],[Average DBH
(inches)]]</f>
        <v>0</v>
      </c>
      <c r="BQ208" s="235">
        <f>((Table11[[#This Row],[Projected DBH
(Extrapolated Growth/Year)]]-4)^2)*(Table11[[#This Row],[Average MHT
(Feet)]]/16)</f>
        <v>0</v>
      </c>
      <c r="BR208" s="235">
        <f>Table11[[#This Row],[Projected Average BF]]*Table11[[#This Row],[2024 '#Trees Inventory + Estimate]]</f>
        <v>0</v>
      </c>
      <c r="BS208" s="235">
        <f>196*Table11[[#This Row],[2024 '#Trees Inventory + Estimate]]</f>
        <v>0</v>
      </c>
      <c r="BT208" s="235">
        <f>Table11[[#This Row],[ETP Offering Expected BF]]-Table11[[#This Row],[Projected Total BF]]</f>
        <v>0</v>
      </c>
      <c r="BU208" s="235">
        <f>(18-Table11[[#This Row],[Average DBH
(inches)]])/(D208-Table11[[#This Row],[Year of Inventory]]+1)</f>
        <v>18</v>
      </c>
    </row>
    <row r="209" spans="1:73" hidden="1" x14ac:dyDescent="0.25">
      <c r="A209" s="7" t="s">
        <v>1216</v>
      </c>
      <c r="B209" s="2" t="s">
        <v>1217</v>
      </c>
      <c r="C209" s="2">
        <v>2020</v>
      </c>
      <c r="D209" s="2">
        <v>0</v>
      </c>
      <c r="E209" t="s">
        <v>1215</v>
      </c>
      <c r="F209" s="161">
        <v>40006</v>
      </c>
      <c r="G209" t="s">
        <v>1215</v>
      </c>
      <c r="H209" s="357"/>
      <c r="I209" t="s">
        <v>160</v>
      </c>
      <c r="J209" s="1"/>
      <c r="K209" s="1"/>
      <c r="L209" s="1"/>
      <c r="M209" s="1" t="s">
        <v>621</v>
      </c>
      <c r="Q209" s="2"/>
      <c r="R209" s="86"/>
      <c r="S209" s="2"/>
      <c r="T209" s="1">
        <v>14300</v>
      </c>
      <c r="U209" s="1">
        <v>14300</v>
      </c>
      <c r="V209" s="1" t="str">
        <f>IF(Table11[[#This Row],['#TreesContract]]-Table11[[#This Row],['#Planted]]=0,"",Table11[[#This Row],['#TreesContract]]-Table11[[#This Row],['#Planted]])</f>
        <v/>
      </c>
      <c r="W209" s="2"/>
      <c r="X209" s="34">
        <v>1</v>
      </c>
      <c r="Y209" s="163">
        <f>Table11[[#This Row],['#TreesContract]]*Table11[[#This Row],[USA Allocation %]]</f>
        <v>14300</v>
      </c>
      <c r="Z209" s="163">
        <f>Table11[[#This Row],['#Planted]]*Table11[[#This Row],[USA Allocation %]]</f>
        <v>14300</v>
      </c>
      <c r="AA209" s="34"/>
      <c r="AB209" s="163"/>
      <c r="AC209" s="34"/>
      <c r="AD209" s="163"/>
      <c r="AE209" s="163">
        <f>Table11[[#This Row],[Canada Allocation-tree '#''s]]+Table11[[#This Row],[Can trees/Allocation 2017]]</f>
        <v>0</v>
      </c>
      <c r="AF209" s="5">
        <v>0</v>
      </c>
      <c r="AG209" s="35">
        <v>0</v>
      </c>
      <c r="AH209" s="35">
        <f>Table11[[#This Row],['#Trees as of 12/31/23]]*Table11[[#This Row],[USA Allocation %]]</f>
        <v>0</v>
      </c>
      <c r="AI209" s="404">
        <f>Table11[[#This Row],['#TreesContract]]*Table11[[#This Row],[2024 Inventory Survival%-master]]</f>
        <v>0</v>
      </c>
      <c r="AJ209" s="5">
        <v>0</v>
      </c>
      <c r="AK209" s="5">
        <v>0</v>
      </c>
      <c r="AL209" s="5">
        <v>0</v>
      </c>
      <c r="AM209" s="35">
        <v>0</v>
      </c>
      <c r="AN209" s="35">
        <f>Table11[[#This Row],[2024 '#Trees Inventory + Estimate]]*Table11[[#This Row],[USA Allocation %]]</f>
        <v>0</v>
      </c>
      <c r="AO209" s="35">
        <f>Table11[[#This Row],[2024 '#Trees Inventory + Estimate]]*Table11[[#This Row],[Canada Allocation %]]</f>
        <v>0</v>
      </c>
      <c r="AP209" s="35">
        <f>Table11[[#This Row],[2024 '#Trees Inventory + Estimate]]*Table11[[#This Row],[Canada Allocation2017 %]]</f>
        <v>0</v>
      </c>
      <c r="AQ209" s="35">
        <f>Table11[[#This Row],['#Trees as of 2024/estimate-Can allocation]]+Table11[[#This Row],['#Trees as of 2024/estimate-Can allocation 2017]]</f>
        <v>0</v>
      </c>
      <c r="AR209" s="1"/>
      <c r="AS209" s="2"/>
      <c r="AT209" s="6">
        <f>IFERROR(Table11[[#This Row],['#Total Replacements]]/Table11[[#This Row],['#TreesContract]],"")</f>
        <v>0</v>
      </c>
      <c r="AU209" s="4">
        <f>IF(SUM(Table11[[#This Row],['#Replace 24]:['#Replace 16]])=0,0,SUM(Table11[[#This Row],['#Replace 24]:['#Replace 16]]))</f>
        <v>0</v>
      </c>
      <c r="AV209" s="2"/>
      <c r="AW209" s="2"/>
      <c r="AX209" s="3"/>
      <c r="AY209" s="2"/>
      <c r="AZ209" s="2"/>
      <c r="BA209" s="2"/>
      <c r="BB209" s="2"/>
      <c r="BC209" s="2"/>
      <c r="BD209" s="2"/>
      <c r="BE209" s="2"/>
      <c r="BF209" s="3">
        <v>1</v>
      </c>
      <c r="BG209" s="3">
        <v>1</v>
      </c>
      <c r="BH209" s="2"/>
      <c r="BI209" s="2"/>
      <c r="BJ209" s="2"/>
      <c r="BK209" s="139">
        <f>Table11[[#This Row],[Average MHT
(Feet)]]/16</f>
        <v>0</v>
      </c>
      <c r="BL209" s="2"/>
      <c r="BM209" s="139">
        <f>Table11[[#This Row],[Average DBH
(inches)]]/18</f>
        <v>0</v>
      </c>
      <c r="BN209" s="235">
        <f>((Table11[[#This Row],[Average DBH
(inches)]]-4)^2)*(Table11[[#This Row],[Average MHT
(Feet)]]/16)</f>
        <v>0</v>
      </c>
      <c r="BO209" s="235">
        <f>Table11[[#This Row],[Average BF]]*Table11[[#This Row],[2024 '#Trees Inventory + Estimate]]</f>
        <v>0</v>
      </c>
      <c r="BP209" s="240">
        <f>(Table11[[#This Row],[Harvest Year
(10 year)]]-Table11[[#This Row],[Year of Inventory]]+1)*(Table11[[#This Row],[Average DBH
(inches)]]/(Table11[[#This Row],[Harvest Year
(10 year)]]-Table11[[#This Row],[Year of Inventory]]+1))+Table11[[#This Row],[Average DBH
(inches)]]</f>
        <v>0</v>
      </c>
      <c r="BQ209" s="235">
        <f>((Table11[[#This Row],[Projected DBH
(Extrapolated Growth/Year)]]-4)^2)*(Table11[[#This Row],[Average MHT
(Feet)]]/16)</f>
        <v>0</v>
      </c>
      <c r="BR209" s="235">
        <f>Table11[[#This Row],[Projected Average BF]]*Table11[[#This Row],[2024 '#Trees Inventory + Estimate]]</f>
        <v>0</v>
      </c>
      <c r="BS209" s="235">
        <f>196*Table11[[#This Row],[2024 '#Trees Inventory + Estimate]]</f>
        <v>0</v>
      </c>
      <c r="BT209" s="235">
        <f>Table11[[#This Row],[ETP Offering Expected BF]]-Table11[[#This Row],[Projected Total BF]]</f>
        <v>0</v>
      </c>
      <c r="BU209" s="235">
        <f>(18-Table11[[#This Row],[Average DBH
(inches)]])/(D209-Table11[[#This Row],[Year of Inventory]]+1)</f>
        <v>18</v>
      </c>
    </row>
    <row r="210" spans="1:73" hidden="1" x14ac:dyDescent="0.25">
      <c r="A210" s="7" t="s">
        <v>1218</v>
      </c>
      <c r="B210" s="2" t="s">
        <v>1217</v>
      </c>
      <c r="C210" s="2">
        <v>2020</v>
      </c>
      <c r="D210" s="2">
        <v>0</v>
      </c>
      <c r="E210" t="s">
        <v>1219</v>
      </c>
      <c r="F210" s="161">
        <v>40007</v>
      </c>
      <c r="G210" t="s">
        <v>1220</v>
      </c>
      <c r="H210" s="357"/>
      <c r="I210" t="s">
        <v>160</v>
      </c>
      <c r="J210" s="1"/>
      <c r="K210" s="1"/>
      <c r="L210" s="1"/>
      <c r="M210" s="1" t="s">
        <v>621</v>
      </c>
      <c r="Q210" s="2"/>
      <c r="R210" s="86"/>
      <c r="S210" s="2"/>
      <c r="T210" s="1">
        <v>5500</v>
      </c>
      <c r="U210" s="1">
        <v>5500</v>
      </c>
      <c r="V210" s="1" t="str">
        <f>IF(Table11[[#This Row],['#TreesContract]]-Table11[[#This Row],['#Planted]]=0,"",Table11[[#This Row],['#TreesContract]]-Table11[[#This Row],['#Planted]])</f>
        <v/>
      </c>
      <c r="W210" s="2"/>
      <c r="X210" s="34">
        <v>1</v>
      </c>
      <c r="Y210" s="163">
        <f>Table11[[#This Row],['#TreesContract]]*Table11[[#This Row],[USA Allocation %]]</f>
        <v>5500</v>
      </c>
      <c r="Z210" s="163">
        <f>Table11[[#This Row],['#Planted]]*Table11[[#This Row],[USA Allocation %]]</f>
        <v>5500</v>
      </c>
      <c r="AA210" s="34"/>
      <c r="AB210" s="163"/>
      <c r="AC210" s="34"/>
      <c r="AD210" s="163"/>
      <c r="AE210" s="163">
        <f>Table11[[#This Row],[Canada Allocation-tree '#''s]]+Table11[[#This Row],[Can trees/Allocation 2017]]</f>
        <v>0</v>
      </c>
      <c r="AF210" s="5">
        <v>0</v>
      </c>
      <c r="AG210" s="35">
        <v>0</v>
      </c>
      <c r="AH210" s="35">
        <f>Table11[[#This Row],['#Trees as of 12/31/23]]*Table11[[#This Row],[USA Allocation %]]</f>
        <v>0</v>
      </c>
      <c r="AI210" s="404">
        <f>Table11[[#This Row],['#TreesContract]]*Table11[[#This Row],[2024 Inventory Survival%-master]]</f>
        <v>0</v>
      </c>
      <c r="AJ210" s="5">
        <v>0</v>
      </c>
      <c r="AK210" s="5">
        <v>0</v>
      </c>
      <c r="AL210" s="5">
        <v>0</v>
      </c>
      <c r="AM210" s="35">
        <v>0</v>
      </c>
      <c r="AN210" s="35">
        <f>Table11[[#This Row],[2024 '#Trees Inventory + Estimate]]*Table11[[#This Row],[USA Allocation %]]</f>
        <v>0</v>
      </c>
      <c r="AO210" s="35">
        <f>Table11[[#This Row],[2024 '#Trees Inventory + Estimate]]*Table11[[#This Row],[Canada Allocation %]]</f>
        <v>0</v>
      </c>
      <c r="AP210" s="35">
        <f>Table11[[#This Row],[2024 '#Trees Inventory + Estimate]]*Table11[[#This Row],[Canada Allocation2017 %]]</f>
        <v>0</v>
      </c>
      <c r="AQ210" s="35">
        <f>Table11[[#This Row],['#Trees as of 2024/estimate-Can allocation]]+Table11[[#This Row],['#Trees as of 2024/estimate-Can allocation 2017]]</f>
        <v>0</v>
      </c>
      <c r="AR210" s="1"/>
      <c r="AS210" s="2"/>
      <c r="AT210" s="6">
        <f>IFERROR(Table11[[#This Row],['#Total Replacements]]/Table11[[#This Row],['#TreesContract]],"")</f>
        <v>0</v>
      </c>
      <c r="AU210" s="4">
        <f>IF(SUM(Table11[[#This Row],['#Replace 24]:['#Replace 16]])=0,0,SUM(Table11[[#This Row],['#Replace 24]:['#Replace 16]]))</f>
        <v>0</v>
      </c>
      <c r="AV210" s="2"/>
      <c r="AW210" s="2"/>
      <c r="AX210" s="3"/>
      <c r="AY210" s="2"/>
      <c r="AZ210" s="2"/>
      <c r="BA210" s="2"/>
      <c r="BB210" s="2"/>
      <c r="BC210" s="2"/>
      <c r="BD210" s="2"/>
      <c r="BE210" s="2"/>
      <c r="BF210" s="3">
        <v>1</v>
      </c>
      <c r="BG210" s="3">
        <v>1</v>
      </c>
      <c r="BH210" s="2"/>
      <c r="BI210" s="158"/>
      <c r="BJ210" s="158"/>
      <c r="BK210" s="139">
        <f>Table11[[#This Row],[Average MHT
(Feet)]]/16</f>
        <v>0</v>
      </c>
      <c r="BL210" s="2"/>
      <c r="BM210" s="139">
        <f>Table11[[#This Row],[Average DBH
(inches)]]/18</f>
        <v>0</v>
      </c>
      <c r="BN210" s="235">
        <f>((Table11[[#This Row],[Average DBH
(inches)]]-4)^2)*(Table11[[#This Row],[Average MHT
(Feet)]]/16)</f>
        <v>0</v>
      </c>
      <c r="BO210" s="235">
        <f>Table11[[#This Row],[Average BF]]*Table11[[#This Row],[2024 '#Trees Inventory + Estimate]]</f>
        <v>0</v>
      </c>
      <c r="BP210" s="240">
        <f>(Table11[[#This Row],[Harvest Year
(10 year)]]-Table11[[#This Row],[Year of Inventory]]+1)*(Table11[[#This Row],[Average DBH
(inches)]]/(Table11[[#This Row],[Harvest Year
(10 year)]]-Table11[[#This Row],[Year of Inventory]]+1))+Table11[[#This Row],[Average DBH
(inches)]]</f>
        <v>0</v>
      </c>
      <c r="BQ210" s="235">
        <f>((Table11[[#This Row],[Projected DBH
(Extrapolated Growth/Year)]]-4)^2)*(Table11[[#This Row],[Average MHT
(Feet)]]/16)</f>
        <v>0</v>
      </c>
      <c r="BR210" s="235">
        <f>Table11[[#This Row],[Projected Average BF]]*Table11[[#This Row],[2024 '#Trees Inventory + Estimate]]</f>
        <v>0</v>
      </c>
      <c r="BS210" s="235">
        <f>196*Table11[[#This Row],[2024 '#Trees Inventory + Estimate]]</f>
        <v>0</v>
      </c>
      <c r="BT210" s="235">
        <f>Table11[[#This Row],[ETP Offering Expected BF]]-Table11[[#This Row],[Projected Total BF]]</f>
        <v>0</v>
      </c>
      <c r="BU210" s="235">
        <f>(18-Table11[[#This Row],[Average DBH
(inches)]])/(D210-Table11[[#This Row],[Year of Inventory]]+1)</f>
        <v>18</v>
      </c>
    </row>
    <row r="211" spans="1:73" hidden="1" x14ac:dyDescent="0.25">
      <c r="A211" s="7" t="s">
        <v>1221</v>
      </c>
      <c r="B211" s="2" t="s">
        <v>1217</v>
      </c>
      <c r="C211" s="2">
        <v>2020</v>
      </c>
      <c r="D211" s="2">
        <v>0</v>
      </c>
      <c r="E211" t="s">
        <v>1222</v>
      </c>
      <c r="F211" s="161">
        <v>40009</v>
      </c>
      <c r="G211" t="s">
        <v>1223</v>
      </c>
      <c r="H211" s="357"/>
      <c r="I211" t="s">
        <v>160</v>
      </c>
      <c r="J211" s="1"/>
      <c r="K211" s="1"/>
      <c r="L211" s="1"/>
      <c r="M211" s="1" t="s">
        <v>621</v>
      </c>
      <c r="Q211" s="2"/>
      <c r="R211" s="86"/>
      <c r="S211" s="2"/>
      <c r="T211" s="1"/>
      <c r="U211" s="1"/>
      <c r="V211" s="1" t="str">
        <f>IF(Table11[[#This Row],['#TreesContract]]-Table11[[#This Row],['#Planted]]=0,"",Table11[[#This Row],['#TreesContract]]-Table11[[#This Row],['#Planted]])</f>
        <v/>
      </c>
      <c r="W211" s="2"/>
      <c r="X211" s="34">
        <v>1</v>
      </c>
      <c r="Y211" s="163"/>
      <c r="Z211" s="163"/>
      <c r="AA211" s="34"/>
      <c r="AB211" s="163"/>
      <c r="AC211" s="34"/>
      <c r="AD211" s="163"/>
      <c r="AE211" s="163">
        <f>Table11[[#This Row],[Canada Allocation-tree '#''s]]+Table11[[#This Row],[Can trees/Allocation 2017]]</f>
        <v>0</v>
      </c>
      <c r="AF211" s="5">
        <v>0</v>
      </c>
      <c r="AG211" s="35">
        <v>0</v>
      </c>
      <c r="AH211" s="35">
        <f>Table11[[#This Row],['#Trees as of 12/31/23]]*Table11[[#This Row],[USA Allocation %]]</f>
        <v>0</v>
      </c>
      <c r="AI211" s="404">
        <f>Table11[[#This Row],['#TreesContract]]*Table11[[#This Row],[2024 Inventory Survival%-master]]</f>
        <v>0</v>
      </c>
      <c r="AJ211" s="5">
        <v>0</v>
      </c>
      <c r="AK211" s="5">
        <v>0</v>
      </c>
      <c r="AL211" s="5">
        <v>0</v>
      </c>
      <c r="AM211" s="35">
        <v>0</v>
      </c>
      <c r="AN211" s="35">
        <f>Table11[[#This Row],[2024 '#Trees Inventory + Estimate]]*Table11[[#This Row],[USA Allocation %]]</f>
        <v>0</v>
      </c>
      <c r="AO211" s="35">
        <f>Table11[[#This Row],[2024 '#Trees Inventory + Estimate]]*Table11[[#This Row],[Canada Allocation %]]</f>
        <v>0</v>
      </c>
      <c r="AP211" s="35">
        <f>Table11[[#This Row],[2024 '#Trees Inventory + Estimate]]*Table11[[#This Row],[Canada Allocation2017 %]]</f>
        <v>0</v>
      </c>
      <c r="AQ211" s="35">
        <f>Table11[[#This Row],['#Trees as of 2024/estimate-Can allocation]]+Table11[[#This Row],['#Trees as of 2024/estimate-Can allocation 2017]]</f>
        <v>0</v>
      </c>
      <c r="AR211" s="1"/>
      <c r="AS211" s="2"/>
      <c r="AT211" s="6" t="str">
        <f>IFERROR(Table11[[#This Row],['#Total Replacements]]/Table11[[#This Row],['#TreesContract]],"")</f>
        <v/>
      </c>
      <c r="AU211" s="4">
        <f>IF(SUM(Table11[[#This Row],['#Replace 24]:['#Replace 16]])=0,0,SUM(Table11[[#This Row],['#Replace 24]:['#Replace 16]]))</f>
        <v>0</v>
      </c>
      <c r="AV211" s="2"/>
      <c r="AW211" s="2"/>
      <c r="AX211" s="3"/>
      <c r="AY211" s="2"/>
      <c r="AZ211" s="2"/>
      <c r="BA211" s="2"/>
      <c r="BB211" s="2"/>
      <c r="BC211" s="2"/>
      <c r="BD211" s="2"/>
      <c r="BE211" s="2"/>
      <c r="BF211" s="43"/>
      <c r="BG211" s="3"/>
      <c r="BH211" s="2"/>
      <c r="BI211" s="158"/>
      <c r="BJ211" s="158"/>
      <c r="BK211" s="139">
        <f>Table11[[#This Row],[Average MHT
(Feet)]]/16</f>
        <v>0</v>
      </c>
      <c r="BL211" s="2"/>
      <c r="BM211" s="139">
        <f>Table11[[#This Row],[Average DBH
(inches)]]/18</f>
        <v>0</v>
      </c>
      <c r="BN211" s="235">
        <f>((Table11[[#This Row],[Average DBH
(inches)]]-4)^2)*(Table11[[#This Row],[Average MHT
(Feet)]]/16)</f>
        <v>0</v>
      </c>
      <c r="BO211" s="235">
        <f>Table11[[#This Row],[Average BF]]*Table11[[#This Row],[2024 '#Trees Inventory + Estimate]]</f>
        <v>0</v>
      </c>
      <c r="BP211" s="240">
        <f>(Table11[[#This Row],[Harvest Year
(10 year)]]-Table11[[#This Row],[Year of Inventory]]+1)*(Table11[[#This Row],[Average DBH
(inches)]]/(Table11[[#This Row],[Harvest Year
(10 year)]]-Table11[[#This Row],[Year of Inventory]]+1))+Table11[[#This Row],[Average DBH
(inches)]]</f>
        <v>0</v>
      </c>
      <c r="BQ211" s="235">
        <f>((Table11[[#This Row],[Projected DBH
(Extrapolated Growth/Year)]]-4)^2)*(Table11[[#This Row],[Average MHT
(Feet)]]/16)</f>
        <v>0</v>
      </c>
      <c r="BR211" s="235">
        <f>Table11[[#This Row],[Projected Average BF]]*Table11[[#This Row],[2024 '#Trees Inventory + Estimate]]</f>
        <v>0</v>
      </c>
      <c r="BS211" s="235">
        <f>196*Table11[[#This Row],[2024 '#Trees Inventory + Estimate]]</f>
        <v>0</v>
      </c>
      <c r="BT211" s="235">
        <f>Table11[[#This Row],[ETP Offering Expected BF]]-Table11[[#This Row],[Projected Total BF]]</f>
        <v>0</v>
      </c>
      <c r="BU211" s="235">
        <f>(18-Table11[[#This Row],[Average DBH
(inches)]])/(D211-Table11[[#This Row],[Year of Inventory]]+1)</f>
        <v>18</v>
      </c>
    </row>
    <row r="212" spans="1:73" hidden="1" x14ac:dyDescent="0.25">
      <c r="A212" s="7" t="s">
        <v>1224</v>
      </c>
      <c r="B212" s="2">
        <v>2020</v>
      </c>
      <c r="C212" s="2">
        <v>2020</v>
      </c>
      <c r="D212" s="2">
        <v>0</v>
      </c>
      <c r="E212" t="s">
        <v>1225</v>
      </c>
      <c r="F212" s="161">
        <v>40010</v>
      </c>
      <c r="G212" t="s">
        <v>1226</v>
      </c>
      <c r="H212" s="357"/>
      <c r="I212" t="s">
        <v>160</v>
      </c>
      <c r="J212" s="1"/>
      <c r="K212" s="1"/>
      <c r="L212" s="1"/>
      <c r="M212" s="1" t="s">
        <v>621</v>
      </c>
      <c r="Q212" s="2"/>
      <c r="R212" s="86"/>
      <c r="S212" s="2"/>
      <c r="T212" s="1">
        <v>4400</v>
      </c>
      <c r="U212" s="1">
        <v>4400</v>
      </c>
      <c r="V212" s="1" t="str">
        <f>IF(Table11[[#This Row],['#TreesContract]]-Table11[[#This Row],['#Planted]]=0,"",Table11[[#This Row],['#TreesContract]]-Table11[[#This Row],['#Planted]])</f>
        <v/>
      </c>
      <c r="W212" s="2"/>
      <c r="X212" s="34">
        <v>1</v>
      </c>
      <c r="Y212" s="163">
        <f>Table11[[#This Row],['#TreesContract]]*Table11[[#This Row],[USA Allocation %]]</f>
        <v>4400</v>
      </c>
      <c r="Z212" s="163">
        <f>Table11[[#This Row],['#Planted]]*Table11[[#This Row],[USA Allocation %]]</f>
        <v>4400</v>
      </c>
      <c r="AA212" s="34"/>
      <c r="AB212" s="163"/>
      <c r="AC212" s="34"/>
      <c r="AD212" s="163"/>
      <c r="AE212" s="163">
        <f>Table11[[#This Row],[Canada Allocation-tree '#''s]]+Table11[[#This Row],[Can trees/Allocation 2017]]</f>
        <v>0</v>
      </c>
      <c r="AF212" s="5">
        <v>0</v>
      </c>
      <c r="AG212" s="35">
        <v>0</v>
      </c>
      <c r="AH212" s="35">
        <f>Table11[[#This Row],['#Trees as of 12/31/23]]*Table11[[#This Row],[USA Allocation %]]</f>
        <v>0</v>
      </c>
      <c r="AI212" s="404">
        <f>Table11[[#This Row],['#TreesContract]]*Table11[[#This Row],[2024 Inventory Survival%-master]]</f>
        <v>0</v>
      </c>
      <c r="AJ212" s="5">
        <v>0</v>
      </c>
      <c r="AK212" s="5">
        <v>0</v>
      </c>
      <c r="AL212" s="5">
        <v>0</v>
      </c>
      <c r="AM212" s="35">
        <v>0</v>
      </c>
      <c r="AN212" s="35">
        <f>Table11[[#This Row],[2024 '#Trees Inventory + Estimate]]*Table11[[#This Row],[USA Allocation %]]</f>
        <v>0</v>
      </c>
      <c r="AO212" s="35">
        <f>Table11[[#This Row],[2024 '#Trees Inventory + Estimate]]*Table11[[#This Row],[Canada Allocation %]]</f>
        <v>0</v>
      </c>
      <c r="AP212" s="35">
        <f>Table11[[#This Row],[2024 '#Trees Inventory + Estimate]]*Table11[[#This Row],[Canada Allocation2017 %]]</f>
        <v>0</v>
      </c>
      <c r="AQ212" s="35">
        <f>Table11[[#This Row],['#Trees as of 2024/estimate-Can allocation]]+Table11[[#This Row],['#Trees as of 2024/estimate-Can allocation 2017]]</f>
        <v>0</v>
      </c>
      <c r="AR212" s="1"/>
      <c r="AS212" s="2"/>
      <c r="AT212" s="6">
        <f>IFERROR(Table11[[#This Row],['#Total Replacements]]/Table11[[#This Row],['#TreesContract]],"")</f>
        <v>0</v>
      </c>
      <c r="AU212" s="4">
        <f>IF(SUM(Table11[[#This Row],['#Replace 24]:['#Replace 16]])=0,0,SUM(Table11[[#This Row],['#Replace 24]:['#Replace 16]]))</f>
        <v>0</v>
      </c>
      <c r="AV212" s="2"/>
      <c r="AW212" s="2"/>
      <c r="AX212" s="3"/>
      <c r="AY212" s="2"/>
      <c r="AZ212" s="2"/>
      <c r="BA212" s="2"/>
      <c r="BB212" s="2"/>
      <c r="BC212" s="2"/>
      <c r="BD212" s="2"/>
      <c r="BE212" s="2"/>
      <c r="BF212" s="3">
        <v>1</v>
      </c>
      <c r="BG212" s="3"/>
      <c r="BH212" s="2"/>
      <c r="BI212" s="2"/>
      <c r="BJ212" s="2"/>
      <c r="BK212" s="139">
        <f>Table11[[#This Row],[Average MHT
(Feet)]]/16</f>
        <v>0</v>
      </c>
      <c r="BL212" s="2"/>
      <c r="BM212" s="139">
        <f>Table11[[#This Row],[Average DBH
(inches)]]/18</f>
        <v>0</v>
      </c>
      <c r="BN212" s="235">
        <f>((Table11[[#This Row],[Average DBH
(inches)]]-4)^2)*(Table11[[#This Row],[Average MHT
(Feet)]]/16)</f>
        <v>0</v>
      </c>
      <c r="BO212" s="235">
        <f>Table11[[#This Row],[Average BF]]*Table11[[#This Row],[2024 '#Trees Inventory + Estimate]]</f>
        <v>0</v>
      </c>
      <c r="BP212" s="240">
        <f>(Table11[[#This Row],[Harvest Year
(10 year)]]-Table11[[#This Row],[Year of Inventory]]+1)*(Table11[[#This Row],[Average DBH
(inches)]]/(Table11[[#This Row],[Harvest Year
(10 year)]]-Table11[[#This Row],[Year of Inventory]]+1))+Table11[[#This Row],[Average DBH
(inches)]]</f>
        <v>0</v>
      </c>
      <c r="BQ212" s="235">
        <f>((Table11[[#This Row],[Projected DBH
(Extrapolated Growth/Year)]]-4)^2)*(Table11[[#This Row],[Average MHT
(Feet)]]/16)</f>
        <v>0</v>
      </c>
      <c r="BR212" s="235">
        <f>Table11[[#This Row],[Projected Average BF]]*Table11[[#This Row],[2024 '#Trees Inventory + Estimate]]</f>
        <v>0</v>
      </c>
      <c r="BS212" s="235">
        <f>196*Table11[[#This Row],[2024 '#Trees Inventory + Estimate]]</f>
        <v>0</v>
      </c>
      <c r="BT212" s="235">
        <f>Table11[[#This Row],[ETP Offering Expected BF]]-Table11[[#This Row],[Projected Total BF]]</f>
        <v>0</v>
      </c>
      <c r="BU212" s="235">
        <f>(18-Table11[[#This Row],[Average DBH
(inches)]])/(D212-Table11[[#This Row],[Year of Inventory]]+1)</f>
        <v>18</v>
      </c>
    </row>
    <row r="213" spans="1:73" hidden="1" x14ac:dyDescent="0.25">
      <c r="A213" s="7" t="s">
        <v>1227</v>
      </c>
      <c r="B213" s="2" t="s">
        <v>1217</v>
      </c>
      <c r="C213" s="2">
        <v>2020</v>
      </c>
      <c r="D213" s="2">
        <f>Table11[[#This Row],[Planting Year]]+9</f>
        <v>2029</v>
      </c>
      <c r="E213" t="s">
        <v>1228</v>
      </c>
      <c r="F213" s="161">
        <v>40011</v>
      </c>
      <c r="G213" t="s">
        <v>1228</v>
      </c>
      <c r="H213" s="357" t="s">
        <v>1229</v>
      </c>
      <c r="I213" t="s">
        <v>147</v>
      </c>
      <c r="J213" s="1" t="s">
        <v>1230</v>
      </c>
      <c r="K213" s="1" t="s">
        <v>1231</v>
      </c>
      <c r="L213" s="1" t="s">
        <v>1232</v>
      </c>
      <c r="M213" s="1" t="s">
        <v>621</v>
      </c>
      <c r="N213" t="s">
        <v>1233</v>
      </c>
      <c r="O213">
        <v>20.389147999999999</v>
      </c>
      <c r="P213">
        <v>-101.579335</v>
      </c>
      <c r="Q213">
        <v>20.3781949</v>
      </c>
      <c r="R213" s="2">
        <v>-101.549031</v>
      </c>
      <c r="S213" s="2"/>
      <c r="T213" s="1">
        <v>12000</v>
      </c>
      <c r="U213" s="1">
        <v>12000</v>
      </c>
      <c r="V213" s="1" t="str">
        <f>IF(Table11[[#This Row],['#TreesContract]]-Table11[[#This Row],['#Planted]]=0,"",Table11[[#This Row],['#TreesContract]]-Table11[[#This Row],['#Planted]])</f>
        <v/>
      </c>
      <c r="W213" s="2"/>
      <c r="X213" s="34">
        <v>1</v>
      </c>
      <c r="Y213" s="163">
        <f>Table11[[#This Row],['#TreesContract]]*Table11[[#This Row],[USA Allocation %]]</f>
        <v>12000</v>
      </c>
      <c r="Z213" s="163">
        <f>Table11[[#This Row],['#Planted]]*Table11[[#This Row],[USA Allocation %]]</f>
        <v>12000</v>
      </c>
      <c r="AA213" s="34"/>
      <c r="AB213" s="163"/>
      <c r="AC213" s="34"/>
      <c r="AD213" s="163"/>
      <c r="AE213" s="163">
        <f>Table11[[#This Row],[Canada Allocation-tree '#''s]]+Table11[[#This Row],[Can trees/Allocation 2017]]</f>
        <v>0</v>
      </c>
      <c r="AF213" s="5">
        <v>0.34</v>
      </c>
      <c r="AG213" s="35">
        <v>4080</v>
      </c>
      <c r="AH213" s="35">
        <f>Table11[[#This Row],['#Trees as of 12/31/23]]*Table11[[#This Row],[USA Allocation %]]</f>
        <v>4080</v>
      </c>
      <c r="AI213" s="404">
        <f>Table11[[#This Row],['#TreesContract]]*Table11[[#This Row],[2024 Inventory Survival%-master]]</f>
        <v>0</v>
      </c>
      <c r="AJ213" s="5"/>
      <c r="AK213" s="5">
        <v>0.34</v>
      </c>
      <c r="AL213" s="5">
        <v>0.34</v>
      </c>
      <c r="AM213" s="35">
        <f>AK213*Table11[[#This Row],['#TreesContract]]</f>
        <v>4080.0000000000005</v>
      </c>
      <c r="AN213" s="35">
        <f>Table11[[#This Row],[2024 '#Trees Inventory + Estimate]]*Table11[[#This Row],[USA Allocation %]]</f>
        <v>4080.0000000000005</v>
      </c>
      <c r="AO213" s="35">
        <f>Table11[[#This Row],[2024 '#Trees Inventory + Estimate]]*Table11[[#This Row],[Canada Allocation %]]</f>
        <v>0</v>
      </c>
      <c r="AP213" s="35">
        <f>Table11[[#This Row],[2024 '#Trees Inventory + Estimate]]*Table11[[#This Row],[Canada Allocation2017 %]]</f>
        <v>0</v>
      </c>
      <c r="AQ213" s="35">
        <f>Table11[[#This Row],['#Trees as of 2024/estimate-Can allocation]]+Table11[[#This Row],['#Trees as of 2024/estimate-Can allocation 2017]]</f>
        <v>0</v>
      </c>
      <c r="AR213" s="1"/>
      <c r="AS213" s="2"/>
      <c r="AT213" s="6">
        <f>IFERROR(Table11[[#This Row],['#Total Replacements]]/Table11[[#This Row],['#TreesContract]],"")</f>
        <v>0.22616666666666665</v>
      </c>
      <c r="AU213" s="4">
        <f>IF(SUM(Table11[[#This Row],['#Replace 24]:['#Replace 16]])=0,0,SUM(Table11[[#This Row],['#Replace 24]:['#Replace 16]]))</f>
        <v>2714</v>
      </c>
      <c r="AV213" s="2"/>
      <c r="AW213" s="2"/>
      <c r="AX213" s="3"/>
      <c r="AY213" s="2"/>
      <c r="AZ213" s="2">
        <v>2714</v>
      </c>
      <c r="BA213" s="2"/>
      <c r="BB213" s="2"/>
      <c r="BC213" s="2"/>
      <c r="BD213" s="2"/>
      <c r="BE213" s="2"/>
      <c r="BF213" s="3">
        <v>1</v>
      </c>
      <c r="BG213" s="3">
        <v>1</v>
      </c>
      <c r="BH213" s="2"/>
      <c r="BI213" s="158"/>
      <c r="BJ213" s="158"/>
      <c r="BK213" s="139">
        <f>Table11[[#This Row],[Average MHT
(Feet)]]/16</f>
        <v>0</v>
      </c>
      <c r="BL213" s="2"/>
      <c r="BM213" s="139">
        <f>Table11[[#This Row],[Average DBH
(inches)]]/18</f>
        <v>0</v>
      </c>
      <c r="BN213" s="235">
        <f>((Table11[[#This Row],[Average DBH
(inches)]]-4)^2)*(Table11[[#This Row],[Average MHT
(Feet)]]/16)</f>
        <v>0</v>
      </c>
      <c r="BO213" s="235">
        <f>Table11[[#This Row],[Average BF]]*Table11[[#This Row],[2024 '#Trees Inventory + Estimate]]</f>
        <v>0</v>
      </c>
      <c r="BP213" s="240">
        <f>(Table11[[#This Row],[Harvest Year
(10 year)]]-Table11[[#This Row],[Year of Inventory]]+1)*(Table11[[#This Row],[Average DBH
(inches)]]/(Table11[[#This Row],[Harvest Year
(10 year)]]-Table11[[#This Row],[Year of Inventory]]+1))+Table11[[#This Row],[Average DBH
(inches)]]</f>
        <v>0</v>
      </c>
      <c r="BQ213" s="235">
        <f>((Table11[[#This Row],[Projected DBH
(Extrapolated Growth/Year)]]-4)^2)*(Table11[[#This Row],[Average MHT
(Feet)]]/16)</f>
        <v>0</v>
      </c>
      <c r="BR213" s="235">
        <f>Table11[[#This Row],[Projected Average BF]]*Table11[[#This Row],[2024 '#Trees Inventory + Estimate]]</f>
        <v>0</v>
      </c>
      <c r="BS213" s="235">
        <f>196*Table11[[#This Row],[2024 '#Trees Inventory + Estimate]]</f>
        <v>799680.00000000012</v>
      </c>
      <c r="BT213" s="235">
        <f>Table11[[#This Row],[ETP Offering Expected BF]]-Table11[[#This Row],[Projected Total BF]]</f>
        <v>799680.00000000012</v>
      </c>
      <c r="BU213" s="235">
        <f>(18-Table11[[#This Row],[Average DBH
(inches)]])/(D213-Table11[[#This Row],[Year of Inventory]]+1)</f>
        <v>8.8669950738916262E-3</v>
      </c>
    </row>
    <row r="214" spans="1:73" hidden="1" x14ac:dyDescent="0.25">
      <c r="A214" s="7" t="s">
        <v>1234</v>
      </c>
      <c r="B214" s="2">
        <v>2020</v>
      </c>
      <c r="C214" s="2">
        <v>2020</v>
      </c>
      <c r="D214" s="2">
        <f>Table11[[#This Row],[Planting Year]]+9</f>
        <v>2029</v>
      </c>
      <c r="E214" t="s">
        <v>1235</v>
      </c>
      <c r="F214" s="161">
        <v>40012</v>
      </c>
      <c r="G214" t="s">
        <v>1235</v>
      </c>
      <c r="H214" s="357" t="s">
        <v>1236</v>
      </c>
      <c r="I214" t="s">
        <v>155</v>
      </c>
      <c r="J214" s="1" t="s">
        <v>1237</v>
      </c>
      <c r="K214" s="1" t="s">
        <v>1238</v>
      </c>
      <c r="L214" s="1" t="s">
        <v>1239</v>
      </c>
      <c r="M214" s="1" t="s">
        <v>621</v>
      </c>
      <c r="N214" t="s">
        <v>1240</v>
      </c>
      <c r="O214">
        <v>20.253388999999999</v>
      </c>
      <c r="P214">
        <v>-102.08411099999999</v>
      </c>
      <c r="Q214" s="2"/>
      <c r="R214" s="86"/>
      <c r="S214" s="2"/>
      <c r="T214" s="1">
        <v>2750</v>
      </c>
      <c r="U214" s="1">
        <v>2750</v>
      </c>
      <c r="V214" s="1" t="str">
        <f>IF(Table11[[#This Row],['#TreesContract]]-Table11[[#This Row],['#Planted]]=0,"",Table11[[#This Row],['#TreesContract]]-Table11[[#This Row],['#Planted]])</f>
        <v/>
      </c>
      <c r="W214" s="2"/>
      <c r="X214" s="34">
        <v>1</v>
      </c>
      <c r="Y214" s="163">
        <f>Table11[[#This Row],['#TreesContract]]*Table11[[#This Row],[USA Allocation %]]</f>
        <v>2750</v>
      </c>
      <c r="Z214" s="163">
        <f>Table11[[#This Row],['#Planted]]*Table11[[#This Row],[USA Allocation %]]</f>
        <v>2750</v>
      </c>
      <c r="AA214" s="34"/>
      <c r="AB214" s="163"/>
      <c r="AC214" s="34"/>
      <c r="AD214" s="163"/>
      <c r="AE214" s="163">
        <f>Table11[[#This Row],[Canada Allocation-tree '#''s]]+Table11[[#This Row],[Can trees/Allocation 2017]]</f>
        <v>0</v>
      </c>
      <c r="AF214" s="5">
        <v>0.66</v>
      </c>
      <c r="AG214" s="35">
        <v>1815</v>
      </c>
      <c r="AH214" s="35">
        <f>Table11[[#This Row],['#Trees as of 12/31/23]]*Table11[[#This Row],[USA Allocation %]]</f>
        <v>1815</v>
      </c>
      <c r="AI214" s="437">
        <f>Table11[[#This Row],['#TreesContract]]*Table11[[#This Row],[2024 Inventory Survival%-master]]</f>
        <v>0</v>
      </c>
      <c r="AJ214" s="436"/>
      <c r="AK214" s="5">
        <v>0.66</v>
      </c>
      <c r="AL214" s="5">
        <v>0.66</v>
      </c>
      <c r="AM214" s="35">
        <v>1815</v>
      </c>
      <c r="AN214" s="35">
        <f>Table11[[#This Row],[2024 '#Trees Inventory + Estimate]]*Table11[[#This Row],[USA Allocation %]]</f>
        <v>1815</v>
      </c>
      <c r="AO214" s="35">
        <f>Table11[[#This Row],[2024 '#Trees Inventory + Estimate]]*Table11[[#This Row],[Canada Allocation %]]</f>
        <v>0</v>
      </c>
      <c r="AP214" s="35">
        <f>Table11[[#This Row],[2024 '#Trees Inventory + Estimate]]*Table11[[#This Row],[Canada Allocation2017 %]]</f>
        <v>0</v>
      </c>
      <c r="AQ214" s="35">
        <f>Table11[[#This Row],['#Trees as of 2024/estimate-Can allocation]]+Table11[[#This Row],['#Trees as of 2024/estimate-Can allocation 2017]]</f>
        <v>0</v>
      </c>
      <c r="AR214" s="1"/>
      <c r="AS214" s="2"/>
      <c r="AT214" s="6">
        <f>IFERROR(Table11[[#This Row],['#Total Replacements]]/Table11[[#This Row],['#TreesContract]],"")</f>
        <v>0</v>
      </c>
      <c r="AU214" s="4">
        <f>IF(SUM(Table11[[#This Row],['#Replace 24]:['#Replace 16]])=0,0,SUM(Table11[[#This Row],['#Replace 24]:['#Replace 16]]))</f>
        <v>0</v>
      </c>
      <c r="AV214" s="2"/>
      <c r="AW214" s="2"/>
      <c r="AX214" s="3"/>
      <c r="AY214" s="2"/>
      <c r="AZ214" s="2"/>
      <c r="BA214" s="2"/>
      <c r="BB214" s="2"/>
      <c r="BC214" s="2"/>
      <c r="BD214" s="2"/>
      <c r="BE214" s="2"/>
      <c r="BF214" s="3">
        <v>1</v>
      </c>
      <c r="BG214" s="3">
        <v>1</v>
      </c>
      <c r="BH214" s="2"/>
      <c r="BI214" s="2"/>
      <c r="BJ214" s="2"/>
      <c r="BK214" s="139">
        <f>Table11[[#This Row],[Average MHT
(Feet)]]/16</f>
        <v>0</v>
      </c>
      <c r="BL214" s="2"/>
      <c r="BM214" s="139">
        <f>Table11[[#This Row],[Average DBH
(inches)]]/18</f>
        <v>0</v>
      </c>
      <c r="BN214" s="235">
        <f>((Table11[[#This Row],[Average DBH
(inches)]]-4)^2)*(Table11[[#This Row],[Average MHT
(Feet)]]/16)</f>
        <v>0</v>
      </c>
      <c r="BO214" s="235">
        <f>Table11[[#This Row],[Average BF]]*Table11[[#This Row],[2024 '#Trees Inventory + Estimate]]</f>
        <v>0</v>
      </c>
      <c r="BP214" s="240">
        <f>(Table11[[#This Row],[Harvest Year
(10 year)]]-Table11[[#This Row],[Year of Inventory]]+1)*(Table11[[#This Row],[Average DBH
(inches)]]/(Table11[[#This Row],[Harvest Year
(10 year)]]-Table11[[#This Row],[Year of Inventory]]+1))+Table11[[#This Row],[Average DBH
(inches)]]</f>
        <v>0</v>
      </c>
      <c r="BQ214" s="235">
        <f>((Table11[[#This Row],[Projected DBH
(Extrapolated Growth/Year)]]-4)^2)*(Table11[[#This Row],[Average MHT
(Feet)]]/16)</f>
        <v>0</v>
      </c>
      <c r="BR214" s="235">
        <f>Table11[[#This Row],[Projected Average BF]]*Table11[[#This Row],[2024 '#Trees Inventory + Estimate]]</f>
        <v>0</v>
      </c>
      <c r="BS214" s="235">
        <f>196*Table11[[#This Row],[2024 '#Trees Inventory + Estimate]]</f>
        <v>355740</v>
      </c>
      <c r="BT214" s="243">
        <f>Table11[[#This Row],[ETP Offering Expected BF]]-Table11[[#This Row],[Projected Total BF]]</f>
        <v>355740</v>
      </c>
      <c r="BU214" s="235">
        <f>(18-Table11[[#This Row],[Average DBH
(inches)]])/(D214-Table11[[#This Row],[Year of Inventory]]+1)</f>
        <v>8.8669950738916262E-3</v>
      </c>
    </row>
    <row r="215" spans="1:73" hidden="1" x14ac:dyDescent="0.25">
      <c r="A215" s="7" t="s">
        <v>1241</v>
      </c>
      <c r="B215" s="2">
        <v>2020</v>
      </c>
      <c r="C215" s="2">
        <v>2020</v>
      </c>
      <c r="D215" s="2">
        <f>Table11[[#This Row],[Planting Year]]+9</f>
        <v>2029</v>
      </c>
      <c r="E215" t="s">
        <v>1242</v>
      </c>
      <c r="F215" s="161">
        <v>40013</v>
      </c>
      <c r="G215" t="s">
        <v>1243</v>
      </c>
      <c r="H215" s="357" t="s">
        <v>1244</v>
      </c>
      <c r="I215" t="s">
        <v>147</v>
      </c>
      <c r="J215" s="1" t="s">
        <v>1245</v>
      </c>
      <c r="K215" s="1" t="s">
        <v>1246</v>
      </c>
      <c r="L215" s="1" t="s">
        <v>1247</v>
      </c>
      <c r="M215" s="1" t="s">
        <v>621</v>
      </c>
      <c r="N215" t="s">
        <v>1248</v>
      </c>
      <c r="O215">
        <v>22.114166999999998</v>
      </c>
      <c r="P215">
        <v>-102.09822800000001</v>
      </c>
      <c r="Q215" s="2"/>
      <c r="R215" s="86"/>
      <c r="S215" s="2"/>
      <c r="T215" s="1">
        <v>3300</v>
      </c>
      <c r="U215" s="1">
        <v>3300</v>
      </c>
      <c r="V215" s="1" t="str">
        <f>IF(Table11[[#This Row],['#TreesContract]]-Table11[[#This Row],['#Planted]]=0,"",Table11[[#This Row],['#TreesContract]]-Table11[[#This Row],['#Planted]])</f>
        <v/>
      </c>
      <c r="W215" s="2"/>
      <c r="X215" s="34">
        <v>1</v>
      </c>
      <c r="Y215" s="163">
        <f>Table11[[#This Row],['#TreesContract]]*Table11[[#This Row],[USA Allocation %]]</f>
        <v>3300</v>
      </c>
      <c r="Z215" s="163">
        <f>Table11[[#This Row],['#Planted]]*Table11[[#This Row],[USA Allocation %]]</f>
        <v>3300</v>
      </c>
      <c r="AA215" s="34"/>
      <c r="AB215" s="163"/>
      <c r="AC215" s="34"/>
      <c r="AD215" s="163"/>
      <c r="AE215" s="163">
        <f>Table11[[#This Row],[Canada Allocation-tree '#''s]]+Table11[[#This Row],[Can trees/Allocation 2017]]</f>
        <v>0</v>
      </c>
      <c r="AF215" s="5">
        <v>0.64</v>
      </c>
      <c r="AG215" s="35">
        <v>2112</v>
      </c>
      <c r="AH215" s="35">
        <f>Table11[[#This Row],['#Trees as of 12/31/23]]*Table11[[#This Row],[USA Allocation %]]</f>
        <v>2112</v>
      </c>
      <c r="AI215" s="404">
        <f>Table11[[#This Row],['#TreesContract]]*Table11[[#This Row],[2024 Inventory Survival%-master]]</f>
        <v>0</v>
      </c>
      <c r="AJ215" s="5"/>
      <c r="AK215" s="5">
        <v>0.64</v>
      </c>
      <c r="AL215" s="5">
        <v>0.64</v>
      </c>
      <c r="AM215" s="35">
        <f>AK215*Table11[[#This Row],['#TreesContract]]</f>
        <v>2112</v>
      </c>
      <c r="AN215" s="35">
        <f>Table11[[#This Row],[2024 '#Trees Inventory + Estimate]]*Table11[[#This Row],[USA Allocation %]]</f>
        <v>2112</v>
      </c>
      <c r="AO215" s="35">
        <f>Table11[[#This Row],[2024 '#Trees Inventory + Estimate]]*Table11[[#This Row],[Canada Allocation %]]</f>
        <v>0</v>
      </c>
      <c r="AP215" s="35">
        <f>Table11[[#This Row],[2024 '#Trees Inventory + Estimate]]*Table11[[#This Row],[Canada Allocation2017 %]]</f>
        <v>0</v>
      </c>
      <c r="AQ215" s="35">
        <f>Table11[[#This Row],['#Trees as of 2024/estimate-Can allocation]]+Table11[[#This Row],['#Trees as of 2024/estimate-Can allocation 2017]]</f>
        <v>0</v>
      </c>
      <c r="AR215" s="1"/>
      <c r="AS215" s="2"/>
      <c r="AT215" s="6">
        <f>IFERROR(Table11[[#This Row],['#Total Replacements]]/Table11[[#This Row],['#TreesContract]],"")</f>
        <v>0.4</v>
      </c>
      <c r="AU215" s="4">
        <f>IF(SUM(Table11[[#This Row],['#Replace 24]:['#Replace 16]])=0,0,SUM(Table11[[#This Row],['#Replace 24]:['#Replace 16]]))</f>
        <v>1320</v>
      </c>
      <c r="AV215" s="2"/>
      <c r="AW215" s="2"/>
      <c r="AX215" s="3"/>
      <c r="AY215" s="2"/>
      <c r="AZ215" s="2">
        <v>1320</v>
      </c>
      <c r="BA215" s="2"/>
      <c r="BB215" s="2"/>
      <c r="BC215" s="2"/>
      <c r="BD215" s="2"/>
      <c r="BE215" s="2"/>
      <c r="BF215" s="3">
        <v>1</v>
      </c>
      <c r="BG215" s="3">
        <v>1</v>
      </c>
      <c r="BH215" s="2"/>
      <c r="BI215" s="158"/>
      <c r="BJ215" s="158"/>
      <c r="BK215" s="139">
        <f>Table11[[#This Row],[Average MHT
(Feet)]]/16</f>
        <v>0</v>
      </c>
      <c r="BL215" s="2"/>
      <c r="BM215" s="139">
        <f>Table11[[#This Row],[Average DBH
(inches)]]/18</f>
        <v>0</v>
      </c>
      <c r="BN215" s="235">
        <f>((Table11[[#This Row],[Average DBH
(inches)]]-4)^2)*(Table11[[#This Row],[Average MHT
(Feet)]]/16)</f>
        <v>0</v>
      </c>
      <c r="BO215" s="235">
        <f>Table11[[#This Row],[Average BF]]*Table11[[#This Row],[2024 '#Trees Inventory + Estimate]]</f>
        <v>0</v>
      </c>
      <c r="BP215" s="240">
        <f>(Table11[[#This Row],[Harvest Year
(10 year)]]-Table11[[#This Row],[Year of Inventory]]+1)*(Table11[[#This Row],[Average DBH
(inches)]]/(Table11[[#This Row],[Harvest Year
(10 year)]]-Table11[[#This Row],[Year of Inventory]]+1))+Table11[[#This Row],[Average DBH
(inches)]]</f>
        <v>0</v>
      </c>
      <c r="BQ215" s="235">
        <f>((Table11[[#This Row],[Projected DBH
(Extrapolated Growth/Year)]]-4)^2)*(Table11[[#This Row],[Average MHT
(Feet)]]/16)</f>
        <v>0</v>
      </c>
      <c r="BR215" s="235">
        <f>Table11[[#This Row],[Projected Average BF]]*Table11[[#This Row],[2024 '#Trees Inventory + Estimate]]</f>
        <v>0</v>
      </c>
      <c r="BS215" s="235">
        <f>196*Table11[[#This Row],[2024 '#Trees Inventory + Estimate]]</f>
        <v>413952</v>
      </c>
      <c r="BT215" s="235">
        <f>Table11[[#This Row],[ETP Offering Expected BF]]-Table11[[#This Row],[Projected Total BF]]</f>
        <v>413952</v>
      </c>
      <c r="BU215" s="235">
        <f>(18-Table11[[#This Row],[Average DBH
(inches)]])/(D215-Table11[[#This Row],[Year of Inventory]]+1)</f>
        <v>8.8669950738916262E-3</v>
      </c>
    </row>
    <row r="216" spans="1:73" hidden="1" x14ac:dyDescent="0.25">
      <c r="A216" s="7" t="s">
        <v>1249</v>
      </c>
      <c r="B216" s="2" t="s">
        <v>1217</v>
      </c>
      <c r="C216" s="2">
        <v>2020</v>
      </c>
      <c r="D216" s="2">
        <v>0</v>
      </c>
      <c r="E216" t="s">
        <v>1250</v>
      </c>
      <c r="F216" s="161">
        <v>40014</v>
      </c>
      <c r="G216" t="s">
        <v>1250</v>
      </c>
      <c r="H216" s="357"/>
      <c r="I216" t="s">
        <v>160</v>
      </c>
      <c r="J216" s="1"/>
      <c r="K216" s="1"/>
      <c r="L216" s="1"/>
      <c r="M216" s="1" t="s">
        <v>621</v>
      </c>
      <c r="Q216" s="2"/>
      <c r="R216" s="86"/>
      <c r="S216" s="2"/>
      <c r="T216" s="1">
        <v>2750</v>
      </c>
      <c r="U216" s="1">
        <v>2750</v>
      </c>
      <c r="V216" s="1" t="str">
        <f>IF(Table11[[#This Row],['#TreesContract]]-Table11[[#This Row],['#Planted]]=0,"",Table11[[#This Row],['#TreesContract]]-Table11[[#This Row],['#Planted]])</f>
        <v/>
      </c>
      <c r="W216" s="2"/>
      <c r="X216" s="34">
        <v>1</v>
      </c>
      <c r="Y216" s="163">
        <f>Table11[[#This Row],['#TreesContract]]*Table11[[#This Row],[USA Allocation %]]</f>
        <v>2750</v>
      </c>
      <c r="Z216" s="163">
        <f>Table11[[#This Row],['#Planted]]*Table11[[#This Row],[USA Allocation %]]</f>
        <v>2750</v>
      </c>
      <c r="AA216" s="34"/>
      <c r="AB216" s="163"/>
      <c r="AC216" s="34"/>
      <c r="AD216" s="163"/>
      <c r="AE216" s="163">
        <f>Table11[[#This Row],[Canada Allocation-tree '#''s]]+Table11[[#This Row],[Can trees/Allocation 2017]]</f>
        <v>0</v>
      </c>
      <c r="AF216" s="5">
        <v>0</v>
      </c>
      <c r="AG216" s="35">
        <v>0</v>
      </c>
      <c r="AH216" s="35">
        <f>Table11[[#This Row],['#Trees as of 12/31/23]]*Table11[[#This Row],[USA Allocation %]]</f>
        <v>0</v>
      </c>
      <c r="AI216" s="404">
        <f>Table11[[#This Row],['#TreesContract]]*Table11[[#This Row],[2024 Inventory Survival%-master]]</f>
        <v>0</v>
      </c>
      <c r="AJ216" s="5">
        <v>0</v>
      </c>
      <c r="AK216" s="5">
        <v>0</v>
      </c>
      <c r="AL216" s="5">
        <v>0</v>
      </c>
      <c r="AM216" s="35">
        <v>0</v>
      </c>
      <c r="AN216" s="35">
        <f>Table11[[#This Row],[2024 '#Trees Inventory + Estimate]]*Table11[[#This Row],[USA Allocation %]]</f>
        <v>0</v>
      </c>
      <c r="AO216" s="35">
        <f>Table11[[#This Row],[2024 '#Trees Inventory + Estimate]]*Table11[[#This Row],[Canada Allocation %]]</f>
        <v>0</v>
      </c>
      <c r="AP216" s="35">
        <f>Table11[[#This Row],[2024 '#Trees Inventory + Estimate]]*Table11[[#This Row],[Canada Allocation2017 %]]</f>
        <v>0</v>
      </c>
      <c r="AQ216" s="35">
        <f>Table11[[#This Row],['#Trees as of 2024/estimate-Can allocation]]+Table11[[#This Row],['#Trees as of 2024/estimate-Can allocation 2017]]</f>
        <v>0</v>
      </c>
      <c r="AR216" s="1"/>
      <c r="AS216" s="2"/>
      <c r="AT216" s="6">
        <f>IFERROR(Table11[[#This Row],['#Total Replacements]]/Table11[[#This Row],['#TreesContract]],"")</f>
        <v>0</v>
      </c>
      <c r="AU216" s="4">
        <f>IF(SUM(Table11[[#This Row],['#Replace 24]:['#Replace 16]])=0,0,SUM(Table11[[#This Row],['#Replace 24]:['#Replace 16]]))</f>
        <v>0</v>
      </c>
      <c r="AV216" s="2"/>
      <c r="AW216" s="2"/>
      <c r="AX216" s="3"/>
      <c r="AY216" s="2"/>
      <c r="AZ216" s="2"/>
      <c r="BA216" s="2"/>
      <c r="BB216" s="2"/>
      <c r="BC216" s="2"/>
      <c r="BD216" s="2"/>
      <c r="BE216" s="2"/>
      <c r="BF216" s="3">
        <v>1</v>
      </c>
      <c r="BG216" s="3">
        <v>1</v>
      </c>
      <c r="BH216" s="2"/>
      <c r="BI216" s="2"/>
      <c r="BJ216" s="2"/>
      <c r="BK216" s="139">
        <f>Table11[[#This Row],[Average MHT
(Feet)]]/16</f>
        <v>0</v>
      </c>
      <c r="BL216" s="2"/>
      <c r="BM216" s="139">
        <f>Table11[[#This Row],[Average DBH
(inches)]]/18</f>
        <v>0</v>
      </c>
      <c r="BN216" s="235">
        <f>((Table11[[#This Row],[Average DBH
(inches)]]-4)^2)*(Table11[[#This Row],[Average MHT
(Feet)]]/16)</f>
        <v>0</v>
      </c>
      <c r="BO216" s="235">
        <f>Table11[[#This Row],[Average BF]]*Table11[[#This Row],[2024 '#Trees Inventory + Estimate]]</f>
        <v>0</v>
      </c>
      <c r="BP216" s="240">
        <f>(Table11[[#This Row],[Harvest Year
(10 year)]]-Table11[[#This Row],[Year of Inventory]]+1)*(Table11[[#This Row],[Average DBH
(inches)]]/(Table11[[#This Row],[Harvest Year
(10 year)]]-Table11[[#This Row],[Year of Inventory]]+1))+Table11[[#This Row],[Average DBH
(inches)]]</f>
        <v>0</v>
      </c>
      <c r="BQ216" s="235">
        <f>((Table11[[#This Row],[Projected DBH
(Extrapolated Growth/Year)]]-4)^2)*(Table11[[#This Row],[Average MHT
(Feet)]]/16)</f>
        <v>0</v>
      </c>
      <c r="BR216" s="235">
        <f>Table11[[#This Row],[Projected Average BF]]*Table11[[#This Row],[2024 '#Trees Inventory + Estimate]]</f>
        <v>0</v>
      </c>
      <c r="BS216" s="235">
        <f>196*Table11[[#This Row],[2024 '#Trees Inventory + Estimate]]</f>
        <v>0</v>
      </c>
      <c r="BT216" s="235">
        <f>Table11[[#This Row],[ETP Offering Expected BF]]-Table11[[#This Row],[Projected Total BF]]</f>
        <v>0</v>
      </c>
      <c r="BU216" s="235">
        <f>(18-Table11[[#This Row],[Average DBH
(inches)]])/(D216-Table11[[#This Row],[Year of Inventory]]+1)</f>
        <v>18</v>
      </c>
    </row>
    <row r="217" spans="1:73" hidden="1" x14ac:dyDescent="0.25">
      <c r="A217" s="7" t="s">
        <v>1251</v>
      </c>
      <c r="B217" s="2">
        <v>2018</v>
      </c>
      <c r="C217" s="2">
        <v>2020</v>
      </c>
      <c r="D217" s="2">
        <v>0</v>
      </c>
      <c r="E217" t="s">
        <v>1252</v>
      </c>
      <c r="F217" s="161">
        <v>40015</v>
      </c>
      <c r="G217" t="s">
        <v>1252</v>
      </c>
      <c r="H217" s="357"/>
      <c r="I217" t="s">
        <v>160</v>
      </c>
      <c r="J217" s="1"/>
      <c r="K217" s="1"/>
      <c r="L217" s="1"/>
      <c r="M217" s="1" t="s">
        <v>621</v>
      </c>
      <c r="Q217" s="2"/>
      <c r="R217" s="86"/>
      <c r="S217" s="2"/>
      <c r="T217" s="1">
        <v>2200</v>
      </c>
      <c r="U217" s="1">
        <v>2200</v>
      </c>
      <c r="V217" s="1" t="str">
        <f>IF(Table11[[#This Row],['#TreesContract]]-Table11[[#This Row],['#Planted]]=0,"",Table11[[#This Row],['#TreesContract]]-Table11[[#This Row],['#Planted]])</f>
        <v/>
      </c>
      <c r="W217" s="2"/>
      <c r="X217" s="34">
        <v>0.64</v>
      </c>
      <c r="Y217" s="163">
        <f>Table11[[#This Row],['#TreesContract]]*Table11[[#This Row],[USA Allocation %]]</f>
        <v>1408</v>
      </c>
      <c r="Z217" s="163">
        <f>Table11[[#This Row],['#Planted]]*Table11[[#This Row],[USA Allocation %]]</f>
        <v>1408</v>
      </c>
      <c r="AA217" s="34">
        <v>0.36</v>
      </c>
      <c r="AB217" s="163">
        <f>Table11[[#This Row],['#TreesContract]]*0.36</f>
        <v>792</v>
      </c>
      <c r="AC217" s="34"/>
      <c r="AD217" s="163"/>
      <c r="AE217" s="163">
        <f>Table11[[#This Row],[Canada Allocation-tree '#''s]]+Table11[[#This Row],[Can trees/Allocation 2017]]</f>
        <v>792</v>
      </c>
      <c r="AF217" s="5">
        <v>0</v>
      </c>
      <c r="AG217" s="35">
        <v>0</v>
      </c>
      <c r="AH217" s="35">
        <f>Table11[[#This Row],['#Trees as of 12/31/23]]*Table11[[#This Row],[USA Allocation %]]</f>
        <v>0</v>
      </c>
      <c r="AI217" s="404">
        <f>Table11[[#This Row],['#TreesContract]]*Table11[[#This Row],[2024 Inventory Survival%-master]]</f>
        <v>0</v>
      </c>
      <c r="AJ217" s="5">
        <v>0</v>
      </c>
      <c r="AK217" s="5">
        <v>0</v>
      </c>
      <c r="AL217" s="5">
        <v>0</v>
      </c>
      <c r="AM217" s="35">
        <f>AK217*Table11[[#This Row],['#TreesContract]]</f>
        <v>0</v>
      </c>
      <c r="AN217" s="35">
        <f>Table11[[#This Row],[2024 '#Trees Inventory + Estimate]]*Table11[[#This Row],[USA Allocation %]]</f>
        <v>0</v>
      </c>
      <c r="AO217" s="35">
        <f>Table11[[#This Row],[2024 '#Trees Inventory + Estimate]]*Table11[[#This Row],[Canada Allocation %]]</f>
        <v>0</v>
      </c>
      <c r="AP217" s="35">
        <f>Table11[[#This Row],[2024 '#Trees Inventory + Estimate]]*Table11[[#This Row],[Canada Allocation2017 %]]</f>
        <v>0</v>
      </c>
      <c r="AQ217" s="35">
        <f>Table11[[#This Row],['#Trees as of 2024/estimate-Can allocation]]+Table11[[#This Row],['#Trees as of 2024/estimate-Can allocation 2017]]</f>
        <v>0</v>
      </c>
      <c r="AR217" s="1"/>
      <c r="AS217" s="2"/>
      <c r="AT217" s="6">
        <f>IFERROR(Table11[[#This Row],['#Total Replacements]]/Table11[[#This Row],['#TreesContract]],"")</f>
        <v>0</v>
      </c>
      <c r="AU217" s="4">
        <f>IF(SUM(Table11[[#This Row],['#Replace 24]:['#Replace 16]])=0,0,SUM(Table11[[#This Row],['#Replace 24]:['#Replace 16]]))</f>
        <v>0</v>
      </c>
      <c r="AV217" s="2"/>
      <c r="AW217" s="2"/>
      <c r="AX217" s="3"/>
      <c r="AY217" s="2"/>
      <c r="AZ217" s="2"/>
      <c r="BA217" s="2"/>
      <c r="BB217" s="2"/>
      <c r="BC217" s="2"/>
      <c r="BD217" s="2"/>
      <c r="BE217" s="2"/>
      <c r="BF217" s="3">
        <v>1</v>
      </c>
      <c r="BG217" s="3">
        <v>1</v>
      </c>
      <c r="BH217" s="2"/>
      <c r="BI217" s="158"/>
      <c r="BJ217" s="158"/>
      <c r="BK217" s="139">
        <f>Table11[[#This Row],[Average MHT
(Feet)]]/16</f>
        <v>0</v>
      </c>
      <c r="BL217" s="2"/>
      <c r="BM217" s="139">
        <f>Table11[[#This Row],[Average DBH
(inches)]]/18</f>
        <v>0</v>
      </c>
      <c r="BN217" s="235">
        <f>((Table11[[#This Row],[Average DBH
(inches)]]-4)^2)*(Table11[[#This Row],[Average MHT
(Feet)]]/16)</f>
        <v>0</v>
      </c>
      <c r="BO217" s="235">
        <f>Table11[[#This Row],[Average BF]]*Table11[[#This Row],[2024 '#Trees Inventory + Estimate]]</f>
        <v>0</v>
      </c>
      <c r="BP217" s="240">
        <f>(Table11[[#This Row],[Harvest Year
(10 year)]]-Table11[[#This Row],[Year of Inventory]]+1)*(Table11[[#This Row],[Average DBH
(inches)]]/(Table11[[#This Row],[Harvest Year
(10 year)]]-Table11[[#This Row],[Year of Inventory]]+1))+Table11[[#This Row],[Average DBH
(inches)]]</f>
        <v>0</v>
      </c>
      <c r="BQ217" s="235">
        <f>((Table11[[#This Row],[Projected DBH
(Extrapolated Growth/Year)]]-4)^2)*(Table11[[#This Row],[Average MHT
(Feet)]]/16)</f>
        <v>0</v>
      </c>
      <c r="BR217" s="235">
        <f>Table11[[#This Row],[Projected Average BF]]*Table11[[#This Row],[2024 '#Trees Inventory + Estimate]]</f>
        <v>0</v>
      </c>
      <c r="BS217" s="235">
        <f>196*Table11[[#This Row],[2024 '#Trees Inventory + Estimate]]</f>
        <v>0</v>
      </c>
      <c r="BT217" s="235">
        <f>Table11[[#This Row],[ETP Offering Expected BF]]-Table11[[#This Row],[Projected Total BF]]</f>
        <v>0</v>
      </c>
      <c r="BU217" s="235">
        <f>(18-Table11[[#This Row],[Average DBH
(inches)]])/(D217-Table11[[#This Row],[Year of Inventory]]+1)</f>
        <v>18</v>
      </c>
    </row>
    <row r="218" spans="1:73" hidden="1" x14ac:dyDescent="0.25">
      <c r="A218" s="7" t="s">
        <v>1253</v>
      </c>
      <c r="B218" s="2" t="s">
        <v>1217</v>
      </c>
      <c r="C218" s="2">
        <v>2020</v>
      </c>
      <c r="D218" s="2">
        <v>0</v>
      </c>
      <c r="E218" t="s">
        <v>1254</v>
      </c>
      <c r="F218" s="161">
        <v>40016</v>
      </c>
      <c r="G218" t="s">
        <v>1254</v>
      </c>
      <c r="H218" s="357"/>
      <c r="I218" t="s">
        <v>160</v>
      </c>
      <c r="J218" s="1"/>
      <c r="K218" s="1"/>
      <c r="L218" s="1"/>
      <c r="M218" s="1" t="s">
        <v>621</v>
      </c>
      <c r="Q218" s="2"/>
      <c r="R218" s="86"/>
      <c r="S218" s="2"/>
      <c r="T218" s="1">
        <v>11550</v>
      </c>
      <c r="U218" s="1">
        <v>11550</v>
      </c>
      <c r="V218" s="1" t="str">
        <f>IF(Table11[[#This Row],['#TreesContract]]-Table11[[#This Row],['#Planted]]=0,"",Table11[[#This Row],['#TreesContract]]-Table11[[#This Row],['#Planted]])</f>
        <v/>
      </c>
      <c r="W218" s="2"/>
      <c r="X218" s="34">
        <v>1</v>
      </c>
      <c r="Y218" s="163">
        <f>Table11[[#This Row],['#TreesContract]]*Table11[[#This Row],[USA Allocation %]]</f>
        <v>11550</v>
      </c>
      <c r="Z218" s="163">
        <f>Table11[[#This Row],['#Planted]]*Table11[[#This Row],[USA Allocation %]]</f>
        <v>11550</v>
      </c>
      <c r="AA218" s="34"/>
      <c r="AB218" s="163"/>
      <c r="AC218" s="34"/>
      <c r="AD218" s="163"/>
      <c r="AE218" s="163">
        <f>Table11[[#This Row],[Canada Allocation-tree '#''s]]+Table11[[#This Row],[Can trees/Allocation 2017]]</f>
        <v>0</v>
      </c>
      <c r="AF218" s="5">
        <v>0</v>
      </c>
      <c r="AG218" s="35">
        <v>0</v>
      </c>
      <c r="AH218" s="35">
        <f>Table11[[#This Row],['#Trees as of 12/31/23]]*Table11[[#This Row],[USA Allocation %]]</f>
        <v>0</v>
      </c>
      <c r="AI218" s="404">
        <f>Table11[[#This Row],['#TreesContract]]*Table11[[#This Row],[2024 Inventory Survival%-master]]</f>
        <v>0</v>
      </c>
      <c r="AJ218" s="5">
        <v>0</v>
      </c>
      <c r="AK218" s="5">
        <v>0</v>
      </c>
      <c r="AL218" s="5">
        <v>0</v>
      </c>
      <c r="AM218" s="35">
        <v>0</v>
      </c>
      <c r="AN218" s="35">
        <f>Table11[[#This Row],[2024 '#Trees Inventory + Estimate]]*Table11[[#This Row],[USA Allocation %]]</f>
        <v>0</v>
      </c>
      <c r="AO218" s="35">
        <f>Table11[[#This Row],[2024 '#Trees Inventory + Estimate]]*Table11[[#This Row],[Canada Allocation %]]</f>
        <v>0</v>
      </c>
      <c r="AP218" s="35">
        <f>Table11[[#This Row],[2024 '#Trees Inventory + Estimate]]*Table11[[#This Row],[Canada Allocation2017 %]]</f>
        <v>0</v>
      </c>
      <c r="AQ218" s="35">
        <f>Table11[[#This Row],['#Trees as of 2024/estimate-Can allocation]]+Table11[[#This Row],['#Trees as of 2024/estimate-Can allocation 2017]]</f>
        <v>0</v>
      </c>
      <c r="AR218" s="1"/>
      <c r="AS218" s="2"/>
      <c r="AT218" s="6">
        <f>IFERROR(Table11[[#This Row],['#Total Replacements]]/Table11[[#This Row],['#TreesContract]],"")</f>
        <v>0</v>
      </c>
      <c r="AU218" s="4">
        <f>IF(SUM(Table11[[#This Row],['#Replace 24]:['#Replace 16]])=0,0,SUM(Table11[[#This Row],['#Replace 24]:['#Replace 16]]))</f>
        <v>0</v>
      </c>
      <c r="AV218" s="2"/>
      <c r="AW218" s="2"/>
      <c r="AX218" s="3"/>
      <c r="AY218" s="2"/>
      <c r="AZ218" s="2"/>
      <c r="BA218" s="2"/>
      <c r="BB218" s="2"/>
      <c r="BC218" s="2"/>
      <c r="BD218" s="2"/>
      <c r="BE218" s="2"/>
      <c r="BF218" s="3">
        <v>1</v>
      </c>
      <c r="BG218" s="3"/>
      <c r="BH218" s="2"/>
      <c r="BI218" s="2"/>
      <c r="BJ218" s="2"/>
      <c r="BK218" s="139">
        <f>Table11[[#This Row],[Average MHT
(Feet)]]/16</f>
        <v>0</v>
      </c>
      <c r="BL218" s="2"/>
      <c r="BM218" s="139">
        <f>Table11[[#This Row],[Average DBH
(inches)]]/18</f>
        <v>0</v>
      </c>
      <c r="BN218" s="235">
        <f>((Table11[[#This Row],[Average DBH
(inches)]]-4)^2)*(Table11[[#This Row],[Average MHT
(Feet)]]/16)</f>
        <v>0</v>
      </c>
      <c r="BO218" s="235">
        <f>Table11[[#This Row],[Average BF]]*Table11[[#This Row],[2024 '#Trees Inventory + Estimate]]</f>
        <v>0</v>
      </c>
      <c r="BP218" s="240">
        <f>(Table11[[#This Row],[Harvest Year
(10 year)]]-Table11[[#This Row],[Year of Inventory]]+1)*(Table11[[#This Row],[Average DBH
(inches)]]/(Table11[[#This Row],[Harvest Year
(10 year)]]-Table11[[#This Row],[Year of Inventory]]+1))+Table11[[#This Row],[Average DBH
(inches)]]</f>
        <v>0</v>
      </c>
      <c r="BQ218" s="235">
        <f>((Table11[[#This Row],[Projected DBH
(Extrapolated Growth/Year)]]-4)^2)*(Table11[[#This Row],[Average MHT
(Feet)]]/16)</f>
        <v>0</v>
      </c>
      <c r="BR218" s="235">
        <f>Table11[[#This Row],[Projected Average BF]]*Table11[[#This Row],[2024 '#Trees Inventory + Estimate]]</f>
        <v>0</v>
      </c>
      <c r="BS218" s="235">
        <f>196*Table11[[#This Row],[2024 '#Trees Inventory + Estimate]]</f>
        <v>0</v>
      </c>
      <c r="BT218" s="235">
        <f>Table11[[#This Row],[ETP Offering Expected BF]]-Table11[[#This Row],[Projected Total BF]]</f>
        <v>0</v>
      </c>
      <c r="BU218" s="235">
        <f>(18-Table11[[#This Row],[Average DBH
(inches)]])/(D218-Table11[[#This Row],[Year of Inventory]]+1)</f>
        <v>18</v>
      </c>
    </row>
    <row r="219" spans="1:73" hidden="1" x14ac:dyDescent="0.25">
      <c r="A219" s="7" t="s">
        <v>1255</v>
      </c>
      <c r="B219" s="2">
        <v>2018</v>
      </c>
      <c r="C219" s="2">
        <v>2020</v>
      </c>
      <c r="D219" s="2">
        <f>Table11[[#This Row],[Planting Year]]+9</f>
        <v>2029</v>
      </c>
      <c r="E219" t="s">
        <v>1256</v>
      </c>
      <c r="F219" s="161">
        <v>40017</v>
      </c>
      <c r="G219" t="s">
        <v>1256</v>
      </c>
      <c r="H219" s="357" t="s">
        <v>1257</v>
      </c>
      <c r="I219" t="s">
        <v>147</v>
      </c>
      <c r="J219" s="1" t="s">
        <v>1258</v>
      </c>
      <c r="K219" s="1" t="s">
        <v>1259</v>
      </c>
      <c r="L219" s="1" t="s">
        <v>1260</v>
      </c>
      <c r="M219" s="1" t="s">
        <v>621</v>
      </c>
      <c r="N219" t="s">
        <v>1261</v>
      </c>
      <c r="O219">
        <v>20.715002999999999</v>
      </c>
      <c r="P219">
        <v>-100.84718100000001</v>
      </c>
      <c r="Q219" s="2"/>
      <c r="R219" s="86"/>
      <c r="S219" s="2"/>
      <c r="T219" s="1">
        <v>1000</v>
      </c>
      <c r="U219" s="1">
        <v>1000</v>
      </c>
      <c r="V219" s="1" t="str">
        <f>IF(Table11[[#This Row],['#TreesContract]]-Table11[[#This Row],['#Planted]]=0,"",Table11[[#This Row],['#TreesContract]]-Table11[[#This Row],['#Planted]])</f>
        <v/>
      </c>
      <c r="W219" s="2"/>
      <c r="X219" s="34">
        <v>0.64</v>
      </c>
      <c r="Y219" s="163">
        <f>Table11[[#This Row],['#TreesContract]]*Table11[[#This Row],[USA Allocation %]]</f>
        <v>640</v>
      </c>
      <c r="Z219" s="163">
        <f>Table11[[#This Row],['#Planted]]*Table11[[#This Row],[USA Allocation %]]</f>
        <v>640</v>
      </c>
      <c r="AA219" s="34">
        <v>0.36</v>
      </c>
      <c r="AB219" s="163">
        <f>Table11[[#This Row],['#TreesContract]]*0.36</f>
        <v>360</v>
      </c>
      <c r="AC219" s="34"/>
      <c r="AD219" s="163"/>
      <c r="AE219" s="163">
        <f>Table11[[#This Row],[Canada Allocation-tree '#''s]]+Table11[[#This Row],[Can trees/Allocation 2017]]</f>
        <v>360</v>
      </c>
      <c r="AF219" s="5">
        <v>0.34</v>
      </c>
      <c r="AG219" s="35">
        <v>340</v>
      </c>
      <c r="AH219" s="35">
        <f>Table11[[#This Row],['#Trees as of 12/31/23]]*Table11[[#This Row],[USA Allocation %]]</f>
        <v>217.6</v>
      </c>
      <c r="AI219" s="404">
        <f>Table11[[#This Row],['#TreesContract]]*Table11[[#This Row],[2024 Inventory Survival%-master]]</f>
        <v>0</v>
      </c>
      <c r="AJ219" s="5"/>
      <c r="AK219" s="5">
        <v>0.34</v>
      </c>
      <c r="AL219" s="5">
        <v>0.34</v>
      </c>
      <c r="AM219" s="35">
        <f>AK219*Table11[[#This Row],['#TreesContract]]</f>
        <v>340</v>
      </c>
      <c r="AN219" s="35">
        <f>Table11[[#This Row],[2024 '#Trees Inventory + Estimate]]*Table11[[#This Row],[USA Allocation %]]</f>
        <v>217.6</v>
      </c>
      <c r="AO219" s="35">
        <f>Table11[[#This Row],[2024 '#Trees Inventory + Estimate]]*Table11[[#This Row],[Canada Allocation %]]</f>
        <v>122.39999999999999</v>
      </c>
      <c r="AP219" s="35">
        <f>Table11[[#This Row],[2024 '#Trees Inventory + Estimate]]*Table11[[#This Row],[Canada Allocation2017 %]]</f>
        <v>0</v>
      </c>
      <c r="AQ219" s="35">
        <f>Table11[[#This Row],['#Trees as of 2024/estimate-Can allocation]]+Table11[[#This Row],['#Trees as of 2024/estimate-Can allocation 2017]]</f>
        <v>122.39999999999999</v>
      </c>
      <c r="AR219" s="1"/>
      <c r="AS219" s="2"/>
      <c r="AT219" s="6">
        <f>IFERROR(Table11[[#This Row],['#Total Replacements]]/Table11[[#This Row],['#TreesContract]],"")</f>
        <v>0</v>
      </c>
      <c r="AU219" s="4">
        <f>IF(SUM(Table11[[#This Row],['#Replace 24]:['#Replace 16]])=0,0,SUM(Table11[[#This Row],['#Replace 24]:['#Replace 16]]))</f>
        <v>0</v>
      </c>
      <c r="AV219" s="2"/>
      <c r="AW219" s="2"/>
      <c r="AX219" s="3"/>
      <c r="AY219" s="2"/>
      <c r="AZ219" s="2"/>
      <c r="BA219" s="2"/>
      <c r="BB219" s="2"/>
      <c r="BC219" s="2"/>
      <c r="BD219" s="2"/>
      <c r="BE219" s="2"/>
      <c r="BF219" s="3">
        <v>1</v>
      </c>
      <c r="BG219" s="3">
        <v>1</v>
      </c>
      <c r="BH219" s="2"/>
      <c r="BI219" s="158"/>
      <c r="BJ219" s="158"/>
      <c r="BK219" s="139">
        <f>Table11[[#This Row],[Average MHT
(Feet)]]/16</f>
        <v>0</v>
      </c>
      <c r="BL219" s="2"/>
      <c r="BM219" s="139">
        <f>Table11[[#This Row],[Average DBH
(inches)]]/18</f>
        <v>0</v>
      </c>
      <c r="BN219" s="235">
        <f>((Table11[[#This Row],[Average DBH
(inches)]]-4)^2)*(Table11[[#This Row],[Average MHT
(Feet)]]/16)</f>
        <v>0</v>
      </c>
      <c r="BO219" s="235">
        <f>Table11[[#This Row],[Average BF]]*Table11[[#This Row],[2024 '#Trees Inventory + Estimate]]</f>
        <v>0</v>
      </c>
      <c r="BP219" s="240">
        <f>(Table11[[#This Row],[Harvest Year
(10 year)]]-Table11[[#This Row],[Year of Inventory]]+1)*(Table11[[#This Row],[Average DBH
(inches)]]/(Table11[[#This Row],[Harvest Year
(10 year)]]-Table11[[#This Row],[Year of Inventory]]+1))+Table11[[#This Row],[Average DBH
(inches)]]</f>
        <v>0</v>
      </c>
      <c r="BQ219" s="235">
        <f>((Table11[[#This Row],[Projected DBH
(Extrapolated Growth/Year)]]-4)^2)*(Table11[[#This Row],[Average MHT
(Feet)]]/16)</f>
        <v>0</v>
      </c>
      <c r="BR219" s="235">
        <f>Table11[[#This Row],[Projected Average BF]]*Table11[[#This Row],[2024 '#Trees Inventory + Estimate]]</f>
        <v>0</v>
      </c>
      <c r="BS219" s="235">
        <f>196*Table11[[#This Row],[2024 '#Trees Inventory + Estimate]]</f>
        <v>66640</v>
      </c>
      <c r="BT219" s="235">
        <f>Table11[[#This Row],[ETP Offering Expected BF]]-Table11[[#This Row],[Projected Total BF]]</f>
        <v>66640</v>
      </c>
      <c r="BU219" s="235">
        <f>(18-Table11[[#This Row],[Average DBH
(inches)]])/(D219-Table11[[#This Row],[Year of Inventory]]+1)</f>
        <v>8.8669950738916262E-3</v>
      </c>
    </row>
    <row r="220" spans="1:73" hidden="1" x14ac:dyDescent="0.25">
      <c r="A220" s="7" t="s">
        <v>1262</v>
      </c>
      <c r="B220" s="2">
        <v>2018</v>
      </c>
      <c r="C220" s="2">
        <v>2020</v>
      </c>
      <c r="D220" s="2">
        <f>Table11[[#This Row],[Planting Year]]+9</f>
        <v>2029</v>
      </c>
      <c r="E220" t="s">
        <v>1263</v>
      </c>
      <c r="F220" s="161">
        <v>40018</v>
      </c>
      <c r="G220" t="s">
        <v>1263</v>
      </c>
      <c r="H220" s="357" t="s">
        <v>1264</v>
      </c>
      <c r="I220" t="s">
        <v>147</v>
      </c>
      <c r="J220" s="1" t="s">
        <v>1265</v>
      </c>
      <c r="K220" s="1" t="s">
        <v>1266</v>
      </c>
      <c r="L220" s="1" t="s">
        <v>1267</v>
      </c>
      <c r="M220" s="1" t="s">
        <v>621</v>
      </c>
      <c r="N220" t="s">
        <v>1268</v>
      </c>
      <c r="O220">
        <v>20.926943999999999</v>
      </c>
      <c r="P220">
        <v>-101.754167</v>
      </c>
      <c r="Q220" s="2"/>
      <c r="R220" s="86"/>
      <c r="S220" s="2"/>
      <c r="T220" s="1">
        <v>9200</v>
      </c>
      <c r="U220" s="1">
        <v>9200</v>
      </c>
      <c r="V220" s="1" t="str">
        <f>IF(Table11[[#This Row],['#TreesContract]]-Table11[[#This Row],['#Planted]]=0,"",Table11[[#This Row],['#TreesContract]]-Table11[[#This Row],['#Planted]])</f>
        <v/>
      </c>
      <c r="W220" s="2"/>
      <c r="X220" s="34">
        <v>0.64</v>
      </c>
      <c r="Y220" s="163">
        <f>Table11[[#This Row],['#TreesContract]]*Table11[[#This Row],[USA Allocation %]]</f>
        <v>5888</v>
      </c>
      <c r="Z220" s="163">
        <f>Table11[[#This Row],['#Planted]]*Table11[[#This Row],[USA Allocation %]]</f>
        <v>5888</v>
      </c>
      <c r="AA220" s="34">
        <v>0.36</v>
      </c>
      <c r="AB220" s="163">
        <f>Table11[[#This Row],['#TreesContract]]*0.36</f>
        <v>3312</v>
      </c>
      <c r="AC220" s="34"/>
      <c r="AD220" s="163"/>
      <c r="AE220" s="163">
        <f>Table11[[#This Row],[Canada Allocation-tree '#''s]]+Table11[[#This Row],[Can trees/Allocation 2017]]</f>
        <v>3312</v>
      </c>
      <c r="AF220" s="5">
        <v>0.85</v>
      </c>
      <c r="AG220" s="35">
        <v>7820</v>
      </c>
      <c r="AH220" s="35">
        <f>Table11[[#This Row],['#Trees as of 12/31/23]]*Table11[[#This Row],[USA Allocation %]]</f>
        <v>5004.8</v>
      </c>
      <c r="AI220" s="404">
        <f>Table11[[#This Row],['#TreesContract]]*Table11[[#This Row],[2024 Inventory Survival%-master]]</f>
        <v>0</v>
      </c>
      <c r="AJ220" s="5"/>
      <c r="AK220" s="5">
        <v>0.85</v>
      </c>
      <c r="AL220" s="5">
        <v>0.85</v>
      </c>
      <c r="AM220" s="35">
        <f>AK220*Table11[[#This Row],['#TreesContract]]</f>
        <v>7820</v>
      </c>
      <c r="AN220" s="35">
        <f>Table11[[#This Row],[2024 '#Trees Inventory + Estimate]]*Table11[[#This Row],[USA Allocation %]]</f>
        <v>5004.8</v>
      </c>
      <c r="AO220" s="35">
        <f>Table11[[#This Row],[2024 '#Trees Inventory + Estimate]]*Table11[[#This Row],[Canada Allocation %]]</f>
        <v>2815.2</v>
      </c>
      <c r="AP220" s="35">
        <f>Table11[[#This Row],[2024 '#Trees Inventory + Estimate]]*Table11[[#This Row],[Canada Allocation2017 %]]</f>
        <v>0</v>
      </c>
      <c r="AQ220" s="35">
        <f>Table11[[#This Row],['#Trees as of 2024/estimate-Can allocation]]+Table11[[#This Row],['#Trees as of 2024/estimate-Can allocation 2017]]</f>
        <v>2815.2</v>
      </c>
      <c r="AR220" s="1"/>
      <c r="AS220" s="2"/>
      <c r="AT220" s="6">
        <f>IFERROR(Table11[[#This Row],['#Total Replacements]]/Table11[[#This Row],['#TreesContract]],"")</f>
        <v>0.14130434782608695</v>
      </c>
      <c r="AU220" s="4">
        <f>IF(SUM(Table11[[#This Row],['#Replace 24]:['#Replace 16]])=0,0,SUM(Table11[[#This Row],['#Replace 24]:['#Replace 16]]))</f>
        <v>1300</v>
      </c>
      <c r="AV220" s="2"/>
      <c r="AW220" s="2"/>
      <c r="AX220" s="3"/>
      <c r="AY220" s="2"/>
      <c r="AZ220" s="2">
        <v>1300</v>
      </c>
      <c r="BA220" s="2"/>
      <c r="BB220" s="2"/>
      <c r="BC220" s="2"/>
      <c r="BD220" s="2"/>
      <c r="BE220" s="2"/>
      <c r="BF220" s="3">
        <v>1</v>
      </c>
      <c r="BG220" s="3">
        <v>1</v>
      </c>
      <c r="BH220" s="2"/>
      <c r="BI220" s="2"/>
      <c r="BJ220" s="2"/>
      <c r="BK220" s="139">
        <f>Table11[[#This Row],[Average MHT
(Feet)]]/16</f>
        <v>0</v>
      </c>
      <c r="BL220" s="2"/>
      <c r="BM220" s="139">
        <f>Table11[[#This Row],[Average DBH
(inches)]]/18</f>
        <v>0</v>
      </c>
      <c r="BN220" s="235">
        <f>((Table11[[#This Row],[Average DBH
(inches)]]-4)^2)*(Table11[[#This Row],[Average MHT
(Feet)]]/16)</f>
        <v>0</v>
      </c>
      <c r="BO220" s="235">
        <f>Table11[[#This Row],[Average BF]]*Table11[[#This Row],[2024 '#Trees Inventory + Estimate]]</f>
        <v>0</v>
      </c>
      <c r="BP220" s="240">
        <f>(Table11[[#This Row],[Harvest Year
(10 year)]]-Table11[[#This Row],[Year of Inventory]]+1)*(Table11[[#This Row],[Average DBH
(inches)]]/(Table11[[#This Row],[Harvest Year
(10 year)]]-Table11[[#This Row],[Year of Inventory]]+1))+Table11[[#This Row],[Average DBH
(inches)]]</f>
        <v>0</v>
      </c>
      <c r="BQ220" s="235">
        <f>((Table11[[#This Row],[Projected DBH
(Extrapolated Growth/Year)]]-4)^2)*(Table11[[#This Row],[Average MHT
(Feet)]]/16)</f>
        <v>0</v>
      </c>
      <c r="BR220" s="235">
        <f>Table11[[#This Row],[Projected Average BF]]*Table11[[#This Row],[2024 '#Trees Inventory + Estimate]]</f>
        <v>0</v>
      </c>
      <c r="BS220" s="235">
        <f>196*Table11[[#This Row],[2024 '#Trees Inventory + Estimate]]</f>
        <v>1532720</v>
      </c>
      <c r="BT220" s="235">
        <f>Table11[[#This Row],[ETP Offering Expected BF]]-Table11[[#This Row],[Projected Total BF]]</f>
        <v>1532720</v>
      </c>
      <c r="BU220" s="235">
        <f>(18-Table11[[#This Row],[Average DBH
(inches)]])/(D220-Table11[[#This Row],[Year of Inventory]]+1)</f>
        <v>8.8669950738916262E-3</v>
      </c>
    </row>
    <row r="221" spans="1:73" hidden="1" x14ac:dyDescent="0.25">
      <c r="A221" s="7" t="s">
        <v>1269</v>
      </c>
      <c r="B221" s="2">
        <v>2020</v>
      </c>
      <c r="C221" s="2">
        <v>2020</v>
      </c>
      <c r="D221" s="2">
        <v>0</v>
      </c>
      <c r="E221" t="s">
        <v>1270</v>
      </c>
      <c r="F221" s="161">
        <v>40019</v>
      </c>
      <c r="G221" t="s">
        <v>1270</v>
      </c>
      <c r="H221" s="357"/>
      <c r="I221" t="s">
        <v>160</v>
      </c>
      <c r="J221" s="1"/>
      <c r="K221" s="1"/>
      <c r="L221" s="1"/>
      <c r="M221" s="1" t="s">
        <v>621</v>
      </c>
      <c r="Q221" s="2"/>
      <c r="R221" s="86"/>
      <c r="S221" s="2"/>
      <c r="T221" s="1">
        <v>11000</v>
      </c>
      <c r="U221" s="1">
        <v>11000</v>
      </c>
      <c r="V221" s="1" t="str">
        <f>IF(Table11[[#This Row],['#TreesContract]]-Table11[[#This Row],['#Planted]]=0,"",Table11[[#This Row],['#TreesContract]]-Table11[[#This Row],['#Planted]])</f>
        <v/>
      </c>
      <c r="W221" s="2"/>
      <c r="X221" s="34">
        <v>1</v>
      </c>
      <c r="Y221" s="163">
        <f>Table11[[#This Row],['#TreesContract]]*Table11[[#This Row],[USA Allocation %]]</f>
        <v>11000</v>
      </c>
      <c r="Z221" s="163">
        <f>Table11[[#This Row],['#Planted]]*Table11[[#This Row],[USA Allocation %]]</f>
        <v>11000</v>
      </c>
      <c r="AA221" s="34"/>
      <c r="AB221" s="163"/>
      <c r="AC221" s="34"/>
      <c r="AD221" s="163"/>
      <c r="AE221" s="163">
        <f>Table11[[#This Row],[Canada Allocation-tree '#''s]]+Table11[[#This Row],[Can trees/Allocation 2017]]</f>
        <v>0</v>
      </c>
      <c r="AF221" s="5">
        <v>0</v>
      </c>
      <c r="AG221" s="35">
        <v>0</v>
      </c>
      <c r="AH221" s="35">
        <f>Table11[[#This Row],['#Trees as of 12/31/23]]*Table11[[#This Row],[USA Allocation %]]</f>
        <v>0</v>
      </c>
      <c r="AI221" s="404">
        <f>Table11[[#This Row],['#TreesContract]]*Table11[[#This Row],[2024 Inventory Survival%-master]]</f>
        <v>0</v>
      </c>
      <c r="AJ221" s="5">
        <v>0</v>
      </c>
      <c r="AK221" s="5">
        <v>0</v>
      </c>
      <c r="AL221" s="5">
        <v>0</v>
      </c>
      <c r="AM221" s="35">
        <v>0</v>
      </c>
      <c r="AN221" s="35">
        <f>Table11[[#This Row],[2024 '#Trees Inventory + Estimate]]*Table11[[#This Row],[USA Allocation %]]</f>
        <v>0</v>
      </c>
      <c r="AO221" s="35">
        <f>Table11[[#This Row],[2024 '#Trees Inventory + Estimate]]*Table11[[#This Row],[Canada Allocation %]]</f>
        <v>0</v>
      </c>
      <c r="AP221" s="35">
        <f>Table11[[#This Row],[2024 '#Trees Inventory + Estimate]]*Table11[[#This Row],[Canada Allocation2017 %]]</f>
        <v>0</v>
      </c>
      <c r="AQ221" s="35">
        <f>Table11[[#This Row],['#Trees as of 2024/estimate-Can allocation]]+Table11[[#This Row],['#Trees as of 2024/estimate-Can allocation 2017]]</f>
        <v>0</v>
      </c>
      <c r="AR221" s="1"/>
      <c r="AS221" s="2"/>
      <c r="AT221" s="6">
        <f>IFERROR(Table11[[#This Row],['#Total Replacements]]/Table11[[#This Row],['#TreesContract]],"")</f>
        <v>0</v>
      </c>
      <c r="AU221" s="4">
        <f>IF(SUM(Table11[[#This Row],['#Replace 24]:['#Replace 16]])=0,0,SUM(Table11[[#This Row],['#Replace 24]:['#Replace 16]]))</f>
        <v>0</v>
      </c>
      <c r="AV221" s="2"/>
      <c r="AW221" s="2"/>
      <c r="AX221" s="3"/>
      <c r="AY221" s="2"/>
      <c r="AZ221" s="2"/>
      <c r="BA221" s="2"/>
      <c r="BB221" s="2"/>
      <c r="BC221" s="2"/>
      <c r="BD221" s="2"/>
      <c r="BE221" s="2"/>
      <c r="BF221" s="3">
        <v>1</v>
      </c>
      <c r="BG221" s="3">
        <v>1</v>
      </c>
      <c r="BH221" s="2"/>
      <c r="BI221" s="158"/>
      <c r="BJ221" s="158"/>
      <c r="BK221" s="139">
        <f>Table11[[#This Row],[Average MHT
(Feet)]]/16</f>
        <v>0</v>
      </c>
      <c r="BL221" s="2"/>
      <c r="BM221" s="139">
        <f>Table11[[#This Row],[Average DBH
(inches)]]/18</f>
        <v>0</v>
      </c>
      <c r="BN221" s="235">
        <f>((Table11[[#This Row],[Average DBH
(inches)]]-4)^2)*(Table11[[#This Row],[Average MHT
(Feet)]]/16)</f>
        <v>0</v>
      </c>
      <c r="BO221" s="235">
        <f>Table11[[#This Row],[Average BF]]*Table11[[#This Row],[2024 '#Trees Inventory + Estimate]]</f>
        <v>0</v>
      </c>
      <c r="BP221" s="240">
        <f>(Table11[[#This Row],[Harvest Year
(10 year)]]-Table11[[#This Row],[Year of Inventory]]+1)*(Table11[[#This Row],[Average DBH
(inches)]]/(Table11[[#This Row],[Harvest Year
(10 year)]]-Table11[[#This Row],[Year of Inventory]]+1))+Table11[[#This Row],[Average DBH
(inches)]]</f>
        <v>0</v>
      </c>
      <c r="BQ221" s="235">
        <f>((Table11[[#This Row],[Projected DBH
(Extrapolated Growth/Year)]]-4)^2)*(Table11[[#This Row],[Average MHT
(Feet)]]/16)</f>
        <v>0</v>
      </c>
      <c r="BR221" s="235">
        <f>Table11[[#This Row],[Projected Average BF]]*Table11[[#This Row],[2024 '#Trees Inventory + Estimate]]</f>
        <v>0</v>
      </c>
      <c r="BS221" s="235">
        <f>196*Table11[[#This Row],[2024 '#Trees Inventory + Estimate]]</f>
        <v>0</v>
      </c>
      <c r="BT221" s="235">
        <f>Table11[[#This Row],[ETP Offering Expected BF]]-Table11[[#This Row],[Projected Total BF]]</f>
        <v>0</v>
      </c>
      <c r="BU221" s="235">
        <f>(18-Table11[[#This Row],[Average DBH
(inches)]])/(D221-Table11[[#This Row],[Year of Inventory]]+1)</f>
        <v>18</v>
      </c>
    </row>
    <row r="222" spans="1:73" hidden="1" x14ac:dyDescent="0.25">
      <c r="A222" s="7" t="s">
        <v>1271</v>
      </c>
      <c r="B222" s="2">
        <v>2020</v>
      </c>
      <c r="C222" s="2">
        <v>2021</v>
      </c>
      <c r="D222" s="2">
        <v>0</v>
      </c>
      <c r="E222" s="97" t="s">
        <v>418</v>
      </c>
      <c r="F222" s="161">
        <v>10030</v>
      </c>
      <c r="G222" t="s">
        <v>1272</v>
      </c>
      <c r="H222" s="357" t="s">
        <v>419</v>
      </c>
      <c r="I222" t="s">
        <v>160</v>
      </c>
      <c r="J222" s="1" t="s">
        <v>420</v>
      </c>
      <c r="K222" s="1" t="s">
        <v>421</v>
      </c>
      <c r="L222" s="1" t="s">
        <v>421</v>
      </c>
      <c r="M222" s="1" t="s">
        <v>150</v>
      </c>
      <c r="Q222" s="2"/>
      <c r="R222" s="86"/>
      <c r="S222" s="2"/>
      <c r="T222" s="1">
        <v>280</v>
      </c>
      <c r="U222" s="1">
        <v>280</v>
      </c>
      <c r="V222" s="1" t="str">
        <f>IF(Table11[[#This Row],['#TreesContract]]-Table11[[#This Row],['#Planted]]=0,"",Table11[[#This Row],['#TreesContract]]-Table11[[#This Row],['#Planted]])</f>
        <v/>
      </c>
      <c r="W222" s="2"/>
      <c r="X222" s="34">
        <v>1</v>
      </c>
      <c r="Y222" s="163">
        <f>Table11[[#This Row],['#TreesContract]]*Table11[[#This Row],[USA Allocation %]]</f>
        <v>280</v>
      </c>
      <c r="Z222" s="163">
        <f>Table11[[#This Row],['#Planted]]*Table11[[#This Row],[USA Allocation %]]</f>
        <v>280</v>
      </c>
      <c r="AA222" s="34"/>
      <c r="AB222" s="163"/>
      <c r="AC222" s="34"/>
      <c r="AD222" s="163"/>
      <c r="AE222" s="163">
        <f>Table11[[#This Row],[Canada Allocation-tree '#''s]]+Table11[[#This Row],[Can trees/Allocation 2017]]</f>
        <v>0</v>
      </c>
      <c r="AF222" s="5">
        <v>0</v>
      </c>
      <c r="AG222" s="35">
        <v>0</v>
      </c>
      <c r="AH222" s="35">
        <f>Table11[[#This Row],['#Trees as of 12/31/23]]*Table11[[#This Row],[USA Allocation %]]</f>
        <v>0</v>
      </c>
      <c r="AI222" s="404">
        <f>Table11[[#This Row],['#TreesContract]]*Table11[[#This Row],[2024 Inventory Survival%-master]]</f>
        <v>0</v>
      </c>
      <c r="AJ222" s="5">
        <v>0</v>
      </c>
      <c r="AK222" s="5">
        <v>0</v>
      </c>
      <c r="AL222" s="5">
        <v>0</v>
      </c>
      <c r="AM222" s="35">
        <v>0</v>
      </c>
      <c r="AN222" s="35">
        <f>Table11[[#This Row],[2024 '#Trees Inventory + Estimate]]*Table11[[#This Row],[USA Allocation %]]</f>
        <v>0</v>
      </c>
      <c r="AO222" s="35">
        <f>Table11[[#This Row],[2024 '#Trees Inventory + Estimate]]*Table11[[#This Row],[Canada Allocation %]]</f>
        <v>0</v>
      </c>
      <c r="AP222" s="35">
        <f>Table11[[#This Row],[2024 '#Trees Inventory + Estimate]]*Table11[[#This Row],[Canada Allocation2017 %]]</f>
        <v>0</v>
      </c>
      <c r="AQ222" s="35">
        <f>Table11[[#This Row],['#Trees as of 2024/estimate-Can allocation]]+Table11[[#This Row],['#Trees as of 2024/estimate-Can allocation 2017]]</f>
        <v>0</v>
      </c>
      <c r="AR222" s="1" t="s">
        <v>152</v>
      </c>
      <c r="AS222" s="2" t="s">
        <v>355</v>
      </c>
      <c r="AT222" s="6">
        <f>IFERROR(Table11[[#This Row],['#Total Replacements]]/Table11[[#This Row],['#TreesContract]],"")</f>
        <v>0</v>
      </c>
      <c r="AU222" s="4">
        <f>IF(SUM(Table11[[#This Row],['#Replace 24]:['#Replace 16]])=0,0,SUM(Table11[[#This Row],['#Replace 24]:['#Replace 16]]))</f>
        <v>0</v>
      </c>
      <c r="AV222" s="2"/>
      <c r="AW222" s="2"/>
      <c r="AX222" s="3"/>
      <c r="AY222" s="2"/>
      <c r="AZ222" s="2"/>
      <c r="BA222" s="2"/>
      <c r="BB222" s="2"/>
      <c r="BC222" s="2"/>
      <c r="BD222" s="2"/>
      <c r="BE222" s="2"/>
      <c r="BF222" s="3">
        <v>1</v>
      </c>
      <c r="BG222" s="3">
        <v>1</v>
      </c>
      <c r="BH222" s="2"/>
      <c r="BI222" s="158"/>
      <c r="BJ222" s="158"/>
      <c r="BK222" s="139">
        <f>Table11[[#This Row],[Average MHT
(Feet)]]/16</f>
        <v>0</v>
      </c>
      <c r="BL222" s="2"/>
      <c r="BM222" s="139">
        <f>Table11[[#This Row],[Average DBH
(inches)]]/18</f>
        <v>0</v>
      </c>
      <c r="BN222" s="235">
        <f>((Table11[[#This Row],[Average DBH
(inches)]]-4)^2)*(Table11[[#This Row],[Average MHT
(Feet)]]/16)</f>
        <v>0</v>
      </c>
      <c r="BO222" s="235">
        <f>Table11[[#This Row],[Average BF]]*Table11[[#This Row],[2024 '#Trees Inventory + Estimate]]</f>
        <v>0</v>
      </c>
      <c r="BP222" s="240">
        <f>(Table11[[#This Row],[Harvest Year
(10 year)]]-Table11[[#This Row],[Year of Inventory]]+1)*(Table11[[#This Row],[Average DBH
(inches)]]/(Table11[[#This Row],[Harvest Year
(10 year)]]-Table11[[#This Row],[Year of Inventory]]+1))+Table11[[#This Row],[Average DBH
(inches)]]</f>
        <v>0</v>
      </c>
      <c r="BQ222" s="235">
        <f>((Table11[[#This Row],[Projected DBH
(Extrapolated Growth/Year)]]-4)^2)*(Table11[[#This Row],[Average MHT
(Feet)]]/16)</f>
        <v>0</v>
      </c>
      <c r="BR222" s="235">
        <f>Table11[[#This Row],[Projected Average BF]]*Table11[[#This Row],[2024 '#Trees Inventory + Estimate]]</f>
        <v>0</v>
      </c>
      <c r="BS222" s="235">
        <f>196*Table11[[#This Row],[2024 '#Trees Inventory + Estimate]]</f>
        <v>0</v>
      </c>
      <c r="BT222" s="235">
        <f>Table11[[#This Row],[ETP Offering Expected BF]]-Table11[[#This Row],[Projected Total BF]]</f>
        <v>0</v>
      </c>
      <c r="BU222" s="235">
        <f>(18-Table11[[#This Row],[Average DBH
(inches)]])/(D222-Table11[[#This Row],[Year of Inventory]]+1)</f>
        <v>18</v>
      </c>
    </row>
    <row r="223" spans="1:73" hidden="1" x14ac:dyDescent="0.25">
      <c r="A223" s="7" t="s">
        <v>1273</v>
      </c>
      <c r="B223" s="2">
        <v>2020</v>
      </c>
      <c r="C223" s="2">
        <v>2021</v>
      </c>
      <c r="D223" s="2">
        <f>Table11[[#This Row],[Planting Year]]+9</f>
        <v>2030</v>
      </c>
      <c r="E223" s="97" t="s">
        <v>656</v>
      </c>
      <c r="F223" s="161">
        <v>10048</v>
      </c>
      <c r="G223" t="s">
        <v>656</v>
      </c>
      <c r="H223" s="357" t="s">
        <v>657</v>
      </c>
      <c r="I223" t="s">
        <v>155</v>
      </c>
      <c r="J223" s="1" t="s">
        <v>658</v>
      </c>
      <c r="K223" s="1" t="s">
        <v>659</v>
      </c>
      <c r="L223" s="1" t="s">
        <v>659</v>
      </c>
      <c r="M223" s="1" t="s">
        <v>150</v>
      </c>
      <c r="N223" t="s">
        <v>660</v>
      </c>
      <c r="O223">
        <v>31.623947000000001</v>
      </c>
      <c r="P223">
        <v>-91.865519000000006</v>
      </c>
      <c r="Q223" s="2"/>
      <c r="R223" s="86"/>
      <c r="S223" s="2"/>
      <c r="T223" s="1">
        <v>900</v>
      </c>
      <c r="U223" s="1">
        <v>900</v>
      </c>
      <c r="V223" s="1" t="str">
        <f>IF(Table11[[#This Row],['#TreesContract]]-Table11[[#This Row],['#Planted]]=0,"",Table11[[#This Row],['#TreesContract]]-Table11[[#This Row],['#Planted]])</f>
        <v/>
      </c>
      <c r="W223" s="2"/>
      <c r="X223" s="34">
        <v>1</v>
      </c>
      <c r="Y223" s="163">
        <f>Table11[[#This Row],['#TreesContract]]*Table11[[#This Row],[USA Allocation %]]</f>
        <v>900</v>
      </c>
      <c r="Z223" s="163">
        <f>Table11[[#This Row],['#Planted]]*Table11[[#This Row],[USA Allocation %]]</f>
        <v>900</v>
      </c>
      <c r="AA223" s="34"/>
      <c r="AB223" s="163"/>
      <c r="AC223" s="34"/>
      <c r="AD223" s="163"/>
      <c r="AE223" s="163">
        <f>Table11[[#This Row],[Canada Allocation-tree '#''s]]+Table11[[#This Row],[Can trees/Allocation 2017]]</f>
        <v>0</v>
      </c>
      <c r="AF223" s="5">
        <v>0.59791666666666665</v>
      </c>
      <c r="AG223" s="35">
        <v>538.125</v>
      </c>
      <c r="AH223" s="35">
        <f>Table11[[#This Row],['#Trees as of 12/31/23]]*Table11[[#This Row],[USA Allocation %]]</f>
        <v>538.125</v>
      </c>
      <c r="AI223" s="437">
        <f>Table11[[#This Row],['#TreesContract]]*Table11[[#This Row],[2024 Inventory Survival%-master]]</f>
        <v>0</v>
      </c>
      <c r="AJ223" s="436"/>
      <c r="AK223" s="5">
        <v>0.59791666666666665</v>
      </c>
      <c r="AL223" s="5">
        <v>0.59791666666666665</v>
      </c>
      <c r="AM223" s="35">
        <v>538.125</v>
      </c>
      <c r="AN223" s="35">
        <f>Table11[[#This Row],[2024 '#Trees Inventory + Estimate]]*Table11[[#This Row],[USA Allocation %]]</f>
        <v>538.125</v>
      </c>
      <c r="AO223" s="35">
        <f>Table11[[#This Row],[2024 '#Trees Inventory + Estimate]]*Table11[[#This Row],[Canada Allocation %]]</f>
        <v>0</v>
      </c>
      <c r="AP223" s="35">
        <f>Table11[[#This Row],[2024 '#Trees Inventory + Estimate]]*Table11[[#This Row],[Canada Allocation2017 %]]</f>
        <v>0</v>
      </c>
      <c r="AQ223" s="35">
        <f>Table11[[#This Row],['#Trees as of 2024/estimate-Can allocation]]+Table11[[#This Row],['#Trees as of 2024/estimate-Can allocation 2017]]</f>
        <v>0</v>
      </c>
      <c r="AR223" s="1" t="s">
        <v>152</v>
      </c>
      <c r="AS223" s="2" t="s">
        <v>661</v>
      </c>
      <c r="AT223" s="6">
        <f>IFERROR(Table11[[#This Row],['#Total Replacements]]/Table11[[#This Row],['#TreesContract]],"")</f>
        <v>1.5022222222222221</v>
      </c>
      <c r="AU223" s="4">
        <f>IF(SUM(Table11[[#This Row],['#Replace 24]:['#Replace 16]])=0,0,SUM(Table11[[#This Row],['#Replace 24]:['#Replace 16]]))</f>
        <v>1352</v>
      </c>
      <c r="AV223" s="2"/>
      <c r="AW223" s="2"/>
      <c r="AX223" s="3">
        <v>500</v>
      </c>
      <c r="AY223" s="2">
        <v>252</v>
      </c>
      <c r="AZ223" s="2">
        <v>600</v>
      </c>
      <c r="BA223" s="2"/>
      <c r="BB223" s="2"/>
      <c r="BC223" s="2"/>
      <c r="BD223" s="2"/>
      <c r="BE223" s="2"/>
      <c r="BF223" s="3">
        <v>1</v>
      </c>
      <c r="BG223" s="3">
        <v>1</v>
      </c>
      <c r="BH223" s="2"/>
      <c r="BI223" s="158"/>
      <c r="BJ223" s="158"/>
      <c r="BK223" s="139">
        <f>Table11[[#This Row],[Average MHT
(Feet)]]/16</f>
        <v>0</v>
      </c>
      <c r="BL223" s="2"/>
      <c r="BM223" s="139">
        <f>Table11[[#This Row],[Average DBH
(inches)]]/18</f>
        <v>0</v>
      </c>
      <c r="BN223" s="235">
        <f>((Table11[[#This Row],[Average DBH
(inches)]]-4)^2)*(Table11[[#This Row],[Average MHT
(Feet)]]/16)</f>
        <v>0</v>
      </c>
      <c r="BO223" s="235">
        <f>Table11[[#This Row],[Average BF]]*Table11[[#This Row],[2024 '#Trees Inventory + Estimate]]</f>
        <v>0</v>
      </c>
      <c r="BP223" s="240">
        <f>(Table11[[#This Row],[Harvest Year
(10 year)]]-Table11[[#This Row],[Year of Inventory]]+1)*(Table11[[#This Row],[Average DBH
(inches)]]/(Table11[[#This Row],[Harvest Year
(10 year)]]-Table11[[#This Row],[Year of Inventory]]+1))+Table11[[#This Row],[Average DBH
(inches)]]</f>
        <v>0</v>
      </c>
      <c r="BQ223" s="235">
        <f>((Table11[[#This Row],[Projected DBH
(Extrapolated Growth/Year)]]-4)^2)*(Table11[[#This Row],[Average MHT
(Feet)]]/16)</f>
        <v>0</v>
      </c>
      <c r="BR223" s="235">
        <f>Table11[[#This Row],[Projected Average BF]]*Table11[[#This Row],[2024 '#Trees Inventory + Estimate]]</f>
        <v>0</v>
      </c>
      <c r="BS223" s="235">
        <f>196*Table11[[#This Row],[2024 '#Trees Inventory + Estimate]]</f>
        <v>105472.5</v>
      </c>
      <c r="BT223" s="243">
        <f>Table11[[#This Row],[ETP Offering Expected BF]]-Table11[[#This Row],[Projected Total BF]]</f>
        <v>105472.5</v>
      </c>
      <c r="BU223" s="235">
        <f>(18-Table11[[#This Row],[Average DBH
(inches)]])/(D223-Table11[[#This Row],[Year of Inventory]]+1)</f>
        <v>8.8626292466765146E-3</v>
      </c>
    </row>
    <row r="224" spans="1:73" hidden="1" x14ac:dyDescent="0.25">
      <c r="A224" s="7" t="s">
        <v>1274</v>
      </c>
      <c r="B224" s="2">
        <v>2021</v>
      </c>
      <c r="C224" s="2">
        <v>2021</v>
      </c>
      <c r="D224" s="2">
        <v>0</v>
      </c>
      <c r="E224" s="97" t="s">
        <v>758</v>
      </c>
      <c r="F224" s="161">
        <v>10062</v>
      </c>
      <c r="G224" t="s">
        <v>759</v>
      </c>
      <c r="H224" s="357" t="s">
        <v>760</v>
      </c>
      <c r="I224" t="s">
        <v>160</v>
      </c>
      <c r="J224" s="1" t="s">
        <v>761</v>
      </c>
      <c r="K224" s="1" t="s">
        <v>762</v>
      </c>
      <c r="L224" s="1" t="s">
        <v>666</v>
      </c>
      <c r="M224" s="1" t="s">
        <v>150</v>
      </c>
      <c r="Q224" s="2"/>
      <c r="R224" s="86"/>
      <c r="S224" s="2"/>
      <c r="T224" s="1">
        <v>330</v>
      </c>
      <c r="U224" s="1">
        <v>330</v>
      </c>
      <c r="V224" s="1" t="str">
        <f>IF(Table11[[#This Row],['#TreesContract]]-Table11[[#This Row],['#Planted]]=0,"",Table11[[#This Row],['#TreesContract]]-Table11[[#This Row],['#Planted]])</f>
        <v/>
      </c>
      <c r="W224" s="2"/>
      <c r="X224" s="34">
        <v>1</v>
      </c>
      <c r="Y224" s="163">
        <f>Table11[[#This Row],['#TreesContract]]*Table11[[#This Row],[USA Allocation %]]</f>
        <v>330</v>
      </c>
      <c r="Z224" s="163">
        <f>Table11[[#This Row],['#Planted]]*Table11[[#This Row],[USA Allocation %]]</f>
        <v>330</v>
      </c>
      <c r="AA224" s="34"/>
      <c r="AB224" s="163"/>
      <c r="AC224" s="34"/>
      <c r="AD224" s="163"/>
      <c r="AE224" s="163">
        <f>Table11[[#This Row],[Canada Allocation-tree '#''s]]+Table11[[#This Row],[Can trees/Allocation 2017]]</f>
        <v>0</v>
      </c>
      <c r="AF224" s="5">
        <v>0.37906336088154269</v>
      </c>
      <c r="AG224" s="35">
        <v>125.09090909090909</v>
      </c>
      <c r="AH224" s="35">
        <f>Table11[[#This Row],['#Trees as of 12/31/23]]*Table11[[#This Row],[USA Allocation %]]</f>
        <v>125.09090909090909</v>
      </c>
      <c r="AI224" s="404">
        <f>Table11[[#This Row],['#TreesContract]]*Table11[[#This Row],[2024 Inventory Survival%-master]]</f>
        <v>0</v>
      </c>
      <c r="AJ224" s="5">
        <v>0</v>
      </c>
      <c r="AK224" s="5">
        <v>0</v>
      </c>
      <c r="AL224" s="5">
        <v>0</v>
      </c>
      <c r="AM224" s="35">
        <v>0</v>
      </c>
      <c r="AN224" s="35">
        <f>Table11[[#This Row],[2024 '#Trees Inventory + Estimate]]*Table11[[#This Row],[USA Allocation %]]</f>
        <v>0</v>
      </c>
      <c r="AO224" s="35">
        <f>Table11[[#This Row],[2024 '#Trees Inventory + Estimate]]*Table11[[#This Row],[Canada Allocation %]]</f>
        <v>0</v>
      </c>
      <c r="AP224" s="35">
        <f>Table11[[#This Row],[2024 '#Trees Inventory + Estimate]]*Table11[[#This Row],[Canada Allocation2017 %]]</f>
        <v>0</v>
      </c>
      <c r="AQ224" s="35">
        <f>Table11[[#This Row],['#Trees as of 2024/estimate-Can allocation]]+Table11[[#This Row],['#Trees as of 2024/estimate-Can allocation 2017]]</f>
        <v>0</v>
      </c>
      <c r="AR224" s="1" t="s">
        <v>152</v>
      </c>
      <c r="AS224" s="2" t="s">
        <v>181</v>
      </c>
      <c r="AT224" s="6">
        <f>IFERROR(Table11[[#This Row],['#Total Replacements]]/Table11[[#This Row],['#TreesContract]],"")</f>
        <v>1.2636363636363637</v>
      </c>
      <c r="AU224" s="4">
        <f>IF(SUM(Table11[[#This Row],['#Replace 24]:['#Replace 16]])=0,0,SUM(Table11[[#This Row],['#Replace 24]:['#Replace 16]]))</f>
        <v>417</v>
      </c>
      <c r="AV224" s="2"/>
      <c r="AW224" s="2"/>
      <c r="AX224" s="3"/>
      <c r="AY224" s="2">
        <v>126</v>
      </c>
      <c r="AZ224" s="2"/>
      <c r="BA224" s="2">
        <v>291</v>
      </c>
      <c r="BB224" s="2"/>
      <c r="BC224" s="2"/>
      <c r="BD224" s="2"/>
      <c r="BE224" s="2"/>
      <c r="BF224" s="3">
        <v>1</v>
      </c>
      <c r="BG224" s="3">
        <v>1</v>
      </c>
      <c r="BH224" s="2"/>
      <c r="BI224" s="158"/>
      <c r="BJ224" s="158"/>
      <c r="BK224" s="139">
        <f>Table11[[#This Row],[Average MHT
(Feet)]]/16</f>
        <v>0</v>
      </c>
      <c r="BL224" s="2"/>
      <c r="BM224" s="139">
        <f>Table11[[#This Row],[Average DBH
(inches)]]/18</f>
        <v>0</v>
      </c>
      <c r="BN224" s="235">
        <f>((Table11[[#This Row],[Average DBH
(inches)]]-4)^2)*(Table11[[#This Row],[Average MHT
(Feet)]]/16)</f>
        <v>0</v>
      </c>
      <c r="BO224" s="235">
        <f>Table11[[#This Row],[Average BF]]*Table11[[#This Row],[2024 '#Trees Inventory + Estimate]]</f>
        <v>0</v>
      </c>
      <c r="BP224" s="240">
        <f>(Table11[[#This Row],[Harvest Year
(10 year)]]-Table11[[#This Row],[Year of Inventory]]+1)*(Table11[[#This Row],[Average DBH
(inches)]]/(Table11[[#This Row],[Harvest Year
(10 year)]]-Table11[[#This Row],[Year of Inventory]]+1))+Table11[[#This Row],[Average DBH
(inches)]]</f>
        <v>0</v>
      </c>
      <c r="BQ224" s="235">
        <f>((Table11[[#This Row],[Projected DBH
(Extrapolated Growth/Year)]]-4)^2)*(Table11[[#This Row],[Average MHT
(Feet)]]/16)</f>
        <v>0</v>
      </c>
      <c r="BR224" s="235">
        <f>Table11[[#This Row],[Projected Average BF]]*Table11[[#This Row],[2024 '#Trees Inventory + Estimate]]</f>
        <v>0</v>
      </c>
      <c r="BS224" s="235">
        <f>196*Table11[[#This Row],[2024 '#Trees Inventory + Estimate]]</f>
        <v>0</v>
      </c>
      <c r="BT224" s="235">
        <f>Table11[[#This Row],[ETP Offering Expected BF]]-Table11[[#This Row],[Projected Total BF]]</f>
        <v>0</v>
      </c>
      <c r="BU224" s="235">
        <f>(18-Table11[[#This Row],[Average DBH
(inches)]])/(D224-Table11[[#This Row],[Year of Inventory]]+1)</f>
        <v>18</v>
      </c>
    </row>
    <row r="225" spans="1:73" hidden="1" x14ac:dyDescent="0.25">
      <c r="A225" s="7" t="s">
        <v>1275</v>
      </c>
      <c r="B225" s="2">
        <v>2020</v>
      </c>
      <c r="C225" s="2">
        <v>2021</v>
      </c>
      <c r="D225" s="2">
        <f>Table11[[#This Row],[Planting Year]]+9</f>
        <v>2030</v>
      </c>
      <c r="E225" s="97" t="s">
        <v>789</v>
      </c>
      <c r="F225" s="161">
        <v>10067</v>
      </c>
      <c r="G225" t="s">
        <v>790</v>
      </c>
      <c r="H225" s="357" t="s">
        <v>791</v>
      </c>
      <c r="I225" t="s">
        <v>155</v>
      </c>
      <c r="J225" s="1" t="s">
        <v>792</v>
      </c>
      <c r="K225" s="1" t="s">
        <v>793</v>
      </c>
      <c r="L225" s="1" t="s">
        <v>793</v>
      </c>
      <c r="M225" s="1" t="s">
        <v>150</v>
      </c>
      <c r="N225" t="s">
        <v>794</v>
      </c>
      <c r="O225">
        <v>33.218412999999998</v>
      </c>
      <c r="P225">
        <v>-83.932812999999996</v>
      </c>
      <c r="Q225" s="2"/>
      <c r="R225" s="86"/>
      <c r="S225" s="2"/>
      <c r="T225" s="1">
        <v>1100</v>
      </c>
      <c r="U225" s="1">
        <v>1100</v>
      </c>
      <c r="V225" s="1" t="str">
        <f>IF(Table11[[#This Row],['#TreesContract]]-Table11[[#This Row],['#Planted]]=0,"",Table11[[#This Row],['#TreesContract]]-Table11[[#This Row],['#Planted]])</f>
        <v/>
      </c>
      <c r="W225" s="2"/>
      <c r="X225" s="34">
        <v>1</v>
      </c>
      <c r="Y225" s="163">
        <f>Table11[[#This Row],['#TreesContract]]*Table11[[#This Row],[USA Allocation %]]</f>
        <v>1100</v>
      </c>
      <c r="Z225" s="163">
        <f>Table11[[#This Row],['#Planted]]*Table11[[#This Row],[USA Allocation %]]</f>
        <v>1100</v>
      </c>
      <c r="AA225" s="34"/>
      <c r="AB225" s="163"/>
      <c r="AC225" s="34"/>
      <c r="AD225" s="163"/>
      <c r="AE225" s="163">
        <f>Table11[[#This Row],[Canada Allocation-tree '#''s]]+Table11[[#This Row],[Can trees/Allocation 2017]]</f>
        <v>0</v>
      </c>
      <c r="AF225" s="5">
        <v>0.88247803030303029</v>
      </c>
      <c r="AG225" s="35">
        <v>970.7258333333333</v>
      </c>
      <c r="AH225" s="35">
        <f>Table11[[#This Row],['#Trees as of 12/31/23]]*Table11[[#This Row],[USA Allocation %]]</f>
        <v>970.7258333333333</v>
      </c>
      <c r="AI225" s="437">
        <f>Table11[[#This Row],['#TreesContract]]*Table11[[#This Row],[2024 Inventory Survival%-master]]</f>
        <v>0</v>
      </c>
      <c r="AJ225" s="436"/>
      <c r="AK225" s="5">
        <v>0.88247803030303029</v>
      </c>
      <c r="AL225" s="5">
        <v>0</v>
      </c>
      <c r="AM225" s="35">
        <v>0</v>
      </c>
      <c r="AN225" s="35">
        <f>Table11[[#This Row],[2024 '#Trees Inventory + Estimate]]*Table11[[#This Row],[USA Allocation %]]</f>
        <v>0</v>
      </c>
      <c r="AO225" s="35">
        <f>Table11[[#This Row],[2024 '#Trees Inventory + Estimate]]*Table11[[#This Row],[Canada Allocation %]]</f>
        <v>0</v>
      </c>
      <c r="AP225" s="35">
        <f>Table11[[#This Row],[2024 '#Trees Inventory + Estimate]]*Table11[[#This Row],[Canada Allocation2017 %]]</f>
        <v>0</v>
      </c>
      <c r="AQ225" s="35">
        <f>Table11[[#This Row],['#Trees as of 2024/estimate-Can allocation]]+Table11[[#This Row],['#Trees as of 2024/estimate-Can allocation 2017]]</f>
        <v>0</v>
      </c>
      <c r="AR225" s="1" t="s">
        <v>152</v>
      </c>
      <c r="AS225" s="2" t="s">
        <v>795</v>
      </c>
      <c r="AT225" s="6">
        <f>IFERROR(Table11[[#This Row],['#Total Replacements]]/Table11[[#This Row],['#TreesContract]],"")</f>
        <v>0.55181818181818176</v>
      </c>
      <c r="AU225" s="4">
        <f>IF(SUM(Table11[[#This Row],['#Replace 24]:['#Replace 16]])=0,0,SUM(Table11[[#This Row],['#Replace 24]:['#Replace 16]]))</f>
        <v>607</v>
      </c>
      <c r="AV225" s="2"/>
      <c r="AW225" s="2"/>
      <c r="AX225" s="3"/>
      <c r="AY225" s="2">
        <v>387</v>
      </c>
      <c r="AZ225" s="2"/>
      <c r="BA225" s="2">
        <v>220</v>
      </c>
      <c r="BB225" s="2"/>
      <c r="BC225" s="2"/>
      <c r="BD225" s="2"/>
      <c r="BE225" s="2"/>
      <c r="BF225" s="3">
        <v>1</v>
      </c>
      <c r="BG225" s="3">
        <v>1</v>
      </c>
      <c r="BH225" s="2"/>
      <c r="BI225" s="2"/>
      <c r="BJ225" s="2"/>
      <c r="BK225" s="139">
        <f>Table11[[#This Row],[Average MHT
(Feet)]]/16</f>
        <v>0</v>
      </c>
      <c r="BL225" s="2"/>
      <c r="BM225" s="139">
        <f>Table11[[#This Row],[Average DBH
(inches)]]/18</f>
        <v>0</v>
      </c>
      <c r="BN225" s="235">
        <f>((Table11[[#This Row],[Average DBH
(inches)]]-4)^2)*(Table11[[#This Row],[Average MHT
(Feet)]]/16)</f>
        <v>0</v>
      </c>
      <c r="BO225" s="235">
        <f>Table11[[#This Row],[Average BF]]*Table11[[#This Row],[2024 '#Trees Inventory + Estimate]]</f>
        <v>0</v>
      </c>
      <c r="BP225" s="240">
        <f>(Table11[[#This Row],[Harvest Year
(10 year)]]-Table11[[#This Row],[Year of Inventory]]+1)*(Table11[[#This Row],[Average DBH
(inches)]]/(Table11[[#This Row],[Harvest Year
(10 year)]]-Table11[[#This Row],[Year of Inventory]]+1))+Table11[[#This Row],[Average DBH
(inches)]]</f>
        <v>0</v>
      </c>
      <c r="BQ225" s="235">
        <f>((Table11[[#This Row],[Projected DBH
(Extrapolated Growth/Year)]]-4)^2)*(Table11[[#This Row],[Average MHT
(Feet)]]/16)</f>
        <v>0</v>
      </c>
      <c r="BR225" s="235">
        <f>Table11[[#This Row],[Projected Average BF]]*Table11[[#This Row],[2024 '#Trees Inventory + Estimate]]</f>
        <v>0</v>
      </c>
      <c r="BS225" s="235">
        <f>196*Table11[[#This Row],[2024 '#Trees Inventory + Estimate]]</f>
        <v>0</v>
      </c>
      <c r="BT225" s="235">
        <f>Table11[[#This Row],[ETP Offering Expected BF]]-Table11[[#This Row],[Projected Total BF]]</f>
        <v>0</v>
      </c>
      <c r="BU225" s="235">
        <f>(18-Table11[[#This Row],[Average DBH
(inches)]])/(D225-Table11[[#This Row],[Year of Inventory]]+1)</f>
        <v>8.8626292466765146E-3</v>
      </c>
    </row>
    <row r="226" spans="1:73" hidden="1" x14ac:dyDescent="0.25">
      <c r="A226" s="7" t="s">
        <v>1276</v>
      </c>
      <c r="B226" s="2">
        <v>2021</v>
      </c>
      <c r="C226" s="2">
        <v>2021</v>
      </c>
      <c r="D226" s="2">
        <f>Table11[[#This Row],[Planting Year]]+9</f>
        <v>2030</v>
      </c>
      <c r="E226" s="97" t="s">
        <v>823</v>
      </c>
      <c r="F226" s="161">
        <v>10072</v>
      </c>
      <c r="G226" t="s">
        <v>823</v>
      </c>
      <c r="H226" s="357" t="s">
        <v>825</v>
      </c>
      <c r="I226" t="s">
        <v>155</v>
      </c>
      <c r="J226" s="1" t="s">
        <v>826</v>
      </c>
      <c r="K226" s="1" t="s">
        <v>827</v>
      </c>
      <c r="L226" s="1" t="s">
        <v>828</v>
      </c>
      <c r="M226" s="1" t="s">
        <v>150</v>
      </c>
      <c r="N226" t="s">
        <v>829</v>
      </c>
      <c r="O226">
        <v>34.439190000000004</v>
      </c>
      <c r="P226">
        <v>-83.232460000000003</v>
      </c>
      <c r="Q226" s="2"/>
      <c r="R226" s="86"/>
      <c r="S226" s="2"/>
      <c r="T226" s="1">
        <v>330</v>
      </c>
      <c r="U226" s="1">
        <v>330</v>
      </c>
      <c r="V226" s="1" t="str">
        <f>IF(Table11[[#This Row],['#TreesContract]]-Table11[[#This Row],['#Planted]]=0,"",Table11[[#This Row],['#TreesContract]]-Table11[[#This Row],['#Planted]])</f>
        <v/>
      </c>
      <c r="W226" s="2"/>
      <c r="X226" s="34">
        <v>1</v>
      </c>
      <c r="Y226" s="163">
        <f>Table11[[#This Row],['#TreesContract]]*Table11[[#This Row],[USA Allocation %]]</f>
        <v>330</v>
      </c>
      <c r="Z226" s="163">
        <f>Table11[[#This Row],['#Planted]]*Table11[[#This Row],[USA Allocation %]]</f>
        <v>330</v>
      </c>
      <c r="AA226" s="34"/>
      <c r="AB226" s="163"/>
      <c r="AC226" s="34"/>
      <c r="AD226" s="163"/>
      <c r="AE226" s="163">
        <f>Table11[[#This Row],[Canada Allocation-tree '#''s]]+Table11[[#This Row],[Can trees/Allocation 2017]]</f>
        <v>0</v>
      </c>
      <c r="AF226" s="5">
        <v>0.88636363636363635</v>
      </c>
      <c r="AG226" s="35">
        <v>292.5</v>
      </c>
      <c r="AH226" s="35">
        <f>Table11[[#This Row],['#Trees as of 12/31/23]]*Table11[[#This Row],[USA Allocation %]]</f>
        <v>292.5</v>
      </c>
      <c r="AI226" s="437">
        <f>Table11[[#This Row],['#TreesContract]]*Table11[[#This Row],[2024 Inventory Survival%-master]]</f>
        <v>0</v>
      </c>
      <c r="AJ226" s="436"/>
      <c r="AK226" s="5">
        <v>0.88636363636363635</v>
      </c>
      <c r="AL226" s="5">
        <v>0.88636363636363635</v>
      </c>
      <c r="AM226" s="35">
        <v>292.5</v>
      </c>
      <c r="AN226" s="35">
        <f>Table11[[#This Row],[2024 '#Trees Inventory + Estimate]]*Table11[[#This Row],[USA Allocation %]]</f>
        <v>292.5</v>
      </c>
      <c r="AO226" s="35">
        <f>Table11[[#This Row],[2024 '#Trees Inventory + Estimate]]*Table11[[#This Row],[Canada Allocation %]]</f>
        <v>0</v>
      </c>
      <c r="AP226" s="35">
        <f>Table11[[#This Row],[2024 '#Trees Inventory + Estimate]]*Table11[[#This Row],[Canada Allocation2017 %]]</f>
        <v>0</v>
      </c>
      <c r="AQ226" s="35">
        <f>Table11[[#This Row],['#Trees as of 2024/estimate-Can allocation]]+Table11[[#This Row],['#Trees as of 2024/estimate-Can allocation 2017]]</f>
        <v>0</v>
      </c>
      <c r="AR226" s="1" t="s">
        <v>152</v>
      </c>
      <c r="AS226" s="2" t="s">
        <v>830</v>
      </c>
      <c r="AT226" s="6">
        <f>IFERROR(Table11[[#This Row],['#Total Replacements]]/Table11[[#This Row],['#TreesContract]],"")</f>
        <v>0.88787878787878793</v>
      </c>
      <c r="AU226" s="4">
        <f>IF(SUM(Table11[[#This Row],['#Replace 24]:['#Replace 16]])=0,0,SUM(Table11[[#This Row],['#Replace 24]:['#Replace 16]]))</f>
        <v>293</v>
      </c>
      <c r="AV226" s="2"/>
      <c r="AW226" s="2"/>
      <c r="AX226" s="3">
        <v>231</v>
      </c>
      <c r="AY226" s="2">
        <v>62</v>
      </c>
      <c r="AZ226" s="2"/>
      <c r="BA226" s="2"/>
      <c r="BB226" s="2"/>
      <c r="BC226" s="2"/>
      <c r="BD226" s="2"/>
      <c r="BE226" s="2"/>
      <c r="BF226" s="3">
        <v>1</v>
      </c>
      <c r="BG226" s="3">
        <v>1</v>
      </c>
      <c r="BH226" s="2"/>
      <c r="BI226" s="2"/>
      <c r="BJ226" s="2"/>
      <c r="BK226" s="139">
        <f>Table11[[#This Row],[Average MHT
(Feet)]]/16</f>
        <v>0</v>
      </c>
      <c r="BL226" s="2"/>
      <c r="BM226" s="139">
        <f>Table11[[#This Row],[Average DBH
(inches)]]/18</f>
        <v>0</v>
      </c>
      <c r="BN226" s="235">
        <f>((Table11[[#This Row],[Average DBH
(inches)]]-4)^2)*(Table11[[#This Row],[Average MHT
(Feet)]]/16)</f>
        <v>0</v>
      </c>
      <c r="BO226" s="235">
        <f>Table11[[#This Row],[Average BF]]*Table11[[#This Row],[2024 '#Trees Inventory + Estimate]]</f>
        <v>0</v>
      </c>
      <c r="BP226" s="240">
        <f>(Table11[[#This Row],[Harvest Year
(10 year)]]-Table11[[#This Row],[Year of Inventory]]+1)*(Table11[[#This Row],[Average DBH
(inches)]]/(Table11[[#This Row],[Harvest Year
(10 year)]]-Table11[[#This Row],[Year of Inventory]]+1))+Table11[[#This Row],[Average DBH
(inches)]]</f>
        <v>0</v>
      </c>
      <c r="BQ226" s="235">
        <f>((Table11[[#This Row],[Projected DBH
(Extrapolated Growth/Year)]]-4)^2)*(Table11[[#This Row],[Average MHT
(Feet)]]/16)</f>
        <v>0</v>
      </c>
      <c r="BR226" s="235">
        <f>Table11[[#This Row],[Projected Average BF]]*Table11[[#This Row],[2024 '#Trees Inventory + Estimate]]</f>
        <v>0</v>
      </c>
      <c r="BS226" s="235">
        <f>196*Table11[[#This Row],[2024 '#Trees Inventory + Estimate]]</f>
        <v>57330</v>
      </c>
      <c r="BT226" s="243">
        <f>Table11[[#This Row],[ETP Offering Expected BF]]-Table11[[#This Row],[Projected Total BF]]</f>
        <v>57330</v>
      </c>
      <c r="BU226" s="235">
        <f>(18-Table11[[#This Row],[Average DBH
(inches)]])/(D226-Table11[[#This Row],[Year of Inventory]]+1)</f>
        <v>8.8626292466765146E-3</v>
      </c>
    </row>
    <row r="227" spans="1:73" hidden="1" x14ac:dyDescent="0.25">
      <c r="A227" s="7" t="s">
        <v>1277</v>
      </c>
      <c r="B227" s="2">
        <v>2020</v>
      </c>
      <c r="C227" s="2">
        <v>2021</v>
      </c>
      <c r="D227" s="2">
        <f>Table11[[#This Row],[Planting Year]]+9</f>
        <v>2030</v>
      </c>
      <c r="E227" s="97" t="s">
        <v>845</v>
      </c>
      <c r="F227" s="161">
        <v>10075</v>
      </c>
      <c r="G227" t="s">
        <v>846</v>
      </c>
      <c r="H227" s="357" t="s">
        <v>847</v>
      </c>
      <c r="I227" t="s">
        <v>147</v>
      </c>
      <c r="J227" s="1" t="s">
        <v>848</v>
      </c>
      <c r="K227" s="1" t="s">
        <v>849</v>
      </c>
      <c r="L227" s="1" t="s">
        <v>850</v>
      </c>
      <c r="M227" s="1" t="s">
        <v>150</v>
      </c>
      <c r="N227" t="s">
        <v>851</v>
      </c>
      <c r="O227">
        <v>32.278489</v>
      </c>
      <c r="P227">
        <v>-85.247918999999996</v>
      </c>
      <c r="Q227" s="2"/>
      <c r="R227" s="86"/>
      <c r="S227" s="2"/>
      <c r="T227" s="1">
        <v>880</v>
      </c>
      <c r="U227" s="1">
        <v>880</v>
      </c>
      <c r="V227" s="1" t="str">
        <f>IF(Table11[[#This Row],['#TreesContract]]-Table11[[#This Row],['#Planted]]=0,"",Table11[[#This Row],['#TreesContract]]-Table11[[#This Row],['#Planted]])</f>
        <v/>
      </c>
      <c r="W227" s="2"/>
      <c r="X227" s="34">
        <v>1</v>
      </c>
      <c r="Y227" s="163">
        <f>Table11[[#This Row],['#TreesContract]]*Table11[[#This Row],[USA Allocation %]]</f>
        <v>880</v>
      </c>
      <c r="Z227" s="163">
        <f>Table11[[#This Row],['#Planted]]*Table11[[#This Row],[USA Allocation %]]</f>
        <v>880</v>
      </c>
      <c r="AA227" s="34"/>
      <c r="AB227" s="163"/>
      <c r="AC227" s="34"/>
      <c r="AD227" s="163"/>
      <c r="AE227" s="163">
        <f>Table11[[#This Row],[Canada Allocation-tree '#''s]]+Table11[[#This Row],[Can trees/Allocation 2017]]</f>
        <v>0</v>
      </c>
      <c r="AF227" s="5">
        <v>0.24936868686868685</v>
      </c>
      <c r="AG227" s="35">
        <v>219.44444444444443</v>
      </c>
      <c r="AH227" s="35">
        <f>Table11[[#This Row],['#Trees as of 12/31/23]]*Table11[[#This Row],[USA Allocation %]]</f>
        <v>219.44444444444443</v>
      </c>
      <c r="AI227" s="404">
        <f>Table11[[#This Row],['#TreesContract]]*Table11[[#This Row],[2024 Inventory Survival%-master]]</f>
        <v>0</v>
      </c>
      <c r="AJ227" s="5"/>
      <c r="AK227" s="5">
        <v>0.24936868686868685</v>
      </c>
      <c r="AL227" s="5">
        <v>0</v>
      </c>
      <c r="AM227" s="35">
        <f>AK227*Table11[[#This Row],['#TreesContract]]</f>
        <v>219.44444444444443</v>
      </c>
      <c r="AN227" s="35">
        <f>Table11[[#This Row],[2024 '#Trees Inventory + Estimate]]*Table11[[#This Row],[USA Allocation %]]</f>
        <v>219.44444444444443</v>
      </c>
      <c r="AO227" s="35">
        <f>Table11[[#This Row],[2024 '#Trees Inventory + Estimate]]*Table11[[#This Row],[Canada Allocation %]]</f>
        <v>0</v>
      </c>
      <c r="AP227" s="35">
        <f>Table11[[#This Row],[2024 '#Trees Inventory + Estimate]]*Table11[[#This Row],[Canada Allocation2017 %]]</f>
        <v>0</v>
      </c>
      <c r="AQ227" s="35">
        <f>Table11[[#This Row],['#Trees as of 2024/estimate-Can allocation]]+Table11[[#This Row],['#Trees as of 2024/estimate-Can allocation 2017]]</f>
        <v>0</v>
      </c>
      <c r="AR227" s="1" t="s">
        <v>152</v>
      </c>
      <c r="AS227" s="2" t="s">
        <v>852</v>
      </c>
      <c r="AT227" s="6">
        <f>IFERROR(Table11[[#This Row],['#Total Replacements]]/Table11[[#This Row],['#TreesContract]],"")</f>
        <v>0.35227272727272729</v>
      </c>
      <c r="AU227" s="4">
        <f>IF(SUM(Table11[[#This Row],['#Replace 24]:['#Replace 16]])=0,0,SUM(Table11[[#This Row],['#Replace 24]:['#Replace 16]]))</f>
        <v>310</v>
      </c>
      <c r="AV227" s="2"/>
      <c r="AW227" s="2"/>
      <c r="AX227" s="3"/>
      <c r="AY227" s="2"/>
      <c r="AZ227" s="2"/>
      <c r="BA227" s="2">
        <v>310</v>
      </c>
      <c r="BB227" s="2"/>
      <c r="BC227" s="2"/>
      <c r="BD227" s="2"/>
      <c r="BE227" s="2"/>
      <c r="BF227" s="3">
        <v>1</v>
      </c>
      <c r="BG227" s="3">
        <v>1</v>
      </c>
      <c r="BH227" s="2"/>
      <c r="BI227" s="158"/>
      <c r="BJ227" s="158"/>
      <c r="BK227" s="139">
        <f>Table11[[#This Row],[Average MHT
(Feet)]]/16</f>
        <v>0</v>
      </c>
      <c r="BL227" s="2"/>
      <c r="BM227" s="139">
        <f>Table11[[#This Row],[Average DBH
(inches)]]/18</f>
        <v>0</v>
      </c>
      <c r="BN227" s="235">
        <f>((Table11[[#This Row],[Average DBH
(inches)]]-4)^2)*(Table11[[#This Row],[Average MHT
(Feet)]]/16)</f>
        <v>0</v>
      </c>
      <c r="BO227" s="235">
        <f>Table11[[#This Row],[Average BF]]*Table11[[#This Row],[2024 '#Trees Inventory + Estimate]]</f>
        <v>0</v>
      </c>
      <c r="BP227" s="240">
        <f>(Table11[[#This Row],[Harvest Year
(10 year)]]-Table11[[#This Row],[Year of Inventory]]+1)*(Table11[[#This Row],[Average DBH
(inches)]]/(Table11[[#This Row],[Harvest Year
(10 year)]]-Table11[[#This Row],[Year of Inventory]]+1))+Table11[[#This Row],[Average DBH
(inches)]]</f>
        <v>0</v>
      </c>
      <c r="BQ227" s="235">
        <f>((Table11[[#This Row],[Projected DBH
(Extrapolated Growth/Year)]]-4)^2)*(Table11[[#This Row],[Average MHT
(Feet)]]/16)</f>
        <v>0</v>
      </c>
      <c r="BR227" s="235">
        <f>Table11[[#This Row],[Projected Average BF]]*Table11[[#This Row],[2024 '#Trees Inventory + Estimate]]</f>
        <v>0</v>
      </c>
      <c r="BS227" s="235">
        <f>196*Table11[[#This Row],[2024 '#Trees Inventory + Estimate]]</f>
        <v>43011.111111111109</v>
      </c>
      <c r="BT227" s="235">
        <f>Table11[[#This Row],[ETP Offering Expected BF]]-Table11[[#This Row],[Projected Total BF]]</f>
        <v>43011.111111111109</v>
      </c>
      <c r="BU227" s="235">
        <f>(18-Table11[[#This Row],[Average DBH
(inches)]])/(D227-Table11[[#This Row],[Year of Inventory]]+1)</f>
        <v>8.8626292466765146E-3</v>
      </c>
    </row>
    <row r="228" spans="1:73" hidden="1" x14ac:dyDescent="0.25">
      <c r="A228" s="7" t="s">
        <v>1278</v>
      </c>
      <c r="B228" s="2">
        <v>2021</v>
      </c>
      <c r="C228" s="2">
        <v>2021</v>
      </c>
      <c r="D228" s="2">
        <v>0</v>
      </c>
      <c r="E228" s="97" t="s">
        <v>1279</v>
      </c>
      <c r="F228" s="161">
        <v>10077</v>
      </c>
      <c r="G228" t="s">
        <v>1280</v>
      </c>
      <c r="H228" s="357" t="s">
        <v>1281</v>
      </c>
      <c r="I228" t="s">
        <v>160</v>
      </c>
      <c r="J228" s="1" t="s">
        <v>1282</v>
      </c>
      <c r="K228" s="1" t="s">
        <v>1283</v>
      </c>
      <c r="L228" s="1" t="s">
        <v>1283</v>
      </c>
      <c r="M228" s="1" t="s">
        <v>150</v>
      </c>
      <c r="Q228" s="2"/>
      <c r="R228" s="86"/>
      <c r="S228" s="2"/>
      <c r="T228" s="1">
        <v>1100</v>
      </c>
      <c r="U228" s="1">
        <v>1100</v>
      </c>
      <c r="V228" s="1" t="str">
        <f>IF(Table11[[#This Row],['#TreesContract]]-Table11[[#This Row],['#Planted]]=0,"",Table11[[#This Row],['#TreesContract]]-Table11[[#This Row],['#Planted]])</f>
        <v/>
      </c>
      <c r="W228" s="2"/>
      <c r="X228" s="34">
        <v>1</v>
      </c>
      <c r="Y228" s="163">
        <f>Table11[[#This Row],['#TreesContract]]*Table11[[#This Row],[USA Allocation %]]</f>
        <v>1100</v>
      </c>
      <c r="Z228" s="163">
        <f>Table11[[#This Row],['#Planted]]*Table11[[#This Row],[USA Allocation %]]</f>
        <v>1100</v>
      </c>
      <c r="AA228" s="34"/>
      <c r="AB228" s="163"/>
      <c r="AC228" s="34"/>
      <c r="AD228" s="163"/>
      <c r="AE228" s="163">
        <f>Table11[[#This Row],[Canada Allocation-tree '#''s]]+Table11[[#This Row],[Can trees/Allocation 2017]]</f>
        <v>0</v>
      </c>
      <c r="AF228" s="5">
        <v>0</v>
      </c>
      <c r="AG228" s="35">
        <v>0</v>
      </c>
      <c r="AH228" s="35">
        <f>Table11[[#This Row],['#Trees as of 12/31/23]]*Table11[[#This Row],[USA Allocation %]]</f>
        <v>0</v>
      </c>
      <c r="AI228" s="404">
        <f>Table11[[#This Row],['#TreesContract]]*Table11[[#This Row],[2024 Inventory Survival%-master]]</f>
        <v>0</v>
      </c>
      <c r="AJ228" s="5">
        <v>0</v>
      </c>
      <c r="AK228" s="5">
        <v>0</v>
      </c>
      <c r="AL228" s="5">
        <v>0</v>
      </c>
      <c r="AM228" s="35">
        <v>0</v>
      </c>
      <c r="AN228" s="35">
        <f>Table11[[#This Row],[2024 '#Trees Inventory + Estimate]]*Table11[[#This Row],[USA Allocation %]]</f>
        <v>0</v>
      </c>
      <c r="AO228" s="35">
        <f>Table11[[#This Row],[2024 '#Trees Inventory + Estimate]]*Table11[[#This Row],[Canada Allocation %]]</f>
        <v>0</v>
      </c>
      <c r="AP228" s="35">
        <f>Table11[[#This Row],[2024 '#Trees Inventory + Estimate]]*Table11[[#This Row],[Canada Allocation2017 %]]</f>
        <v>0</v>
      </c>
      <c r="AQ228" s="35">
        <f>Table11[[#This Row],['#Trees as of 2024/estimate-Can allocation]]+Table11[[#This Row],['#Trees as of 2024/estimate-Can allocation 2017]]</f>
        <v>0</v>
      </c>
      <c r="AR228" s="1" t="s">
        <v>152</v>
      </c>
      <c r="AS228" s="2" t="s">
        <v>1284</v>
      </c>
      <c r="AT228" s="6">
        <f>IFERROR(Table11[[#This Row],['#Total Replacements]]/Table11[[#This Row],['#TreesContract]],"")</f>
        <v>0.33636363636363636</v>
      </c>
      <c r="AU228" s="4">
        <f>IF(SUM(Table11[[#This Row],['#Replace 24]:['#Replace 16]])=0,0,SUM(Table11[[#This Row],['#Replace 24]:['#Replace 16]]))</f>
        <v>370</v>
      </c>
      <c r="AV228" s="2"/>
      <c r="AW228" s="2"/>
      <c r="AX228" s="3"/>
      <c r="AY228" s="2"/>
      <c r="AZ228" s="2">
        <v>370</v>
      </c>
      <c r="BA228" s="2"/>
      <c r="BB228" s="2"/>
      <c r="BC228" s="2"/>
      <c r="BD228" s="2"/>
      <c r="BE228" s="2"/>
      <c r="BF228" s="3">
        <v>1</v>
      </c>
      <c r="BG228" s="3">
        <v>1</v>
      </c>
      <c r="BH228" s="2"/>
      <c r="BI228" s="2"/>
      <c r="BJ228" s="2"/>
      <c r="BK228" s="139">
        <f>Table11[[#This Row],[Average MHT
(Feet)]]/16</f>
        <v>0</v>
      </c>
      <c r="BL228" s="2"/>
      <c r="BM228" s="139">
        <f>Table11[[#This Row],[Average DBH
(inches)]]/18</f>
        <v>0</v>
      </c>
      <c r="BN228" s="235">
        <f>((Table11[[#This Row],[Average DBH
(inches)]]-4)^2)*(Table11[[#This Row],[Average MHT
(Feet)]]/16)</f>
        <v>0</v>
      </c>
      <c r="BO228" s="235">
        <f>Table11[[#This Row],[Average BF]]*Table11[[#This Row],[2024 '#Trees Inventory + Estimate]]</f>
        <v>0</v>
      </c>
      <c r="BP228" s="240">
        <f>(Table11[[#This Row],[Harvest Year
(10 year)]]-Table11[[#This Row],[Year of Inventory]]+1)*(Table11[[#This Row],[Average DBH
(inches)]]/(Table11[[#This Row],[Harvest Year
(10 year)]]-Table11[[#This Row],[Year of Inventory]]+1))+Table11[[#This Row],[Average DBH
(inches)]]</f>
        <v>0</v>
      </c>
      <c r="BQ228" s="235">
        <f>((Table11[[#This Row],[Projected DBH
(Extrapolated Growth/Year)]]-4)^2)*(Table11[[#This Row],[Average MHT
(Feet)]]/16)</f>
        <v>0</v>
      </c>
      <c r="BR228" s="235">
        <f>Table11[[#This Row],[Projected Average BF]]*Table11[[#This Row],[2024 '#Trees Inventory + Estimate]]</f>
        <v>0</v>
      </c>
      <c r="BS228" s="235">
        <f>196*Table11[[#This Row],[2024 '#Trees Inventory + Estimate]]</f>
        <v>0</v>
      </c>
      <c r="BT228" s="235">
        <f>Table11[[#This Row],[ETP Offering Expected BF]]-Table11[[#This Row],[Projected Total BF]]</f>
        <v>0</v>
      </c>
      <c r="BU228" s="235">
        <f>(18-Table11[[#This Row],[Average DBH
(inches)]])/(D228-Table11[[#This Row],[Year of Inventory]]+1)</f>
        <v>18</v>
      </c>
    </row>
    <row r="229" spans="1:73" hidden="1" x14ac:dyDescent="0.25">
      <c r="A229" s="7" t="s">
        <v>1285</v>
      </c>
      <c r="B229" s="2">
        <v>2020</v>
      </c>
      <c r="C229" s="2">
        <v>2021</v>
      </c>
      <c r="D229" s="2">
        <f>Table11[[#This Row],[Planting Year]]+9</f>
        <v>2030</v>
      </c>
      <c r="E229" s="97" t="s">
        <v>1286</v>
      </c>
      <c r="F229" s="161">
        <v>10078</v>
      </c>
      <c r="G229" t="s">
        <v>1287</v>
      </c>
      <c r="H229" s="357" t="s">
        <v>1288</v>
      </c>
      <c r="I229" t="s">
        <v>155</v>
      </c>
      <c r="J229" s="1" t="s">
        <v>1289</v>
      </c>
      <c r="K229" s="1" t="s">
        <v>1290</v>
      </c>
      <c r="L229" s="1" t="s">
        <v>1290</v>
      </c>
      <c r="M229" s="1" t="s">
        <v>150</v>
      </c>
      <c r="N229" t="s">
        <v>1291</v>
      </c>
      <c r="O229">
        <v>32.268003999999998</v>
      </c>
      <c r="P229">
        <v>-85.276762000000005</v>
      </c>
      <c r="Q229" s="2"/>
      <c r="R229" s="86"/>
      <c r="S229" s="2"/>
      <c r="T229" s="1">
        <v>1805</v>
      </c>
      <c r="U229" s="1">
        <v>1805</v>
      </c>
      <c r="V229" s="1" t="str">
        <f>IF(Table11[[#This Row],['#TreesContract]]-Table11[[#This Row],['#Planted]]=0,"",Table11[[#This Row],['#TreesContract]]-Table11[[#This Row],['#Planted]])</f>
        <v/>
      </c>
      <c r="W229" s="2"/>
      <c r="X229" s="34">
        <v>1</v>
      </c>
      <c r="Y229" s="163">
        <f>Table11[[#This Row],['#TreesContract]]*Table11[[#This Row],[USA Allocation %]]</f>
        <v>1805</v>
      </c>
      <c r="Z229" s="163">
        <f>Table11[[#This Row],['#Planted]]*Table11[[#This Row],[USA Allocation %]]</f>
        <v>1805</v>
      </c>
      <c r="AA229" s="34"/>
      <c r="AB229" s="163"/>
      <c r="AC229" s="34"/>
      <c r="AD229" s="163"/>
      <c r="AE229" s="163">
        <f>Table11[[#This Row],[Canada Allocation-tree '#''s]]+Table11[[#This Row],[Can trees/Allocation 2017]]</f>
        <v>0</v>
      </c>
      <c r="AF229" s="5">
        <v>0.69368546965499878</v>
      </c>
      <c r="AG229" s="35">
        <v>1252.1022727272727</v>
      </c>
      <c r="AH229" s="35">
        <f>Table11[[#This Row],['#Trees as of 12/31/23]]*Table11[[#This Row],[USA Allocation %]]</f>
        <v>1252.1022727272727</v>
      </c>
      <c r="AI229" s="437">
        <f>Table11[[#This Row],['#TreesContract]]*Table11[[#This Row],[2024 Inventory Survival%-master]]</f>
        <v>0</v>
      </c>
      <c r="AJ229" s="436"/>
      <c r="AK229" s="5">
        <v>0.69368546965499878</v>
      </c>
      <c r="AL229" s="5">
        <v>1.0999999999999999E-2</v>
      </c>
      <c r="AM229" s="35">
        <v>20</v>
      </c>
      <c r="AN229" s="35">
        <f>Table11[[#This Row],[2024 '#Trees Inventory + Estimate]]*Table11[[#This Row],[USA Allocation %]]</f>
        <v>20</v>
      </c>
      <c r="AO229" s="35">
        <f>Table11[[#This Row],[2024 '#Trees Inventory + Estimate]]*Table11[[#This Row],[Canada Allocation %]]</f>
        <v>0</v>
      </c>
      <c r="AP229" s="35">
        <f>Table11[[#This Row],[2024 '#Trees Inventory + Estimate]]*Table11[[#This Row],[Canada Allocation2017 %]]</f>
        <v>0</v>
      </c>
      <c r="AQ229" s="35">
        <f>Table11[[#This Row],['#Trees as of 2024/estimate-Can allocation]]+Table11[[#This Row],['#Trees as of 2024/estimate-Can allocation 2017]]</f>
        <v>0</v>
      </c>
      <c r="AR229" s="1" t="s">
        <v>152</v>
      </c>
      <c r="AS229" s="2" t="s">
        <v>171</v>
      </c>
      <c r="AT229" s="6">
        <f>IFERROR(Table11[[#This Row],['#Total Replacements]]/Table11[[#This Row],['#TreesContract]],"")</f>
        <v>0.47700831024930745</v>
      </c>
      <c r="AU229" s="4">
        <f>IF(SUM(Table11[[#This Row],['#Replace 24]:['#Replace 16]])=0,0,SUM(Table11[[#This Row],['#Replace 24]:['#Replace 16]]))</f>
        <v>861</v>
      </c>
      <c r="AV229" s="2"/>
      <c r="AW229" s="2"/>
      <c r="AX229" s="3"/>
      <c r="AY229" s="2">
        <v>861</v>
      </c>
      <c r="AZ229" s="2"/>
      <c r="BA229" s="2"/>
      <c r="BB229" s="2"/>
      <c r="BC229" s="2"/>
      <c r="BD229" s="2"/>
      <c r="BE229" s="2"/>
      <c r="BF229" s="3">
        <v>1</v>
      </c>
      <c r="BG229" s="3">
        <v>1</v>
      </c>
      <c r="BH229" s="2"/>
      <c r="BI229" s="158"/>
      <c r="BJ229" s="158"/>
      <c r="BK229" s="139">
        <f>Table11[[#This Row],[Average MHT
(Feet)]]/16</f>
        <v>0</v>
      </c>
      <c r="BL229" s="2"/>
      <c r="BM229" s="139">
        <f>Table11[[#This Row],[Average DBH
(inches)]]/18</f>
        <v>0</v>
      </c>
      <c r="BN229" s="235">
        <f>((Table11[[#This Row],[Average DBH
(inches)]]-4)^2)*(Table11[[#This Row],[Average MHT
(Feet)]]/16)</f>
        <v>0</v>
      </c>
      <c r="BO229" s="235">
        <f>Table11[[#This Row],[Average BF]]*Table11[[#This Row],[2024 '#Trees Inventory + Estimate]]</f>
        <v>0</v>
      </c>
      <c r="BP229" s="240">
        <f>(Table11[[#This Row],[Harvest Year
(10 year)]]-Table11[[#This Row],[Year of Inventory]]+1)*(Table11[[#This Row],[Average DBH
(inches)]]/(Table11[[#This Row],[Harvest Year
(10 year)]]-Table11[[#This Row],[Year of Inventory]]+1))+Table11[[#This Row],[Average DBH
(inches)]]</f>
        <v>0</v>
      </c>
      <c r="BQ229" s="235">
        <f>((Table11[[#This Row],[Projected DBH
(Extrapolated Growth/Year)]]-4)^2)*(Table11[[#This Row],[Average MHT
(Feet)]]/16)</f>
        <v>0</v>
      </c>
      <c r="BR229" s="235">
        <f>Table11[[#This Row],[Projected Average BF]]*Table11[[#This Row],[2024 '#Trees Inventory + Estimate]]</f>
        <v>0</v>
      </c>
      <c r="BS229" s="235">
        <f>196*Table11[[#This Row],[2024 '#Trees Inventory + Estimate]]</f>
        <v>3920</v>
      </c>
      <c r="BT229" s="243">
        <f>Table11[[#This Row],[ETP Offering Expected BF]]-Table11[[#This Row],[Projected Total BF]]</f>
        <v>3920</v>
      </c>
      <c r="BU229" s="235">
        <f>(18-Table11[[#This Row],[Average DBH
(inches)]])/(D229-Table11[[#This Row],[Year of Inventory]]+1)</f>
        <v>8.8626292466765146E-3</v>
      </c>
    </row>
    <row r="230" spans="1:73" hidden="1" x14ac:dyDescent="0.25">
      <c r="A230" s="7" t="s">
        <v>1292</v>
      </c>
      <c r="B230" s="2">
        <v>2020</v>
      </c>
      <c r="C230" s="2">
        <v>2021</v>
      </c>
      <c r="D230" s="2">
        <f>Table11[[#This Row],[Planting Year]]+9</f>
        <v>2030</v>
      </c>
      <c r="E230" s="97" t="s">
        <v>1293</v>
      </c>
      <c r="F230" s="161">
        <v>10079</v>
      </c>
      <c r="G230" t="s">
        <v>1293</v>
      </c>
      <c r="H230" s="357" t="s">
        <v>1294</v>
      </c>
      <c r="I230" t="s">
        <v>155</v>
      </c>
      <c r="J230" s="1" t="s">
        <v>1295</v>
      </c>
      <c r="K230" s="1" t="s">
        <v>1296</v>
      </c>
      <c r="L230" s="1" t="s">
        <v>1296</v>
      </c>
      <c r="M230" s="1" t="s">
        <v>150</v>
      </c>
      <c r="N230" t="s">
        <v>1297</v>
      </c>
      <c r="O230">
        <v>31.264032</v>
      </c>
      <c r="P230">
        <v>-85.211331000000001</v>
      </c>
      <c r="Q230" s="2"/>
      <c r="R230" s="86"/>
      <c r="S230" s="2"/>
      <c r="T230" s="1">
        <v>1100</v>
      </c>
      <c r="U230" s="1">
        <v>1100</v>
      </c>
      <c r="V230" s="1" t="str">
        <f>IF(Table11[[#This Row],['#TreesContract]]-Table11[[#This Row],['#Planted]]=0,"",Table11[[#This Row],['#TreesContract]]-Table11[[#This Row],['#Planted]])</f>
        <v/>
      </c>
      <c r="W230" s="2"/>
      <c r="X230" s="34">
        <v>1</v>
      </c>
      <c r="Y230" s="163">
        <f>Table11[[#This Row],['#TreesContract]]*Table11[[#This Row],[USA Allocation %]]</f>
        <v>1100</v>
      </c>
      <c r="Z230" s="163">
        <f>Table11[[#This Row],['#Planted]]*Table11[[#This Row],[USA Allocation %]]</f>
        <v>1100</v>
      </c>
      <c r="AA230" s="34"/>
      <c r="AB230" s="163"/>
      <c r="AC230" s="34"/>
      <c r="AD230" s="163"/>
      <c r="AE230" s="163">
        <f>Table11[[#This Row],[Canada Allocation-tree '#''s]]+Table11[[#This Row],[Can trees/Allocation 2017]]</f>
        <v>0</v>
      </c>
      <c r="AF230" s="5">
        <v>1</v>
      </c>
      <c r="AG230" s="35">
        <v>1100</v>
      </c>
      <c r="AH230" s="35">
        <f>Table11[[#This Row],['#Trees as of 12/31/23]]*Table11[[#This Row],[USA Allocation %]]</f>
        <v>1100</v>
      </c>
      <c r="AI230" s="437">
        <f>Table11[[#This Row],['#TreesContract]]*Table11[[#This Row],[2024 Inventory Survival%-master]]</f>
        <v>0</v>
      </c>
      <c r="AJ230" s="436"/>
      <c r="AK230" s="5">
        <v>1</v>
      </c>
      <c r="AL230" s="5">
        <v>1</v>
      </c>
      <c r="AM230" s="35">
        <v>1100</v>
      </c>
      <c r="AN230" s="35">
        <f>Table11[[#This Row],[2024 '#Trees Inventory + Estimate]]*Table11[[#This Row],[USA Allocation %]]</f>
        <v>1100</v>
      </c>
      <c r="AO230" s="35">
        <f>Table11[[#This Row],[2024 '#Trees Inventory + Estimate]]*Table11[[#This Row],[Canada Allocation %]]</f>
        <v>0</v>
      </c>
      <c r="AP230" s="35">
        <f>Table11[[#This Row],[2024 '#Trees Inventory + Estimate]]*Table11[[#This Row],[Canada Allocation2017 %]]</f>
        <v>0</v>
      </c>
      <c r="AQ230" s="35">
        <f>Table11[[#This Row],['#Trees as of 2024/estimate-Can allocation]]+Table11[[#This Row],['#Trees as of 2024/estimate-Can allocation 2017]]</f>
        <v>0</v>
      </c>
      <c r="AR230" s="1" t="s">
        <v>152</v>
      </c>
      <c r="AS230" s="2" t="s">
        <v>1298</v>
      </c>
      <c r="AT230" s="6">
        <f>IFERROR(Table11[[#This Row],['#Total Replacements]]/Table11[[#This Row],['#TreesContract]],"")</f>
        <v>7.636363636363637E-2</v>
      </c>
      <c r="AU230" s="4">
        <f>IF(SUM(Table11[[#This Row],['#Replace 24]:['#Replace 16]])=0,0,SUM(Table11[[#This Row],['#Replace 24]:['#Replace 16]]))</f>
        <v>84</v>
      </c>
      <c r="AV230" s="2"/>
      <c r="AW230" s="2"/>
      <c r="AX230" s="3"/>
      <c r="AY230" s="2">
        <v>84</v>
      </c>
      <c r="AZ230" s="2"/>
      <c r="BA230" s="2"/>
      <c r="BB230" s="2"/>
      <c r="BC230" s="2"/>
      <c r="BD230" s="2"/>
      <c r="BE230" s="2"/>
      <c r="BF230" s="3">
        <v>1</v>
      </c>
      <c r="BG230" s="3">
        <v>1</v>
      </c>
      <c r="BH230" s="2"/>
      <c r="BI230" s="2"/>
      <c r="BJ230" s="2"/>
      <c r="BK230" s="139">
        <f>Table11[[#This Row],[Average MHT
(Feet)]]/16</f>
        <v>0</v>
      </c>
      <c r="BL230" s="2"/>
      <c r="BM230" s="139">
        <f>Table11[[#This Row],[Average DBH
(inches)]]/18</f>
        <v>0</v>
      </c>
      <c r="BN230" s="235">
        <f>((Table11[[#This Row],[Average DBH
(inches)]]-4)^2)*(Table11[[#This Row],[Average MHT
(Feet)]]/16)</f>
        <v>0</v>
      </c>
      <c r="BO230" s="235">
        <f>Table11[[#This Row],[Average BF]]*Table11[[#This Row],[2024 '#Trees Inventory + Estimate]]</f>
        <v>0</v>
      </c>
      <c r="BP230" s="240">
        <f>(Table11[[#This Row],[Harvest Year
(10 year)]]-Table11[[#This Row],[Year of Inventory]]+1)*(Table11[[#This Row],[Average DBH
(inches)]]/(Table11[[#This Row],[Harvest Year
(10 year)]]-Table11[[#This Row],[Year of Inventory]]+1))+Table11[[#This Row],[Average DBH
(inches)]]</f>
        <v>0</v>
      </c>
      <c r="BQ230" s="235">
        <f>((Table11[[#This Row],[Projected DBH
(Extrapolated Growth/Year)]]-4)^2)*(Table11[[#This Row],[Average MHT
(Feet)]]/16)</f>
        <v>0</v>
      </c>
      <c r="BR230" s="235">
        <f>Table11[[#This Row],[Projected Average BF]]*Table11[[#This Row],[2024 '#Trees Inventory + Estimate]]</f>
        <v>0</v>
      </c>
      <c r="BS230" s="235">
        <f>196*Table11[[#This Row],[2024 '#Trees Inventory + Estimate]]</f>
        <v>215600</v>
      </c>
      <c r="BT230" s="243">
        <f>Table11[[#This Row],[ETP Offering Expected BF]]-Table11[[#This Row],[Projected Total BF]]</f>
        <v>215600</v>
      </c>
      <c r="BU230" s="235">
        <f>(18-Table11[[#This Row],[Average DBH
(inches)]])/(D230-Table11[[#This Row],[Year of Inventory]]+1)</f>
        <v>8.8626292466765146E-3</v>
      </c>
    </row>
    <row r="231" spans="1:73" hidden="1" x14ac:dyDescent="0.25">
      <c r="A231" s="7" t="s">
        <v>1299</v>
      </c>
      <c r="B231" s="2">
        <v>2020</v>
      </c>
      <c r="C231" s="2">
        <v>2021</v>
      </c>
      <c r="D231" s="2">
        <f>Table11[[#This Row],[Planting Year]]+9</f>
        <v>2030</v>
      </c>
      <c r="E231" s="97" t="s">
        <v>1300</v>
      </c>
      <c r="F231" s="161">
        <v>10080</v>
      </c>
      <c r="G231" t="s">
        <v>1301</v>
      </c>
      <c r="H231" s="357" t="s">
        <v>1302</v>
      </c>
      <c r="I231" t="s">
        <v>155</v>
      </c>
      <c r="J231" s="1" t="s">
        <v>1303</v>
      </c>
      <c r="K231" s="1" t="s">
        <v>1304</v>
      </c>
      <c r="L231" s="1" t="s">
        <v>1304</v>
      </c>
      <c r="M231" s="1" t="s">
        <v>150</v>
      </c>
      <c r="N231" t="s">
        <v>1305</v>
      </c>
      <c r="O231">
        <v>31.258754</v>
      </c>
      <c r="P231">
        <v>-85.252274999999997</v>
      </c>
      <c r="Q231" s="2"/>
      <c r="R231" s="86"/>
      <c r="S231" s="2"/>
      <c r="T231" s="1">
        <v>1540</v>
      </c>
      <c r="U231" s="1">
        <v>1540</v>
      </c>
      <c r="V231" s="1" t="str">
        <f>IF(Table11[[#This Row],['#TreesContract]]-Table11[[#This Row],['#Planted]]=0,"",Table11[[#This Row],['#TreesContract]]-Table11[[#This Row],['#Planted]])</f>
        <v/>
      </c>
      <c r="W231" s="2"/>
      <c r="X231" s="34">
        <v>1</v>
      </c>
      <c r="Y231" s="163">
        <f>Table11[[#This Row],['#TreesContract]]*Table11[[#This Row],[USA Allocation %]]</f>
        <v>1540</v>
      </c>
      <c r="Z231" s="163">
        <f>Table11[[#This Row],['#Planted]]*Table11[[#This Row],[USA Allocation %]]</f>
        <v>1540</v>
      </c>
      <c r="AA231" s="34"/>
      <c r="AB231" s="163"/>
      <c r="AC231" s="34"/>
      <c r="AD231" s="163"/>
      <c r="AE231" s="163">
        <f>Table11[[#This Row],[Canada Allocation-tree '#''s]]+Table11[[#This Row],[Can trees/Allocation 2017]]</f>
        <v>0</v>
      </c>
      <c r="AF231" s="5">
        <v>0.83598053152784135</v>
      </c>
      <c r="AG231" s="35">
        <v>1287.4100185528757</v>
      </c>
      <c r="AH231" s="35">
        <f>Table11[[#This Row],['#Trees as of 12/31/23]]*Table11[[#This Row],[USA Allocation %]]</f>
        <v>1287.4100185528757</v>
      </c>
      <c r="AI231" s="437">
        <f>Table11[[#This Row],['#TreesContract]]*Table11[[#This Row],[2024 Inventory Survival%-master]]</f>
        <v>0</v>
      </c>
      <c r="AJ231" s="436"/>
      <c r="AK231" s="5">
        <v>0.83598053152784135</v>
      </c>
      <c r="AL231" s="5">
        <v>0.83598053152784135</v>
      </c>
      <c r="AM231" s="35">
        <v>1287.4100185528757</v>
      </c>
      <c r="AN231" s="35">
        <f>Table11[[#This Row],[2024 '#Trees Inventory + Estimate]]*Table11[[#This Row],[USA Allocation %]]</f>
        <v>1287.4100185528757</v>
      </c>
      <c r="AO231" s="35">
        <f>Table11[[#This Row],[2024 '#Trees Inventory + Estimate]]*Table11[[#This Row],[Canada Allocation %]]</f>
        <v>0</v>
      </c>
      <c r="AP231" s="35">
        <f>Table11[[#This Row],[2024 '#Trees Inventory + Estimate]]*Table11[[#This Row],[Canada Allocation2017 %]]</f>
        <v>0</v>
      </c>
      <c r="AQ231" s="35">
        <f>Table11[[#This Row],['#Trees as of 2024/estimate-Can allocation]]+Table11[[#This Row],['#Trees as of 2024/estimate-Can allocation 2017]]</f>
        <v>0</v>
      </c>
      <c r="AR231" s="1" t="s">
        <v>152</v>
      </c>
      <c r="AS231" s="2" t="s">
        <v>171</v>
      </c>
      <c r="AT231" s="6">
        <f>IFERROR(Table11[[#This Row],['#Total Replacements]]/Table11[[#This Row],['#TreesContract]],"")</f>
        <v>0.12987012987012986</v>
      </c>
      <c r="AU231" s="4">
        <f>IF(SUM(Table11[[#This Row],['#Replace 24]:['#Replace 16]])=0,0,SUM(Table11[[#This Row],['#Replace 24]:['#Replace 16]]))</f>
        <v>200</v>
      </c>
      <c r="AV231" s="2"/>
      <c r="AW231" s="2"/>
      <c r="AX231" s="3"/>
      <c r="AY231" s="2">
        <v>185</v>
      </c>
      <c r="AZ231" s="2">
        <v>15</v>
      </c>
      <c r="BA231" s="2"/>
      <c r="BB231" s="2"/>
      <c r="BC231" s="2"/>
      <c r="BD231" s="2"/>
      <c r="BE231" s="2"/>
      <c r="BF231" s="3">
        <v>1</v>
      </c>
      <c r="BG231" s="3">
        <v>1</v>
      </c>
      <c r="BH231" s="2"/>
      <c r="BI231" s="2"/>
      <c r="BJ231" s="2"/>
      <c r="BK231" s="139">
        <f>Table11[[#This Row],[Average MHT
(Feet)]]/16</f>
        <v>0</v>
      </c>
      <c r="BL231" s="2"/>
      <c r="BM231" s="139">
        <f>Table11[[#This Row],[Average DBH
(inches)]]/18</f>
        <v>0</v>
      </c>
      <c r="BN231" s="235">
        <f>((Table11[[#This Row],[Average DBH
(inches)]]-4)^2)*(Table11[[#This Row],[Average MHT
(Feet)]]/16)</f>
        <v>0</v>
      </c>
      <c r="BO231" s="235">
        <f>Table11[[#This Row],[Average BF]]*Table11[[#This Row],[2024 '#Trees Inventory + Estimate]]</f>
        <v>0</v>
      </c>
      <c r="BP231" s="240">
        <f>(Table11[[#This Row],[Harvest Year
(10 year)]]-Table11[[#This Row],[Year of Inventory]]+1)*(Table11[[#This Row],[Average DBH
(inches)]]/(Table11[[#This Row],[Harvest Year
(10 year)]]-Table11[[#This Row],[Year of Inventory]]+1))+Table11[[#This Row],[Average DBH
(inches)]]</f>
        <v>0</v>
      </c>
      <c r="BQ231" s="235">
        <f>((Table11[[#This Row],[Projected DBH
(Extrapolated Growth/Year)]]-4)^2)*(Table11[[#This Row],[Average MHT
(Feet)]]/16)</f>
        <v>0</v>
      </c>
      <c r="BR231" s="235">
        <f>Table11[[#This Row],[Projected Average BF]]*Table11[[#This Row],[2024 '#Trees Inventory + Estimate]]</f>
        <v>0</v>
      </c>
      <c r="BS231" s="235">
        <f>196*Table11[[#This Row],[2024 '#Trees Inventory + Estimate]]</f>
        <v>252332.36363636365</v>
      </c>
      <c r="BT231" s="243">
        <f>Table11[[#This Row],[ETP Offering Expected BF]]-Table11[[#This Row],[Projected Total BF]]</f>
        <v>252332.36363636365</v>
      </c>
      <c r="BU231" s="235">
        <f>(18-Table11[[#This Row],[Average DBH
(inches)]])/(D231-Table11[[#This Row],[Year of Inventory]]+1)</f>
        <v>8.8626292466765146E-3</v>
      </c>
    </row>
    <row r="232" spans="1:73" hidden="1" x14ac:dyDescent="0.25">
      <c r="A232" s="7" t="s">
        <v>1306</v>
      </c>
      <c r="B232" s="2">
        <v>2020</v>
      </c>
      <c r="C232" s="2">
        <v>2021</v>
      </c>
      <c r="D232" s="2">
        <f>Table11[[#This Row],[Planting Year]]+9</f>
        <v>2030</v>
      </c>
      <c r="E232" s="97" t="s">
        <v>1307</v>
      </c>
      <c r="F232" s="161">
        <v>10081</v>
      </c>
      <c r="G232" t="s">
        <v>1308</v>
      </c>
      <c r="H232" s="357" t="s">
        <v>1309</v>
      </c>
      <c r="I232" t="s">
        <v>155</v>
      </c>
      <c r="J232" s="1" t="s">
        <v>1310</v>
      </c>
      <c r="K232" s="1" t="s">
        <v>1311</v>
      </c>
      <c r="L232" s="1" t="s">
        <v>1311</v>
      </c>
      <c r="M232" s="1" t="s">
        <v>150</v>
      </c>
      <c r="N232" t="s">
        <v>1312</v>
      </c>
      <c r="O232">
        <v>33.118028000000002</v>
      </c>
      <c r="P232">
        <v>-84.690332999999995</v>
      </c>
      <c r="Q232" s="2"/>
      <c r="R232" s="86"/>
      <c r="S232" s="2"/>
      <c r="T232" s="1">
        <v>1100</v>
      </c>
      <c r="U232" s="1">
        <v>1100</v>
      </c>
      <c r="V232" s="1" t="str">
        <f>IF(Table11[[#This Row],['#TreesContract]]-Table11[[#This Row],['#Planted]]=0,"",Table11[[#This Row],['#TreesContract]]-Table11[[#This Row],['#Planted]])</f>
        <v/>
      </c>
      <c r="W232" s="2"/>
      <c r="X232" s="34">
        <v>1</v>
      </c>
      <c r="Y232" s="163">
        <f>Table11[[#This Row],['#TreesContract]]*Table11[[#This Row],[USA Allocation %]]</f>
        <v>1100</v>
      </c>
      <c r="Z232" s="163">
        <f>Table11[[#This Row],['#Planted]]*Table11[[#This Row],[USA Allocation %]]</f>
        <v>1100</v>
      </c>
      <c r="AA232" s="34"/>
      <c r="AB232" s="163"/>
      <c r="AC232" s="34"/>
      <c r="AD232" s="163"/>
      <c r="AE232" s="163">
        <f>Table11[[#This Row],[Canada Allocation-tree '#''s]]+Table11[[#This Row],[Can trees/Allocation 2017]]</f>
        <v>0</v>
      </c>
      <c r="AF232" s="5">
        <v>0.75911976911976908</v>
      </c>
      <c r="AG232" s="35">
        <v>835.03174603174602</v>
      </c>
      <c r="AH232" s="35">
        <f>Table11[[#This Row],['#Trees as of 12/31/23]]*Table11[[#This Row],[USA Allocation %]]</f>
        <v>835.03174603174602</v>
      </c>
      <c r="AI232" s="437">
        <f>Table11[[#This Row],['#TreesContract]]*Table11[[#This Row],[2024 Inventory Survival%-master]]</f>
        <v>0</v>
      </c>
      <c r="AJ232" s="436"/>
      <c r="AK232" s="5">
        <v>0.75911976911976908</v>
      </c>
      <c r="AL232" s="5">
        <v>0.75911976911976908</v>
      </c>
      <c r="AM232" s="35">
        <v>835.03174603174602</v>
      </c>
      <c r="AN232" s="35">
        <f>Table11[[#This Row],[2024 '#Trees Inventory + Estimate]]*Table11[[#This Row],[USA Allocation %]]</f>
        <v>835.03174603174602</v>
      </c>
      <c r="AO232" s="35">
        <f>Table11[[#This Row],[2024 '#Trees Inventory + Estimate]]*Table11[[#This Row],[Canada Allocation %]]</f>
        <v>0</v>
      </c>
      <c r="AP232" s="35">
        <f>Table11[[#This Row],[2024 '#Trees Inventory + Estimate]]*Table11[[#This Row],[Canada Allocation2017 %]]</f>
        <v>0</v>
      </c>
      <c r="AQ232" s="35">
        <f>Table11[[#This Row],['#Trees as of 2024/estimate-Can allocation]]+Table11[[#This Row],['#Trees as of 2024/estimate-Can allocation 2017]]</f>
        <v>0</v>
      </c>
      <c r="AR232" s="1" t="s">
        <v>152</v>
      </c>
      <c r="AS232" s="2" t="s">
        <v>171</v>
      </c>
      <c r="AT232" s="6">
        <f>IFERROR(Table11[[#This Row],['#Total Replacements]]/Table11[[#This Row],['#TreesContract]],"")</f>
        <v>0.19090909090909092</v>
      </c>
      <c r="AU232" s="4">
        <f>IF(SUM(Table11[[#This Row],['#Replace 24]:['#Replace 16]])=0,0,SUM(Table11[[#This Row],['#Replace 24]:['#Replace 16]]))</f>
        <v>210</v>
      </c>
      <c r="AV232" s="2"/>
      <c r="AW232" s="2"/>
      <c r="AX232" s="3"/>
      <c r="AY232" s="2">
        <v>210</v>
      </c>
      <c r="AZ232" s="2"/>
      <c r="BA232" s="2"/>
      <c r="BB232" s="2"/>
      <c r="BC232" s="2"/>
      <c r="BD232" s="2"/>
      <c r="BE232" s="2"/>
      <c r="BF232" s="3">
        <v>1</v>
      </c>
      <c r="BG232" s="3">
        <v>1</v>
      </c>
      <c r="BH232" s="2"/>
      <c r="BI232" s="158"/>
      <c r="BJ232" s="158"/>
      <c r="BK232" s="139">
        <f>Table11[[#This Row],[Average MHT
(Feet)]]/16</f>
        <v>0</v>
      </c>
      <c r="BL232" s="2"/>
      <c r="BM232" s="139">
        <f>Table11[[#This Row],[Average DBH
(inches)]]/18</f>
        <v>0</v>
      </c>
      <c r="BN232" s="235">
        <f>((Table11[[#This Row],[Average DBH
(inches)]]-4)^2)*(Table11[[#This Row],[Average MHT
(Feet)]]/16)</f>
        <v>0</v>
      </c>
      <c r="BO232" s="235">
        <f>Table11[[#This Row],[Average BF]]*Table11[[#This Row],[2024 '#Trees Inventory + Estimate]]</f>
        <v>0</v>
      </c>
      <c r="BP232" s="240">
        <f>(Table11[[#This Row],[Harvest Year
(10 year)]]-Table11[[#This Row],[Year of Inventory]]+1)*(Table11[[#This Row],[Average DBH
(inches)]]/(Table11[[#This Row],[Harvest Year
(10 year)]]-Table11[[#This Row],[Year of Inventory]]+1))+Table11[[#This Row],[Average DBH
(inches)]]</f>
        <v>0</v>
      </c>
      <c r="BQ232" s="235">
        <f>((Table11[[#This Row],[Projected DBH
(Extrapolated Growth/Year)]]-4)^2)*(Table11[[#This Row],[Average MHT
(Feet)]]/16)</f>
        <v>0</v>
      </c>
      <c r="BR232" s="235">
        <f>Table11[[#This Row],[Projected Average BF]]*Table11[[#This Row],[2024 '#Trees Inventory + Estimate]]</f>
        <v>0</v>
      </c>
      <c r="BS232" s="235">
        <f>196*Table11[[#This Row],[2024 '#Trees Inventory + Estimate]]</f>
        <v>163666.22222222222</v>
      </c>
      <c r="BT232" s="243">
        <f>Table11[[#This Row],[ETP Offering Expected BF]]-Table11[[#This Row],[Projected Total BF]]</f>
        <v>163666.22222222222</v>
      </c>
      <c r="BU232" s="235">
        <f>(18-Table11[[#This Row],[Average DBH
(inches)]])/(D232-Table11[[#This Row],[Year of Inventory]]+1)</f>
        <v>8.8626292466765146E-3</v>
      </c>
    </row>
    <row r="233" spans="1:73" hidden="1" x14ac:dyDescent="0.25">
      <c r="A233" s="7" t="s">
        <v>1313</v>
      </c>
      <c r="B233" s="2">
        <v>2020</v>
      </c>
      <c r="C233" s="2">
        <v>2021</v>
      </c>
      <c r="D233" s="2">
        <f>Table11[[#This Row],[Planting Year]]+9</f>
        <v>2030</v>
      </c>
      <c r="E233" s="97" t="s">
        <v>1314</v>
      </c>
      <c r="F233" s="161">
        <v>10082</v>
      </c>
      <c r="G233" t="s">
        <v>1315</v>
      </c>
      <c r="H233" s="357" t="s">
        <v>1316</v>
      </c>
      <c r="I233" t="s">
        <v>155</v>
      </c>
      <c r="J233" s="1" t="s">
        <v>1317</v>
      </c>
      <c r="K233" s="1" t="s">
        <v>1318</v>
      </c>
      <c r="L233" s="1" t="s">
        <v>1319</v>
      </c>
      <c r="M233" s="1" t="s">
        <v>150</v>
      </c>
      <c r="N233" t="s">
        <v>1320</v>
      </c>
      <c r="O233">
        <v>33.220832999999999</v>
      </c>
      <c r="P233">
        <v>-83.948611</v>
      </c>
      <c r="Q233" s="2"/>
      <c r="R233" s="86"/>
      <c r="S233" s="2"/>
      <c r="T233" s="1">
        <v>1100</v>
      </c>
      <c r="U233" s="1">
        <v>1100</v>
      </c>
      <c r="V233" s="1" t="str">
        <f>IF(Table11[[#This Row],['#TreesContract]]-Table11[[#This Row],['#Planted]]=0,"",Table11[[#This Row],['#TreesContract]]-Table11[[#This Row],['#Planted]])</f>
        <v/>
      </c>
      <c r="W233" s="2"/>
      <c r="X233" s="34">
        <v>1</v>
      </c>
      <c r="Y233" s="163">
        <f>Table11[[#This Row],['#TreesContract]]*Table11[[#This Row],[USA Allocation %]]</f>
        <v>1100</v>
      </c>
      <c r="Z233" s="163">
        <f>Table11[[#This Row],['#Planted]]*Table11[[#This Row],[USA Allocation %]]</f>
        <v>1100</v>
      </c>
      <c r="AA233" s="34"/>
      <c r="AB233" s="163"/>
      <c r="AC233" s="34"/>
      <c r="AD233" s="163"/>
      <c r="AE233" s="163">
        <f>Table11[[#This Row],[Canada Allocation-tree '#''s]]+Table11[[#This Row],[Can trees/Allocation 2017]]</f>
        <v>0</v>
      </c>
      <c r="AF233" s="5">
        <v>0.9412066115702481</v>
      </c>
      <c r="AG233" s="35">
        <v>1035.3272727272729</v>
      </c>
      <c r="AH233" s="35">
        <f>Table11[[#This Row],['#Trees as of 12/31/23]]*Table11[[#This Row],[USA Allocation %]]</f>
        <v>1035.3272727272729</v>
      </c>
      <c r="AI233" s="437">
        <f>Table11[[#This Row],['#TreesContract]]*Table11[[#This Row],[2024 Inventory Survival%-master]]</f>
        <v>0</v>
      </c>
      <c r="AJ233" s="436"/>
      <c r="AK233" s="5">
        <v>0.9412066115702481</v>
      </c>
      <c r="AL233" s="5">
        <v>0.9412066115702481</v>
      </c>
      <c r="AM233" s="35">
        <v>1035.3272727272729</v>
      </c>
      <c r="AN233" s="35">
        <f>Table11[[#This Row],[2024 '#Trees Inventory + Estimate]]*Table11[[#This Row],[USA Allocation %]]</f>
        <v>1035.3272727272729</v>
      </c>
      <c r="AO233" s="35">
        <f>Table11[[#This Row],[2024 '#Trees Inventory + Estimate]]*Table11[[#This Row],[Canada Allocation %]]</f>
        <v>0</v>
      </c>
      <c r="AP233" s="35">
        <f>Table11[[#This Row],[2024 '#Trees Inventory + Estimate]]*Table11[[#This Row],[Canada Allocation2017 %]]</f>
        <v>0</v>
      </c>
      <c r="AQ233" s="35">
        <f>Table11[[#This Row],['#Trees as of 2024/estimate-Can allocation]]+Table11[[#This Row],['#Trees as of 2024/estimate-Can allocation 2017]]</f>
        <v>0</v>
      </c>
      <c r="AR233" s="1" t="s">
        <v>152</v>
      </c>
      <c r="AS233" s="2" t="s">
        <v>1298</v>
      </c>
      <c r="AT233" s="6">
        <f>IFERROR(Table11[[#This Row],['#Total Replacements]]/Table11[[#This Row],['#TreesContract]],"")</f>
        <v>0.37454545454545457</v>
      </c>
      <c r="AU233" s="4">
        <f>IF(SUM(Table11[[#This Row],['#Replace 24]:['#Replace 16]])=0,0,SUM(Table11[[#This Row],['#Replace 24]:['#Replace 16]]))</f>
        <v>412</v>
      </c>
      <c r="AV233" s="2"/>
      <c r="AW233" s="2"/>
      <c r="AX233" s="3">
        <v>189</v>
      </c>
      <c r="AY233" s="2">
        <v>223</v>
      </c>
      <c r="AZ233" s="2"/>
      <c r="BA233" s="2"/>
      <c r="BB233" s="2"/>
      <c r="BC233" s="2"/>
      <c r="BD233" s="2"/>
      <c r="BE233" s="2"/>
      <c r="BF233" s="3">
        <v>1</v>
      </c>
      <c r="BG233" s="3">
        <v>1</v>
      </c>
      <c r="BH233" s="2"/>
      <c r="BI233" s="2"/>
      <c r="BJ233" s="2"/>
      <c r="BK233" s="139">
        <f>Table11[[#This Row],[Average MHT
(Feet)]]/16</f>
        <v>0</v>
      </c>
      <c r="BL233" s="2"/>
      <c r="BM233" s="139">
        <f>Table11[[#This Row],[Average DBH
(inches)]]/18</f>
        <v>0</v>
      </c>
      <c r="BN233" s="235">
        <f>((Table11[[#This Row],[Average DBH
(inches)]]-4)^2)*(Table11[[#This Row],[Average MHT
(Feet)]]/16)</f>
        <v>0</v>
      </c>
      <c r="BO233" s="235">
        <f>Table11[[#This Row],[Average BF]]*Table11[[#This Row],[2024 '#Trees Inventory + Estimate]]</f>
        <v>0</v>
      </c>
      <c r="BP233" s="240">
        <f>(Table11[[#This Row],[Harvest Year
(10 year)]]-Table11[[#This Row],[Year of Inventory]]+1)*(Table11[[#This Row],[Average DBH
(inches)]]/(Table11[[#This Row],[Harvest Year
(10 year)]]-Table11[[#This Row],[Year of Inventory]]+1))+Table11[[#This Row],[Average DBH
(inches)]]</f>
        <v>0</v>
      </c>
      <c r="BQ233" s="235">
        <f>((Table11[[#This Row],[Projected DBH
(Extrapolated Growth/Year)]]-4)^2)*(Table11[[#This Row],[Average MHT
(Feet)]]/16)</f>
        <v>0</v>
      </c>
      <c r="BR233" s="235">
        <f>Table11[[#This Row],[Projected Average BF]]*Table11[[#This Row],[2024 '#Trees Inventory + Estimate]]</f>
        <v>0</v>
      </c>
      <c r="BS233" s="235">
        <f>196*Table11[[#This Row],[2024 '#Trees Inventory + Estimate]]</f>
        <v>202924.14545454548</v>
      </c>
      <c r="BT233" s="243">
        <f>Table11[[#This Row],[ETP Offering Expected BF]]-Table11[[#This Row],[Projected Total BF]]</f>
        <v>202924.14545454548</v>
      </c>
      <c r="BU233" s="235">
        <f>(18-Table11[[#This Row],[Average DBH
(inches)]])/(D233-Table11[[#This Row],[Year of Inventory]]+1)</f>
        <v>8.8626292466765146E-3</v>
      </c>
    </row>
    <row r="234" spans="1:73" hidden="1" x14ac:dyDescent="0.25">
      <c r="A234" s="7" t="s">
        <v>1321</v>
      </c>
      <c r="B234" s="2">
        <v>2020</v>
      </c>
      <c r="C234" s="2">
        <v>2021</v>
      </c>
      <c r="D234" s="2">
        <f>Table11[[#This Row],[Planting Year]]+9</f>
        <v>2030</v>
      </c>
      <c r="E234" s="97" t="s">
        <v>1322</v>
      </c>
      <c r="F234" s="161">
        <v>10083</v>
      </c>
      <c r="G234" t="s">
        <v>1323</v>
      </c>
      <c r="H234" s="357" t="s">
        <v>1324</v>
      </c>
      <c r="I234" t="s">
        <v>155</v>
      </c>
      <c r="J234" s="1" t="s">
        <v>1325</v>
      </c>
      <c r="K234" s="1" t="s">
        <v>1326</v>
      </c>
      <c r="L234" s="1" t="s">
        <v>1327</v>
      </c>
      <c r="M234" s="1" t="s">
        <v>150</v>
      </c>
      <c r="N234" t="s">
        <v>1328</v>
      </c>
      <c r="O234">
        <v>34.355772000000002</v>
      </c>
      <c r="P234">
        <v>-87.809977000000003</v>
      </c>
      <c r="Q234" s="2"/>
      <c r="R234" s="86"/>
      <c r="S234" s="2"/>
      <c r="T234" s="1">
        <v>2800</v>
      </c>
      <c r="U234" s="1">
        <v>2800</v>
      </c>
      <c r="V234" s="1" t="str">
        <f>IF(Table11[[#This Row],['#TreesContract]]-Table11[[#This Row],['#Planted]]=0,"",Table11[[#This Row],['#TreesContract]]-Table11[[#This Row],['#Planted]])</f>
        <v/>
      </c>
      <c r="W234" s="2"/>
      <c r="X234" s="34">
        <v>1</v>
      </c>
      <c r="Y234" s="163">
        <f>Table11[[#This Row],['#TreesContract]]*Table11[[#This Row],[USA Allocation %]]</f>
        <v>2800</v>
      </c>
      <c r="Z234" s="163">
        <f>Table11[[#This Row],['#Planted]]*Table11[[#This Row],[USA Allocation %]]</f>
        <v>2800</v>
      </c>
      <c r="AA234" s="34"/>
      <c r="AB234" s="163"/>
      <c r="AC234" s="34"/>
      <c r="AD234" s="163"/>
      <c r="AE234" s="163">
        <f>Table11[[#This Row],[Canada Allocation-tree '#''s]]+Table11[[#This Row],[Can trees/Allocation 2017]]</f>
        <v>0</v>
      </c>
      <c r="AF234" s="5">
        <v>0.62958758503401357</v>
      </c>
      <c r="AG234" s="35">
        <v>1762.8452380952381</v>
      </c>
      <c r="AH234" s="35">
        <f>Table11[[#This Row],['#Trees as of 12/31/23]]*Table11[[#This Row],[USA Allocation %]]</f>
        <v>1762.8452380952381</v>
      </c>
      <c r="AI234" s="437">
        <f>Table11[[#This Row],['#TreesContract]]*Table11[[#This Row],[2024 Inventory Survival%-master]]</f>
        <v>0</v>
      </c>
      <c r="AJ234" s="436"/>
      <c r="AK234" s="5">
        <v>0.62958758503401357</v>
      </c>
      <c r="AL234" s="5">
        <v>0.62958758503401357</v>
      </c>
      <c r="AM234" s="35">
        <v>1762.8452380952381</v>
      </c>
      <c r="AN234" s="35">
        <f>Table11[[#This Row],[2024 '#Trees Inventory + Estimate]]*Table11[[#This Row],[USA Allocation %]]</f>
        <v>1762.8452380952381</v>
      </c>
      <c r="AO234" s="35">
        <f>Table11[[#This Row],[2024 '#Trees Inventory + Estimate]]*Table11[[#This Row],[Canada Allocation %]]</f>
        <v>0</v>
      </c>
      <c r="AP234" s="35">
        <f>Table11[[#This Row],[2024 '#Trees Inventory + Estimate]]*Table11[[#This Row],[Canada Allocation2017 %]]</f>
        <v>0</v>
      </c>
      <c r="AQ234" s="35">
        <f>Table11[[#This Row],['#Trees as of 2024/estimate-Can allocation]]+Table11[[#This Row],['#Trees as of 2024/estimate-Can allocation 2017]]</f>
        <v>0</v>
      </c>
      <c r="AR234" s="1" t="s">
        <v>152</v>
      </c>
      <c r="AS234" s="2" t="s">
        <v>171</v>
      </c>
      <c r="AT234" s="6">
        <f>IFERROR(Table11[[#This Row],['#Total Replacements]]/Table11[[#This Row],['#TreesContract]],"")</f>
        <v>0.18</v>
      </c>
      <c r="AU234" s="4">
        <f>IF(SUM(Table11[[#This Row],['#Replace 24]:['#Replace 16]])=0,0,SUM(Table11[[#This Row],['#Replace 24]:['#Replace 16]]))</f>
        <v>504</v>
      </c>
      <c r="AV234" s="2"/>
      <c r="AW234" s="2"/>
      <c r="AX234" s="3">
        <v>504</v>
      </c>
      <c r="AY234" s="2"/>
      <c r="AZ234" s="2"/>
      <c r="BA234" s="2"/>
      <c r="BB234" s="2"/>
      <c r="BC234" s="2"/>
      <c r="BD234" s="2"/>
      <c r="BE234" s="2"/>
      <c r="BF234" s="3">
        <v>1</v>
      </c>
      <c r="BG234" s="3">
        <v>1</v>
      </c>
      <c r="BH234" s="2"/>
      <c r="BI234" s="158"/>
      <c r="BJ234" s="158"/>
      <c r="BK234" s="139">
        <f>Table11[[#This Row],[Average MHT
(Feet)]]/16</f>
        <v>0</v>
      </c>
      <c r="BL234" s="2"/>
      <c r="BM234" s="139">
        <f>Table11[[#This Row],[Average DBH
(inches)]]/18</f>
        <v>0</v>
      </c>
      <c r="BN234" s="235">
        <f>((Table11[[#This Row],[Average DBH
(inches)]]-4)^2)*(Table11[[#This Row],[Average MHT
(Feet)]]/16)</f>
        <v>0</v>
      </c>
      <c r="BO234" s="235">
        <f>Table11[[#This Row],[Average BF]]*Table11[[#This Row],[2024 '#Trees Inventory + Estimate]]</f>
        <v>0</v>
      </c>
      <c r="BP234" s="240">
        <f>(Table11[[#This Row],[Harvest Year
(10 year)]]-Table11[[#This Row],[Year of Inventory]]+1)*(Table11[[#This Row],[Average DBH
(inches)]]/(Table11[[#This Row],[Harvest Year
(10 year)]]-Table11[[#This Row],[Year of Inventory]]+1))+Table11[[#This Row],[Average DBH
(inches)]]</f>
        <v>0</v>
      </c>
      <c r="BQ234" s="235">
        <f>((Table11[[#This Row],[Projected DBH
(Extrapolated Growth/Year)]]-4)^2)*(Table11[[#This Row],[Average MHT
(Feet)]]/16)</f>
        <v>0</v>
      </c>
      <c r="BR234" s="235">
        <f>Table11[[#This Row],[Projected Average BF]]*Table11[[#This Row],[2024 '#Trees Inventory + Estimate]]</f>
        <v>0</v>
      </c>
      <c r="BS234" s="235">
        <f>196*Table11[[#This Row],[2024 '#Trees Inventory + Estimate]]</f>
        <v>345517.66666666669</v>
      </c>
      <c r="BT234" s="243">
        <f>Table11[[#This Row],[ETP Offering Expected BF]]-Table11[[#This Row],[Projected Total BF]]</f>
        <v>345517.66666666669</v>
      </c>
      <c r="BU234" s="235">
        <f>(18-Table11[[#This Row],[Average DBH
(inches)]])/(D234-Table11[[#This Row],[Year of Inventory]]+1)</f>
        <v>8.8626292466765146E-3</v>
      </c>
    </row>
    <row r="235" spans="1:73" hidden="1" x14ac:dyDescent="0.25">
      <c r="A235" s="7" t="s">
        <v>1329</v>
      </c>
      <c r="B235" s="2">
        <v>2020</v>
      </c>
      <c r="C235" s="2">
        <v>2021</v>
      </c>
      <c r="D235" s="2">
        <f>Table11[[#This Row],[Planting Year]]+9</f>
        <v>2030</v>
      </c>
      <c r="E235" s="97" t="s">
        <v>1330</v>
      </c>
      <c r="F235" s="161">
        <v>10084</v>
      </c>
      <c r="G235" t="s">
        <v>1331</v>
      </c>
      <c r="H235" s="357" t="s">
        <v>1332</v>
      </c>
      <c r="I235" t="s">
        <v>147</v>
      </c>
      <c r="J235" s="1" t="s">
        <v>1333</v>
      </c>
      <c r="K235" s="1" t="s">
        <v>1334</v>
      </c>
      <c r="L235" s="1" t="s">
        <v>1334</v>
      </c>
      <c r="M235" s="1" t="s">
        <v>150</v>
      </c>
      <c r="N235" t="s">
        <v>1335</v>
      </c>
      <c r="O235">
        <v>32.461692999999997</v>
      </c>
      <c r="P235">
        <v>-82.125608999999997</v>
      </c>
      <c r="Q235" s="2"/>
      <c r="R235" s="86"/>
      <c r="S235" s="2"/>
      <c r="T235" s="1">
        <v>1650</v>
      </c>
      <c r="U235" s="1">
        <v>1650</v>
      </c>
      <c r="V235" s="1" t="str">
        <f>IF(Table11[[#This Row],['#TreesContract]]-Table11[[#This Row],['#Planted]]=0,"",Table11[[#This Row],['#TreesContract]]-Table11[[#This Row],['#Planted]])</f>
        <v/>
      </c>
      <c r="W235" s="2"/>
      <c r="X235" s="34">
        <v>1</v>
      </c>
      <c r="Y235" s="163">
        <f>Table11[[#This Row],['#TreesContract]]*Table11[[#This Row],[USA Allocation %]]</f>
        <v>1650</v>
      </c>
      <c r="Z235" s="163">
        <f>Table11[[#This Row],['#Planted]]*Table11[[#This Row],[USA Allocation %]]</f>
        <v>1650</v>
      </c>
      <c r="AA235" s="34"/>
      <c r="AB235" s="163"/>
      <c r="AC235" s="34"/>
      <c r="AD235" s="163"/>
      <c r="AE235" s="163">
        <f>Table11[[#This Row],[Canada Allocation-tree '#''s]]+Table11[[#This Row],[Can trees/Allocation 2017]]</f>
        <v>0</v>
      </c>
      <c r="AF235" s="5">
        <v>0.25020633687300353</v>
      </c>
      <c r="AG235" s="35">
        <v>412.84045584045583</v>
      </c>
      <c r="AH235" s="35">
        <f>Table11[[#This Row],['#Trees as of 12/31/23]]*Table11[[#This Row],[USA Allocation %]]</f>
        <v>412.84045584045583</v>
      </c>
      <c r="AI235" s="404">
        <f>Table11[[#This Row],['#TreesContract]]*Table11[[#This Row],[2024 Inventory Survival%-master]]</f>
        <v>0</v>
      </c>
      <c r="AJ235" s="5"/>
      <c r="AK235" s="5">
        <v>0.25020633687300353</v>
      </c>
      <c r="AL235" s="5">
        <v>0</v>
      </c>
      <c r="AM235" s="35">
        <f>AK235*Table11[[#This Row],['#TreesContract]]</f>
        <v>412.84045584045583</v>
      </c>
      <c r="AN235" s="35">
        <f>Table11[[#This Row],[2024 '#Trees Inventory + Estimate]]*Table11[[#This Row],[USA Allocation %]]</f>
        <v>412.84045584045583</v>
      </c>
      <c r="AO235" s="35">
        <f>Table11[[#This Row],[2024 '#Trees Inventory + Estimate]]*Table11[[#This Row],[Canada Allocation %]]</f>
        <v>0</v>
      </c>
      <c r="AP235" s="35">
        <f>Table11[[#This Row],[2024 '#Trees Inventory + Estimate]]*Table11[[#This Row],[Canada Allocation2017 %]]</f>
        <v>0</v>
      </c>
      <c r="AQ235" s="35">
        <f>Table11[[#This Row],['#Trees as of 2024/estimate-Can allocation]]+Table11[[#This Row],['#Trees as of 2024/estimate-Can allocation 2017]]</f>
        <v>0</v>
      </c>
      <c r="AR235" s="1" t="s">
        <v>152</v>
      </c>
      <c r="AS235" s="2" t="s">
        <v>1336</v>
      </c>
      <c r="AT235" s="6">
        <f>IFERROR(Table11[[#This Row],['#Total Replacements]]/Table11[[#This Row],['#TreesContract]],"")</f>
        <v>0.25454545454545452</v>
      </c>
      <c r="AU235" s="4">
        <f>IF(SUM(Table11[[#This Row],['#Replace 24]:['#Replace 16]])=0,0,SUM(Table11[[#This Row],['#Replace 24]:['#Replace 16]]))</f>
        <v>420</v>
      </c>
      <c r="AV235" s="2"/>
      <c r="AW235" s="2"/>
      <c r="AX235" s="3"/>
      <c r="AY235" s="2">
        <v>420</v>
      </c>
      <c r="AZ235" s="2"/>
      <c r="BA235" s="2"/>
      <c r="BB235" s="2"/>
      <c r="BC235" s="2"/>
      <c r="BD235" s="2"/>
      <c r="BE235" s="2"/>
      <c r="BF235" s="3">
        <v>1</v>
      </c>
      <c r="BG235" s="3">
        <v>1</v>
      </c>
      <c r="BH235" s="2"/>
      <c r="BI235" s="2"/>
      <c r="BJ235" s="2"/>
      <c r="BK235" s="139">
        <f>Table11[[#This Row],[Average MHT
(Feet)]]/16</f>
        <v>0</v>
      </c>
      <c r="BL235" s="2"/>
      <c r="BM235" s="139">
        <f>Table11[[#This Row],[Average DBH
(inches)]]/18</f>
        <v>0</v>
      </c>
      <c r="BN235" s="235">
        <f>((Table11[[#This Row],[Average DBH
(inches)]]-4)^2)*(Table11[[#This Row],[Average MHT
(Feet)]]/16)</f>
        <v>0</v>
      </c>
      <c r="BO235" s="235">
        <f>Table11[[#This Row],[Average BF]]*Table11[[#This Row],[2024 '#Trees Inventory + Estimate]]</f>
        <v>0</v>
      </c>
      <c r="BP235" s="240">
        <f>(Table11[[#This Row],[Harvest Year
(10 year)]]-Table11[[#This Row],[Year of Inventory]]+1)*(Table11[[#This Row],[Average DBH
(inches)]]/(Table11[[#This Row],[Harvest Year
(10 year)]]-Table11[[#This Row],[Year of Inventory]]+1))+Table11[[#This Row],[Average DBH
(inches)]]</f>
        <v>0</v>
      </c>
      <c r="BQ235" s="235">
        <f>((Table11[[#This Row],[Projected DBH
(Extrapolated Growth/Year)]]-4)^2)*(Table11[[#This Row],[Average MHT
(Feet)]]/16)</f>
        <v>0</v>
      </c>
      <c r="BR235" s="235">
        <f>Table11[[#This Row],[Projected Average BF]]*Table11[[#This Row],[2024 '#Trees Inventory + Estimate]]</f>
        <v>0</v>
      </c>
      <c r="BS235" s="235">
        <f>196*Table11[[#This Row],[2024 '#Trees Inventory + Estimate]]</f>
        <v>80916.729344729349</v>
      </c>
      <c r="BT235" s="235">
        <f>Table11[[#This Row],[ETP Offering Expected BF]]-Table11[[#This Row],[Projected Total BF]]</f>
        <v>80916.729344729349</v>
      </c>
      <c r="BU235" s="235">
        <f>(18-Table11[[#This Row],[Average DBH
(inches)]])/(D235-Table11[[#This Row],[Year of Inventory]]+1)</f>
        <v>8.8626292466765146E-3</v>
      </c>
    </row>
    <row r="236" spans="1:73" hidden="1" x14ac:dyDescent="0.25">
      <c r="A236" s="7" t="s">
        <v>1337</v>
      </c>
      <c r="B236" s="2">
        <v>2021</v>
      </c>
      <c r="C236" s="2">
        <v>2021</v>
      </c>
      <c r="D236" s="2">
        <f>Table11[[#This Row],[Planting Year]]+9</f>
        <v>2030</v>
      </c>
      <c r="E236" s="97" t="s">
        <v>1338</v>
      </c>
      <c r="F236" s="161">
        <v>10085</v>
      </c>
      <c r="G236" t="s">
        <v>1339</v>
      </c>
      <c r="H236" s="357" t="s">
        <v>1340</v>
      </c>
      <c r="I236" t="s">
        <v>155</v>
      </c>
      <c r="J236" s="1" t="s">
        <v>1341</v>
      </c>
      <c r="K236" s="1" t="s">
        <v>1342</v>
      </c>
      <c r="L236" s="1" t="s">
        <v>1343</v>
      </c>
      <c r="M236" s="1" t="s">
        <v>150</v>
      </c>
      <c r="N236" t="s">
        <v>1344</v>
      </c>
      <c r="O236">
        <v>32.087257000000001</v>
      </c>
      <c r="P236">
        <v>-83.779869000000005</v>
      </c>
      <c r="Q236" s="2"/>
      <c r="R236" s="86"/>
      <c r="S236" s="2"/>
      <c r="T236" s="1">
        <v>1210</v>
      </c>
      <c r="U236" s="1">
        <v>1210</v>
      </c>
      <c r="V236" s="1" t="str">
        <f>IF(Table11[[#This Row],['#TreesContract]]-Table11[[#This Row],['#Planted]]=0,"",Table11[[#This Row],['#TreesContract]]-Table11[[#This Row],['#Planted]])</f>
        <v/>
      </c>
      <c r="W236" s="2"/>
      <c r="X236" s="34">
        <v>1</v>
      </c>
      <c r="Y236" s="163">
        <f>Table11[[#This Row],['#TreesContract]]*Table11[[#This Row],[USA Allocation %]]</f>
        <v>1210</v>
      </c>
      <c r="Z236" s="163">
        <f>Table11[[#This Row],['#Planted]]*Table11[[#This Row],[USA Allocation %]]</f>
        <v>1210</v>
      </c>
      <c r="AA236" s="34"/>
      <c r="AB236" s="163"/>
      <c r="AC236" s="34"/>
      <c r="AD236" s="163"/>
      <c r="AE236" s="163">
        <f>Table11[[#This Row],[Canada Allocation-tree '#''s]]+Table11[[#This Row],[Can trees/Allocation 2017]]</f>
        <v>0</v>
      </c>
      <c r="AF236" s="5">
        <v>0.28859595200692123</v>
      </c>
      <c r="AG236" s="35">
        <v>349.20110192837467</v>
      </c>
      <c r="AH236" s="35">
        <f>Table11[[#This Row],['#Trees as of 12/31/23]]*Table11[[#This Row],[USA Allocation %]]</f>
        <v>349.20110192837467</v>
      </c>
      <c r="AI236" s="437">
        <f>Table11[[#This Row],['#TreesContract]]*Table11[[#This Row],[2024 Inventory Survival%-master]]</f>
        <v>0</v>
      </c>
      <c r="AJ236" s="436"/>
      <c r="AK236" s="5">
        <v>0.28859595200692123</v>
      </c>
      <c r="AL236" s="5">
        <v>0.28859595200692123</v>
      </c>
      <c r="AM236" s="35">
        <v>349.20110192837467</v>
      </c>
      <c r="AN236" s="35">
        <f>Table11[[#This Row],[2024 '#Trees Inventory + Estimate]]*Table11[[#This Row],[USA Allocation %]]</f>
        <v>349.20110192837467</v>
      </c>
      <c r="AO236" s="35">
        <f>Table11[[#This Row],[2024 '#Trees Inventory + Estimate]]*Table11[[#This Row],[Canada Allocation %]]</f>
        <v>0</v>
      </c>
      <c r="AP236" s="35">
        <f>Table11[[#This Row],[2024 '#Trees Inventory + Estimate]]*Table11[[#This Row],[Canada Allocation2017 %]]</f>
        <v>0</v>
      </c>
      <c r="AQ236" s="35">
        <f>Table11[[#This Row],['#Trees as of 2024/estimate-Can allocation]]+Table11[[#This Row],['#Trees as of 2024/estimate-Can allocation 2017]]</f>
        <v>0</v>
      </c>
      <c r="AR236" s="1" t="s">
        <v>152</v>
      </c>
      <c r="AS236" s="2" t="s">
        <v>171</v>
      </c>
      <c r="AT236" s="6">
        <f>IFERROR(Table11[[#This Row],['#Total Replacements]]/Table11[[#This Row],['#TreesContract]],"")</f>
        <v>1.7289256198347107</v>
      </c>
      <c r="AU236" s="4">
        <f>IF(SUM(Table11[[#This Row],['#Replace 24]:['#Replace 16]])=0,0,SUM(Table11[[#This Row],['#Replace 24]:['#Replace 16]]))</f>
        <v>2092</v>
      </c>
      <c r="AV236" s="2"/>
      <c r="AW236" s="2"/>
      <c r="AX236" s="3"/>
      <c r="AY236" s="2">
        <v>882</v>
      </c>
      <c r="AZ236" s="2">
        <v>1210</v>
      </c>
      <c r="BA236" s="2"/>
      <c r="BB236" s="2"/>
      <c r="BC236" s="2"/>
      <c r="BD236" s="2"/>
      <c r="BE236" s="2"/>
      <c r="BF236" s="3">
        <v>1</v>
      </c>
      <c r="BG236" s="3">
        <v>1</v>
      </c>
      <c r="BH236" s="2"/>
      <c r="BI236" s="2"/>
      <c r="BJ236" s="2"/>
      <c r="BK236" s="139">
        <f>Table11[[#This Row],[Average MHT
(Feet)]]/16</f>
        <v>0</v>
      </c>
      <c r="BL236" s="2"/>
      <c r="BM236" s="139">
        <f>Table11[[#This Row],[Average DBH
(inches)]]/18</f>
        <v>0</v>
      </c>
      <c r="BN236" s="235">
        <f>((Table11[[#This Row],[Average DBH
(inches)]]-4)^2)*(Table11[[#This Row],[Average MHT
(Feet)]]/16)</f>
        <v>0</v>
      </c>
      <c r="BO236" s="235">
        <f>Table11[[#This Row],[Average BF]]*Table11[[#This Row],[2024 '#Trees Inventory + Estimate]]</f>
        <v>0</v>
      </c>
      <c r="BP236" s="240">
        <f>(Table11[[#This Row],[Harvest Year
(10 year)]]-Table11[[#This Row],[Year of Inventory]]+1)*(Table11[[#This Row],[Average DBH
(inches)]]/(Table11[[#This Row],[Harvest Year
(10 year)]]-Table11[[#This Row],[Year of Inventory]]+1))+Table11[[#This Row],[Average DBH
(inches)]]</f>
        <v>0</v>
      </c>
      <c r="BQ236" s="235">
        <f>((Table11[[#This Row],[Projected DBH
(Extrapolated Growth/Year)]]-4)^2)*(Table11[[#This Row],[Average MHT
(Feet)]]/16)</f>
        <v>0</v>
      </c>
      <c r="BR236" s="235">
        <f>Table11[[#This Row],[Projected Average BF]]*Table11[[#This Row],[2024 '#Trees Inventory + Estimate]]</f>
        <v>0</v>
      </c>
      <c r="BS236" s="235">
        <f>196*Table11[[#This Row],[2024 '#Trees Inventory + Estimate]]</f>
        <v>68443.415977961442</v>
      </c>
      <c r="BT236" s="243">
        <f>Table11[[#This Row],[ETP Offering Expected BF]]-Table11[[#This Row],[Projected Total BF]]</f>
        <v>68443.415977961442</v>
      </c>
      <c r="BU236" s="235">
        <f>(18-Table11[[#This Row],[Average DBH
(inches)]])/(D236-Table11[[#This Row],[Year of Inventory]]+1)</f>
        <v>8.8626292466765146E-3</v>
      </c>
    </row>
    <row r="237" spans="1:73" hidden="1" x14ac:dyDescent="0.25">
      <c r="A237" s="7" t="s">
        <v>1345</v>
      </c>
      <c r="B237" s="2">
        <v>2021</v>
      </c>
      <c r="C237" s="2">
        <v>2021</v>
      </c>
      <c r="D237" s="2">
        <f>Table11[[#This Row],[Planting Year]]+9</f>
        <v>2030</v>
      </c>
      <c r="E237" s="97" t="s">
        <v>1346</v>
      </c>
      <c r="F237" s="161">
        <v>10086</v>
      </c>
      <c r="G237" t="s">
        <v>1347</v>
      </c>
      <c r="H237" s="357" t="s">
        <v>1348</v>
      </c>
      <c r="I237" t="s">
        <v>155</v>
      </c>
      <c r="J237" s="1" t="s">
        <v>1349</v>
      </c>
      <c r="K237" s="1" t="s">
        <v>1350</v>
      </c>
      <c r="L237" s="1" t="s">
        <v>1350</v>
      </c>
      <c r="M237" s="1" t="s">
        <v>150</v>
      </c>
      <c r="N237" t="s">
        <v>1351</v>
      </c>
      <c r="O237">
        <v>34.771515000000001</v>
      </c>
      <c r="P237">
        <v>-83.016176999999999</v>
      </c>
      <c r="Q237" s="2"/>
      <c r="R237" s="86"/>
      <c r="S237" s="2"/>
      <c r="T237" s="1">
        <v>1100</v>
      </c>
      <c r="U237" s="1">
        <v>1100</v>
      </c>
      <c r="V237" s="1" t="str">
        <f>IF(Table11[[#This Row],['#TreesContract]]-Table11[[#This Row],['#Planted]]=0,"",Table11[[#This Row],['#TreesContract]]-Table11[[#This Row],['#Planted]])</f>
        <v/>
      </c>
      <c r="W237" s="2"/>
      <c r="X237" s="34">
        <v>1</v>
      </c>
      <c r="Y237" s="163">
        <f>Table11[[#This Row],['#TreesContract]]*Table11[[#This Row],[USA Allocation %]]</f>
        <v>1100</v>
      </c>
      <c r="Z237" s="163">
        <f>Table11[[#This Row],['#Planted]]*Table11[[#This Row],[USA Allocation %]]</f>
        <v>1100</v>
      </c>
      <c r="AA237" s="34"/>
      <c r="AB237" s="163"/>
      <c r="AC237" s="34"/>
      <c r="AD237" s="163"/>
      <c r="AE237" s="163">
        <f>Table11[[#This Row],[Canada Allocation-tree '#''s]]+Table11[[#This Row],[Can trees/Allocation 2017]]</f>
        <v>0</v>
      </c>
      <c r="AF237" s="5">
        <v>0.98090909090909095</v>
      </c>
      <c r="AG237" s="35">
        <v>1079</v>
      </c>
      <c r="AH237" s="35">
        <f>Table11[[#This Row],['#Trees as of 12/31/23]]*Table11[[#This Row],[USA Allocation %]]</f>
        <v>1079</v>
      </c>
      <c r="AI237" s="437">
        <f>Table11[[#This Row],['#TreesContract]]*Table11[[#This Row],[2024 Inventory Survival%-master]]</f>
        <v>0</v>
      </c>
      <c r="AJ237" s="436"/>
      <c r="AK237" s="5">
        <v>0.98090909090909095</v>
      </c>
      <c r="AL237" s="5">
        <v>0.98090909090909095</v>
      </c>
      <c r="AM237" s="35">
        <v>1079</v>
      </c>
      <c r="AN237" s="35">
        <f>Table11[[#This Row],[2024 '#Trees Inventory + Estimate]]*Table11[[#This Row],[USA Allocation %]]</f>
        <v>1079</v>
      </c>
      <c r="AO237" s="35">
        <f>Table11[[#This Row],[2024 '#Trees Inventory + Estimate]]*Table11[[#This Row],[Canada Allocation %]]</f>
        <v>0</v>
      </c>
      <c r="AP237" s="35">
        <f>Table11[[#This Row],[2024 '#Trees Inventory + Estimate]]*Table11[[#This Row],[Canada Allocation2017 %]]</f>
        <v>0</v>
      </c>
      <c r="AQ237" s="35">
        <f>Table11[[#This Row],['#Trees as of 2024/estimate-Can allocation]]+Table11[[#This Row],['#Trees as of 2024/estimate-Can allocation 2017]]</f>
        <v>0</v>
      </c>
      <c r="AR237" s="1" t="s">
        <v>152</v>
      </c>
      <c r="AS237" s="2" t="s">
        <v>171</v>
      </c>
      <c r="AT237" s="6">
        <f>IFERROR(Table11[[#This Row],['#Total Replacements]]/Table11[[#This Row],['#TreesContract]],"")</f>
        <v>0.59272727272727277</v>
      </c>
      <c r="AU237" s="4">
        <f>IF(SUM(Table11[[#This Row],['#Replace 24]:['#Replace 16]])=0,0,SUM(Table11[[#This Row],['#Replace 24]:['#Replace 16]]))</f>
        <v>652</v>
      </c>
      <c r="AV237" s="2"/>
      <c r="AW237" s="2"/>
      <c r="AX237" s="3"/>
      <c r="AY237" s="2">
        <v>231</v>
      </c>
      <c r="AZ237" s="2">
        <v>421</v>
      </c>
      <c r="BA237" s="2"/>
      <c r="BB237" s="2"/>
      <c r="BC237" s="2"/>
      <c r="BD237" s="2"/>
      <c r="BE237" s="2"/>
      <c r="BF237" s="3">
        <v>1</v>
      </c>
      <c r="BG237" s="3">
        <v>1</v>
      </c>
      <c r="BH237" s="2"/>
      <c r="BI237" s="158"/>
      <c r="BJ237" s="158"/>
      <c r="BK237" s="139">
        <f>Table11[[#This Row],[Average MHT
(Feet)]]/16</f>
        <v>0</v>
      </c>
      <c r="BL237" s="2"/>
      <c r="BM237" s="139">
        <f>Table11[[#This Row],[Average DBH
(inches)]]/18</f>
        <v>0</v>
      </c>
      <c r="BN237" s="235">
        <f>((Table11[[#This Row],[Average DBH
(inches)]]-4)^2)*(Table11[[#This Row],[Average MHT
(Feet)]]/16)</f>
        <v>0</v>
      </c>
      <c r="BO237" s="235">
        <f>Table11[[#This Row],[Average BF]]*Table11[[#This Row],[2024 '#Trees Inventory + Estimate]]</f>
        <v>0</v>
      </c>
      <c r="BP237" s="240">
        <f>(Table11[[#This Row],[Harvest Year
(10 year)]]-Table11[[#This Row],[Year of Inventory]]+1)*(Table11[[#This Row],[Average DBH
(inches)]]/(Table11[[#This Row],[Harvest Year
(10 year)]]-Table11[[#This Row],[Year of Inventory]]+1))+Table11[[#This Row],[Average DBH
(inches)]]</f>
        <v>0</v>
      </c>
      <c r="BQ237" s="235">
        <f>((Table11[[#This Row],[Projected DBH
(Extrapolated Growth/Year)]]-4)^2)*(Table11[[#This Row],[Average MHT
(Feet)]]/16)</f>
        <v>0</v>
      </c>
      <c r="BR237" s="235">
        <f>Table11[[#This Row],[Projected Average BF]]*Table11[[#This Row],[2024 '#Trees Inventory + Estimate]]</f>
        <v>0</v>
      </c>
      <c r="BS237" s="235">
        <f>196*Table11[[#This Row],[2024 '#Trees Inventory + Estimate]]</f>
        <v>211484</v>
      </c>
      <c r="BT237" s="243">
        <f>Table11[[#This Row],[ETP Offering Expected BF]]-Table11[[#This Row],[Projected Total BF]]</f>
        <v>211484</v>
      </c>
      <c r="BU237" s="235">
        <f>(18-Table11[[#This Row],[Average DBH
(inches)]])/(D237-Table11[[#This Row],[Year of Inventory]]+1)</f>
        <v>8.8626292466765146E-3</v>
      </c>
    </row>
    <row r="238" spans="1:73" hidden="1" x14ac:dyDescent="0.25">
      <c r="A238" s="7" t="s">
        <v>1352</v>
      </c>
      <c r="B238" s="2">
        <v>2020</v>
      </c>
      <c r="C238" s="2">
        <v>2021</v>
      </c>
      <c r="D238" s="2">
        <f>Table11[[#This Row],[Planting Year]]+9</f>
        <v>2030</v>
      </c>
      <c r="E238" s="97" t="s">
        <v>1353</v>
      </c>
      <c r="F238" s="161">
        <v>10087</v>
      </c>
      <c r="G238" t="s">
        <v>1354</v>
      </c>
      <c r="H238" s="357" t="s">
        <v>1355</v>
      </c>
      <c r="I238" t="s">
        <v>155</v>
      </c>
      <c r="J238" s="1" t="s">
        <v>1356</v>
      </c>
      <c r="K238" s="1" t="s">
        <v>1357</v>
      </c>
      <c r="L238" s="1" t="s">
        <v>1358</v>
      </c>
      <c r="M238" s="1" t="s">
        <v>150</v>
      </c>
      <c r="N238" t="s">
        <v>1359</v>
      </c>
      <c r="O238">
        <v>32.899323000000003</v>
      </c>
      <c r="P238">
        <v>-86.760368999999997</v>
      </c>
      <c r="Q238" s="2"/>
      <c r="R238" s="86"/>
      <c r="S238" s="2"/>
      <c r="T238" s="1">
        <v>1100</v>
      </c>
      <c r="U238" s="1">
        <v>1100</v>
      </c>
      <c r="V238" s="1" t="str">
        <f>IF(Table11[[#This Row],['#TreesContract]]-Table11[[#This Row],['#Planted]]=0,"",Table11[[#This Row],['#TreesContract]]-Table11[[#This Row],['#Planted]])</f>
        <v/>
      </c>
      <c r="W238" s="2"/>
      <c r="X238" s="34">
        <v>1</v>
      </c>
      <c r="Y238" s="163">
        <f>Table11[[#This Row],['#TreesContract]]*Table11[[#This Row],[USA Allocation %]]</f>
        <v>1100</v>
      </c>
      <c r="Z238" s="163">
        <f>Table11[[#This Row],['#Planted]]*Table11[[#This Row],[USA Allocation %]]</f>
        <v>1100</v>
      </c>
      <c r="AA238" s="34"/>
      <c r="AB238" s="163"/>
      <c r="AC238" s="34"/>
      <c r="AD238" s="163"/>
      <c r="AE238" s="163">
        <f>Table11[[#This Row],[Canada Allocation-tree '#''s]]+Table11[[#This Row],[Can trees/Allocation 2017]]</f>
        <v>0</v>
      </c>
      <c r="AF238" s="5">
        <v>0.80335858585858588</v>
      </c>
      <c r="AG238" s="35">
        <v>883.69444444444446</v>
      </c>
      <c r="AH238" s="35">
        <f>Table11[[#This Row],['#Trees as of 12/31/23]]*Table11[[#This Row],[USA Allocation %]]</f>
        <v>883.69444444444446</v>
      </c>
      <c r="AI238" s="437">
        <f>Table11[[#This Row],['#TreesContract]]*Table11[[#This Row],[2024 Inventory Survival%-master]]</f>
        <v>0</v>
      </c>
      <c r="AJ238" s="436"/>
      <c r="AK238" s="5">
        <v>0.80335858585858588</v>
      </c>
      <c r="AL238" s="5">
        <v>0.80335858585858588</v>
      </c>
      <c r="AM238" s="35">
        <v>883.69444444444446</v>
      </c>
      <c r="AN238" s="35">
        <f>Table11[[#This Row],[2024 '#Trees Inventory + Estimate]]*Table11[[#This Row],[USA Allocation %]]</f>
        <v>883.69444444444446</v>
      </c>
      <c r="AO238" s="35">
        <f>Table11[[#This Row],[2024 '#Trees Inventory + Estimate]]*Table11[[#This Row],[Canada Allocation %]]</f>
        <v>0</v>
      </c>
      <c r="AP238" s="35">
        <f>Table11[[#This Row],[2024 '#Trees Inventory + Estimate]]*Table11[[#This Row],[Canada Allocation2017 %]]</f>
        <v>0</v>
      </c>
      <c r="AQ238" s="35">
        <f>Table11[[#This Row],['#Trees as of 2024/estimate-Can allocation]]+Table11[[#This Row],['#Trees as of 2024/estimate-Can allocation 2017]]</f>
        <v>0</v>
      </c>
      <c r="AR238" s="1" t="s">
        <v>152</v>
      </c>
      <c r="AS238" s="2" t="s">
        <v>1360</v>
      </c>
      <c r="AT238" s="6">
        <f>IFERROR(Table11[[#This Row],['#Total Replacements]]/Table11[[#This Row],['#TreesContract]],"")</f>
        <v>0.79363636363636358</v>
      </c>
      <c r="AU238" s="4">
        <f>IF(SUM(Table11[[#This Row],['#Replace 24]:['#Replace 16]])=0,0,SUM(Table11[[#This Row],['#Replace 24]:['#Replace 16]]))</f>
        <v>873</v>
      </c>
      <c r="AV238" s="2"/>
      <c r="AW238" s="2"/>
      <c r="AX238" s="3">
        <v>125</v>
      </c>
      <c r="AY238" s="2">
        <v>588</v>
      </c>
      <c r="AZ238" s="2">
        <v>160</v>
      </c>
      <c r="BA238" s="2"/>
      <c r="BB238" s="2"/>
      <c r="BC238" s="2"/>
      <c r="BD238" s="2"/>
      <c r="BE238" s="2"/>
      <c r="BF238" s="3">
        <v>1</v>
      </c>
      <c r="BG238" s="3">
        <v>1</v>
      </c>
      <c r="BH238" s="237"/>
      <c r="BI238" s="237"/>
      <c r="BJ238" s="237"/>
      <c r="BK238" s="139">
        <f>Table11[[#This Row],[Average MHT
(Feet)]]/16</f>
        <v>0</v>
      </c>
      <c r="BL238" s="237"/>
      <c r="BM238" s="254">
        <f>Table11[[#This Row],[Average DBH
(inches)]]/18</f>
        <v>0</v>
      </c>
      <c r="BN238" s="235">
        <f>((Table11[[#This Row],[Average DBH
(inches)]]-4)^2)*(Table11[[#This Row],[Average MHT
(Feet)]]/16)</f>
        <v>0</v>
      </c>
      <c r="BO238" s="235">
        <f>Table11[[#This Row],[Average BF]]*Table11[[#This Row],[2024 '#Trees Inventory + Estimate]]</f>
        <v>0</v>
      </c>
      <c r="BP238" s="240">
        <f>(Table11[[#This Row],[Harvest Year
(10 year)]]-Table11[[#This Row],[Year of Inventory]]+1)*(Table11[[#This Row],[Average DBH
(inches)]]/(Table11[[#This Row],[Harvest Year
(10 year)]]-Table11[[#This Row],[Year of Inventory]]+1))+Table11[[#This Row],[Average DBH
(inches)]]</f>
        <v>0</v>
      </c>
      <c r="BQ238" s="235">
        <f>((Table11[[#This Row],[Projected DBH
(Extrapolated Growth/Year)]]-4)^2)*(Table11[[#This Row],[Average MHT
(Feet)]]/16)</f>
        <v>0</v>
      </c>
      <c r="BR238" s="235">
        <f>Table11[[#This Row],[Projected Average BF]]*Table11[[#This Row],[2024 '#Trees Inventory + Estimate]]</f>
        <v>0</v>
      </c>
      <c r="BS238" s="235">
        <f>196*Table11[[#This Row],[2024 '#Trees Inventory + Estimate]]</f>
        <v>173204.11111111112</v>
      </c>
      <c r="BT238" s="243">
        <f>Table11[[#This Row],[ETP Offering Expected BF]]-Table11[[#This Row],[Projected Total BF]]</f>
        <v>173204.11111111112</v>
      </c>
      <c r="BU238" s="235">
        <f>(18-Table11[[#This Row],[Average DBH
(inches)]])/(D238-Table11[[#This Row],[Year of Inventory]]+1)</f>
        <v>8.8626292466765146E-3</v>
      </c>
    </row>
    <row r="239" spans="1:73" hidden="1" x14ac:dyDescent="0.25">
      <c r="A239" s="7" t="s">
        <v>1361</v>
      </c>
      <c r="B239" s="2">
        <v>2020</v>
      </c>
      <c r="C239" s="2">
        <v>2021</v>
      </c>
      <c r="D239" s="2">
        <f>Table11[[#This Row],[Planting Year]]+9</f>
        <v>2030</v>
      </c>
      <c r="E239" s="97" t="s">
        <v>1362</v>
      </c>
      <c r="F239" s="161">
        <v>10088</v>
      </c>
      <c r="G239" t="s">
        <v>1363</v>
      </c>
      <c r="H239" s="357" t="s">
        <v>1364</v>
      </c>
      <c r="I239" t="s">
        <v>155</v>
      </c>
      <c r="J239" s="1" t="s">
        <v>1365</v>
      </c>
      <c r="K239" s="1" t="s">
        <v>1366</v>
      </c>
      <c r="L239" s="1" t="s">
        <v>1366</v>
      </c>
      <c r="M239" s="1" t="s">
        <v>150</v>
      </c>
      <c r="N239" t="s">
        <v>1367</v>
      </c>
      <c r="O239">
        <v>30.503375999999999</v>
      </c>
      <c r="P239">
        <v>-85.128196000000003</v>
      </c>
      <c r="Q239" s="2"/>
      <c r="R239" s="86"/>
      <c r="S239" s="2"/>
      <c r="T239" s="1">
        <v>880</v>
      </c>
      <c r="U239" s="1">
        <v>880</v>
      </c>
      <c r="V239" s="1" t="str">
        <f>IF(Table11[[#This Row],['#TreesContract]]-Table11[[#This Row],['#Planted]]=0,"",Table11[[#This Row],['#TreesContract]]-Table11[[#This Row],['#Planted]])</f>
        <v/>
      </c>
      <c r="W239" s="2"/>
      <c r="X239" s="34">
        <v>1</v>
      </c>
      <c r="Y239" s="163">
        <f>Table11[[#This Row],['#TreesContract]]*Table11[[#This Row],[USA Allocation %]]</f>
        <v>880</v>
      </c>
      <c r="Z239" s="163">
        <f>Table11[[#This Row],['#Planted]]*Table11[[#This Row],[USA Allocation %]]</f>
        <v>880</v>
      </c>
      <c r="AA239" s="34"/>
      <c r="AB239" s="163"/>
      <c r="AC239" s="34"/>
      <c r="AD239" s="163"/>
      <c r="AE239" s="163">
        <f>Table11[[#This Row],[Canada Allocation-tree '#''s]]+Table11[[#This Row],[Can trees/Allocation 2017]]</f>
        <v>0</v>
      </c>
      <c r="AF239" s="5">
        <v>0.90427328353464731</v>
      </c>
      <c r="AG239" s="35">
        <v>795.76048951048961</v>
      </c>
      <c r="AH239" s="35">
        <f>Table11[[#This Row],['#Trees as of 12/31/23]]*Table11[[#This Row],[USA Allocation %]]</f>
        <v>795.76048951048961</v>
      </c>
      <c r="AI239" s="437">
        <f>Table11[[#This Row],['#TreesContract]]*Table11[[#This Row],[2024 Inventory Survival%-master]]</f>
        <v>0</v>
      </c>
      <c r="AJ239" s="436"/>
      <c r="AK239" s="5">
        <v>0.90427328353464731</v>
      </c>
      <c r="AL239" s="5">
        <v>0.90427328353464731</v>
      </c>
      <c r="AM239" s="35">
        <v>795.76048951048961</v>
      </c>
      <c r="AN239" s="35">
        <f>Table11[[#This Row],[2024 '#Trees Inventory + Estimate]]*Table11[[#This Row],[USA Allocation %]]</f>
        <v>795.76048951048961</v>
      </c>
      <c r="AO239" s="35">
        <f>Table11[[#This Row],[2024 '#Trees Inventory + Estimate]]*Table11[[#This Row],[Canada Allocation %]]</f>
        <v>0</v>
      </c>
      <c r="AP239" s="35">
        <f>Table11[[#This Row],[2024 '#Trees Inventory + Estimate]]*Table11[[#This Row],[Canada Allocation2017 %]]</f>
        <v>0</v>
      </c>
      <c r="AQ239" s="35">
        <f>Table11[[#This Row],['#Trees as of 2024/estimate-Can allocation]]+Table11[[#This Row],['#Trees as of 2024/estimate-Can allocation 2017]]</f>
        <v>0</v>
      </c>
      <c r="AR239" s="1" t="s">
        <v>152</v>
      </c>
      <c r="AS239" s="2" t="s">
        <v>1298</v>
      </c>
      <c r="AT239" s="6">
        <f>IFERROR(Table11[[#This Row],['#Total Replacements]]/Table11[[#This Row],['#TreesContract]],"")</f>
        <v>0.5011363636363636</v>
      </c>
      <c r="AU239" s="4">
        <f>IF(SUM(Table11[[#This Row],['#Replace 24]:['#Replace 16]])=0,0,SUM(Table11[[#This Row],['#Replace 24]:['#Replace 16]]))</f>
        <v>441</v>
      </c>
      <c r="AV239" s="2"/>
      <c r="AW239" s="2"/>
      <c r="AX239" s="3">
        <f>168+42</f>
        <v>210</v>
      </c>
      <c r="AY239" s="2">
        <v>231</v>
      </c>
      <c r="AZ239" s="2"/>
      <c r="BA239" s="2"/>
      <c r="BB239" s="2"/>
      <c r="BC239" s="2"/>
      <c r="BD239" s="2"/>
      <c r="BE239" s="2"/>
      <c r="BF239" s="3">
        <v>1</v>
      </c>
      <c r="BG239" s="3">
        <v>1</v>
      </c>
      <c r="BH239" s="2"/>
      <c r="BI239" s="158"/>
      <c r="BJ239" s="158"/>
      <c r="BK239" s="139">
        <f>Table11[[#This Row],[Average MHT
(Feet)]]/16</f>
        <v>0</v>
      </c>
      <c r="BL239" s="2"/>
      <c r="BM239" s="139">
        <f>Table11[[#This Row],[Average DBH
(inches)]]/18</f>
        <v>0</v>
      </c>
      <c r="BN239" s="235">
        <f>((Table11[[#This Row],[Average DBH
(inches)]]-4)^2)*(Table11[[#This Row],[Average MHT
(Feet)]]/16)</f>
        <v>0</v>
      </c>
      <c r="BO239" s="235">
        <f>Table11[[#This Row],[Average BF]]*Table11[[#This Row],[2024 '#Trees Inventory + Estimate]]</f>
        <v>0</v>
      </c>
      <c r="BP239" s="240">
        <f>(Table11[[#This Row],[Harvest Year
(10 year)]]-Table11[[#This Row],[Year of Inventory]]+1)*(Table11[[#This Row],[Average DBH
(inches)]]/(Table11[[#This Row],[Harvest Year
(10 year)]]-Table11[[#This Row],[Year of Inventory]]+1))+Table11[[#This Row],[Average DBH
(inches)]]</f>
        <v>0</v>
      </c>
      <c r="BQ239" s="235">
        <f>((Table11[[#This Row],[Projected DBH
(Extrapolated Growth/Year)]]-4)^2)*(Table11[[#This Row],[Average MHT
(Feet)]]/16)</f>
        <v>0</v>
      </c>
      <c r="BR239" s="235">
        <f>Table11[[#This Row],[Projected Average BF]]*Table11[[#This Row],[2024 '#Trees Inventory + Estimate]]</f>
        <v>0</v>
      </c>
      <c r="BS239" s="235">
        <f>196*Table11[[#This Row],[2024 '#Trees Inventory + Estimate]]</f>
        <v>155969.05594405596</v>
      </c>
      <c r="BT239" s="243">
        <f>Table11[[#This Row],[ETP Offering Expected BF]]-Table11[[#This Row],[Projected Total BF]]</f>
        <v>155969.05594405596</v>
      </c>
      <c r="BU239" s="235">
        <f>(18-Table11[[#This Row],[Average DBH
(inches)]])/(D239-Table11[[#This Row],[Year of Inventory]]+1)</f>
        <v>8.8626292466765146E-3</v>
      </c>
    </row>
    <row r="240" spans="1:73" hidden="1" x14ac:dyDescent="0.25">
      <c r="A240" s="7" t="s">
        <v>1368</v>
      </c>
      <c r="B240" s="2">
        <v>2020</v>
      </c>
      <c r="C240" s="2">
        <v>2021</v>
      </c>
      <c r="D240" s="2">
        <f>Table11[[#This Row],[Planting Year]]+9</f>
        <v>2030</v>
      </c>
      <c r="E240" s="97" t="s">
        <v>1369</v>
      </c>
      <c r="F240" s="161">
        <v>10089</v>
      </c>
      <c r="G240" t="s">
        <v>1369</v>
      </c>
      <c r="H240" s="357"/>
      <c r="I240" t="s">
        <v>155</v>
      </c>
      <c r="J240" s="154" t="s">
        <v>1370</v>
      </c>
      <c r="K240" s="1" t="s">
        <v>1371</v>
      </c>
      <c r="L240" s="1" t="s">
        <v>1371</v>
      </c>
      <c r="M240" s="1" t="s">
        <v>150</v>
      </c>
      <c r="N240" t="s">
        <v>1372</v>
      </c>
      <c r="O240">
        <v>30.512148</v>
      </c>
      <c r="P240">
        <v>-90.149142999999995</v>
      </c>
      <c r="Q240" s="2"/>
      <c r="R240" s="86"/>
      <c r="S240" s="2"/>
      <c r="T240" s="1">
        <v>1100</v>
      </c>
      <c r="U240" s="1">
        <v>1100</v>
      </c>
      <c r="V240" s="1" t="str">
        <f>IF(Table11[[#This Row],['#TreesContract]]-Table11[[#This Row],['#Planted]]=0,"",Table11[[#This Row],['#TreesContract]]-Table11[[#This Row],['#Planted]])</f>
        <v/>
      </c>
      <c r="W240" s="2"/>
      <c r="X240" s="34">
        <v>1</v>
      </c>
      <c r="Y240" s="163">
        <f>Table11[[#This Row],['#TreesContract]]*Table11[[#This Row],[USA Allocation %]]</f>
        <v>1100</v>
      </c>
      <c r="Z240" s="163">
        <f>Table11[[#This Row],['#Planted]]*Table11[[#This Row],[USA Allocation %]]</f>
        <v>1100</v>
      </c>
      <c r="AA240" s="34"/>
      <c r="AB240" s="163"/>
      <c r="AC240" s="34"/>
      <c r="AD240" s="163"/>
      <c r="AE240" s="163">
        <f>Table11[[#This Row],[Canada Allocation-tree '#''s]]+Table11[[#This Row],[Can trees/Allocation 2017]]</f>
        <v>0</v>
      </c>
      <c r="AF240" s="5">
        <v>1</v>
      </c>
      <c r="AG240" s="35">
        <v>1100</v>
      </c>
      <c r="AH240" s="35">
        <f>Table11[[#This Row],['#Trees as of 12/31/23]]*Table11[[#This Row],[USA Allocation %]]</f>
        <v>1100</v>
      </c>
      <c r="AI240" s="437">
        <f>Table11[[#This Row],['#TreesContract]]*Table11[[#This Row],[2024 Inventory Survival%-master]]</f>
        <v>0</v>
      </c>
      <c r="AJ240" s="436"/>
      <c r="AK240" s="5">
        <v>1</v>
      </c>
      <c r="AL240" s="5">
        <v>1</v>
      </c>
      <c r="AM240" s="35">
        <v>1100</v>
      </c>
      <c r="AN240" s="35">
        <f>Table11[[#This Row],[2024 '#Trees Inventory + Estimate]]*Table11[[#This Row],[USA Allocation %]]</f>
        <v>1100</v>
      </c>
      <c r="AO240" s="35">
        <f>Table11[[#This Row],[2024 '#Trees Inventory + Estimate]]*Table11[[#This Row],[Canada Allocation %]]</f>
        <v>0</v>
      </c>
      <c r="AP240" s="35">
        <f>Table11[[#This Row],[2024 '#Trees Inventory + Estimate]]*Table11[[#This Row],[Canada Allocation2017 %]]</f>
        <v>0</v>
      </c>
      <c r="AQ240" s="35">
        <f>Table11[[#This Row],['#Trees as of 2024/estimate-Can allocation]]+Table11[[#This Row],['#Trees as of 2024/estimate-Can allocation 2017]]</f>
        <v>0</v>
      </c>
      <c r="AR240" s="1" t="s">
        <v>152</v>
      </c>
      <c r="AS240" s="2" t="s">
        <v>171</v>
      </c>
      <c r="AT240" s="6">
        <f>IFERROR(Table11[[#This Row],['#Total Replacements]]/Table11[[#This Row],['#TreesContract]],"")</f>
        <v>0.45818181818181819</v>
      </c>
      <c r="AU240" s="4">
        <f>IF(SUM(Table11[[#This Row],['#Replace 24]:['#Replace 16]])=0,0,SUM(Table11[[#This Row],['#Replace 24]:['#Replace 16]]))</f>
        <v>504</v>
      </c>
      <c r="AV240" s="2"/>
      <c r="AW240" s="2"/>
      <c r="AX240" s="3"/>
      <c r="AY240" s="2">
        <v>504</v>
      </c>
      <c r="AZ240" s="2"/>
      <c r="BA240" s="2"/>
      <c r="BB240" s="2"/>
      <c r="BC240" s="2"/>
      <c r="BD240" s="2"/>
      <c r="BE240" s="2"/>
      <c r="BF240" s="3">
        <v>1</v>
      </c>
      <c r="BG240" s="3">
        <v>1</v>
      </c>
      <c r="BH240" s="2"/>
      <c r="BI240" s="2"/>
      <c r="BJ240" s="2"/>
      <c r="BK240" s="139">
        <f>Table11[[#This Row],[Average MHT
(Feet)]]/16</f>
        <v>0</v>
      </c>
      <c r="BL240" s="2"/>
      <c r="BM240" s="139">
        <f>Table11[[#This Row],[Average DBH
(inches)]]/18</f>
        <v>0</v>
      </c>
      <c r="BN240" s="235">
        <f>((Table11[[#This Row],[Average DBH
(inches)]]-4)^2)*(Table11[[#This Row],[Average MHT
(Feet)]]/16)</f>
        <v>0</v>
      </c>
      <c r="BO240" s="235">
        <f>Table11[[#This Row],[Average BF]]*Table11[[#This Row],[2024 '#Trees Inventory + Estimate]]</f>
        <v>0</v>
      </c>
      <c r="BP240" s="240">
        <f>(Table11[[#This Row],[Harvest Year
(10 year)]]-Table11[[#This Row],[Year of Inventory]]+1)*(Table11[[#This Row],[Average DBH
(inches)]]/(Table11[[#This Row],[Harvest Year
(10 year)]]-Table11[[#This Row],[Year of Inventory]]+1))+Table11[[#This Row],[Average DBH
(inches)]]</f>
        <v>0</v>
      </c>
      <c r="BQ240" s="235">
        <f>((Table11[[#This Row],[Projected DBH
(Extrapolated Growth/Year)]]-4)^2)*(Table11[[#This Row],[Average MHT
(Feet)]]/16)</f>
        <v>0</v>
      </c>
      <c r="BR240" s="235">
        <f>Table11[[#This Row],[Projected Average BF]]*Table11[[#This Row],[2024 '#Trees Inventory + Estimate]]</f>
        <v>0</v>
      </c>
      <c r="BS240" s="235">
        <f>196*Table11[[#This Row],[2024 '#Trees Inventory + Estimate]]</f>
        <v>215600</v>
      </c>
      <c r="BT240" s="243">
        <f>Table11[[#This Row],[ETP Offering Expected BF]]-Table11[[#This Row],[Projected Total BF]]</f>
        <v>215600</v>
      </c>
      <c r="BU240" s="235">
        <f>(18-Table11[[#This Row],[Average DBH
(inches)]])/(D240-Table11[[#This Row],[Year of Inventory]]+1)</f>
        <v>8.8626292466765146E-3</v>
      </c>
    </row>
    <row r="241" spans="1:73" hidden="1" x14ac:dyDescent="0.25">
      <c r="A241" s="7" t="s">
        <v>1373</v>
      </c>
      <c r="B241" s="2">
        <v>2021</v>
      </c>
      <c r="C241" s="2">
        <v>2021</v>
      </c>
      <c r="D241" s="2">
        <f>Table11[[#This Row],[Planting Year]]+9</f>
        <v>2030</v>
      </c>
      <c r="E241" s="97" t="s">
        <v>1374</v>
      </c>
      <c r="F241" s="161">
        <v>10090</v>
      </c>
      <c r="G241" t="s">
        <v>1374</v>
      </c>
      <c r="H241" s="357" t="s">
        <v>1375</v>
      </c>
      <c r="I241" t="s">
        <v>155</v>
      </c>
      <c r="J241" s="1" t="s">
        <v>1376</v>
      </c>
      <c r="K241" s="1" t="s">
        <v>1377</v>
      </c>
      <c r="L241" s="1" t="s">
        <v>1377</v>
      </c>
      <c r="M241" s="1" t="s">
        <v>150</v>
      </c>
      <c r="N241" t="s">
        <v>1378</v>
      </c>
      <c r="O241">
        <v>30.296869999999998</v>
      </c>
      <c r="P241">
        <v>-85.118840000000006</v>
      </c>
      <c r="Q241" s="2"/>
      <c r="R241" s="86"/>
      <c r="S241" s="2"/>
      <c r="T241" s="1">
        <v>1210</v>
      </c>
      <c r="U241" s="1">
        <v>1210</v>
      </c>
      <c r="V241" s="1" t="str">
        <f>IF(Table11[[#This Row],['#TreesContract]]-Table11[[#This Row],['#Planted]]=0,"",Table11[[#This Row],['#TreesContract]]-Table11[[#This Row],['#Planted]])</f>
        <v/>
      </c>
      <c r="W241" s="2"/>
      <c r="X241" s="34">
        <v>1</v>
      </c>
      <c r="Y241" s="163">
        <f>Table11[[#This Row],['#TreesContract]]*Table11[[#This Row],[USA Allocation %]]</f>
        <v>1210</v>
      </c>
      <c r="Z241" s="163">
        <f>Table11[[#This Row],['#Planted]]*Table11[[#This Row],[USA Allocation %]]</f>
        <v>1210</v>
      </c>
      <c r="AA241" s="34"/>
      <c r="AB241" s="163"/>
      <c r="AC241" s="34"/>
      <c r="AD241" s="163"/>
      <c r="AE241" s="163">
        <f>Table11[[#This Row],[Canada Allocation-tree '#''s]]+Table11[[#This Row],[Can trees/Allocation 2017]]</f>
        <v>0</v>
      </c>
      <c r="AF241" s="5">
        <v>0.98422238918106675</v>
      </c>
      <c r="AG241" s="35">
        <v>1190.9090909090908</v>
      </c>
      <c r="AH241" s="35">
        <f>Table11[[#This Row],['#Trees as of 12/31/23]]*Table11[[#This Row],[USA Allocation %]]</f>
        <v>1190.9090909090908</v>
      </c>
      <c r="AI241" s="437">
        <f>Table11[[#This Row],['#TreesContract]]*Table11[[#This Row],[2024 Inventory Survival%-master]]</f>
        <v>0</v>
      </c>
      <c r="AJ241" s="436"/>
      <c r="AK241" s="5">
        <v>0.98422238918106675</v>
      </c>
      <c r="AL241" s="5">
        <v>0.98422238918106675</v>
      </c>
      <c r="AM241" s="35">
        <v>1190.9090909090908</v>
      </c>
      <c r="AN241" s="35">
        <f>Table11[[#This Row],[2024 '#Trees Inventory + Estimate]]*Table11[[#This Row],[USA Allocation %]]</f>
        <v>1190.9090909090908</v>
      </c>
      <c r="AO241" s="35">
        <f>Table11[[#This Row],[2024 '#Trees Inventory + Estimate]]*Table11[[#This Row],[Canada Allocation %]]</f>
        <v>0</v>
      </c>
      <c r="AP241" s="35">
        <f>Table11[[#This Row],[2024 '#Trees Inventory + Estimate]]*Table11[[#This Row],[Canada Allocation2017 %]]</f>
        <v>0</v>
      </c>
      <c r="AQ241" s="35">
        <f>Table11[[#This Row],['#Trees as of 2024/estimate-Can allocation]]+Table11[[#This Row],['#Trees as of 2024/estimate-Can allocation 2017]]</f>
        <v>0</v>
      </c>
      <c r="AR241" s="1" t="s">
        <v>152</v>
      </c>
      <c r="AS241" s="2" t="s">
        <v>171</v>
      </c>
      <c r="AT241" s="6">
        <f>IFERROR(Table11[[#This Row],['#Total Replacements]]/Table11[[#This Row],['#TreesContract]],"")</f>
        <v>0.10413223140495868</v>
      </c>
      <c r="AU241" s="4">
        <f>IF(SUM(Table11[[#This Row],['#Replace 24]:['#Replace 16]])=0,0,SUM(Table11[[#This Row],['#Replace 24]:['#Replace 16]]))</f>
        <v>126</v>
      </c>
      <c r="AV241" s="2"/>
      <c r="AW241" s="2"/>
      <c r="AX241" s="3">
        <v>21</v>
      </c>
      <c r="AY241" s="2">
        <v>105</v>
      </c>
      <c r="AZ241" s="2"/>
      <c r="BA241" s="2"/>
      <c r="BB241" s="2"/>
      <c r="BC241" s="2"/>
      <c r="BD241" s="2"/>
      <c r="BE241" s="2"/>
      <c r="BF241" s="3">
        <v>1</v>
      </c>
      <c r="BG241" s="3">
        <v>1</v>
      </c>
      <c r="BH241" s="2"/>
      <c r="BI241" s="158"/>
      <c r="BJ241" s="158"/>
      <c r="BK241" s="139">
        <f>Table11[[#This Row],[Average MHT
(Feet)]]/16</f>
        <v>0</v>
      </c>
      <c r="BL241" s="2"/>
      <c r="BM241" s="139">
        <f>Table11[[#This Row],[Average DBH
(inches)]]/18</f>
        <v>0</v>
      </c>
      <c r="BN241" s="235">
        <f>((Table11[[#This Row],[Average DBH
(inches)]]-4)^2)*(Table11[[#This Row],[Average MHT
(Feet)]]/16)</f>
        <v>0</v>
      </c>
      <c r="BO241" s="235">
        <f>Table11[[#This Row],[Average BF]]*Table11[[#This Row],[2024 '#Trees Inventory + Estimate]]</f>
        <v>0</v>
      </c>
      <c r="BP241" s="240">
        <f>(Table11[[#This Row],[Harvest Year
(10 year)]]-Table11[[#This Row],[Year of Inventory]]+1)*(Table11[[#This Row],[Average DBH
(inches)]]/(Table11[[#This Row],[Harvest Year
(10 year)]]-Table11[[#This Row],[Year of Inventory]]+1))+Table11[[#This Row],[Average DBH
(inches)]]</f>
        <v>0</v>
      </c>
      <c r="BQ241" s="235">
        <f>((Table11[[#This Row],[Projected DBH
(Extrapolated Growth/Year)]]-4)^2)*(Table11[[#This Row],[Average MHT
(Feet)]]/16)</f>
        <v>0</v>
      </c>
      <c r="BR241" s="235">
        <f>Table11[[#This Row],[Projected Average BF]]*Table11[[#This Row],[2024 '#Trees Inventory + Estimate]]</f>
        <v>0</v>
      </c>
      <c r="BS241" s="235">
        <f>196*Table11[[#This Row],[2024 '#Trees Inventory + Estimate]]</f>
        <v>233418.18181818179</v>
      </c>
      <c r="BT241" s="243">
        <f>Table11[[#This Row],[ETP Offering Expected BF]]-Table11[[#This Row],[Projected Total BF]]</f>
        <v>233418.18181818179</v>
      </c>
      <c r="BU241" s="235">
        <f>(18-Table11[[#This Row],[Average DBH
(inches)]])/(D241-Table11[[#This Row],[Year of Inventory]]+1)</f>
        <v>8.8626292466765146E-3</v>
      </c>
    </row>
    <row r="242" spans="1:73" hidden="1" x14ac:dyDescent="0.25">
      <c r="A242" s="7" t="s">
        <v>1379</v>
      </c>
      <c r="B242" s="2">
        <v>2021</v>
      </c>
      <c r="C242" s="2">
        <v>2021</v>
      </c>
      <c r="D242" s="2">
        <f>Table11[[#This Row],[Planting Year]]+9</f>
        <v>2030</v>
      </c>
      <c r="E242" s="97" t="s">
        <v>1380</v>
      </c>
      <c r="F242" s="161">
        <v>10091</v>
      </c>
      <c r="G242" t="s">
        <v>1380</v>
      </c>
      <c r="H242" s="357" t="s">
        <v>1381</v>
      </c>
      <c r="I242" t="s">
        <v>155</v>
      </c>
      <c r="J242" s="1" t="s">
        <v>1382</v>
      </c>
      <c r="K242" s="1" t="s">
        <v>1383</v>
      </c>
      <c r="L242" s="1" t="s">
        <v>1383</v>
      </c>
      <c r="M242" s="1" t="s">
        <v>150</v>
      </c>
      <c r="N242" t="s">
        <v>1384</v>
      </c>
      <c r="O242">
        <v>32.629857999999999</v>
      </c>
      <c r="P242">
        <v>-86.343718999999993</v>
      </c>
      <c r="Q242" s="2"/>
      <c r="R242" s="86"/>
      <c r="S242" s="2"/>
      <c r="T242" s="1">
        <v>1100</v>
      </c>
      <c r="U242" s="1">
        <v>1100</v>
      </c>
      <c r="V242" s="1" t="str">
        <f>IF(Table11[[#This Row],['#TreesContract]]-Table11[[#This Row],['#Planted]]=0,"",Table11[[#This Row],['#TreesContract]]-Table11[[#This Row],['#Planted]])</f>
        <v/>
      </c>
      <c r="W242" s="2"/>
      <c r="X242" s="34">
        <v>1</v>
      </c>
      <c r="Y242" s="163">
        <f>Table11[[#This Row],['#TreesContract]]*Table11[[#This Row],[USA Allocation %]]</f>
        <v>1100</v>
      </c>
      <c r="Z242" s="163">
        <f>Table11[[#This Row],['#Planted]]*Table11[[#This Row],[USA Allocation %]]</f>
        <v>1100</v>
      </c>
      <c r="AA242" s="34"/>
      <c r="AB242" s="163"/>
      <c r="AC242" s="34"/>
      <c r="AD242" s="163"/>
      <c r="AE242" s="163">
        <f>Table11[[#This Row],[Canada Allocation-tree '#''s]]+Table11[[#This Row],[Can trees/Allocation 2017]]</f>
        <v>0</v>
      </c>
      <c r="AF242" s="5">
        <v>0.89767355371900837</v>
      </c>
      <c r="AG242" s="35">
        <v>987.44090909090926</v>
      </c>
      <c r="AH242" s="35">
        <f>Table11[[#This Row],['#Trees as of 12/31/23]]*Table11[[#This Row],[USA Allocation %]]</f>
        <v>987.44090909090926</v>
      </c>
      <c r="AI242" s="437">
        <f>Table11[[#This Row],['#TreesContract]]*Table11[[#This Row],[2024 Inventory Survival%-master]]</f>
        <v>0</v>
      </c>
      <c r="AJ242" s="436"/>
      <c r="AK242" s="5">
        <v>0.89767355371900837</v>
      </c>
      <c r="AL242" s="5">
        <v>0.89767355371900837</v>
      </c>
      <c r="AM242" s="35">
        <v>987.44090909090926</v>
      </c>
      <c r="AN242" s="35">
        <f>Table11[[#This Row],[2024 '#Trees Inventory + Estimate]]*Table11[[#This Row],[USA Allocation %]]</f>
        <v>987.44090909090926</v>
      </c>
      <c r="AO242" s="35">
        <f>Table11[[#This Row],[2024 '#Trees Inventory + Estimate]]*Table11[[#This Row],[Canada Allocation %]]</f>
        <v>0</v>
      </c>
      <c r="AP242" s="35">
        <f>Table11[[#This Row],[2024 '#Trees Inventory + Estimate]]*Table11[[#This Row],[Canada Allocation2017 %]]</f>
        <v>0</v>
      </c>
      <c r="AQ242" s="35">
        <f>Table11[[#This Row],['#Trees as of 2024/estimate-Can allocation]]+Table11[[#This Row],['#Trees as of 2024/estimate-Can allocation 2017]]</f>
        <v>0</v>
      </c>
      <c r="AR242" s="1" t="s">
        <v>152</v>
      </c>
      <c r="AS242" s="2">
        <v>2</v>
      </c>
      <c r="AT242" s="6">
        <f>IFERROR(Table11[[#This Row],['#Total Replacements]]/Table11[[#This Row],['#TreesContract]],"")</f>
        <v>0.37727272727272726</v>
      </c>
      <c r="AU242" s="4">
        <f>IF(SUM(Table11[[#This Row],['#Replace 24]:['#Replace 16]])=0,0,SUM(Table11[[#This Row],['#Replace 24]:['#Replace 16]]))</f>
        <v>415</v>
      </c>
      <c r="AV242" s="2"/>
      <c r="AW242" s="2">
        <v>100</v>
      </c>
      <c r="AX242" s="3"/>
      <c r="AY242" s="2">
        <v>315</v>
      </c>
      <c r="AZ242" s="2"/>
      <c r="BA242" s="2"/>
      <c r="BB242" s="2"/>
      <c r="BC242" s="2"/>
      <c r="BD242" s="2"/>
      <c r="BE242" s="2"/>
      <c r="BF242" s="3">
        <v>1</v>
      </c>
      <c r="BG242" s="3">
        <v>1</v>
      </c>
      <c r="BH242" s="2"/>
      <c r="BI242" s="2"/>
      <c r="BJ242" s="2"/>
      <c r="BK242" s="139">
        <f>Table11[[#This Row],[Average MHT
(Feet)]]/16</f>
        <v>0</v>
      </c>
      <c r="BL242" s="2"/>
      <c r="BM242" s="139">
        <f>Table11[[#This Row],[Average DBH
(inches)]]/18</f>
        <v>0</v>
      </c>
      <c r="BN242" s="235">
        <f>((Table11[[#This Row],[Average DBH
(inches)]]-4)^2)*(Table11[[#This Row],[Average MHT
(Feet)]]/16)</f>
        <v>0</v>
      </c>
      <c r="BO242" s="235">
        <f>Table11[[#This Row],[Average BF]]*Table11[[#This Row],[2024 '#Trees Inventory + Estimate]]</f>
        <v>0</v>
      </c>
      <c r="BP242" s="240">
        <f>(Table11[[#This Row],[Harvest Year
(10 year)]]-Table11[[#This Row],[Year of Inventory]]+1)*(Table11[[#This Row],[Average DBH
(inches)]]/(Table11[[#This Row],[Harvest Year
(10 year)]]-Table11[[#This Row],[Year of Inventory]]+1))+Table11[[#This Row],[Average DBH
(inches)]]</f>
        <v>0</v>
      </c>
      <c r="BQ242" s="235">
        <f>((Table11[[#This Row],[Projected DBH
(Extrapolated Growth/Year)]]-4)^2)*(Table11[[#This Row],[Average MHT
(Feet)]]/16)</f>
        <v>0</v>
      </c>
      <c r="BR242" s="235">
        <f>Table11[[#This Row],[Projected Average BF]]*Table11[[#This Row],[2024 '#Trees Inventory + Estimate]]</f>
        <v>0</v>
      </c>
      <c r="BS242" s="235">
        <f>196*Table11[[#This Row],[2024 '#Trees Inventory + Estimate]]</f>
        <v>193538.41818181821</v>
      </c>
      <c r="BT242" s="243">
        <f>Table11[[#This Row],[ETP Offering Expected BF]]-Table11[[#This Row],[Projected Total BF]]</f>
        <v>193538.41818181821</v>
      </c>
      <c r="BU242" s="235">
        <f>(18-Table11[[#This Row],[Average DBH
(inches)]])/(D242-Table11[[#This Row],[Year of Inventory]]+1)</f>
        <v>8.8626292466765146E-3</v>
      </c>
    </row>
    <row r="243" spans="1:73" hidden="1" x14ac:dyDescent="0.25">
      <c r="A243" s="7" t="s">
        <v>1385</v>
      </c>
      <c r="B243" s="2">
        <v>2020</v>
      </c>
      <c r="C243" s="2">
        <v>2021</v>
      </c>
      <c r="D243" s="2">
        <v>0</v>
      </c>
      <c r="E243" s="97" t="s">
        <v>1386</v>
      </c>
      <c r="F243" s="161">
        <v>10092</v>
      </c>
      <c r="G243" t="s">
        <v>1387</v>
      </c>
      <c r="H243" s="357" t="s">
        <v>1388</v>
      </c>
      <c r="I243" t="s">
        <v>160</v>
      </c>
      <c r="J243" s="1" t="s">
        <v>1389</v>
      </c>
      <c r="K243" s="1" t="s">
        <v>1390</v>
      </c>
      <c r="L243" s="1" t="s">
        <v>1391</v>
      </c>
      <c r="M243" s="1" t="s">
        <v>150</v>
      </c>
      <c r="N243" t="s">
        <v>1392</v>
      </c>
      <c r="O243">
        <v>33.669075999999997</v>
      </c>
      <c r="P243">
        <v>-85.558645999999996</v>
      </c>
      <c r="Q243" s="2"/>
      <c r="R243" s="86"/>
      <c r="S243" s="2"/>
      <c r="T243" s="1">
        <v>550</v>
      </c>
      <c r="U243" s="1">
        <v>550</v>
      </c>
      <c r="V243" s="1" t="str">
        <f>IF(Table11[[#This Row],['#TreesContract]]-Table11[[#This Row],['#Planted]]=0,"",Table11[[#This Row],['#TreesContract]]-Table11[[#This Row],['#Planted]])</f>
        <v/>
      </c>
      <c r="W243" s="2"/>
      <c r="X243" s="34">
        <v>1</v>
      </c>
      <c r="Y243" s="163">
        <f>Table11[[#This Row],['#TreesContract]]*Table11[[#This Row],[USA Allocation %]]</f>
        <v>550</v>
      </c>
      <c r="Z243" s="163">
        <f>Table11[[#This Row],['#Planted]]*Table11[[#This Row],[USA Allocation %]]</f>
        <v>550</v>
      </c>
      <c r="AA243" s="34"/>
      <c r="AB243" s="163"/>
      <c r="AC243" s="34"/>
      <c r="AD243" s="163"/>
      <c r="AE243" s="163">
        <f>Table11[[#This Row],[Canada Allocation-tree '#''s]]+Table11[[#This Row],[Can trees/Allocation 2017]]</f>
        <v>0</v>
      </c>
      <c r="AF243" s="5">
        <v>0.90649035812672174</v>
      </c>
      <c r="AG243" s="35">
        <v>498.56969696969696</v>
      </c>
      <c r="AH243" s="35">
        <f>Table11[[#This Row],['#Trees as of 12/31/23]]*Table11[[#This Row],[USA Allocation %]]</f>
        <v>498.56969696969696</v>
      </c>
      <c r="AI243" s="404">
        <f>Table11[[#This Row],['#TreesContract]]*Table11[[#This Row],[2024 Inventory Survival%-master]]</f>
        <v>0</v>
      </c>
      <c r="AJ243" s="5">
        <v>0</v>
      </c>
      <c r="AK243" s="5">
        <v>0</v>
      </c>
      <c r="AL243" s="5">
        <v>0</v>
      </c>
      <c r="AM243" s="35">
        <v>0</v>
      </c>
      <c r="AN243" s="35">
        <f>Table11[[#This Row],[2024 '#Trees Inventory + Estimate]]*Table11[[#This Row],[USA Allocation %]]</f>
        <v>0</v>
      </c>
      <c r="AO243" s="35">
        <f>Table11[[#This Row],[2024 '#Trees Inventory + Estimate]]*Table11[[#This Row],[Canada Allocation %]]</f>
        <v>0</v>
      </c>
      <c r="AP243" s="35">
        <f>Table11[[#This Row],[2024 '#Trees Inventory + Estimate]]*Table11[[#This Row],[Canada Allocation2017 %]]</f>
        <v>0</v>
      </c>
      <c r="AQ243" s="35">
        <f>Table11[[#This Row],['#Trees as of 2024/estimate-Can allocation]]+Table11[[#This Row],['#Trees as of 2024/estimate-Can allocation 2017]]</f>
        <v>0</v>
      </c>
      <c r="AR243" s="1" t="s">
        <v>152</v>
      </c>
      <c r="AS243" s="2" t="s">
        <v>171</v>
      </c>
      <c r="AT243" s="6">
        <f>IFERROR(Table11[[#This Row],['#Total Replacements]]/Table11[[#This Row],['#TreesContract]],"")</f>
        <v>0.34545454545454546</v>
      </c>
      <c r="AU243" s="4">
        <f>IF(SUM(Table11[[#This Row],['#Replace 24]:['#Replace 16]])=0,0,SUM(Table11[[#This Row],['#Replace 24]:['#Replace 16]]))</f>
        <v>190</v>
      </c>
      <c r="AV243" s="2"/>
      <c r="AW243" s="2"/>
      <c r="AX243" s="3"/>
      <c r="AY243" s="2">
        <v>190</v>
      </c>
      <c r="AZ243" s="2"/>
      <c r="BA243" s="2"/>
      <c r="BB243" s="2"/>
      <c r="BC243" s="2"/>
      <c r="BD243" s="2"/>
      <c r="BE243" s="2"/>
      <c r="BF243" s="3">
        <v>1</v>
      </c>
      <c r="BG243" s="3">
        <v>1</v>
      </c>
      <c r="BH243" s="2"/>
      <c r="BI243" s="2"/>
      <c r="BJ243" s="2"/>
      <c r="BK243" s="139">
        <f>Table11[[#This Row],[Average MHT
(Feet)]]/16</f>
        <v>0</v>
      </c>
      <c r="BL243" s="2"/>
      <c r="BM243" s="139">
        <f>Table11[[#This Row],[Average DBH
(inches)]]/18</f>
        <v>0</v>
      </c>
      <c r="BN243" s="235">
        <f>((Table11[[#This Row],[Average DBH
(inches)]]-4)^2)*(Table11[[#This Row],[Average MHT
(Feet)]]/16)</f>
        <v>0</v>
      </c>
      <c r="BO243" s="235">
        <f>Table11[[#This Row],[Average BF]]*Table11[[#This Row],[2024 '#Trees Inventory + Estimate]]</f>
        <v>0</v>
      </c>
      <c r="BP243" s="240">
        <f>(Table11[[#This Row],[Harvest Year
(10 year)]]-Table11[[#This Row],[Year of Inventory]]+1)*(Table11[[#This Row],[Average DBH
(inches)]]/(Table11[[#This Row],[Harvest Year
(10 year)]]-Table11[[#This Row],[Year of Inventory]]+1))+Table11[[#This Row],[Average DBH
(inches)]]</f>
        <v>0</v>
      </c>
      <c r="BQ243" s="235">
        <f>((Table11[[#This Row],[Projected DBH
(Extrapolated Growth/Year)]]-4)^2)*(Table11[[#This Row],[Average MHT
(Feet)]]/16)</f>
        <v>0</v>
      </c>
      <c r="BR243" s="235">
        <f>Table11[[#This Row],[Projected Average BF]]*Table11[[#This Row],[2024 '#Trees Inventory + Estimate]]</f>
        <v>0</v>
      </c>
      <c r="BS243" s="235">
        <f>196*Table11[[#This Row],[2024 '#Trees Inventory + Estimate]]</f>
        <v>0</v>
      </c>
      <c r="BT243" s="235">
        <f>Table11[[#This Row],[ETP Offering Expected BF]]-Table11[[#This Row],[Projected Total BF]]</f>
        <v>0</v>
      </c>
      <c r="BU243" s="235">
        <f>(18-Table11[[#This Row],[Average DBH
(inches)]])/(D243-Table11[[#This Row],[Year of Inventory]]+1)</f>
        <v>18</v>
      </c>
    </row>
    <row r="244" spans="1:73" hidden="1" x14ac:dyDescent="0.25">
      <c r="A244" s="7" t="s">
        <v>1393</v>
      </c>
      <c r="B244" s="2">
        <v>2020</v>
      </c>
      <c r="C244" s="2">
        <v>2021</v>
      </c>
      <c r="D244" s="2">
        <v>0</v>
      </c>
      <c r="E244" s="97" t="s">
        <v>1386</v>
      </c>
      <c r="F244" s="161">
        <v>10092</v>
      </c>
      <c r="G244" t="s">
        <v>1386</v>
      </c>
      <c r="H244" s="357" t="s">
        <v>1388</v>
      </c>
      <c r="I244" t="s">
        <v>160</v>
      </c>
      <c r="J244" s="1" t="s">
        <v>1389</v>
      </c>
      <c r="K244" s="1" t="s">
        <v>1390</v>
      </c>
      <c r="L244" s="1" t="s">
        <v>1391</v>
      </c>
      <c r="M244" s="1" t="s">
        <v>150</v>
      </c>
      <c r="N244" t="s">
        <v>1394</v>
      </c>
      <c r="O244">
        <v>33.817511000000003</v>
      </c>
      <c r="P244">
        <v>-85.333603999999994</v>
      </c>
      <c r="Q244" s="2"/>
      <c r="R244" s="86"/>
      <c r="S244" s="2"/>
      <c r="T244" s="1">
        <v>1100</v>
      </c>
      <c r="U244" s="1">
        <v>1100</v>
      </c>
      <c r="V244" s="1" t="str">
        <f>IF(Table11[[#This Row],['#TreesContract]]-Table11[[#This Row],['#Planted]]=0,"",Table11[[#This Row],['#TreesContract]]-Table11[[#This Row],['#Planted]])</f>
        <v/>
      </c>
      <c r="W244" s="2"/>
      <c r="X244" s="34">
        <v>1</v>
      </c>
      <c r="Y244" s="163">
        <f>Table11[[#This Row],['#TreesContract]]*Table11[[#This Row],[USA Allocation %]]</f>
        <v>1100</v>
      </c>
      <c r="Z244" s="163">
        <f>Table11[[#This Row],['#Planted]]*Table11[[#This Row],[USA Allocation %]]</f>
        <v>1100</v>
      </c>
      <c r="AA244" s="34"/>
      <c r="AB244" s="163"/>
      <c r="AC244" s="34"/>
      <c r="AD244" s="163"/>
      <c r="AE244" s="163">
        <f>Table11[[#This Row],[Canada Allocation-tree '#''s]]+Table11[[#This Row],[Can trees/Allocation 2017]]</f>
        <v>0</v>
      </c>
      <c r="AF244" s="5">
        <v>0.89884615384615374</v>
      </c>
      <c r="AG244" s="35">
        <v>988.73076923076917</v>
      </c>
      <c r="AH244" s="35">
        <f>Table11[[#This Row],['#Trees as of 12/31/23]]*Table11[[#This Row],[USA Allocation %]]</f>
        <v>988.73076923076917</v>
      </c>
      <c r="AI244" s="404">
        <f>Table11[[#This Row],['#TreesContract]]*Table11[[#This Row],[2024 Inventory Survival%-master]]</f>
        <v>0</v>
      </c>
      <c r="AJ244" s="5">
        <v>0</v>
      </c>
      <c r="AK244" s="5">
        <v>0</v>
      </c>
      <c r="AL244" s="5">
        <v>0</v>
      </c>
      <c r="AM244" s="35">
        <v>0</v>
      </c>
      <c r="AN244" s="35">
        <f>Table11[[#This Row],[2024 '#Trees Inventory + Estimate]]*Table11[[#This Row],[USA Allocation %]]</f>
        <v>0</v>
      </c>
      <c r="AO244" s="35">
        <f>Table11[[#This Row],[2024 '#Trees Inventory + Estimate]]*Table11[[#This Row],[Canada Allocation %]]</f>
        <v>0</v>
      </c>
      <c r="AP244" s="35">
        <f>Table11[[#This Row],[2024 '#Trees Inventory + Estimate]]*Table11[[#This Row],[Canada Allocation2017 %]]</f>
        <v>0</v>
      </c>
      <c r="AQ244" s="35">
        <f>Table11[[#This Row],['#Trees as of 2024/estimate-Can allocation]]+Table11[[#This Row],['#Trees as of 2024/estimate-Can allocation 2017]]</f>
        <v>0</v>
      </c>
      <c r="AR244" s="1" t="s">
        <v>152</v>
      </c>
      <c r="AS244" s="2" t="s">
        <v>171</v>
      </c>
      <c r="AT244" s="6">
        <f>IFERROR(Table11[[#This Row],['#Total Replacements]]/Table11[[#This Row],['#TreesContract]],"")</f>
        <v>0.11363636363636363</v>
      </c>
      <c r="AU244" s="4">
        <f>IF(SUM(Table11[[#This Row],['#Replace 24]:['#Replace 16]])=0,0,SUM(Table11[[#This Row],['#Replace 24]:['#Replace 16]]))</f>
        <v>125</v>
      </c>
      <c r="AV244" s="2"/>
      <c r="AW244" s="2"/>
      <c r="AX244" s="3"/>
      <c r="AY244" s="2">
        <v>125</v>
      </c>
      <c r="AZ244" s="2"/>
      <c r="BA244" s="2"/>
      <c r="BB244" s="2"/>
      <c r="BC244" s="2"/>
      <c r="BD244" s="2"/>
      <c r="BE244" s="2"/>
      <c r="BF244" s="3">
        <v>1</v>
      </c>
      <c r="BG244" s="3">
        <v>1</v>
      </c>
      <c r="BH244" s="2"/>
      <c r="BI244" s="158"/>
      <c r="BJ244" s="158"/>
      <c r="BK244" s="139">
        <f>Table11[[#This Row],[Average MHT
(Feet)]]/16</f>
        <v>0</v>
      </c>
      <c r="BL244" s="2"/>
      <c r="BM244" s="139">
        <f>Table11[[#This Row],[Average DBH
(inches)]]/18</f>
        <v>0</v>
      </c>
      <c r="BN244" s="235">
        <f>((Table11[[#This Row],[Average DBH
(inches)]]-4)^2)*(Table11[[#This Row],[Average MHT
(Feet)]]/16)</f>
        <v>0</v>
      </c>
      <c r="BO244" s="235">
        <f>Table11[[#This Row],[Average BF]]*Table11[[#This Row],[2024 '#Trees Inventory + Estimate]]</f>
        <v>0</v>
      </c>
      <c r="BP244" s="240">
        <f>(Table11[[#This Row],[Harvest Year
(10 year)]]-Table11[[#This Row],[Year of Inventory]]+1)*(Table11[[#This Row],[Average DBH
(inches)]]/(Table11[[#This Row],[Harvest Year
(10 year)]]-Table11[[#This Row],[Year of Inventory]]+1))+Table11[[#This Row],[Average DBH
(inches)]]</f>
        <v>0</v>
      </c>
      <c r="BQ244" s="235">
        <f>((Table11[[#This Row],[Projected DBH
(Extrapolated Growth/Year)]]-4)^2)*(Table11[[#This Row],[Average MHT
(Feet)]]/16)</f>
        <v>0</v>
      </c>
      <c r="BR244" s="235">
        <f>Table11[[#This Row],[Projected Average BF]]*Table11[[#This Row],[2024 '#Trees Inventory + Estimate]]</f>
        <v>0</v>
      </c>
      <c r="BS244" s="235">
        <f>196*Table11[[#This Row],[2024 '#Trees Inventory + Estimate]]</f>
        <v>0</v>
      </c>
      <c r="BT244" s="235">
        <f>Table11[[#This Row],[ETP Offering Expected BF]]-Table11[[#This Row],[Projected Total BF]]</f>
        <v>0</v>
      </c>
      <c r="BU244" s="235">
        <f>(18-Table11[[#This Row],[Average DBH
(inches)]])/(D244-Table11[[#This Row],[Year of Inventory]]+1)</f>
        <v>18</v>
      </c>
    </row>
    <row r="245" spans="1:73" hidden="1" x14ac:dyDescent="0.25">
      <c r="A245" s="7" t="s">
        <v>1395</v>
      </c>
      <c r="B245" s="2">
        <v>2020</v>
      </c>
      <c r="C245" s="2">
        <v>2021</v>
      </c>
      <c r="D245" s="2">
        <f>Table11[[#This Row],[Planting Year]]+9</f>
        <v>2030</v>
      </c>
      <c r="E245" s="97" t="s">
        <v>1396</v>
      </c>
      <c r="F245" s="161">
        <v>10093</v>
      </c>
      <c r="G245" t="s">
        <v>1397</v>
      </c>
      <c r="H245" s="357" t="s">
        <v>1398</v>
      </c>
      <c r="I245" t="s">
        <v>155</v>
      </c>
      <c r="J245" s="1" t="s">
        <v>1399</v>
      </c>
      <c r="K245" s="1" t="s">
        <v>1400</v>
      </c>
      <c r="L245" s="1" t="s">
        <v>1401</v>
      </c>
      <c r="M245" s="1" t="s">
        <v>150</v>
      </c>
      <c r="N245" t="s">
        <v>1402</v>
      </c>
      <c r="O245">
        <v>31.511507000000002</v>
      </c>
      <c r="P245">
        <v>-86.030343000000002</v>
      </c>
      <c r="Q245" s="2"/>
      <c r="R245" s="86"/>
      <c r="S245" s="2"/>
      <c r="T245" s="1">
        <v>1100</v>
      </c>
      <c r="U245" s="1">
        <v>1100</v>
      </c>
      <c r="V245" s="1" t="str">
        <f>IF(Table11[[#This Row],['#TreesContract]]-Table11[[#This Row],['#Planted]]=0,"",Table11[[#This Row],['#TreesContract]]-Table11[[#This Row],['#Planted]])</f>
        <v/>
      </c>
      <c r="W245" s="2"/>
      <c r="X245" s="34">
        <v>1</v>
      </c>
      <c r="Y245" s="163">
        <f>Table11[[#This Row],['#TreesContract]]*Table11[[#This Row],[USA Allocation %]]</f>
        <v>1100</v>
      </c>
      <c r="Z245" s="163">
        <f>Table11[[#This Row],['#Planted]]*Table11[[#This Row],[USA Allocation %]]</f>
        <v>1100</v>
      </c>
      <c r="AA245" s="34"/>
      <c r="AB245" s="163"/>
      <c r="AC245" s="34"/>
      <c r="AD245" s="163"/>
      <c r="AE245" s="163">
        <f>Table11[[#This Row],[Canada Allocation-tree '#''s]]+Table11[[#This Row],[Can trees/Allocation 2017]]</f>
        <v>0</v>
      </c>
      <c r="AF245" s="5">
        <v>0.95415977961432497</v>
      </c>
      <c r="AG245" s="35">
        <v>1049.5757575757575</v>
      </c>
      <c r="AH245" s="35">
        <f>Table11[[#This Row],['#Trees as of 12/31/23]]*Table11[[#This Row],[USA Allocation %]]</f>
        <v>1049.5757575757575</v>
      </c>
      <c r="AI245" s="437">
        <f>Table11[[#This Row],['#TreesContract]]*Table11[[#This Row],[2024 Inventory Survival%-master]]</f>
        <v>0</v>
      </c>
      <c r="AJ245" s="436"/>
      <c r="AK245" s="5">
        <v>0.95415977961432497</v>
      </c>
      <c r="AL245" s="5">
        <v>0.95415977961432497</v>
      </c>
      <c r="AM245" s="35">
        <v>1049.5757575757575</v>
      </c>
      <c r="AN245" s="35">
        <f>Table11[[#This Row],[2024 '#Trees Inventory + Estimate]]*Table11[[#This Row],[USA Allocation %]]</f>
        <v>1049.5757575757575</v>
      </c>
      <c r="AO245" s="35">
        <f>Table11[[#This Row],[2024 '#Trees Inventory + Estimate]]*Table11[[#This Row],[Canada Allocation %]]</f>
        <v>0</v>
      </c>
      <c r="AP245" s="35">
        <f>Table11[[#This Row],[2024 '#Trees Inventory + Estimate]]*Table11[[#This Row],[Canada Allocation2017 %]]</f>
        <v>0</v>
      </c>
      <c r="AQ245" s="35">
        <f>Table11[[#This Row],['#Trees as of 2024/estimate-Can allocation]]+Table11[[#This Row],['#Trees as of 2024/estimate-Can allocation 2017]]</f>
        <v>0</v>
      </c>
      <c r="AR245" s="1" t="s">
        <v>152</v>
      </c>
      <c r="AS245" s="2" t="s">
        <v>1298</v>
      </c>
      <c r="AT245" s="6">
        <f>IFERROR(Table11[[#This Row],['#Total Replacements]]/Table11[[#This Row],['#TreesContract]],"")</f>
        <v>0.60818181818181816</v>
      </c>
      <c r="AU245" s="4">
        <f>IF(SUM(Table11[[#This Row],['#Replace 24]:['#Replace 16]])=0,0,SUM(Table11[[#This Row],['#Replace 24]:['#Replace 16]]))</f>
        <v>669</v>
      </c>
      <c r="AV245" s="2"/>
      <c r="AW245" s="2"/>
      <c r="AX245" s="3"/>
      <c r="AY245" s="2">
        <v>189</v>
      </c>
      <c r="AZ245" s="2">
        <v>480</v>
      </c>
      <c r="BA245" s="2"/>
      <c r="BB245" s="2"/>
      <c r="BC245" s="2"/>
      <c r="BD245" s="2"/>
      <c r="BE245" s="2"/>
      <c r="BF245" s="3">
        <v>1</v>
      </c>
      <c r="BG245" s="3">
        <v>1</v>
      </c>
      <c r="BH245" s="2"/>
      <c r="BI245" s="158"/>
      <c r="BJ245" s="158"/>
      <c r="BK245" s="139">
        <f>Table11[[#This Row],[Average MHT
(Feet)]]/16</f>
        <v>0</v>
      </c>
      <c r="BL245" s="2"/>
      <c r="BM245" s="139">
        <f>Table11[[#This Row],[Average DBH
(inches)]]/18</f>
        <v>0</v>
      </c>
      <c r="BN245" s="235">
        <f>((Table11[[#This Row],[Average DBH
(inches)]]-4)^2)*(Table11[[#This Row],[Average MHT
(Feet)]]/16)</f>
        <v>0</v>
      </c>
      <c r="BO245" s="235">
        <f>Table11[[#This Row],[Average BF]]*Table11[[#This Row],[2024 '#Trees Inventory + Estimate]]</f>
        <v>0</v>
      </c>
      <c r="BP245" s="240">
        <f>(Table11[[#This Row],[Harvest Year
(10 year)]]-Table11[[#This Row],[Year of Inventory]]+1)*(Table11[[#This Row],[Average DBH
(inches)]]/(Table11[[#This Row],[Harvest Year
(10 year)]]-Table11[[#This Row],[Year of Inventory]]+1))+Table11[[#This Row],[Average DBH
(inches)]]</f>
        <v>0</v>
      </c>
      <c r="BQ245" s="235">
        <f>((Table11[[#This Row],[Projected DBH
(Extrapolated Growth/Year)]]-4)^2)*(Table11[[#This Row],[Average MHT
(Feet)]]/16)</f>
        <v>0</v>
      </c>
      <c r="BR245" s="235">
        <f>Table11[[#This Row],[Projected Average BF]]*Table11[[#This Row],[2024 '#Trees Inventory + Estimate]]</f>
        <v>0</v>
      </c>
      <c r="BS245" s="235">
        <f>196*Table11[[#This Row],[2024 '#Trees Inventory + Estimate]]</f>
        <v>205716.84848484848</v>
      </c>
      <c r="BT245" s="243">
        <f>Table11[[#This Row],[ETP Offering Expected BF]]-Table11[[#This Row],[Projected Total BF]]</f>
        <v>205716.84848484848</v>
      </c>
      <c r="BU245" s="235">
        <f>(18-Table11[[#This Row],[Average DBH
(inches)]])/(D245-Table11[[#This Row],[Year of Inventory]]+1)</f>
        <v>8.8626292466765146E-3</v>
      </c>
    </row>
    <row r="246" spans="1:73" hidden="1" x14ac:dyDescent="0.25">
      <c r="A246" s="7" t="s">
        <v>1403</v>
      </c>
      <c r="B246" s="2">
        <v>2021</v>
      </c>
      <c r="C246" s="2">
        <v>2021</v>
      </c>
      <c r="D246" s="2">
        <f>Table11[[#This Row],[Planting Year]]+9</f>
        <v>2030</v>
      </c>
      <c r="E246" s="97" t="s">
        <v>1404</v>
      </c>
      <c r="F246" s="161">
        <v>10094</v>
      </c>
      <c r="G246" t="s">
        <v>1405</v>
      </c>
      <c r="H246" s="357" t="s">
        <v>1406</v>
      </c>
      <c r="I246" t="s">
        <v>147</v>
      </c>
      <c r="J246" s="1" t="s">
        <v>1407</v>
      </c>
      <c r="K246" s="1" t="s">
        <v>1408</v>
      </c>
      <c r="L246" s="1" t="s">
        <v>1409</v>
      </c>
      <c r="M246" s="1" t="s">
        <v>150</v>
      </c>
      <c r="Q246" s="2"/>
      <c r="R246" s="86"/>
      <c r="S246" s="2"/>
      <c r="T246" s="1">
        <v>1100</v>
      </c>
      <c r="U246" s="1">
        <v>1100</v>
      </c>
      <c r="V246" s="1" t="str">
        <f>IF(Table11[[#This Row],['#TreesContract]]-Table11[[#This Row],['#Planted]]=0,"",Table11[[#This Row],['#TreesContract]]-Table11[[#This Row],['#Planted]])</f>
        <v/>
      </c>
      <c r="W246" s="2"/>
      <c r="X246" s="34">
        <v>1</v>
      </c>
      <c r="Y246" s="163">
        <f>Table11[[#This Row],['#TreesContract]]*Table11[[#This Row],[USA Allocation %]]</f>
        <v>1100</v>
      </c>
      <c r="Z246" s="163">
        <f>Table11[[#This Row],['#Planted]]*Table11[[#This Row],[USA Allocation %]]</f>
        <v>1100</v>
      </c>
      <c r="AA246" s="34"/>
      <c r="AB246" s="163"/>
      <c r="AC246" s="34"/>
      <c r="AD246" s="163"/>
      <c r="AE246" s="163">
        <f>Table11[[#This Row],[Canada Allocation-tree '#''s]]+Table11[[#This Row],[Can trees/Allocation 2017]]</f>
        <v>0</v>
      </c>
      <c r="AF246" s="5">
        <v>0</v>
      </c>
      <c r="AG246" s="35">
        <v>0</v>
      </c>
      <c r="AH246" s="35">
        <f>Table11[[#This Row],['#Trees as of 12/31/23]]*Table11[[#This Row],[USA Allocation %]]</f>
        <v>0</v>
      </c>
      <c r="AI246" s="404">
        <f>Table11[[#This Row],['#TreesContract]]*Table11[[#This Row],[2024 Inventory Survival%-master]]</f>
        <v>0</v>
      </c>
      <c r="AJ246" s="5"/>
      <c r="AK246" s="5">
        <v>0</v>
      </c>
      <c r="AL246" s="5">
        <v>0</v>
      </c>
      <c r="AM246" s="35">
        <f>AK246*Table11[[#This Row],['#TreesContract]]</f>
        <v>0</v>
      </c>
      <c r="AN246" s="35">
        <f>Table11[[#This Row],[2024 '#Trees Inventory + Estimate]]*Table11[[#This Row],[USA Allocation %]]</f>
        <v>0</v>
      </c>
      <c r="AO246" s="35">
        <f>Table11[[#This Row],[2024 '#Trees Inventory + Estimate]]*Table11[[#This Row],[Canada Allocation %]]</f>
        <v>0</v>
      </c>
      <c r="AP246" s="35">
        <f>Table11[[#This Row],[2024 '#Trees Inventory + Estimate]]*Table11[[#This Row],[Canada Allocation2017 %]]</f>
        <v>0</v>
      </c>
      <c r="AQ246" s="35">
        <f>Table11[[#This Row],['#Trees as of 2024/estimate-Can allocation]]+Table11[[#This Row],['#Trees as of 2024/estimate-Can allocation 2017]]</f>
        <v>0</v>
      </c>
      <c r="AR246" s="1" t="s">
        <v>152</v>
      </c>
      <c r="AS246" s="2" t="s">
        <v>1298</v>
      </c>
      <c r="AT246" s="6">
        <f>IFERROR(Table11[[#This Row],['#Total Replacements]]/Table11[[#This Row],['#TreesContract]],"")</f>
        <v>0.35272727272727272</v>
      </c>
      <c r="AU246" s="4">
        <f>IF(SUM(Table11[[#This Row],['#Replace 24]:['#Replace 16]])=0,0,SUM(Table11[[#This Row],['#Replace 24]:['#Replace 16]]))</f>
        <v>388</v>
      </c>
      <c r="AV246" s="2"/>
      <c r="AW246" s="2"/>
      <c r="AX246" s="3"/>
      <c r="AY246" s="2">
        <v>388</v>
      </c>
      <c r="AZ246" s="2"/>
      <c r="BA246" s="2"/>
      <c r="BB246" s="2"/>
      <c r="BC246" s="2"/>
      <c r="BD246" s="2"/>
      <c r="BE246" s="2"/>
      <c r="BF246" s="3">
        <v>1</v>
      </c>
      <c r="BG246" s="3">
        <v>1</v>
      </c>
      <c r="BH246" s="2"/>
      <c r="BI246" s="2"/>
      <c r="BJ246" s="2"/>
      <c r="BK246" s="139">
        <f>Table11[[#This Row],[Average MHT
(Feet)]]/16</f>
        <v>0</v>
      </c>
      <c r="BL246" s="2"/>
      <c r="BM246" s="139">
        <f>Table11[[#This Row],[Average DBH
(inches)]]/18</f>
        <v>0</v>
      </c>
      <c r="BN246" s="235">
        <f>((Table11[[#This Row],[Average DBH
(inches)]]-4)^2)*(Table11[[#This Row],[Average MHT
(Feet)]]/16)</f>
        <v>0</v>
      </c>
      <c r="BO246" s="235">
        <f>Table11[[#This Row],[Average BF]]*Table11[[#This Row],[2024 '#Trees Inventory + Estimate]]</f>
        <v>0</v>
      </c>
      <c r="BP246" s="240">
        <f>(Table11[[#This Row],[Harvest Year
(10 year)]]-Table11[[#This Row],[Year of Inventory]]+1)*(Table11[[#This Row],[Average DBH
(inches)]]/(Table11[[#This Row],[Harvest Year
(10 year)]]-Table11[[#This Row],[Year of Inventory]]+1))+Table11[[#This Row],[Average DBH
(inches)]]</f>
        <v>0</v>
      </c>
      <c r="BQ246" s="235">
        <f>((Table11[[#This Row],[Projected DBH
(Extrapolated Growth/Year)]]-4)^2)*(Table11[[#This Row],[Average MHT
(Feet)]]/16)</f>
        <v>0</v>
      </c>
      <c r="BR246" s="235">
        <f>Table11[[#This Row],[Projected Average BF]]*Table11[[#This Row],[2024 '#Trees Inventory + Estimate]]</f>
        <v>0</v>
      </c>
      <c r="BS246" s="235">
        <f>196*Table11[[#This Row],[2024 '#Trees Inventory + Estimate]]</f>
        <v>0</v>
      </c>
      <c r="BT246" s="235">
        <f>Table11[[#This Row],[ETP Offering Expected BF]]-Table11[[#This Row],[Projected Total BF]]</f>
        <v>0</v>
      </c>
      <c r="BU246" s="235">
        <f>(18-Table11[[#This Row],[Average DBH
(inches)]])/(D246-Table11[[#This Row],[Year of Inventory]]+1)</f>
        <v>8.8626292466765146E-3</v>
      </c>
    </row>
    <row r="247" spans="1:73" hidden="1" x14ac:dyDescent="0.25">
      <c r="A247" s="7" t="s">
        <v>1410</v>
      </c>
      <c r="B247" s="2">
        <v>2021</v>
      </c>
      <c r="C247" s="2">
        <v>2021</v>
      </c>
      <c r="D247" s="2">
        <f>Table11[[#This Row],[Planting Year]]+9</f>
        <v>2030</v>
      </c>
      <c r="E247" s="97" t="s">
        <v>1411</v>
      </c>
      <c r="F247" s="161">
        <v>10095</v>
      </c>
      <c r="G247" t="s">
        <v>1412</v>
      </c>
      <c r="H247" s="357" t="s">
        <v>1413</v>
      </c>
      <c r="I247" t="s">
        <v>147</v>
      </c>
      <c r="J247" s="1" t="s">
        <v>1414</v>
      </c>
      <c r="K247" s="1" t="s">
        <v>1415</v>
      </c>
      <c r="L247" s="1" t="s">
        <v>1415</v>
      </c>
      <c r="M247" s="1" t="s">
        <v>150</v>
      </c>
      <c r="Q247" s="2"/>
      <c r="R247" s="86"/>
      <c r="S247" s="2"/>
      <c r="T247" s="1">
        <v>1100</v>
      </c>
      <c r="U247" s="1">
        <v>1100</v>
      </c>
      <c r="V247" s="1" t="str">
        <f>IF(Table11[[#This Row],['#TreesContract]]-Table11[[#This Row],['#Planted]]=0,"",Table11[[#This Row],['#TreesContract]]-Table11[[#This Row],['#Planted]])</f>
        <v/>
      </c>
      <c r="W247" s="2"/>
      <c r="X247" s="34">
        <v>1</v>
      </c>
      <c r="Y247" s="163">
        <f>Table11[[#This Row],['#TreesContract]]*Table11[[#This Row],[USA Allocation %]]</f>
        <v>1100</v>
      </c>
      <c r="Z247" s="163">
        <f>Table11[[#This Row],['#Planted]]*Table11[[#This Row],[USA Allocation %]]</f>
        <v>1100</v>
      </c>
      <c r="AA247" s="34"/>
      <c r="AB247" s="163"/>
      <c r="AC247" s="34"/>
      <c r="AD247" s="163"/>
      <c r="AE247" s="163">
        <f>Table11[[#This Row],[Canada Allocation-tree '#''s]]+Table11[[#This Row],[Can trees/Allocation 2017]]</f>
        <v>0</v>
      </c>
      <c r="AF247" s="5">
        <v>0</v>
      </c>
      <c r="AG247" s="35">
        <v>0</v>
      </c>
      <c r="AH247" s="35">
        <f>Table11[[#This Row],['#Trees as of 12/31/23]]*Table11[[#This Row],[USA Allocation %]]</f>
        <v>0</v>
      </c>
      <c r="AI247" s="404">
        <f>Table11[[#This Row],['#TreesContract]]*Table11[[#This Row],[2024 Inventory Survival%-master]]</f>
        <v>0</v>
      </c>
      <c r="AJ247" s="5"/>
      <c r="AK247" s="5">
        <v>0</v>
      </c>
      <c r="AL247" s="5">
        <v>0</v>
      </c>
      <c r="AM247" s="35">
        <f>AK247*Table11[[#This Row],['#TreesContract]]</f>
        <v>0</v>
      </c>
      <c r="AN247" s="35">
        <f>Table11[[#This Row],[2024 '#Trees Inventory + Estimate]]*Table11[[#This Row],[USA Allocation %]]</f>
        <v>0</v>
      </c>
      <c r="AO247" s="35">
        <f>Table11[[#This Row],[2024 '#Trees Inventory + Estimate]]*Table11[[#This Row],[Canada Allocation %]]</f>
        <v>0</v>
      </c>
      <c r="AP247" s="35">
        <f>Table11[[#This Row],[2024 '#Trees Inventory + Estimate]]*Table11[[#This Row],[Canada Allocation2017 %]]</f>
        <v>0</v>
      </c>
      <c r="AQ247" s="35">
        <f>Table11[[#This Row],['#Trees as of 2024/estimate-Can allocation]]+Table11[[#This Row],['#Trees as of 2024/estimate-Can allocation 2017]]</f>
        <v>0</v>
      </c>
      <c r="AR247" s="1" t="s">
        <v>152</v>
      </c>
      <c r="AS247" s="2" t="s">
        <v>1298</v>
      </c>
      <c r="AT247" s="6">
        <f>IFERROR(Table11[[#This Row],['#Total Replacements]]/Table11[[#This Row],['#TreesContract]],"")</f>
        <v>0.88272727272727269</v>
      </c>
      <c r="AU247" s="4">
        <f>IF(SUM(Table11[[#This Row],['#Replace 24]:['#Replace 16]])=0,0,SUM(Table11[[#This Row],['#Replace 24]:['#Replace 16]]))</f>
        <v>971</v>
      </c>
      <c r="AV247" s="2"/>
      <c r="AW247" s="2"/>
      <c r="AX247" s="3"/>
      <c r="AY247" s="2">
        <v>609</v>
      </c>
      <c r="AZ247" s="2">
        <v>362</v>
      </c>
      <c r="BA247" s="2"/>
      <c r="BB247" s="2"/>
      <c r="BC247" s="2"/>
      <c r="BD247" s="2"/>
      <c r="BE247" s="2"/>
      <c r="BF247" s="3">
        <v>1</v>
      </c>
      <c r="BG247" s="3">
        <v>1</v>
      </c>
      <c r="BH247" s="2"/>
      <c r="BI247" s="158"/>
      <c r="BJ247" s="158"/>
      <c r="BK247" s="139">
        <f>Table11[[#This Row],[Average MHT
(Feet)]]/16</f>
        <v>0</v>
      </c>
      <c r="BL247" s="2"/>
      <c r="BM247" s="139">
        <f>Table11[[#This Row],[Average DBH
(inches)]]/18</f>
        <v>0</v>
      </c>
      <c r="BN247" s="235">
        <f>((Table11[[#This Row],[Average DBH
(inches)]]-4)^2)*(Table11[[#This Row],[Average MHT
(Feet)]]/16)</f>
        <v>0</v>
      </c>
      <c r="BO247" s="235">
        <f>Table11[[#This Row],[Average BF]]*Table11[[#This Row],[2024 '#Trees Inventory + Estimate]]</f>
        <v>0</v>
      </c>
      <c r="BP247" s="240">
        <f>(Table11[[#This Row],[Harvest Year
(10 year)]]-Table11[[#This Row],[Year of Inventory]]+1)*(Table11[[#This Row],[Average DBH
(inches)]]/(Table11[[#This Row],[Harvest Year
(10 year)]]-Table11[[#This Row],[Year of Inventory]]+1))+Table11[[#This Row],[Average DBH
(inches)]]</f>
        <v>0</v>
      </c>
      <c r="BQ247" s="235">
        <f>((Table11[[#This Row],[Projected DBH
(Extrapolated Growth/Year)]]-4)^2)*(Table11[[#This Row],[Average MHT
(Feet)]]/16)</f>
        <v>0</v>
      </c>
      <c r="BR247" s="235">
        <f>Table11[[#This Row],[Projected Average BF]]*Table11[[#This Row],[2024 '#Trees Inventory + Estimate]]</f>
        <v>0</v>
      </c>
      <c r="BS247" s="235">
        <f>196*Table11[[#This Row],[2024 '#Trees Inventory + Estimate]]</f>
        <v>0</v>
      </c>
      <c r="BT247" s="235">
        <f>Table11[[#This Row],[ETP Offering Expected BF]]-Table11[[#This Row],[Projected Total BF]]</f>
        <v>0</v>
      </c>
      <c r="BU247" s="235">
        <f>(18-Table11[[#This Row],[Average DBH
(inches)]])/(D247-Table11[[#This Row],[Year of Inventory]]+1)</f>
        <v>8.8626292466765146E-3</v>
      </c>
    </row>
    <row r="248" spans="1:73" hidden="1" x14ac:dyDescent="0.25">
      <c r="A248" s="7" t="s">
        <v>1416</v>
      </c>
      <c r="B248" s="2">
        <v>2021</v>
      </c>
      <c r="C248" s="2">
        <v>2021</v>
      </c>
      <c r="D248" s="2">
        <f>Table11[[#This Row],[Planting Year]]+9</f>
        <v>2030</v>
      </c>
      <c r="E248" s="97" t="s">
        <v>1417</v>
      </c>
      <c r="F248" s="161">
        <v>10096</v>
      </c>
      <c r="G248" t="s">
        <v>1418</v>
      </c>
      <c r="H248" s="357" t="s">
        <v>1419</v>
      </c>
      <c r="I248" t="s">
        <v>155</v>
      </c>
      <c r="J248" s="1" t="s">
        <v>1420</v>
      </c>
      <c r="K248" s="1" t="s">
        <v>1421</v>
      </c>
      <c r="L248" s="1" t="s">
        <v>1422</v>
      </c>
      <c r="M248" s="1" t="s">
        <v>150</v>
      </c>
      <c r="N248" t="s">
        <v>1423</v>
      </c>
      <c r="O248">
        <v>44.153595000000003</v>
      </c>
      <c r="P248">
        <v>-123.184589</v>
      </c>
      <c r="Q248" s="2"/>
      <c r="R248" s="86"/>
      <c r="S248" s="2"/>
      <c r="T248" s="1">
        <v>1100</v>
      </c>
      <c r="U248" s="1">
        <v>1100</v>
      </c>
      <c r="V248" s="1" t="str">
        <f>IF(Table11[[#This Row],['#TreesContract]]-Table11[[#This Row],['#Planted]]=0,"",Table11[[#This Row],['#TreesContract]]-Table11[[#This Row],['#Planted]])</f>
        <v/>
      </c>
      <c r="W248" s="2"/>
      <c r="X248" s="34">
        <v>1</v>
      </c>
      <c r="Y248" s="163">
        <f>Table11[[#This Row],['#TreesContract]]*Table11[[#This Row],[USA Allocation %]]</f>
        <v>1100</v>
      </c>
      <c r="Z248" s="163">
        <f>Table11[[#This Row],['#Planted]]*Table11[[#This Row],[USA Allocation %]]</f>
        <v>1100</v>
      </c>
      <c r="AA248" s="34"/>
      <c r="AB248" s="163"/>
      <c r="AC248" s="34"/>
      <c r="AD248" s="163"/>
      <c r="AE248" s="163">
        <f>Table11[[#This Row],[Canada Allocation-tree '#''s]]+Table11[[#This Row],[Can trees/Allocation 2017]]</f>
        <v>0</v>
      </c>
      <c r="AF248" s="5">
        <v>1</v>
      </c>
      <c r="AG248" s="35">
        <v>1100</v>
      </c>
      <c r="AH248" s="35">
        <f>Table11[[#This Row],['#Trees as of 12/31/23]]*Table11[[#This Row],[USA Allocation %]]</f>
        <v>1100</v>
      </c>
      <c r="AI248" s="437">
        <f>Table11[[#This Row],['#TreesContract]]*Table11[[#This Row],[2024 Inventory Survival%-master]]</f>
        <v>0</v>
      </c>
      <c r="AJ248" s="436"/>
      <c r="AK248" s="5">
        <v>1</v>
      </c>
      <c r="AL248" s="5">
        <v>1</v>
      </c>
      <c r="AM248" s="35">
        <v>1100</v>
      </c>
      <c r="AN248" s="35">
        <f>Table11[[#This Row],[2024 '#Trees Inventory + Estimate]]*Table11[[#This Row],[USA Allocation %]]</f>
        <v>1100</v>
      </c>
      <c r="AO248" s="35">
        <f>Table11[[#This Row],[2024 '#Trees Inventory + Estimate]]*Table11[[#This Row],[Canada Allocation %]]</f>
        <v>0</v>
      </c>
      <c r="AP248" s="35">
        <f>Table11[[#This Row],[2024 '#Trees Inventory + Estimate]]*Table11[[#This Row],[Canada Allocation2017 %]]</f>
        <v>0</v>
      </c>
      <c r="AQ248" s="35">
        <f>Table11[[#This Row],['#Trees as of 2024/estimate-Can allocation]]+Table11[[#This Row],['#Trees as of 2024/estimate-Can allocation 2017]]</f>
        <v>0</v>
      </c>
      <c r="AR248" s="1" t="s">
        <v>152</v>
      </c>
      <c r="AS248" s="2" t="s">
        <v>1424</v>
      </c>
      <c r="AT248" s="6">
        <f>IFERROR(Table11[[#This Row],['#Total Replacements]]/Table11[[#This Row],['#TreesContract]],"")</f>
        <v>0.24545454545454545</v>
      </c>
      <c r="AU248" s="4">
        <f>IF(SUM(Table11[[#This Row],['#Replace 24]:['#Replace 16]])=0,0,SUM(Table11[[#This Row],['#Replace 24]:['#Replace 16]]))</f>
        <v>270</v>
      </c>
      <c r="AV248" s="2"/>
      <c r="AW248" s="2"/>
      <c r="AX248" s="3">
        <v>60</v>
      </c>
      <c r="AY248" s="2">
        <v>210</v>
      </c>
      <c r="AZ248" s="2"/>
      <c r="BA248" s="2"/>
      <c r="BB248" s="2"/>
      <c r="BC248" s="2"/>
      <c r="BD248" s="2"/>
      <c r="BE248" s="2"/>
      <c r="BF248" s="3">
        <v>1</v>
      </c>
      <c r="BG248" s="3">
        <v>1</v>
      </c>
      <c r="BH248" s="2"/>
      <c r="BI248" s="2"/>
      <c r="BJ248" s="2"/>
      <c r="BK248" s="139">
        <f>Table11[[#This Row],[Average MHT
(Feet)]]/16</f>
        <v>0</v>
      </c>
      <c r="BL248" s="2"/>
      <c r="BM248" s="139">
        <f>Table11[[#This Row],[Average DBH
(inches)]]/18</f>
        <v>0</v>
      </c>
      <c r="BN248" s="235">
        <f>((Table11[[#This Row],[Average DBH
(inches)]]-4)^2)*(Table11[[#This Row],[Average MHT
(Feet)]]/16)</f>
        <v>0</v>
      </c>
      <c r="BO248" s="235">
        <f>Table11[[#This Row],[Average BF]]*Table11[[#This Row],[2024 '#Trees Inventory + Estimate]]</f>
        <v>0</v>
      </c>
      <c r="BP248" s="240">
        <f>(Table11[[#This Row],[Harvest Year
(10 year)]]-Table11[[#This Row],[Year of Inventory]]+1)*(Table11[[#This Row],[Average DBH
(inches)]]/(Table11[[#This Row],[Harvest Year
(10 year)]]-Table11[[#This Row],[Year of Inventory]]+1))+Table11[[#This Row],[Average DBH
(inches)]]</f>
        <v>0</v>
      </c>
      <c r="BQ248" s="235">
        <f>((Table11[[#This Row],[Projected DBH
(Extrapolated Growth/Year)]]-4)^2)*(Table11[[#This Row],[Average MHT
(Feet)]]/16)</f>
        <v>0</v>
      </c>
      <c r="BR248" s="235">
        <f>Table11[[#This Row],[Projected Average BF]]*Table11[[#This Row],[2024 '#Trees Inventory + Estimate]]</f>
        <v>0</v>
      </c>
      <c r="BS248" s="235">
        <f>196*Table11[[#This Row],[2024 '#Trees Inventory + Estimate]]</f>
        <v>215600</v>
      </c>
      <c r="BT248" s="243">
        <f>Table11[[#This Row],[ETP Offering Expected BF]]-Table11[[#This Row],[Projected Total BF]]</f>
        <v>215600</v>
      </c>
      <c r="BU248" s="235">
        <f>(18-Table11[[#This Row],[Average DBH
(inches)]])/(D248-Table11[[#This Row],[Year of Inventory]]+1)</f>
        <v>8.8626292466765146E-3</v>
      </c>
    </row>
    <row r="249" spans="1:73" hidden="1" x14ac:dyDescent="0.25">
      <c r="A249" s="7" t="s">
        <v>1425</v>
      </c>
      <c r="B249" s="2">
        <v>2021</v>
      </c>
      <c r="C249" s="2">
        <v>2021</v>
      </c>
      <c r="D249" s="2">
        <f>Table11[[#This Row],[Planting Year]]+9</f>
        <v>2030</v>
      </c>
      <c r="E249" s="97" t="s">
        <v>1426</v>
      </c>
      <c r="F249" s="161">
        <v>10097</v>
      </c>
      <c r="G249" t="s">
        <v>1427</v>
      </c>
      <c r="H249" s="357" t="s">
        <v>1428</v>
      </c>
      <c r="I249" t="s">
        <v>155</v>
      </c>
      <c r="J249" s="1" t="s">
        <v>1429</v>
      </c>
      <c r="K249" s="1" t="s">
        <v>1430</v>
      </c>
      <c r="L249" s="1" t="s">
        <v>1430</v>
      </c>
      <c r="M249" s="1" t="s">
        <v>150</v>
      </c>
      <c r="N249" t="s">
        <v>1431</v>
      </c>
      <c r="O249">
        <v>32.847766</v>
      </c>
      <c r="P249">
        <v>-85.747348000000002</v>
      </c>
      <c r="Q249" s="2"/>
      <c r="R249" s="86"/>
      <c r="S249" s="2"/>
      <c r="T249" s="1">
        <v>1100</v>
      </c>
      <c r="U249" s="1">
        <v>1100</v>
      </c>
      <c r="V249" s="1" t="str">
        <f>IF(Table11[[#This Row],['#TreesContract]]-Table11[[#This Row],['#Planted]]=0,"",Table11[[#This Row],['#TreesContract]]-Table11[[#This Row],['#Planted]])</f>
        <v/>
      </c>
      <c r="W249" s="2"/>
      <c r="X249" s="34">
        <v>1</v>
      </c>
      <c r="Y249" s="163">
        <f>Table11[[#This Row],['#TreesContract]]*Table11[[#This Row],[USA Allocation %]]</f>
        <v>1100</v>
      </c>
      <c r="Z249" s="163">
        <f>Table11[[#This Row],['#Planted]]*Table11[[#This Row],[USA Allocation %]]</f>
        <v>1100</v>
      </c>
      <c r="AA249" s="34"/>
      <c r="AB249" s="163"/>
      <c r="AC249" s="34"/>
      <c r="AD249" s="163"/>
      <c r="AE249" s="163">
        <f>Table11[[#This Row],[Canada Allocation-tree '#''s]]+Table11[[#This Row],[Can trees/Allocation 2017]]</f>
        <v>0</v>
      </c>
      <c r="AF249" s="5">
        <v>1</v>
      </c>
      <c r="AG249" s="35">
        <v>1100</v>
      </c>
      <c r="AH249" s="35">
        <f>Table11[[#This Row],['#Trees as of 12/31/23]]*Table11[[#This Row],[USA Allocation %]]</f>
        <v>1100</v>
      </c>
      <c r="AI249" s="437">
        <f>Table11[[#This Row],['#TreesContract]]*Table11[[#This Row],[2024 Inventory Survival%-master]]</f>
        <v>0</v>
      </c>
      <c r="AJ249" s="436"/>
      <c r="AK249" s="5">
        <v>1</v>
      </c>
      <c r="AL249" s="5">
        <v>1</v>
      </c>
      <c r="AM249" s="35">
        <v>1100</v>
      </c>
      <c r="AN249" s="35">
        <f>Table11[[#This Row],[2024 '#Trees Inventory + Estimate]]*Table11[[#This Row],[USA Allocation %]]</f>
        <v>1100</v>
      </c>
      <c r="AO249" s="35">
        <f>Table11[[#This Row],[2024 '#Trees Inventory + Estimate]]*Table11[[#This Row],[Canada Allocation %]]</f>
        <v>0</v>
      </c>
      <c r="AP249" s="35">
        <f>Table11[[#This Row],[2024 '#Trees Inventory + Estimate]]*Table11[[#This Row],[Canada Allocation2017 %]]</f>
        <v>0</v>
      </c>
      <c r="AQ249" s="35">
        <f>Table11[[#This Row],['#Trees as of 2024/estimate-Can allocation]]+Table11[[#This Row],['#Trees as of 2024/estimate-Can allocation 2017]]</f>
        <v>0</v>
      </c>
      <c r="AR249" s="1" t="s">
        <v>152</v>
      </c>
      <c r="AS249" s="2" t="s">
        <v>1284</v>
      </c>
      <c r="AT249" s="6">
        <f>IFERROR(Table11[[#This Row],['#Total Replacements]]/Table11[[#This Row],['#TreesContract]],"")</f>
        <v>0.18272727272727274</v>
      </c>
      <c r="AU249" s="4">
        <f>IF(SUM(Table11[[#This Row],['#Replace 24]:['#Replace 16]])=0,0,SUM(Table11[[#This Row],['#Replace 24]:['#Replace 16]]))</f>
        <v>201</v>
      </c>
      <c r="AV249" s="2"/>
      <c r="AW249" s="2"/>
      <c r="AX249" s="3">
        <v>75</v>
      </c>
      <c r="AY249" s="2">
        <v>126</v>
      </c>
      <c r="AZ249" s="2"/>
      <c r="BA249" s="2"/>
      <c r="BB249" s="2"/>
      <c r="BC249" s="2"/>
      <c r="BD249" s="2"/>
      <c r="BE249" s="2"/>
      <c r="BF249" s="3">
        <v>1</v>
      </c>
      <c r="BG249" s="3">
        <v>1</v>
      </c>
      <c r="BH249" s="2"/>
      <c r="BI249" s="158"/>
      <c r="BJ249" s="158"/>
      <c r="BK249" s="139">
        <f>Table11[[#This Row],[Average MHT
(Feet)]]/16</f>
        <v>0</v>
      </c>
      <c r="BL249" s="2"/>
      <c r="BM249" s="139">
        <f>Table11[[#This Row],[Average DBH
(inches)]]/18</f>
        <v>0</v>
      </c>
      <c r="BN249" s="235">
        <f>((Table11[[#This Row],[Average DBH
(inches)]]-4)^2)*(Table11[[#This Row],[Average MHT
(Feet)]]/16)</f>
        <v>0</v>
      </c>
      <c r="BO249" s="235">
        <f>Table11[[#This Row],[Average BF]]*Table11[[#This Row],[2024 '#Trees Inventory + Estimate]]</f>
        <v>0</v>
      </c>
      <c r="BP249" s="240">
        <f>(Table11[[#This Row],[Harvest Year
(10 year)]]-Table11[[#This Row],[Year of Inventory]]+1)*(Table11[[#This Row],[Average DBH
(inches)]]/(Table11[[#This Row],[Harvest Year
(10 year)]]-Table11[[#This Row],[Year of Inventory]]+1))+Table11[[#This Row],[Average DBH
(inches)]]</f>
        <v>0</v>
      </c>
      <c r="BQ249" s="235">
        <f>((Table11[[#This Row],[Projected DBH
(Extrapolated Growth/Year)]]-4)^2)*(Table11[[#This Row],[Average MHT
(Feet)]]/16)</f>
        <v>0</v>
      </c>
      <c r="BR249" s="235">
        <f>Table11[[#This Row],[Projected Average BF]]*Table11[[#This Row],[2024 '#Trees Inventory + Estimate]]</f>
        <v>0</v>
      </c>
      <c r="BS249" s="235">
        <f>196*Table11[[#This Row],[2024 '#Trees Inventory + Estimate]]</f>
        <v>215600</v>
      </c>
      <c r="BT249" s="243">
        <f>Table11[[#This Row],[ETP Offering Expected BF]]-Table11[[#This Row],[Projected Total BF]]</f>
        <v>215600</v>
      </c>
      <c r="BU249" s="235">
        <f>(18-Table11[[#This Row],[Average DBH
(inches)]])/(D249-Table11[[#This Row],[Year of Inventory]]+1)</f>
        <v>8.8626292466765146E-3</v>
      </c>
    </row>
    <row r="250" spans="1:73" hidden="1" x14ac:dyDescent="0.25">
      <c r="A250" s="7" t="s">
        <v>1432</v>
      </c>
      <c r="B250" s="2">
        <v>2021</v>
      </c>
      <c r="C250" s="2">
        <v>2021</v>
      </c>
      <c r="D250" s="2">
        <f>Table11[[#This Row],[Planting Year]]+9</f>
        <v>2030</v>
      </c>
      <c r="E250" s="97" t="s">
        <v>1433</v>
      </c>
      <c r="F250" s="161">
        <v>10098</v>
      </c>
      <c r="G250" t="s">
        <v>1434</v>
      </c>
      <c r="H250" s="357" t="s">
        <v>1435</v>
      </c>
      <c r="I250" t="s">
        <v>155</v>
      </c>
      <c r="J250" s="1" t="s">
        <v>1436</v>
      </c>
      <c r="K250" s="1" t="s">
        <v>1437</v>
      </c>
      <c r="L250" s="1" t="s">
        <v>1438</v>
      </c>
      <c r="M250" s="1" t="s">
        <v>150</v>
      </c>
      <c r="N250" t="s">
        <v>1439</v>
      </c>
      <c r="O250">
        <v>30.281943999999999</v>
      </c>
      <c r="P250">
        <v>-84.261388999999994</v>
      </c>
      <c r="Q250" s="2"/>
      <c r="R250" s="86"/>
      <c r="S250" s="2"/>
      <c r="T250" s="1">
        <v>1145</v>
      </c>
      <c r="U250" s="1">
        <v>1145</v>
      </c>
      <c r="V250" s="1" t="str">
        <f>IF(Table11[[#This Row],['#TreesContract]]-Table11[[#This Row],['#Planted]]=0,"",Table11[[#This Row],['#TreesContract]]-Table11[[#This Row],['#Planted]])</f>
        <v/>
      </c>
      <c r="W250" s="2"/>
      <c r="X250" s="34">
        <v>1</v>
      </c>
      <c r="Y250" s="163">
        <f>Table11[[#This Row],['#TreesContract]]*Table11[[#This Row],[USA Allocation %]]</f>
        <v>1145</v>
      </c>
      <c r="Z250" s="163">
        <f>Table11[[#This Row],['#Planted]]*Table11[[#This Row],[USA Allocation %]]</f>
        <v>1145</v>
      </c>
      <c r="AA250" s="34"/>
      <c r="AB250" s="163"/>
      <c r="AC250" s="34"/>
      <c r="AD250" s="163"/>
      <c r="AE250" s="163">
        <f>Table11[[#This Row],[Canada Allocation-tree '#''s]]+Table11[[#This Row],[Can trees/Allocation 2017]]</f>
        <v>0</v>
      </c>
      <c r="AF250" s="5">
        <v>1</v>
      </c>
      <c r="AG250" s="35">
        <v>1145</v>
      </c>
      <c r="AH250" s="35">
        <f>Table11[[#This Row],['#Trees as of 12/31/23]]*Table11[[#This Row],[USA Allocation %]]</f>
        <v>1145</v>
      </c>
      <c r="AI250" s="437">
        <f>Table11[[#This Row],['#TreesContract]]*Table11[[#This Row],[2024 Inventory Survival%-master]]</f>
        <v>0</v>
      </c>
      <c r="AJ250" s="436"/>
      <c r="AK250" s="5">
        <v>1</v>
      </c>
      <c r="AL250" s="5">
        <v>1</v>
      </c>
      <c r="AM250" s="35">
        <v>1145</v>
      </c>
      <c r="AN250" s="35">
        <f>Table11[[#This Row],[2024 '#Trees Inventory + Estimate]]*Table11[[#This Row],[USA Allocation %]]</f>
        <v>1145</v>
      </c>
      <c r="AO250" s="35">
        <f>Table11[[#This Row],[2024 '#Trees Inventory + Estimate]]*Table11[[#This Row],[Canada Allocation %]]</f>
        <v>0</v>
      </c>
      <c r="AP250" s="35">
        <f>Table11[[#This Row],[2024 '#Trees Inventory + Estimate]]*Table11[[#This Row],[Canada Allocation2017 %]]</f>
        <v>0</v>
      </c>
      <c r="AQ250" s="35">
        <f>Table11[[#This Row],['#Trees as of 2024/estimate-Can allocation]]+Table11[[#This Row],['#Trees as of 2024/estimate-Can allocation 2017]]</f>
        <v>0</v>
      </c>
      <c r="AR250" s="1" t="s">
        <v>152</v>
      </c>
      <c r="AS250" s="2" t="s">
        <v>1298</v>
      </c>
      <c r="AT250" s="6">
        <f>IFERROR(Table11[[#This Row],['#Total Replacements]]/Table11[[#This Row],['#TreesContract]],"")</f>
        <v>0.17292576419213973</v>
      </c>
      <c r="AU250" s="4">
        <f>IF(SUM(Table11[[#This Row],['#Replace 24]:['#Replace 16]])=0,0,SUM(Table11[[#This Row],['#Replace 24]:['#Replace 16]]))</f>
        <v>198</v>
      </c>
      <c r="AV250" s="2"/>
      <c r="AW250" s="2"/>
      <c r="AX250" s="3">
        <v>21</v>
      </c>
      <c r="AY250" s="2"/>
      <c r="AZ250" s="2">
        <v>177</v>
      </c>
      <c r="BA250" s="2"/>
      <c r="BB250" s="2"/>
      <c r="BC250" s="2"/>
      <c r="BD250" s="2"/>
      <c r="BE250" s="2"/>
      <c r="BF250" s="3">
        <v>1</v>
      </c>
      <c r="BG250" s="3">
        <v>1</v>
      </c>
      <c r="BH250" s="2"/>
      <c r="BI250" s="2"/>
      <c r="BJ250" s="2"/>
      <c r="BK250" s="139">
        <f>Table11[[#This Row],[Average MHT
(Feet)]]/16</f>
        <v>0</v>
      </c>
      <c r="BL250" s="2"/>
      <c r="BM250" s="139">
        <f>Table11[[#This Row],[Average DBH
(inches)]]/18</f>
        <v>0</v>
      </c>
      <c r="BN250" s="235">
        <f>((Table11[[#This Row],[Average DBH
(inches)]]-4)^2)*(Table11[[#This Row],[Average MHT
(Feet)]]/16)</f>
        <v>0</v>
      </c>
      <c r="BO250" s="235">
        <f>Table11[[#This Row],[Average BF]]*Table11[[#This Row],[2024 '#Trees Inventory + Estimate]]</f>
        <v>0</v>
      </c>
      <c r="BP250" s="240">
        <f>(Table11[[#This Row],[Harvest Year
(10 year)]]-Table11[[#This Row],[Year of Inventory]]+1)*(Table11[[#This Row],[Average DBH
(inches)]]/(Table11[[#This Row],[Harvest Year
(10 year)]]-Table11[[#This Row],[Year of Inventory]]+1))+Table11[[#This Row],[Average DBH
(inches)]]</f>
        <v>0</v>
      </c>
      <c r="BQ250" s="235">
        <f>((Table11[[#This Row],[Projected DBH
(Extrapolated Growth/Year)]]-4)^2)*(Table11[[#This Row],[Average MHT
(Feet)]]/16)</f>
        <v>0</v>
      </c>
      <c r="BR250" s="235">
        <f>Table11[[#This Row],[Projected Average BF]]*Table11[[#This Row],[2024 '#Trees Inventory + Estimate]]</f>
        <v>0</v>
      </c>
      <c r="BS250" s="235">
        <f>196*Table11[[#This Row],[2024 '#Trees Inventory + Estimate]]</f>
        <v>224420</v>
      </c>
      <c r="BT250" s="243">
        <f>Table11[[#This Row],[ETP Offering Expected BF]]-Table11[[#This Row],[Projected Total BF]]</f>
        <v>224420</v>
      </c>
      <c r="BU250" s="235">
        <f>(18-Table11[[#This Row],[Average DBH
(inches)]])/(D250-Table11[[#This Row],[Year of Inventory]]+1)</f>
        <v>8.8626292466765146E-3</v>
      </c>
    </row>
    <row r="251" spans="1:73" hidden="1" x14ac:dyDescent="0.25">
      <c r="A251" s="7" t="s">
        <v>1440</v>
      </c>
      <c r="B251" s="2">
        <v>2020</v>
      </c>
      <c r="C251" s="2">
        <v>2021</v>
      </c>
      <c r="D251" s="2">
        <f>Table11[[#This Row],[Planting Year]]+9</f>
        <v>2030</v>
      </c>
      <c r="E251" s="97" t="s">
        <v>1441</v>
      </c>
      <c r="F251" s="161">
        <v>10099</v>
      </c>
      <c r="G251" t="s">
        <v>1442</v>
      </c>
      <c r="H251" s="357" t="s">
        <v>1443</v>
      </c>
      <c r="I251" t="s">
        <v>155</v>
      </c>
      <c r="J251" s="1" t="s">
        <v>1444</v>
      </c>
      <c r="K251" s="1" t="s">
        <v>1445</v>
      </c>
      <c r="L251" s="1" t="s">
        <v>1445</v>
      </c>
      <c r="M251" s="1" t="s">
        <v>150</v>
      </c>
      <c r="N251" t="s">
        <v>1446</v>
      </c>
      <c r="O251">
        <v>30.710146300000002</v>
      </c>
      <c r="P251">
        <v>-90.170271600000007</v>
      </c>
      <c r="Q251" s="2"/>
      <c r="R251" s="86"/>
      <c r="S251" s="2"/>
      <c r="T251" s="1">
        <v>1100</v>
      </c>
      <c r="U251" s="1">
        <v>1100</v>
      </c>
      <c r="V251" s="1" t="str">
        <f>IF(Table11[[#This Row],['#TreesContract]]-Table11[[#This Row],['#Planted]]=0,"",Table11[[#This Row],['#TreesContract]]-Table11[[#This Row],['#Planted]])</f>
        <v/>
      </c>
      <c r="W251" s="2"/>
      <c r="X251" s="34">
        <v>1</v>
      </c>
      <c r="Y251" s="163">
        <f>Table11[[#This Row],['#TreesContract]]*Table11[[#This Row],[USA Allocation %]]</f>
        <v>1100</v>
      </c>
      <c r="Z251" s="163">
        <f>Table11[[#This Row],['#Planted]]*Table11[[#This Row],[USA Allocation %]]</f>
        <v>1100</v>
      </c>
      <c r="AA251" s="34"/>
      <c r="AB251" s="163"/>
      <c r="AC251" s="34"/>
      <c r="AD251" s="163"/>
      <c r="AE251" s="163">
        <f>Table11[[#This Row],[Canada Allocation-tree '#''s]]+Table11[[#This Row],[Can trees/Allocation 2017]]</f>
        <v>0</v>
      </c>
      <c r="AF251" s="5">
        <v>0.88691470650561566</v>
      </c>
      <c r="AG251" s="35">
        <v>975.60617715617718</v>
      </c>
      <c r="AH251" s="35">
        <f>Table11[[#This Row],['#Trees as of 12/31/23]]*Table11[[#This Row],[USA Allocation %]]</f>
        <v>975.60617715617718</v>
      </c>
      <c r="AI251" s="437">
        <f>Table11[[#This Row],['#TreesContract]]*Table11[[#This Row],[2024 Inventory Survival%-master]]</f>
        <v>0</v>
      </c>
      <c r="AJ251" s="436"/>
      <c r="AK251" s="5">
        <v>0.88691470650561566</v>
      </c>
      <c r="AL251" s="5">
        <v>0.88691470650561566</v>
      </c>
      <c r="AM251" s="35">
        <v>975.60617715617718</v>
      </c>
      <c r="AN251" s="35">
        <f>Table11[[#This Row],[2024 '#Trees Inventory + Estimate]]*Table11[[#This Row],[USA Allocation %]]</f>
        <v>975.60617715617718</v>
      </c>
      <c r="AO251" s="35">
        <f>Table11[[#This Row],[2024 '#Trees Inventory + Estimate]]*Table11[[#This Row],[Canada Allocation %]]</f>
        <v>0</v>
      </c>
      <c r="AP251" s="35">
        <f>Table11[[#This Row],[2024 '#Trees Inventory + Estimate]]*Table11[[#This Row],[Canada Allocation2017 %]]</f>
        <v>0</v>
      </c>
      <c r="AQ251" s="35">
        <f>Table11[[#This Row],['#Trees as of 2024/estimate-Can allocation]]+Table11[[#This Row],['#Trees as of 2024/estimate-Can allocation 2017]]</f>
        <v>0</v>
      </c>
      <c r="AR251" s="1" t="s">
        <v>152</v>
      </c>
      <c r="AS251" s="2" t="s">
        <v>171</v>
      </c>
      <c r="AT251" s="6">
        <f>IFERROR(Table11[[#This Row],['#Total Replacements]]/Table11[[#This Row],['#TreesContract]],"")</f>
        <v>0.24818181818181817</v>
      </c>
      <c r="AU251" s="4">
        <f>IF(SUM(Table11[[#This Row],['#Replace 24]:['#Replace 16]])=0,0,SUM(Table11[[#This Row],['#Replace 24]:['#Replace 16]]))</f>
        <v>273</v>
      </c>
      <c r="AV251" s="2"/>
      <c r="AW251" s="2"/>
      <c r="AX251" s="3"/>
      <c r="AY251" s="2">
        <v>273</v>
      </c>
      <c r="AZ251" s="2"/>
      <c r="BA251" s="2"/>
      <c r="BB251" s="2"/>
      <c r="BC251" s="2"/>
      <c r="BD251" s="2"/>
      <c r="BE251" s="2"/>
      <c r="BF251" s="3">
        <v>1</v>
      </c>
      <c r="BG251" s="3">
        <v>1</v>
      </c>
      <c r="BH251" s="2"/>
      <c r="BI251" s="158"/>
      <c r="BJ251" s="158"/>
      <c r="BK251" s="139">
        <f>Table11[[#This Row],[Average MHT
(Feet)]]/16</f>
        <v>0</v>
      </c>
      <c r="BL251" s="2"/>
      <c r="BM251" s="139">
        <f>Table11[[#This Row],[Average DBH
(inches)]]/18</f>
        <v>0</v>
      </c>
      <c r="BN251" s="235">
        <f>((Table11[[#This Row],[Average DBH
(inches)]]-4)^2)*(Table11[[#This Row],[Average MHT
(Feet)]]/16)</f>
        <v>0</v>
      </c>
      <c r="BO251" s="235">
        <f>Table11[[#This Row],[Average BF]]*Table11[[#This Row],[2024 '#Trees Inventory + Estimate]]</f>
        <v>0</v>
      </c>
      <c r="BP251" s="240">
        <f>(Table11[[#This Row],[Harvest Year
(10 year)]]-Table11[[#This Row],[Year of Inventory]]+1)*(Table11[[#This Row],[Average DBH
(inches)]]/(Table11[[#This Row],[Harvest Year
(10 year)]]-Table11[[#This Row],[Year of Inventory]]+1))+Table11[[#This Row],[Average DBH
(inches)]]</f>
        <v>0</v>
      </c>
      <c r="BQ251" s="235">
        <f>((Table11[[#This Row],[Projected DBH
(Extrapolated Growth/Year)]]-4)^2)*(Table11[[#This Row],[Average MHT
(Feet)]]/16)</f>
        <v>0</v>
      </c>
      <c r="BR251" s="235">
        <f>Table11[[#This Row],[Projected Average BF]]*Table11[[#This Row],[2024 '#Trees Inventory + Estimate]]</f>
        <v>0</v>
      </c>
      <c r="BS251" s="235">
        <f>196*Table11[[#This Row],[2024 '#Trees Inventory + Estimate]]</f>
        <v>191218.81072261074</v>
      </c>
      <c r="BT251" s="243">
        <f>Table11[[#This Row],[ETP Offering Expected BF]]-Table11[[#This Row],[Projected Total BF]]</f>
        <v>191218.81072261074</v>
      </c>
      <c r="BU251" s="235">
        <f>(18-Table11[[#This Row],[Average DBH
(inches)]])/(D251-Table11[[#This Row],[Year of Inventory]]+1)</f>
        <v>8.8626292466765146E-3</v>
      </c>
    </row>
    <row r="252" spans="1:73" hidden="1" x14ac:dyDescent="0.25">
      <c r="A252" s="7" t="s">
        <v>1447</v>
      </c>
      <c r="B252" s="2">
        <v>2021</v>
      </c>
      <c r="C252" s="2">
        <v>2021</v>
      </c>
      <c r="D252" s="2">
        <f>Table11[[#This Row],[Planting Year]]+9</f>
        <v>2030</v>
      </c>
      <c r="E252" s="97" t="s">
        <v>1448</v>
      </c>
      <c r="F252" s="161">
        <v>10100</v>
      </c>
      <c r="G252" t="s">
        <v>1449</v>
      </c>
      <c r="H252" s="357" t="s">
        <v>1450</v>
      </c>
      <c r="I252" t="s">
        <v>155</v>
      </c>
      <c r="J252" s="1" t="s">
        <v>1451</v>
      </c>
      <c r="K252" s="1" t="s">
        <v>1452</v>
      </c>
      <c r="L252" s="1" t="s">
        <v>1452</v>
      </c>
      <c r="M252" s="1" t="s">
        <v>150</v>
      </c>
      <c r="N252" t="s">
        <v>1453</v>
      </c>
      <c r="O252">
        <v>32.884627999999999</v>
      </c>
      <c r="P252">
        <v>-86.619910000000004</v>
      </c>
      <c r="Q252" s="2"/>
      <c r="R252" s="86"/>
      <c r="S252" s="2"/>
      <c r="T252" s="1">
        <v>1980</v>
      </c>
      <c r="U252" s="1">
        <v>1980</v>
      </c>
      <c r="V252" s="1" t="str">
        <f>IF(Table11[[#This Row],['#TreesContract]]-Table11[[#This Row],['#Planted]]=0,"",Table11[[#This Row],['#TreesContract]]-Table11[[#This Row],['#Planted]])</f>
        <v/>
      </c>
      <c r="W252" s="2"/>
      <c r="X252" s="34">
        <v>1</v>
      </c>
      <c r="Y252" s="163">
        <f>Table11[[#This Row],['#TreesContract]]*Table11[[#This Row],[USA Allocation %]]</f>
        <v>1980</v>
      </c>
      <c r="Z252" s="163">
        <f>Table11[[#This Row],['#Planted]]*Table11[[#This Row],[USA Allocation %]]</f>
        <v>1980</v>
      </c>
      <c r="AA252" s="34"/>
      <c r="AB252" s="163"/>
      <c r="AC252" s="34"/>
      <c r="AD252" s="163"/>
      <c r="AE252" s="163">
        <f>Table11[[#This Row],[Canada Allocation-tree '#''s]]+Table11[[#This Row],[Can trees/Allocation 2017]]</f>
        <v>0</v>
      </c>
      <c r="AF252" s="5">
        <v>1</v>
      </c>
      <c r="AG252" s="35">
        <v>1980</v>
      </c>
      <c r="AH252" s="35">
        <f>Table11[[#This Row],['#Trees as of 12/31/23]]*Table11[[#This Row],[USA Allocation %]]</f>
        <v>1980</v>
      </c>
      <c r="AI252" s="437">
        <f>Table11[[#This Row],['#TreesContract]]*Table11[[#This Row],[2024 Inventory Survival%-master]]</f>
        <v>0</v>
      </c>
      <c r="AJ252" s="436"/>
      <c r="AK252" s="5">
        <v>1</v>
      </c>
      <c r="AL252" s="5">
        <v>1</v>
      </c>
      <c r="AM252" s="35">
        <v>1980</v>
      </c>
      <c r="AN252" s="35">
        <f>Table11[[#This Row],[2024 '#Trees Inventory + Estimate]]*Table11[[#This Row],[USA Allocation %]]</f>
        <v>1980</v>
      </c>
      <c r="AO252" s="35">
        <f>Table11[[#This Row],[2024 '#Trees Inventory + Estimate]]*Table11[[#This Row],[Canada Allocation %]]</f>
        <v>0</v>
      </c>
      <c r="AP252" s="35">
        <f>Table11[[#This Row],[2024 '#Trees Inventory + Estimate]]*Table11[[#This Row],[Canada Allocation2017 %]]</f>
        <v>0</v>
      </c>
      <c r="AQ252" s="35">
        <f>Table11[[#This Row],['#Trees as of 2024/estimate-Can allocation]]+Table11[[#This Row],['#Trees as of 2024/estimate-Can allocation 2017]]</f>
        <v>0</v>
      </c>
      <c r="AR252" s="1" t="s">
        <v>152</v>
      </c>
      <c r="AS252" s="2" t="s">
        <v>1298</v>
      </c>
      <c r="AT252" s="6">
        <f>IFERROR(Table11[[#This Row],['#Total Replacements]]/Table11[[#This Row],['#TreesContract]],"")</f>
        <v>0.28686868686868688</v>
      </c>
      <c r="AU252" s="4">
        <f>IF(SUM(Table11[[#This Row],['#Replace 24]:['#Replace 16]])=0,0,SUM(Table11[[#This Row],['#Replace 24]:['#Replace 16]]))</f>
        <v>568</v>
      </c>
      <c r="AV252" s="2"/>
      <c r="AW252" s="2"/>
      <c r="AX252" s="3"/>
      <c r="AY252" s="2">
        <v>168</v>
      </c>
      <c r="AZ252" s="2">
        <v>400</v>
      </c>
      <c r="BA252" s="2"/>
      <c r="BB252" s="2"/>
      <c r="BC252" s="2"/>
      <c r="BD252" s="2"/>
      <c r="BE252" s="2"/>
      <c r="BF252" s="3">
        <v>1</v>
      </c>
      <c r="BG252" s="3">
        <v>1</v>
      </c>
      <c r="BH252" s="2"/>
      <c r="BI252" s="158"/>
      <c r="BJ252" s="158"/>
      <c r="BK252" s="139">
        <f>Table11[[#This Row],[Average MHT
(Feet)]]/16</f>
        <v>0</v>
      </c>
      <c r="BL252" s="2"/>
      <c r="BM252" s="139">
        <f>Table11[[#This Row],[Average DBH
(inches)]]/18</f>
        <v>0</v>
      </c>
      <c r="BN252" s="235">
        <f>((Table11[[#This Row],[Average DBH
(inches)]]-4)^2)*(Table11[[#This Row],[Average MHT
(Feet)]]/16)</f>
        <v>0</v>
      </c>
      <c r="BO252" s="235">
        <f>Table11[[#This Row],[Average BF]]*Table11[[#This Row],[2024 '#Trees Inventory + Estimate]]</f>
        <v>0</v>
      </c>
      <c r="BP252" s="240">
        <f>(Table11[[#This Row],[Harvest Year
(10 year)]]-Table11[[#This Row],[Year of Inventory]]+1)*(Table11[[#This Row],[Average DBH
(inches)]]/(Table11[[#This Row],[Harvest Year
(10 year)]]-Table11[[#This Row],[Year of Inventory]]+1))+Table11[[#This Row],[Average DBH
(inches)]]</f>
        <v>0</v>
      </c>
      <c r="BQ252" s="235">
        <f>((Table11[[#This Row],[Projected DBH
(Extrapolated Growth/Year)]]-4)^2)*(Table11[[#This Row],[Average MHT
(Feet)]]/16)</f>
        <v>0</v>
      </c>
      <c r="BR252" s="235">
        <f>Table11[[#This Row],[Projected Average BF]]*Table11[[#This Row],[2024 '#Trees Inventory + Estimate]]</f>
        <v>0</v>
      </c>
      <c r="BS252" s="235">
        <f>196*Table11[[#This Row],[2024 '#Trees Inventory + Estimate]]</f>
        <v>388080</v>
      </c>
      <c r="BT252" s="243">
        <f>Table11[[#This Row],[ETP Offering Expected BF]]-Table11[[#This Row],[Projected Total BF]]</f>
        <v>388080</v>
      </c>
      <c r="BU252" s="235">
        <f>(18-Table11[[#This Row],[Average DBH
(inches)]])/(D252-Table11[[#This Row],[Year of Inventory]]+1)</f>
        <v>8.8626292466765146E-3</v>
      </c>
    </row>
    <row r="253" spans="1:73" hidden="1" x14ac:dyDescent="0.25">
      <c r="A253" s="7" t="s">
        <v>1454</v>
      </c>
      <c r="B253" s="2">
        <v>2020</v>
      </c>
      <c r="C253" s="2">
        <v>2021</v>
      </c>
      <c r="D253" s="2">
        <f>Table11[[#This Row],[Planting Year]]+9</f>
        <v>2030</v>
      </c>
      <c r="E253" s="97" t="s">
        <v>1455</v>
      </c>
      <c r="F253" s="161">
        <v>10101</v>
      </c>
      <c r="G253" t="s">
        <v>1456</v>
      </c>
      <c r="H253" s="357" t="s">
        <v>1457</v>
      </c>
      <c r="I253" t="s">
        <v>155</v>
      </c>
      <c r="J253" s="1" t="s">
        <v>1458</v>
      </c>
      <c r="K253" s="1" t="s">
        <v>1459</v>
      </c>
      <c r="L253" s="1" t="s">
        <v>1459</v>
      </c>
      <c r="M253" s="1" t="s">
        <v>150</v>
      </c>
      <c r="N253" t="s">
        <v>1460</v>
      </c>
      <c r="O253">
        <v>32.294732000000003</v>
      </c>
      <c r="P253">
        <v>-83.771056999999999</v>
      </c>
      <c r="Q253" s="2"/>
      <c r="R253" s="86"/>
      <c r="S253" s="2"/>
      <c r="T253" s="1">
        <v>1320</v>
      </c>
      <c r="U253" s="1">
        <v>1320</v>
      </c>
      <c r="V253" s="1" t="str">
        <f>IF(Table11[[#This Row],['#TreesContract]]-Table11[[#This Row],['#Planted]]=0,"",Table11[[#This Row],['#TreesContract]]-Table11[[#This Row],['#Planted]])</f>
        <v/>
      </c>
      <c r="W253" s="2"/>
      <c r="X253" s="34">
        <v>1</v>
      </c>
      <c r="Y253" s="163">
        <f>Table11[[#This Row],['#TreesContract]]*Table11[[#This Row],[USA Allocation %]]</f>
        <v>1320</v>
      </c>
      <c r="Z253" s="163">
        <f>Table11[[#This Row],['#Planted]]*Table11[[#This Row],[USA Allocation %]]</f>
        <v>1320</v>
      </c>
      <c r="AA253" s="34"/>
      <c r="AB253" s="163"/>
      <c r="AC253" s="34"/>
      <c r="AD253" s="163"/>
      <c r="AE253" s="163">
        <f>Table11[[#This Row],[Canada Allocation-tree '#''s]]+Table11[[#This Row],[Can trees/Allocation 2017]]</f>
        <v>0</v>
      </c>
      <c r="AF253" s="5">
        <v>0.4554595429822702</v>
      </c>
      <c r="AG253" s="35">
        <v>601.20659673659668</v>
      </c>
      <c r="AH253" s="35">
        <f>Table11[[#This Row],['#Trees as of 12/31/23]]*Table11[[#This Row],[USA Allocation %]]</f>
        <v>601.20659673659668</v>
      </c>
      <c r="AI253" s="437">
        <f>Table11[[#This Row],['#TreesContract]]*Table11[[#This Row],[2024 Inventory Survival%-master]]</f>
        <v>0</v>
      </c>
      <c r="AJ253" s="436"/>
      <c r="AK253" s="5">
        <v>0.4554595429822702</v>
      </c>
      <c r="AL253" s="5">
        <v>0.4554595429822702</v>
      </c>
      <c r="AM253" s="35">
        <v>601.20659673659668</v>
      </c>
      <c r="AN253" s="35">
        <f>Table11[[#This Row],[2024 '#Trees Inventory + Estimate]]*Table11[[#This Row],[USA Allocation %]]</f>
        <v>601.20659673659668</v>
      </c>
      <c r="AO253" s="35">
        <f>Table11[[#This Row],[2024 '#Trees Inventory + Estimate]]*Table11[[#This Row],[Canada Allocation %]]</f>
        <v>0</v>
      </c>
      <c r="AP253" s="35">
        <f>Table11[[#This Row],[2024 '#Trees Inventory + Estimate]]*Table11[[#This Row],[Canada Allocation2017 %]]</f>
        <v>0</v>
      </c>
      <c r="AQ253" s="35">
        <f>Table11[[#This Row],['#Trees as of 2024/estimate-Can allocation]]+Table11[[#This Row],['#Trees as of 2024/estimate-Can allocation 2017]]</f>
        <v>0</v>
      </c>
      <c r="AR253" s="1" t="s">
        <v>152</v>
      </c>
      <c r="AS253" s="2" t="s">
        <v>371</v>
      </c>
      <c r="AT253" s="6">
        <f>IFERROR(Table11[[#This Row],['#Total Replacements]]/Table11[[#This Row],['#TreesContract]],"")</f>
        <v>0.33409090909090911</v>
      </c>
      <c r="AU253" s="4">
        <f>IF(SUM(Table11[[#This Row],['#Replace 24]:['#Replace 16]])=0,0,SUM(Table11[[#This Row],['#Replace 24]:['#Replace 16]]))</f>
        <v>441</v>
      </c>
      <c r="AV253" s="2"/>
      <c r="AW253" s="2"/>
      <c r="AX253" s="3"/>
      <c r="AY253" s="2">
        <v>441</v>
      </c>
      <c r="AZ253" s="2"/>
      <c r="BA253" s="2"/>
      <c r="BB253" s="2"/>
      <c r="BC253" s="2"/>
      <c r="BD253" s="2"/>
      <c r="BE253" s="2"/>
      <c r="BF253" s="3">
        <v>1</v>
      </c>
      <c r="BG253" s="3">
        <v>1</v>
      </c>
      <c r="BH253" s="2"/>
      <c r="BI253" s="2"/>
      <c r="BJ253" s="2"/>
      <c r="BK253" s="139">
        <f>Table11[[#This Row],[Average MHT
(Feet)]]/16</f>
        <v>0</v>
      </c>
      <c r="BL253" s="2"/>
      <c r="BM253" s="139">
        <f>Table11[[#This Row],[Average DBH
(inches)]]/18</f>
        <v>0</v>
      </c>
      <c r="BN253" s="235">
        <f>((Table11[[#This Row],[Average DBH
(inches)]]-4)^2)*(Table11[[#This Row],[Average MHT
(Feet)]]/16)</f>
        <v>0</v>
      </c>
      <c r="BO253" s="235">
        <f>Table11[[#This Row],[Average BF]]*Table11[[#This Row],[2024 '#Trees Inventory + Estimate]]</f>
        <v>0</v>
      </c>
      <c r="BP253" s="240">
        <f>(Table11[[#This Row],[Harvest Year
(10 year)]]-Table11[[#This Row],[Year of Inventory]]+1)*(Table11[[#This Row],[Average DBH
(inches)]]/(Table11[[#This Row],[Harvest Year
(10 year)]]-Table11[[#This Row],[Year of Inventory]]+1))+Table11[[#This Row],[Average DBH
(inches)]]</f>
        <v>0</v>
      </c>
      <c r="BQ253" s="235">
        <f>((Table11[[#This Row],[Projected DBH
(Extrapolated Growth/Year)]]-4)^2)*(Table11[[#This Row],[Average MHT
(Feet)]]/16)</f>
        <v>0</v>
      </c>
      <c r="BR253" s="235">
        <f>Table11[[#This Row],[Projected Average BF]]*Table11[[#This Row],[2024 '#Trees Inventory + Estimate]]</f>
        <v>0</v>
      </c>
      <c r="BS253" s="235">
        <f>196*Table11[[#This Row],[2024 '#Trees Inventory + Estimate]]</f>
        <v>117836.49296037295</v>
      </c>
      <c r="BT253" s="243">
        <f>Table11[[#This Row],[ETP Offering Expected BF]]-Table11[[#This Row],[Projected Total BF]]</f>
        <v>117836.49296037295</v>
      </c>
      <c r="BU253" s="235">
        <f>(18-Table11[[#This Row],[Average DBH
(inches)]])/(D253-Table11[[#This Row],[Year of Inventory]]+1)</f>
        <v>8.8626292466765146E-3</v>
      </c>
    </row>
    <row r="254" spans="1:73" hidden="1" x14ac:dyDescent="0.25">
      <c r="A254" s="7" t="s">
        <v>1461</v>
      </c>
      <c r="B254" s="2">
        <v>2020</v>
      </c>
      <c r="C254" s="2">
        <v>2021</v>
      </c>
      <c r="D254" s="2">
        <f>Table11[[#This Row],[Planting Year]]+9</f>
        <v>2030</v>
      </c>
      <c r="E254" s="97" t="s">
        <v>1462</v>
      </c>
      <c r="F254" s="161">
        <v>10102</v>
      </c>
      <c r="G254" t="s">
        <v>1463</v>
      </c>
      <c r="H254" s="357" t="s">
        <v>1464</v>
      </c>
      <c r="I254" t="s">
        <v>155</v>
      </c>
      <c r="J254" s="1" t="s">
        <v>1465</v>
      </c>
      <c r="K254" s="1" t="s">
        <v>1466</v>
      </c>
      <c r="L254" s="1" t="s">
        <v>1467</v>
      </c>
      <c r="M254" s="1" t="s">
        <v>150</v>
      </c>
      <c r="N254" t="s">
        <v>1468</v>
      </c>
      <c r="O254">
        <v>32.619273999999997</v>
      </c>
      <c r="P254">
        <v>-86.316457999999997</v>
      </c>
      <c r="Q254" s="2"/>
      <c r="R254" s="86"/>
      <c r="S254" s="2"/>
      <c r="T254" s="1">
        <v>1100</v>
      </c>
      <c r="U254" s="1">
        <v>1100</v>
      </c>
      <c r="V254" s="1" t="str">
        <f>IF(Table11[[#This Row],['#TreesContract]]-Table11[[#This Row],['#Planted]]=0,"",Table11[[#This Row],['#TreesContract]]-Table11[[#This Row],['#Planted]])</f>
        <v/>
      </c>
      <c r="W254" s="2"/>
      <c r="X254" s="34">
        <v>1</v>
      </c>
      <c r="Y254" s="163">
        <f>Table11[[#This Row],['#TreesContract]]*Table11[[#This Row],[USA Allocation %]]</f>
        <v>1100</v>
      </c>
      <c r="Z254" s="163">
        <f>Table11[[#This Row],['#Planted]]*Table11[[#This Row],[USA Allocation %]]</f>
        <v>1100</v>
      </c>
      <c r="AA254" s="34"/>
      <c r="AB254" s="163"/>
      <c r="AC254" s="34"/>
      <c r="AD254" s="163"/>
      <c r="AE254" s="163">
        <f>Table11[[#This Row],[Canada Allocation-tree '#''s]]+Table11[[#This Row],[Can trees/Allocation 2017]]</f>
        <v>0</v>
      </c>
      <c r="AF254" s="5">
        <v>0.99066942148760306</v>
      </c>
      <c r="AG254" s="35">
        <v>1089.7363636363634</v>
      </c>
      <c r="AH254" s="35">
        <f>Table11[[#This Row],['#Trees as of 12/31/23]]*Table11[[#This Row],[USA Allocation %]]</f>
        <v>1089.7363636363634</v>
      </c>
      <c r="AI254" s="437">
        <f>Table11[[#This Row],['#TreesContract]]*Table11[[#This Row],[2024 Inventory Survival%-master]]</f>
        <v>0</v>
      </c>
      <c r="AJ254" s="436"/>
      <c r="AK254" s="5">
        <v>0.99066942148760306</v>
      </c>
      <c r="AL254" s="5">
        <v>0.99066942148760306</v>
      </c>
      <c r="AM254" s="35">
        <v>1089.7363636363634</v>
      </c>
      <c r="AN254" s="35">
        <f>Table11[[#This Row],[2024 '#Trees Inventory + Estimate]]*Table11[[#This Row],[USA Allocation %]]</f>
        <v>1089.7363636363634</v>
      </c>
      <c r="AO254" s="35">
        <f>Table11[[#This Row],[2024 '#Trees Inventory + Estimate]]*Table11[[#This Row],[Canada Allocation %]]</f>
        <v>0</v>
      </c>
      <c r="AP254" s="35">
        <f>Table11[[#This Row],[2024 '#Trees Inventory + Estimate]]*Table11[[#This Row],[Canada Allocation2017 %]]</f>
        <v>0</v>
      </c>
      <c r="AQ254" s="35">
        <f>Table11[[#This Row],['#Trees as of 2024/estimate-Can allocation]]+Table11[[#This Row],['#Trees as of 2024/estimate-Can allocation 2017]]</f>
        <v>0</v>
      </c>
      <c r="AR254" s="1" t="s">
        <v>152</v>
      </c>
      <c r="AS254" s="2" t="s">
        <v>371</v>
      </c>
      <c r="AT254" s="6">
        <f>IFERROR(Table11[[#This Row],['#Total Replacements]]/Table11[[#This Row],['#TreesContract]],"")</f>
        <v>0.18727272727272729</v>
      </c>
      <c r="AU254" s="4">
        <f>IF(SUM(Table11[[#This Row],['#Replace 24]:['#Replace 16]])=0,0,SUM(Table11[[#This Row],['#Replace 24]:['#Replace 16]]))</f>
        <v>206</v>
      </c>
      <c r="AV254" s="2"/>
      <c r="AW254" s="2"/>
      <c r="AX254" s="3"/>
      <c r="AY254" s="2">
        <v>206</v>
      </c>
      <c r="AZ254" s="2"/>
      <c r="BA254" s="2"/>
      <c r="BB254" s="2"/>
      <c r="BC254" s="2"/>
      <c r="BD254" s="2"/>
      <c r="BE254" s="2"/>
      <c r="BF254" s="3">
        <v>1</v>
      </c>
      <c r="BG254" s="3">
        <v>1</v>
      </c>
      <c r="BH254" s="2"/>
      <c r="BI254" s="158"/>
      <c r="BJ254" s="158"/>
      <c r="BK254" s="139">
        <f>Table11[[#This Row],[Average MHT
(Feet)]]/16</f>
        <v>0</v>
      </c>
      <c r="BL254" s="2"/>
      <c r="BM254" s="139">
        <f>Table11[[#This Row],[Average DBH
(inches)]]/18</f>
        <v>0</v>
      </c>
      <c r="BN254" s="235">
        <f>((Table11[[#This Row],[Average DBH
(inches)]]-4)^2)*(Table11[[#This Row],[Average MHT
(Feet)]]/16)</f>
        <v>0</v>
      </c>
      <c r="BO254" s="235">
        <f>Table11[[#This Row],[Average BF]]*Table11[[#This Row],[2024 '#Trees Inventory + Estimate]]</f>
        <v>0</v>
      </c>
      <c r="BP254" s="240">
        <f>(Table11[[#This Row],[Harvest Year
(10 year)]]-Table11[[#This Row],[Year of Inventory]]+1)*(Table11[[#This Row],[Average DBH
(inches)]]/(Table11[[#This Row],[Harvest Year
(10 year)]]-Table11[[#This Row],[Year of Inventory]]+1))+Table11[[#This Row],[Average DBH
(inches)]]</f>
        <v>0</v>
      </c>
      <c r="BQ254" s="235">
        <f>((Table11[[#This Row],[Projected DBH
(Extrapolated Growth/Year)]]-4)^2)*(Table11[[#This Row],[Average MHT
(Feet)]]/16)</f>
        <v>0</v>
      </c>
      <c r="BR254" s="235">
        <f>Table11[[#This Row],[Projected Average BF]]*Table11[[#This Row],[2024 '#Trees Inventory + Estimate]]</f>
        <v>0</v>
      </c>
      <c r="BS254" s="235">
        <f>196*Table11[[#This Row],[2024 '#Trees Inventory + Estimate]]</f>
        <v>213588.32727272724</v>
      </c>
      <c r="BT254" s="243">
        <f>Table11[[#This Row],[ETP Offering Expected BF]]-Table11[[#This Row],[Projected Total BF]]</f>
        <v>213588.32727272724</v>
      </c>
      <c r="BU254" s="235">
        <f>(18-Table11[[#This Row],[Average DBH
(inches)]])/(D254-Table11[[#This Row],[Year of Inventory]]+1)</f>
        <v>8.8626292466765146E-3</v>
      </c>
    </row>
    <row r="255" spans="1:73" hidden="1" x14ac:dyDescent="0.25">
      <c r="A255" s="7" t="s">
        <v>1469</v>
      </c>
      <c r="B255" s="2">
        <v>2020</v>
      </c>
      <c r="C255" s="2">
        <v>2021</v>
      </c>
      <c r="D255" s="2">
        <v>0</v>
      </c>
      <c r="E255" s="97" t="s">
        <v>1470</v>
      </c>
      <c r="F255" s="161">
        <v>10103</v>
      </c>
      <c r="G255" t="s">
        <v>1471</v>
      </c>
      <c r="H255" s="357" t="s">
        <v>1472</v>
      </c>
      <c r="I255" t="s">
        <v>160</v>
      </c>
      <c r="J255" s="1" t="s">
        <v>1473</v>
      </c>
      <c r="K255" s="1" t="s">
        <v>1474</v>
      </c>
      <c r="L255" s="1" t="s">
        <v>1475</v>
      </c>
      <c r="M255" s="1" t="s">
        <v>150</v>
      </c>
      <c r="Q255" s="2"/>
      <c r="R255" s="86"/>
      <c r="S255" s="2"/>
      <c r="T255" s="1">
        <v>1100</v>
      </c>
      <c r="U255" s="1">
        <v>1100</v>
      </c>
      <c r="V255" s="1" t="str">
        <f>IF(Table11[[#This Row],['#TreesContract]]-Table11[[#This Row],['#Planted]]=0,"",Table11[[#This Row],['#TreesContract]]-Table11[[#This Row],['#Planted]])</f>
        <v/>
      </c>
      <c r="W255" s="2"/>
      <c r="X255" s="34">
        <v>1</v>
      </c>
      <c r="Y255" s="163">
        <f>Table11[[#This Row],['#TreesContract]]*Table11[[#This Row],[USA Allocation %]]</f>
        <v>1100</v>
      </c>
      <c r="Z255" s="163">
        <f>Table11[[#This Row],['#Planted]]*Table11[[#This Row],[USA Allocation %]]</f>
        <v>1100</v>
      </c>
      <c r="AA255" s="34"/>
      <c r="AB255" s="163"/>
      <c r="AC255" s="34"/>
      <c r="AD255" s="163"/>
      <c r="AE255" s="163">
        <f>Table11[[#This Row],[Canada Allocation-tree '#''s]]+Table11[[#This Row],[Can trees/Allocation 2017]]</f>
        <v>0</v>
      </c>
      <c r="AF255" s="5">
        <v>0</v>
      </c>
      <c r="AG255" s="35">
        <v>0</v>
      </c>
      <c r="AH255" s="35">
        <f>Table11[[#This Row],['#Trees as of 12/31/23]]*Table11[[#This Row],[USA Allocation %]]</f>
        <v>0</v>
      </c>
      <c r="AI255" s="404">
        <f>Table11[[#This Row],['#TreesContract]]*Table11[[#This Row],[2024 Inventory Survival%-master]]</f>
        <v>0</v>
      </c>
      <c r="AJ255" s="5">
        <v>0</v>
      </c>
      <c r="AK255" s="5">
        <v>0</v>
      </c>
      <c r="AL255" s="5">
        <v>0</v>
      </c>
      <c r="AM255" s="35">
        <v>0</v>
      </c>
      <c r="AN255" s="35">
        <f>Table11[[#This Row],[2024 '#Trees Inventory + Estimate]]*Table11[[#This Row],[USA Allocation %]]</f>
        <v>0</v>
      </c>
      <c r="AO255" s="35">
        <f>Table11[[#This Row],[2024 '#Trees Inventory + Estimate]]*Table11[[#This Row],[Canada Allocation %]]</f>
        <v>0</v>
      </c>
      <c r="AP255" s="35">
        <f>Table11[[#This Row],[2024 '#Trees Inventory + Estimate]]*Table11[[#This Row],[Canada Allocation2017 %]]</f>
        <v>0</v>
      </c>
      <c r="AQ255" s="35">
        <f>Table11[[#This Row],['#Trees as of 2024/estimate-Can allocation]]+Table11[[#This Row],['#Trees as of 2024/estimate-Can allocation 2017]]</f>
        <v>0</v>
      </c>
      <c r="AR255" s="1" t="s">
        <v>152</v>
      </c>
      <c r="AS255" s="2" t="s">
        <v>171</v>
      </c>
      <c r="AT255" s="6">
        <f>IFERROR(Table11[[#This Row],['#Total Replacements]]/Table11[[#This Row],['#TreesContract]],"")</f>
        <v>0</v>
      </c>
      <c r="AU255" s="4">
        <f>IF(SUM(Table11[[#This Row],['#Replace 24]:['#Replace 16]])=0,0,SUM(Table11[[#This Row],['#Replace 24]:['#Replace 16]]))</f>
        <v>0</v>
      </c>
      <c r="AV255" s="2"/>
      <c r="AW255" s="2"/>
      <c r="AX255" s="3"/>
      <c r="AY255" s="2"/>
      <c r="AZ255" s="2"/>
      <c r="BA255" s="2"/>
      <c r="BB255" s="2"/>
      <c r="BC255" s="2"/>
      <c r="BD255" s="2"/>
      <c r="BE255" s="2"/>
      <c r="BF255" s="3">
        <v>1</v>
      </c>
      <c r="BG255" s="3">
        <v>1</v>
      </c>
      <c r="BH255" s="2"/>
      <c r="BI255" s="2"/>
      <c r="BJ255" s="2"/>
      <c r="BK255" s="139">
        <f>Table11[[#This Row],[Average MHT
(Feet)]]/16</f>
        <v>0</v>
      </c>
      <c r="BL255" s="2"/>
      <c r="BM255" s="139">
        <f>Table11[[#This Row],[Average DBH
(inches)]]/18</f>
        <v>0</v>
      </c>
      <c r="BN255" s="235">
        <f>((Table11[[#This Row],[Average DBH
(inches)]]-4)^2)*(Table11[[#This Row],[Average MHT
(Feet)]]/16)</f>
        <v>0</v>
      </c>
      <c r="BO255" s="235">
        <f>Table11[[#This Row],[Average BF]]*Table11[[#This Row],[2024 '#Trees Inventory + Estimate]]</f>
        <v>0</v>
      </c>
      <c r="BP255" s="240">
        <f>(Table11[[#This Row],[Harvest Year
(10 year)]]-Table11[[#This Row],[Year of Inventory]]+1)*(Table11[[#This Row],[Average DBH
(inches)]]/(Table11[[#This Row],[Harvest Year
(10 year)]]-Table11[[#This Row],[Year of Inventory]]+1))+Table11[[#This Row],[Average DBH
(inches)]]</f>
        <v>0</v>
      </c>
      <c r="BQ255" s="235">
        <f>((Table11[[#This Row],[Projected DBH
(Extrapolated Growth/Year)]]-4)^2)*(Table11[[#This Row],[Average MHT
(Feet)]]/16)</f>
        <v>0</v>
      </c>
      <c r="BR255" s="235">
        <f>Table11[[#This Row],[Projected Average BF]]*Table11[[#This Row],[2024 '#Trees Inventory + Estimate]]</f>
        <v>0</v>
      </c>
      <c r="BS255" s="235">
        <f>196*Table11[[#This Row],[2024 '#Trees Inventory + Estimate]]</f>
        <v>0</v>
      </c>
      <c r="BT255" s="235">
        <f>Table11[[#This Row],[ETP Offering Expected BF]]-Table11[[#This Row],[Projected Total BF]]</f>
        <v>0</v>
      </c>
      <c r="BU255" s="235">
        <f>(18-Table11[[#This Row],[Average DBH
(inches)]])/(D255-Table11[[#This Row],[Year of Inventory]]+1)</f>
        <v>18</v>
      </c>
    </row>
    <row r="256" spans="1:73" hidden="1" x14ac:dyDescent="0.25">
      <c r="A256" s="7" t="s">
        <v>1476</v>
      </c>
      <c r="B256" s="2">
        <v>2020</v>
      </c>
      <c r="C256" s="2">
        <v>2021</v>
      </c>
      <c r="D256" s="2">
        <f>Table11[[#This Row],[Planting Year]]+9</f>
        <v>2030</v>
      </c>
      <c r="E256" s="97" t="s">
        <v>1477</v>
      </c>
      <c r="F256" s="161">
        <v>10104</v>
      </c>
      <c r="G256" t="s">
        <v>1478</v>
      </c>
      <c r="H256" s="357" t="s">
        <v>1479</v>
      </c>
      <c r="I256" t="s">
        <v>155</v>
      </c>
      <c r="J256" s="1" t="s">
        <v>1480</v>
      </c>
      <c r="K256" s="1" t="s">
        <v>1481</v>
      </c>
      <c r="L256" s="1" t="s">
        <v>1482</v>
      </c>
      <c r="M256" s="1" t="s">
        <v>150</v>
      </c>
      <c r="N256" t="s">
        <v>1483</v>
      </c>
      <c r="O256">
        <v>32.819540000000003</v>
      </c>
      <c r="P256">
        <v>-86.884326999999999</v>
      </c>
      <c r="Q256" s="2"/>
      <c r="R256" s="86"/>
      <c r="S256" s="2"/>
      <c r="T256" s="1">
        <v>3620</v>
      </c>
      <c r="U256" s="1">
        <v>3620</v>
      </c>
      <c r="V256" s="1" t="str">
        <f>IF(Table11[[#This Row],['#TreesContract]]-Table11[[#This Row],['#Planted]]=0,"",Table11[[#This Row],['#TreesContract]]-Table11[[#This Row],['#Planted]])</f>
        <v/>
      </c>
      <c r="W256" s="2"/>
      <c r="X256" s="34">
        <v>1</v>
      </c>
      <c r="Y256" s="163">
        <f>Table11[[#This Row],['#TreesContract]]*Table11[[#This Row],[USA Allocation %]]</f>
        <v>3620</v>
      </c>
      <c r="Z256" s="163">
        <f>Table11[[#This Row],['#Planted]]*Table11[[#This Row],[USA Allocation %]]</f>
        <v>3620</v>
      </c>
      <c r="AA256" s="34"/>
      <c r="AB256" s="163"/>
      <c r="AC256" s="34"/>
      <c r="AD256" s="163"/>
      <c r="AE256" s="163">
        <f>Table11[[#This Row],[Canada Allocation-tree '#''s]]+Table11[[#This Row],[Can trees/Allocation 2017]]</f>
        <v>0</v>
      </c>
      <c r="AF256" s="5">
        <v>0.85214989190487611</v>
      </c>
      <c r="AG256" s="35">
        <v>3084.7826086956516</v>
      </c>
      <c r="AH256" s="35">
        <f>Table11[[#This Row],['#Trees as of 12/31/23]]*Table11[[#This Row],[USA Allocation %]]</f>
        <v>3084.7826086956516</v>
      </c>
      <c r="AI256" s="437">
        <f>Table11[[#This Row],['#TreesContract]]*Table11[[#This Row],[2024 Inventory Survival%-master]]</f>
        <v>0</v>
      </c>
      <c r="AJ256" s="436"/>
      <c r="AK256" s="5">
        <v>0.85214989190487611</v>
      </c>
      <c r="AL256" s="5">
        <v>0.85214989190487611</v>
      </c>
      <c r="AM256" s="35">
        <v>3084.7826086956516</v>
      </c>
      <c r="AN256" s="35">
        <f>Table11[[#This Row],[2024 '#Trees Inventory + Estimate]]*Table11[[#This Row],[USA Allocation %]]</f>
        <v>3084.7826086956516</v>
      </c>
      <c r="AO256" s="35">
        <f>Table11[[#This Row],[2024 '#Trees Inventory + Estimate]]*Table11[[#This Row],[Canada Allocation %]]</f>
        <v>0</v>
      </c>
      <c r="AP256" s="35">
        <f>Table11[[#This Row],[2024 '#Trees Inventory + Estimate]]*Table11[[#This Row],[Canada Allocation2017 %]]</f>
        <v>0</v>
      </c>
      <c r="AQ256" s="35">
        <f>Table11[[#This Row],['#Trees as of 2024/estimate-Can allocation]]+Table11[[#This Row],['#Trees as of 2024/estimate-Can allocation 2017]]</f>
        <v>0</v>
      </c>
      <c r="AR256" s="1" t="s">
        <v>152</v>
      </c>
      <c r="AS256" s="2" t="s">
        <v>1484</v>
      </c>
      <c r="AT256" s="6">
        <f>IFERROR(Table11[[#This Row],['#Total Replacements]]/Table11[[#This Row],['#TreesContract]],"")</f>
        <v>0.21933701657458562</v>
      </c>
      <c r="AU256" s="4">
        <f>IF(SUM(Table11[[#This Row],['#Replace 24]:['#Replace 16]])=0,0,SUM(Table11[[#This Row],['#Replace 24]:['#Replace 16]]))</f>
        <v>794</v>
      </c>
      <c r="AV256" s="2"/>
      <c r="AW256" s="2"/>
      <c r="AX256" s="3">
        <v>46</v>
      </c>
      <c r="AY256" s="2">
        <v>748</v>
      </c>
      <c r="AZ256" s="2"/>
      <c r="BA256" s="2"/>
      <c r="BB256" s="2"/>
      <c r="BC256" s="2"/>
      <c r="BD256" s="2"/>
      <c r="BE256" s="2"/>
      <c r="BF256" s="3">
        <v>1</v>
      </c>
      <c r="BG256" s="3">
        <v>1</v>
      </c>
      <c r="BH256" s="2"/>
      <c r="BI256" s="2"/>
      <c r="BJ256" s="2"/>
      <c r="BK256" s="139">
        <f>Table11[[#This Row],[Average MHT
(Feet)]]/16</f>
        <v>0</v>
      </c>
      <c r="BL256" s="2"/>
      <c r="BM256" s="139">
        <f>Table11[[#This Row],[Average DBH
(inches)]]/18</f>
        <v>0</v>
      </c>
      <c r="BN256" s="235">
        <f>((Table11[[#This Row],[Average DBH
(inches)]]-4)^2)*(Table11[[#This Row],[Average MHT
(Feet)]]/16)</f>
        <v>0</v>
      </c>
      <c r="BO256" s="235">
        <f>Table11[[#This Row],[Average BF]]*Table11[[#This Row],[2024 '#Trees Inventory + Estimate]]</f>
        <v>0</v>
      </c>
      <c r="BP256" s="240">
        <f>(Table11[[#This Row],[Harvest Year
(10 year)]]-Table11[[#This Row],[Year of Inventory]]+1)*(Table11[[#This Row],[Average DBH
(inches)]]/(Table11[[#This Row],[Harvest Year
(10 year)]]-Table11[[#This Row],[Year of Inventory]]+1))+Table11[[#This Row],[Average DBH
(inches)]]</f>
        <v>0</v>
      </c>
      <c r="BQ256" s="235">
        <f>((Table11[[#This Row],[Projected DBH
(Extrapolated Growth/Year)]]-4)^2)*(Table11[[#This Row],[Average MHT
(Feet)]]/16)</f>
        <v>0</v>
      </c>
      <c r="BR256" s="235">
        <f>Table11[[#This Row],[Projected Average BF]]*Table11[[#This Row],[2024 '#Trees Inventory + Estimate]]</f>
        <v>0</v>
      </c>
      <c r="BS256" s="235">
        <f>196*Table11[[#This Row],[2024 '#Trees Inventory + Estimate]]</f>
        <v>604617.39130434766</v>
      </c>
      <c r="BT256" s="243">
        <f>Table11[[#This Row],[ETP Offering Expected BF]]-Table11[[#This Row],[Projected Total BF]]</f>
        <v>604617.39130434766</v>
      </c>
      <c r="BU256" s="235">
        <f>(18-Table11[[#This Row],[Average DBH
(inches)]])/(D256-Table11[[#This Row],[Year of Inventory]]+1)</f>
        <v>8.8626292466765146E-3</v>
      </c>
    </row>
    <row r="257" spans="1:73" hidden="1" x14ac:dyDescent="0.25">
      <c r="A257" s="7" t="s">
        <v>1485</v>
      </c>
      <c r="B257" s="2">
        <v>2020</v>
      </c>
      <c r="C257" s="2">
        <v>2021</v>
      </c>
      <c r="D257" s="2">
        <f>Table11[[#This Row],[Planting Year]]+9</f>
        <v>2030</v>
      </c>
      <c r="E257" s="97" t="s">
        <v>1486</v>
      </c>
      <c r="F257" s="161">
        <v>10105</v>
      </c>
      <c r="G257" t="s">
        <v>1487</v>
      </c>
      <c r="H257" s="357" t="s">
        <v>1488</v>
      </c>
      <c r="I257" t="s">
        <v>155</v>
      </c>
      <c r="J257" s="1" t="s">
        <v>1489</v>
      </c>
      <c r="K257" s="1" t="s">
        <v>1490</v>
      </c>
      <c r="L257" s="1" t="s">
        <v>1491</v>
      </c>
      <c r="M257" s="1" t="s">
        <v>150</v>
      </c>
      <c r="N257" t="s">
        <v>1492</v>
      </c>
      <c r="O257">
        <v>35.469667000000001</v>
      </c>
      <c r="P257">
        <v>-81.623418000000001</v>
      </c>
      <c r="Q257" s="2"/>
      <c r="R257" s="86"/>
      <c r="S257" s="2"/>
      <c r="T257" s="1">
        <v>1100</v>
      </c>
      <c r="U257" s="1">
        <v>1100</v>
      </c>
      <c r="V257" s="1" t="str">
        <f>IF(Table11[[#This Row],['#TreesContract]]-Table11[[#This Row],['#Planted]]=0,"",Table11[[#This Row],['#TreesContract]]-Table11[[#This Row],['#Planted]])</f>
        <v/>
      </c>
      <c r="W257" s="2"/>
      <c r="X257" s="34">
        <v>1</v>
      </c>
      <c r="Y257" s="163">
        <f>Table11[[#This Row],['#TreesContract]]*Table11[[#This Row],[USA Allocation %]]</f>
        <v>1100</v>
      </c>
      <c r="Z257" s="163">
        <f>Table11[[#This Row],['#Planted]]*Table11[[#This Row],[USA Allocation %]]</f>
        <v>1100</v>
      </c>
      <c r="AA257" s="34"/>
      <c r="AB257" s="163"/>
      <c r="AC257" s="34"/>
      <c r="AD257" s="163"/>
      <c r="AE257" s="163">
        <f>Table11[[#This Row],[Canada Allocation-tree '#''s]]+Table11[[#This Row],[Can trees/Allocation 2017]]</f>
        <v>0</v>
      </c>
      <c r="AF257" s="5">
        <v>0.5412396694214876</v>
      </c>
      <c r="AG257" s="35">
        <v>595.36363636363637</v>
      </c>
      <c r="AH257" s="35">
        <f>Table11[[#This Row],['#Trees as of 12/31/23]]*Table11[[#This Row],[USA Allocation %]]</f>
        <v>595.36363636363637</v>
      </c>
      <c r="AI257" s="437">
        <f>Table11[[#This Row],['#TreesContract]]*Table11[[#This Row],[2024 Inventory Survival%-master]]</f>
        <v>0</v>
      </c>
      <c r="AJ257" s="436"/>
      <c r="AK257" s="5">
        <v>0.5412396694214876</v>
      </c>
      <c r="AL257" s="5">
        <v>0.5412396694214876</v>
      </c>
      <c r="AM257" s="35">
        <v>595.36363636363637</v>
      </c>
      <c r="AN257" s="35">
        <f>Table11[[#This Row],[2024 '#Trees Inventory + Estimate]]*Table11[[#This Row],[USA Allocation %]]</f>
        <v>595.36363636363637</v>
      </c>
      <c r="AO257" s="35">
        <f>Table11[[#This Row],[2024 '#Trees Inventory + Estimate]]*Table11[[#This Row],[Canada Allocation %]]</f>
        <v>0</v>
      </c>
      <c r="AP257" s="35">
        <f>Table11[[#This Row],[2024 '#Trees Inventory + Estimate]]*Table11[[#This Row],[Canada Allocation2017 %]]</f>
        <v>0</v>
      </c>
      <c r="AQ257" s="35">
        <f>Table11[[#This Row],['#Trees as of 2024/estimate-Can allocation]]+Table11[[#This Row],['#Trees as of 2024/estimate-Can allocation 2017]]</f>
        <v>0</v>
      </c>
      <c r="AR257" s="1" t="s">
        <v>152</v>
      </c>
      <c r="AS257" s="2" t="s">
        <v>1484</v>
      </c>
      <c r="AT257" s="6">
        <f>IFERROR(Table11[[#This Row],['#Total Replacements]]/Table11[[#This Row],['#TreesContract]],"")</f>
        <v>0.5154545454545455</v>
      </c>
      <c r="AU257" s="4">
        <f>IF(SUM(Table11[[#This Row],['#Replace 24]:['#Replace 16]])=0,0,SUM(Table11[[#This Row],['#Replace 24]:['#Replace 16]]))</f>
        <v>567</v>
      </c>
      <c r="AV257" s="2"/>
      <c r="AW257" s="2"/>
      <c r="AX257" s="3">
        <v>189</v>
      </c>
      <c r="AY257" s="2">
        <v>378</v>
      </c>
      <c r="AZ257" s="2"/>
      <c r="BA257" s="2"/>
      <c r="BB257" s="2"/>
      <c r="BC257" s="2"/>
      <c r="BD257" s="2"/>
      <c r="BE257" s="2"/>
      <c r="BF257" s="3">
        <v>1</v>
      </c>
      <c r="BG257" s="3">
        <v>1</v>
      </c>
      <c r="BH257" s="2"/>
      <c r="BI257" s="158"/>
      <c r="BJ257" s="158"/>
      <c r="BK257" s="139">
        <f>Table11[[#This Row],[Average MHT
(Feet)]]/16</f>
        <v>0</v>
      </c>
      <c r="BL257" s="2"/>
      <c r="BM257" s="139">
        <f>Table11[[#This Row],[Average DBH
(inches)]]/18</f>
        <v>0</v>
      </c>
      <c r="BN257" s="235">
        <f>((Table11[[#This Row],[Average DBH
(inches)]]-4)^2)*(Table11[[#This Row],[Average MHT
(Feet)]]/16)</f>
        <v>0</v>
      </c>
      <c r="BO257" s="235">
        <f>Table11[[#This Row],[Average BF]]*Table11[[#This Row],[2024 '#Trees Inventory + Estimate]]</f>
        <v>0</v>
      </c>
      <c r="BP257" s="240">
        <f>(Table11[[#This Row],[Harvest Year
(10 year)]]-Table11[[#This Row],[Year of Inventory]]+1)*(Table11[[#This Row],[Average DBH
(inches)]]/(Table11[[#This Row],[Harvest Year
(10 year)]]-Table11[[#This Row],[Year of Inventory]]+1))+Table11[[#This Row],[Average DBH
(inches)]]</f>
        <v>0</v>
      </c>
      <c r="BQ257" s="235">
        <f>((Table11[[#This Row],[Projected DBH
(Extrapolated Growth/Year)]]-4)^2)*(Table11[[#This Row],[Average MHT
(Feet)]]/16)</f>
        <v>0</v>
      </c>
      <c r="BR257" s="235">
        <f>Table11[[#This Row],[Projected Average BF]]*Table11[[#This Row],[2024 '#Trees Inventory + Estimate]]</f>
        <v>0</v>
      </c>
      <c r="BS257" s="235">
        <f>196*Table11[[#This Row],[2024 '#Trees Inventory + Estimate]]</f>
        <v>116691.27272727274</v>
      </c>
      <c r="BT257" s="243">
        <f>Table11[[#This Row],[ETP Offering Expected BF]]-Table11[[#This Row],[Projected Total BF]]</f>
        <v>116691.27272727274</v>
      </c>
      <c r="BU257" s="235">
        <f>(18-Table11[[#This Row],[Average DBH
(inches)]])/(D257-Table11[[#This Row],[Year of Inventory]]+1)</f>
        <v>8.8626292466765146E-3</v>
      </c>
    </row>
    <row r="258" spans="1:73" hidden="1" x14ac:dyDescent="0.25">
      <c r="A258" s="7" t="s">
        <v>1493</v>
      </c>
      <c r="B258" s="2">
        <v>2020</v>
      </c>
      <c r="C258" s="2">
        <v>2021</v>
      </c>
      <c r="D258" s="2">
        <f>Table11[[#This Row],[Planting Year]]+9</f>
        <v>2030</v>
      </c>
      <c r="E258" s="97" t="s">
        <v>1494</v>
      </c>
      <c r="F258" s="161">
        <v>10106</v>
      </c>
      <c r="G258" t="s">
        <v>1495</v>
      </c>
      <c r="H258" s="357" t="s">
        <v>1496</v>
      </c>
      <c r="I258" t="s">
        <v>147</v>
      </c>
      <c r="J258" s="1" t="s">
        <v>1497</v>
      </c>
      <c r="K258" s="1" t="s">
        <v>1498</v>
      </c>
      <c r="L258" s="1" t="s">
        <v>1498</v>
      </c>
      <c r="M258" s="1" t="s">
        <v>150</v>
      </c>
      <c r="Q258" s="2"/>
      <c r="R258" s="86"/>
      <c r="S258" s="2"/>
      <c r="T258" s="1">
        <v>1650</v>
      </c>
      <c r="U258" s="1">
        <v>1650</v>
      </c>
      <c r="V258" s="1" t="str">
        <f>IF(Table11[[#This Row],['#TreesContract]]-Table11[[#This Row],['#Planted]]=0,"",Table11[[#This Row],['#TreesContract]]-Table11[[#This Row],['#Planted]])</f>
        <v/>
      </c>
      <c r="W258" s="2"/>
      <c r="X258" s="34">
        <v>1</v>
      </c>
      <c r="Y258" s="163">
        <f>Table11[[#This Row],['#TreesContract]]*Table11[[#This Row],[USA Allocation %]]</f>
        <v>1650</v>
      </c>
      <c r="Z258" s="163">
        <f>Table11[[#This Row],['#Planted]]*Table11[[#This Row],[USA Allocation %]]</f>
        <v>1650</v>
      </c>
      <c r="AA258" s="34"/>
      <c r="AB258" s="163"/>
      <c r="AC258" s="34"/>
      <c r="AD258" s="163"/>
      <c r="AE258" s="163">
        <f>Table11[[#This Row],[Canada Allocation-tree '#''s]]+Table11[[#This Row],[Can trees/Allocation 2017]]</f>
        <v>0</v>
      </c>
      <c r="AF258" s="5">
        <v>0</v>
      </c>
      <c r="AG258" s="35">
        <v>0</v>
      </c>
      <c r="AH258" s="35">
        <f>Table11[[#This Row],['#Trees as of 12/31/23]]*Table11[[#This Row],[USA Allocation %]]</f>
        <v>0</v>
      </c>
      <c r="AI258" s="404">
        <f>Table11[[#This Row],['#TreesContract]]*Table11[[#This Row],[2024 Inventory Survival%-master]]</f>
        <v>0</v>
      </c>
      <c r="AJ258" s="5"/>
      <c r="AK258" s="5">
        <v>0</v>
      </c>
      <c r="AL258" s="5">
        <v>0</v>
      </c>
      <c r="AM258" s="35">
        <f>AK258*Table11[[#This Row],['#TreesContract]]</f>
        <v>0</v>
      </c>
      <c r="AN258" s="35">
        <f>Table11[[#This Row],[2024 '#Trees Inventory + Estimate]]*Table11[[#This Row],[USA Allocation %]]</f>
        <v>0</v>
      </c>
      <c r="AO258" s="35">
        <f>Table11[[#This Row],[2024 '#Trees Inventory + Estimate]]*Table11[[#This Row],[Canada Allocation %]]</f>
        <v>0</v>
      </c>
      <c r="AP258" s="35">
        <f>Table11[[#This Row],[2024 '#Trees Inventory + Estimate]]*Table11[[#This Row],[Canada Allocation2017 %]]</f>
        <v>0</v>
      </c>
      <c r="AQ258" s="35">
        <f>Table11[[#This Row],['#Trees as of 2024/estimate-Can allocation]]+Table11[[#This Row],['#Trees as of 2024/estimate-Can allocation 2017]]</f>
        <v>0</v>
      </c>
      <c r="AR258" s="1" t="s">
        <v>152</v>
      </c>
      <c r="AS258" s="2" t="s">
        <v>1284</v>
      </c>
      <c r="AT258" s="6">
        <f>IFERROR(Table11[[#This Row],['#Total Replacements]]/Table11[[#This Row],['#TreesContract]],"")</f>
        <v>0</v>
      </c>
      <c r="AU258" s="4">
        <f>IF(SUM(Table11[[#This Row],['#Replace 24]:['#Replace 16]])=0,0,SUM(Table11[[#This Row],['#Replace 24]:['#Replace 16]]))</f>
        <v>0</v>
      </c>
      <c r="AV258" s="2"/>
      <c r="AW258" s="2"/>
      <c r="AX258" s="3"/>
      <c r="AY258" s="2"/>
      <c r="AZ258" s="2"/>
      <c r="BA258" s="2"/>
      <c r="BB258" s="2"/>
      <c r="BC258" s="2"/>
      <c r="BD258" s="2"/>
      <c r="BE258" s="2"/>
      <c r="BF258" s="3">
        <v>1</v>
      </c>
      <c r="BG258" s="3">
        <v>1</v>
      </c>
      <c r="BH258" s="2"/>
      <c r="BI258" s="158"/>
      <c r="BJ258" s="158"/>
      <c r="BK258" s="139">
        <f>Table11[[#This Row],[Average MHT
(Feet)]]/16</f>
        <v>0</v>
      </c>
      <c r="BL258" s="2"/>
      <c r="BM258" s="139">
        <f>Table11[[#This Row],[Average DBH
(inches)]]/18</f>
        <v>0</v>
      </c>
      <c r="BN258" s="235">
        <f>((Table11[[#This Row],[Average DBH
(inches)]]-4)^2)*(Table11[[#This Row],[Average MHT
(Feet)]]/16)</f>
        <v>0</v>
      </c>
      <c r="BO258" s="235">
        <f>Table11[[#This Row],[Average BF]]*Table11[[#This Row],[2024 '#Trees Inventory + Estimate]]</f>
        <v>0</v>
      </c>
      <c r="BP258" s="240">
        <f>(Table11[[#This Row],[Harvest Year
(10 year)]]-Table11[[#This Row],[Year of Inventory]]+1)*(Table11[[#This Row],[Average DBH
(inches)]]/(Table11[[#This Row],[Harvest Year
(10 year)]]-Table11[[#This Row],[Year of Inventory]]+1))+Table11[[#This Row],[Average DBH
(inches)]]</f>
        <v>0</v>
      </c>
      <c r="BQ258" s="235">
        <f>((Table11[[#This Row],[Projected DBH
(Extrapolated Growth/Year)]]-4)^2)*(Table11[[#This Row],[Average MHT
(Feet)]]/16)</f>
        <v>0</v>
      </c>
      <c r="BR258" s="235">
        <f>Table11[[#This Row],[Projected Average BF]]*Table11[[#This Row],[2024 '#Trees Inventory + Estimate]]</f>
        <v>0</v>
      </c>
      <c r="BS258" s="235">
        <f>196*Table11[[#This Row],[2024 '#Trees Inventory + Estimate]]</f>
        <v>0</v>
      </c>
      <c r="BT258" s="235">
        <f>Table11[[#This Row],[ETP Offering Expected BF]]-Table11[[#This Row],[Projected Total BF]]</f>
        <v>0</v>
      </c>
      <c r="BU258" s="235">
        <f>(18-Table11[[#This Row],[Average DBH
(inches)]])/(D258-Table11[[#This Row],[Year of Inventory]]+1)</f>
        <v>8.8626292466765146E-3</v>
      </c>
    </row>
    <row r="259" spans="1:73" hidden="1" x14ac:dyDescent="0.25">
      <c r="A259" s="7" t="s">
        <v>1499</v>
      </c>
      <c r="B259" s="2">
        <v>2020</v>
      </c>
      <c r="C259" s="2">
        <v>2021</v>
      </c>
      <c r="D259" s="2">
        <f>Table11[[#This Row],[Planting Year]]+9</f>
        <v>2030</v>
      </c>
      <c r="E259" s="97" t="s">
        <v>1500</v>
      </c>
      <c r="F259" s="161">
        <v>10107</v>
      </c>
      <c r="G259" t="s">
        <v>1500</v>
      </c>
      <c r="H259" s="357" t="s">
        <v>1501</v>
      </c>
      <c r="I259" t="s">
        <v>155</v>
      </c>
      <c r="J259" s="1" t="s">
        <v>1502</v>
      </c>
      <c r="K259" s="1" t="s">
        <v>1503</v>
      </c>
      <c r="L259" s="1" t="s">
        <v>1503</v>
      </c>
      <c r="M259" s="1" t="s">
        <v>150</v>
      </c>
      <c r="N259" t="s">
        <v>1504</v>
      </c>
      <c r="O259">
        <v>33.355809999999998</v>
      </c>
      <c r="P259">
        <v>-84.466823000000005</v>
      </c>
      <c r="Q259" s="2"/>
      <c r="R259" s="86"/>
      <c r="S259" s="2"/>
      <c r="T259" s="1">
        <v>1100</v>
      </c>
      <c r="U259" s="1">
        <v>1100</v>
      </c>
      <c r="V259" s="1" t="str">
        <f>IF(Table11[[#This Row],['#TreesContract]]-Table11[[#This Row],['#Planted]]=0,"",Table11[[#This Row],['#TreesContract]]-Table11[[#This Row],['#Planted]])</f>
        <v/>
      </c>
      <c r="W259" s="2"/>
      <c r="X259" s="34">
        <v>1</v>
      </c>
      <c r="Y259" s="163">
        <f>Table11[[#This Row],['#TreesContract]]*Table11[[#This Row],[USA Allocation %]]</f>
        <v>1100</v>
      </c>
      <c r="Z259" s="163">
        <f>Table11[[#This Row],['#Planted]]*Table11[[#This Row],[USA Allocation %]]</f>
        <v>1100</v>
      </c>
      <c r="AA259" s="34"/>
      <c r="AB259" s="163"/>
      <c r="AC259" s="34"/>
      <c r="AD259" s="163"/>
      <c r="AE259" s="163">
        <f>Table11[[#This Row],[Canada Allocation-tree '#''s]]+Table11[[#This Row],[Can trees/Allocation 2017]]</f>
        <v>0</v>
      </c>
      <c r="AF259" s="5">
        <v>0.96896969696969704</v>
      </c>
      <c r="AG259" s="35">
        <v>1065.8666666666668</v>
      </c>
      <c r="AH259" s="35">
        <f>Table11[[#This Row],['#Trees as of 12/31/23]]*Table11[[#This Row],[USA Allocation %]]</f>
        <v>1065.8666666666668</v>
      </c>
      <c r="AI259" s="437">
        <f>Table11[[#This Row],['#TreesContract]]*Table11[[#This Row],[2024 Inventory Survival%-master]]</f>
        <v>0</v>
      </c>
      <c r="AJ259" s="436"/>
      <c r="AK259" s="5">
        <v>0.96896969696969704</v>
      </c>
      <c r="AL259" s="5">
        <v>0.96896969696969704</v>
      </c>
      <c r="AM259" s="35">
        <v>1065.8666666666668</v>
      </c>
      <c r="AN259" s="35">
        <f>Table11[[#This Row],[2024 '#Trees Inventory + Estimate]]*Table11[[#This Row],[USA Allocation %]]</f>
        <v>1065.8666666666668</v>
      </c>
      <c r="AO259" s="35">
        <f>Table11[[#This Row],[2024 '#Trees Inventory + Estimate]]*Table11[[#This Row],[Canada Allocation %]]</f>
        <v>0</v>
      </c>
      <c r="AP259" s="35">
        <f>Table11[[#This Row],[2024 '#Trees Inventory + Estimate]]*Table11[[#This Row],[Canada Allocation2017 %]]</f>
        <v>0</v>
      </c>
      <c r="AQ259" s="35">
        <f>Table11[[#This Row],['#Trees as of 2024/estimate-Can allocation]]+Table11[[#This Row],['#Trees as of 2024/estimate-Can allocation 2017]]</f>
        <v>0</v>
      </c>
      <c r="AR259" s="1" t="s">
        <v>152</v>
      </c>
      <c r="AS259" s="2" t="s">
        <v>1298</v>
      </c>
      <c r="AT259" s="6">
        <f>IFERROR(Table11[[#This Row],['#Total Replacements]]/Table11[[#This Row],['#TreesContract]],"")</f>
        <v>5.7272727272727274E-2</v>
      </c>
      <c r="AU259" s="4">
        <f>IF(SUM(Table11[[#This Row],['#Replace 24]:['#Replace 16]])=0,0,SUM(Table11[[#This Row],['#Replace 24]:['#Replace 16]]))</f>
        <v>63</v>
      </c>
      <c r="AV259" s="2"/>
      <c r="AW259" s="2"/>
      <c r="AX259" s="3"/>
      <c r="AY259" s="2">
        <v>63</v>
      </c>
      <c r="AZ259" s="2"/>
      <c r="BA259" s="2"/>
      <c r="BB259" s="2"/>
      <c r="BC259" s="2"/>
      <c r="BD259" s="2"/>
      <c r="BE259" s="2"/>
      <c r="BF259" s="3">
        <v>1</v>
      </c>
      <c r="BG259" s="3">
        <v>1</v>
      </c>
      <c r="BH259" s="2"/>
      <c r="BI259" s="2"/>
      <c r="BJ259" s="2"/>
      <c r="BK259" s="139">
        <f>Table11[[#This Row],[Average MHT
(Feet)]]/16</f>
        <v>0</v>
      </c>
      <c r="BL259" s="2"/>
      <c r="BM259" s="139">
        <f>Table11[[#This Row],[Average DBH
(inches)]]/18</f>
        <v>0</v>
      </c>
      <c r="BN259" s="235">
        <f>((Table11[[#This Row],[Average DBH
(inches)]]-4)^2)*(Table11[[#This Row],[Average MHT
(Feet)]]/16)</f>
        <v>0</v>
      </c>
      <c r="BO259" s="235">
        <f>Table11[[#This Row],[Average BF]]*Table11[[#This Row],[2024 '#Trees Inventory + Estimate]]</f>
        <v>0</v>
      </c>
      <c r="BP259" s="240">
        <f>(Table11[[#This Row],[Harvest Year
(10 year)]]-Table11[[#This Row],[Year of Inventory]]+1)*(Table11[[#This Row],[Average DBH
(inches)]]/(Table11[[#This Row],[Harvest Year
(10 year)]]-Table11[[#This Row],[Year of Inventory]]+1))+Table11[[#This Row],[Average DBH
(inches)]]</f>
        <v>0</v>
      </c>
      <c r="BQ259" s="235">
        <f>((Table11[[#This Row],[Projected DBH
(Extrapolated Growth/Year)]]-4)^2)*(Table11[[#This Row],[Average MHT
(Feet)]]/16)</f>
        <v>0</v>
      </c>
      <c r="BR259" s="235">
        <f>Table11[[#This Row],[Projected Average BF]]*Table11[[#This Row],[2024 '#Trees Inventory + Estimate]]</f>
        <v>0</v>
      </c>
      <c r="BS259" s="235">
        <f>196*Table11[[#This Row],[2024 '#Trees Inventory + Estimate]]</f>
        <v>208909.8666666667</v>
      </c>
      <c r="BT259" s="243">
        <f>Table11[[#This Row],[ETP Offering Expected BF]]-Table11[[#This Row],[Projected Total BF]]</f>
        <v>208909.8666666667</v>
      </c>
      <c r="BU259" s="235">
        <f>(18-Table11[[#This Row],[Average DBH
(inches)]])/(D259-Table11[[#This Row],[Year of Inventory]]+1)</f>
        <v>8.8626292466765146E-3</v>
      </c>
    </row>
    <row r="260" spans="1:73" hidden="1" x14ac:dyDescent="0.25">
      <c r="A260" s="7" t="s">
        <v>1505</v>
      </c>
      <c r="B260" s="2">
        <v>2021</v>
      </c>
      <c r="C260" s="2">
        <v>2021</v>
      </c>
      <c r="D260" s="2">
        <f>Table11[[#This Row],[Planting Year]]+9</f>
        <v>2030</v>
      </c>
      <c r="E260" s="97" t="s">
        <v>1506</v>
      </c>
      <c r="F260" s="161">
        <v>10108</v>
      </c>
      <c r="G260" t="s">
        <v>1506</v>
      </c>
      <c r="H260" s="357" t="s">
        <v>1507</v>
      </c>
      <c r="I260" t="s">
        <v>155</v>
      </c>
      <c r="J260" s="1" t="s">
        <v>1508</v>
      </c>
      <c r="K260" s="1" t="s">
        <v>1509</v>
      </c>
      <c r="L260" s="1" t="s">
        <v>1509</v>
      </c>
      <c r="M260" s="1" t="s">
        <v>150</v>
      </c>
      <c r="N260" t="s">
        <v>1510</v>
      </c>
      <c r="O260">
        <v>33.902222000000002</v>
      </c>
      <c r="P260">
        <v>-85.603611000000001</v>
      </c>
      <c r="Q260" s="2"/>
      <c r="R260" s="86"/>
      <c r="S260" s="2"/>
      <c r="T260" s="1">
        <v>660</v>
      </c>
      <c r="U260" s="1">
        <v>660</v>
      </c>
      <c r="V260" s="1" t="str">
        <f>IF(Table11[[#This Row],['#TreesContract]]-Table11[[#This Row],['#Planted]]=0,"",Table11[[#This Row],['#TreesContract]]-Table11[[#This Row],['#Planted]])</f>
        <v/>
      </c>
      <c r="W260" s="2"/>
      <c r="X260" s="34">
        <v>1</v>
      </c>
      <c r="Y260" s="163">
        <f>Table11[[#This Row],['#TreesContract]]*Table11[[#This Row],[USA Allocation %]]</f>
        <v>660</v>
      </c>
      <c r="Z260" s="163">
        <f>Table11[[#This Row],['#Planted]]*Table11[[#This Row],[USA Allocation %]]</f>
        <v>660</v>
      </c>
      <c r="AA260" s="34"/>
      <c r="AB260" s="163"/>
      <c r="AC260" s="34"/>
      <c r="AD260" s="163"/>
      <c r="AE260" s="163">
        <f>Table11[[#This Row],[Canada Allocation-tree '#''s]]+Table11[[#This Row],[Can trees/Allocation 2017]]</f>
        <v>0</v>
      </c>
      <c r="AF260" s="5">
        <v>0.94881118881118898</v>
      </c>
      <c r="AG260" s="35">
        <v>521.84615384615392</v>
      </c>
      <c r="AH260" s="35">
        <f>Table11[[#This Row],['#Trees as of 12/31/23]]*Table11[[#This Row],[USA Allocation %]]</f>
        <v>521.84615384615392</v>
      </c>
      <c r="AI260" s="437">
        <f>Table11[[#This Row],['#TreesContract]]*Table11[[#This Row],[2024 Inventory Survival%-master]]</f>
        <v>0</v>
      </c>
      <c r="AJ260" s="436"/>
      <c r="AK260" s="5">
        <v>0.94881118881118898</v>
      </c>
      <c r="AL260" s="5">
        <v>0.94881118881118898</v>
      </c>
      <c r="AM260" s="35">
        <v>622</v>
      </c>
      <c r="AN260" s="35">
        <f>Table11[[#This Row],[2024 '#Trees Inventory + Estimate]]*Table11[[#This Row],[USA Allocation %]]</f>
        <v>622</v>
      </c>
      <c r="AO260" s="35">
        <f>Table11[[#This Row],[2024 '#Trees Inventory + Estimate]]*Table11[[#This Row],[Canada Allocation %]]</f>
        <v>0</v>
      </c>
      <c r="AP260" s="35">
        <f>Table11[[#This Row],[2024 '#Trees Inventory + Estimate]]*Table11[[#This Row],[Canada Allocation2017 %]]</f>
        <v>0</v>
      </c>
      <c r="AQ260" s="35">
        <f>Table11[[#This Row],['#Trees as of 2024/estimate-Can allocation]]+Table11[[#This Row],['#Trees as of 2024/estimate-Can allocation 2017]]</f>
        <v>0</v>
      </c>
      <c r="AR260" s="1" t="s">
        <v>152</v>
      </c>
      <c r="AS260" s="2" t="s">
        <v>1484</v>
      </c>
      <c r="AT260" s="6">
        <f>IFERROR(Table11[[#This Row],['#Total Replacements]]/Table11[[#This Row],['#TreesContract]],"")</f>
        <v>8.4848484848484854E-2</v>
      </c>
      <c r="AU260" s="4">
        <f>IF(SUM(Table11[[#This Row],['#Replace 24]:['#Replace 16]])=0,0,SUM(Table11[[#This Row],['#Replace 24]:['#Replace 16]]))</f>
        <v>56</v>
      </c>
      <c r="AV260" s="2"/>
      <c r="AW260" s="2"/>
      <c r="AX260" s="3"/>
      <c r="AY260" s="2">
        <v>16</v>
      </c>
      <c r="AZ260" s="2">
        <v>40</v>
      </c>
      <c r="BA260" s="2"/>
      <c r="BB260" s="2"/>
      <c r="BC260" s="2"/>
      <c r="BD260" s="2"/>
      <c r="BE260" s="2"/>
      <c r="BF260" s="3">
        <v>1</v>
      </c>
      <c r="BG260" s="3">
        <v>1</v>
      </c>
      <c r="BH260" s="2"/>
      <c r="BI260" s="158"/>
      <c r="BJ260" s="158"/>
      <c r="BK260" s="139">
        <f>Table11[[#This Row],[Average MHT
(Feet)]]/16</f>
        <v>0</v>
      </c>
      <c r="BL260" s="2"/>
      <c r="BM260" s="139">
        <f>Table11[[#This Row],[Average DBH
(inches)]]/18</f>
        <v>0</v>
      </c>
      <c r="BN260" s="235">
        <f>((Table11[[#This Row],[Average DBH
(inches)]]-4)^2)*(Table11[[#This Row],[Average MHT
(Feet)]]/16)</f>
        <v>0</v>
      </c>
      <c r="BO260" s="235">
        <f>Table11[[#This Row],[Average BF]]*Table11[[#This Row],[2024 '#Trees Inventory + Estimate]]</f>
        <v>0</v>
      </c>
      <c r="BP260" s="240">
        <f>(Table11[[#This Row],[Harvest Year
(10 year)]]-Table11[[#This Row],[Year of Inventory]]+1)*(Table11[[#This Row],[Average DBH
(inches)]]/(Table11[[#This Row],[Harvest Year
(10 year)]]-Table11[[#This Row],[Year of Inventory]]+1))+Table11[[#This Row],[Average DBH
(inches)]]</f>
        <v>0</v>
      </c>
      <c r="BQ260" s="235">
        <f>((Table11[[#This Row],[Projected DBH
(Extrapolated Growth/Year)]]-4)^2)*(Table11[[#This Row],[Average MHT
(Feet)]]/16)</f>
        <v>0</v>
      </c>
      <c r="BR260" s="235">
        <f>Table11[[#This Row],[Projected Average BF]]*Table11[[#This Row],[2024 '#Trees Inventory + Estimate]]</f>
        <v>0</v>
      </c>
      <c r="BS260" s="235">
        <f>196*Table11[[#This Row],[2024 '#Trees Inventory + Estimate]]</f>
        <v>121912</v>
      </c>
      <c r="BT260" s="243">
        <f>Table11[[#This Row],[ETP Offering Expected BF]]-Table11[[#This Row],[Projected Total BF]]</f>
        <v>121912</v>
      </c>
      <c r="BU260" s="235">
        <f>(18-Table11[[#This Row],[Average DBH
(inches)]])/(D260-Table11[[#This Row],[Year of Inventory]]+1)</f>
        <v>8.8626292466765146E-3</v>
      </c>
    </row>
    <row r="261" spans="1:73" x14ac:dyDescent="0.25">
      <c r="A261" s="7" t="s">
        <v>1511</v>
      </c>
      <c r="B261" s="2">
        <v>2021</v>
      </c>
      <c r="C261" s="2">
        <v>2021</v>
      </c>
      <c r="D261" s="2">
        <v>0</v>
      </c>
      <c r="E261" t="s">
        <v>902</v>
      </c>
      <c r="F261" s="161">
        <v>20037</v>
      </c>
      <c r="G261" t="s">
        <v>902</v>
      </c>
      <c r="H261" s="357" t="s">
        <v>903</v>
      </c>
      <c r="I261" t="s">
        <v>160</v>
      </c>
      <c r="J261" s="1" t="s">
        <v>904</v>
      </c>
      <c r="K261" s="1" t="s">
        <v>905</v>
      </c>
      <c r="L261" s="1" t="s">
        <v>906</v>
      </c>
      <c r="M261" s="1" t="s">
        <v>213</v>
      </c>
      <c r="N261" t="s">
        <v>907</v>
      </c>
      <c r="O261">
        <v>10.250052999999999</v>
      </c>
      <c r="P261">
        <v>-84.877632000000006</v>
      </c>
      <c r="Q261" s="2"/>
      <c r="R261" s="86"/>
      <c r="S261" s="2"/>
      <c r="T261" s="1">
        <v>1800</v>
      </c>
      <c r="U261" s="1">
        <v>1800</v>
      </c>
      <c r="V261" s="1" t="str">
        <f>IF(Table11[[#This Row],['#TreesContract]]-Table11[[#This Row],['#Planted]]=0,"",Table11[[#This Row],['#TreesContract]]-Table11[[#This Row],['#Planted]])</f>
        <v/>
      </c>
      <c r="W261" s="2"/>
      <c r="X261" s="34">
        <v>1</v>
      </c>
      <c r="Y261" s="163">
        <f>Table11[[#This Row],['#TreesContract]]*Table11[[#This Row],[USA Allocation %]]</f>
        <v>1800</v>
      </c>
      <c r="Z261" s="163">
        <f>Table11[[#This Row],['#Planted]]*Table11[[#This Row],[USA Allocation %]]</f>
        <v>1800</v>
      </c>
      <c r="AA261" s="34"/>
      <c r="AB261" s="163"/>
      <c r="AC261" s="34"/>
      <c r="AD261" s="163"/>
      <c r="AE261" s="163">
        <f>Table11[[#This Row],[Canada Allocation-tree '#''s]]+Table11[[#This Row],[Can trees/Allocation 2017]]</f>
        <v>0</v>
      </c>
      <c r="AF261" s="5">
        <v>0</v>
      </c>
      <c r="AG261" s="35">
        <v>0</v>
      </c>
      <c r="AH261" s="35">
        <f>Table11[[#This Row],['#Trees as of 12/31/23]]*Table11[[#This Row],[USA Allocation %]]</f>
        <v>0</v>
      </c>
      <c r="AI261" s="404">
        <f>Table11[[#This Row],['#TreesContract]]*Table11[[#This Row],[2024 Inventory Survival%-master]]</f>
        <v>0</v>
      </c>
      <c r="AJ261" s="5">
        <v>0</v>
      </c>
      <c r="AK261" s="5">
        <v>0</v>
      </c>
      <c r="AL261" s="5">
        <v>0</v>
      </c>
      <c r="AM261" s="35">
        <v>0</v>
      </c>
      <c r="AN261" s="35">
        <f>Table11[[#This Row],[2024 '#Trees Inventory + Estimate]]*Table11[[#This Row],[USA Allocation %]]</f>
        <v>0</v>
      </c>
      <c r="AO261" s="35">
        <f>Table11[[#This Row],[2024 '#Trees Inventory + Estimate]]*Table11[[#This Row],[Canada Allocation %]]</f>
        <v>0</v>
      </c>
      <c r="AP261" s="35">
        <f>Table11[[#This Row],[2024 '#Trees Inventory + Estimate]]*Table11[[#This Row],[Canada Allocation2017 %]]</f>
        <v>0</v>
      </c>
      <c r="AQ261" s="35">
        <f>Table11[[#This Row],['#Trees as of 2024/estimate-Can allocation]]+Table11[[#This Row],['#Trees as of 2024/estimate-Can allocation 2017]]</f>
        <v>0</v>
      </c>
      <c r="AR261" s="1" t="s">
        <v>531</v>
      </c>
      <c r="AS261" s="2"/>
      <c r="AT261" s="6">
        <f>IFERROR(Table11[[#This Row],['#Total Replacements]]/Table11[[#This Row],['#TreesContract]],"")</f>
        <v>0</v>
      </c>
      <c r="AU261" s="4">
        <f>IF(SUM(Table11[[#This Row],['#Replace 24]:['#Replace 16]])=0,0,SUM(Table11[[#This Row],['#Replace 24]:['#Replace 16]]))</f>
        <v>0</v>
      </c>
      <c r="AV261" s="2"/>
      <c r="AW261" s="2"/>
      <c r="AX261" s="3"/>
      <c r="AY261" s="2"/>
      <c r="AZ261" s="2"/>
      <c r="BA261" s="2"/>
      <c r="BB261" s="2"/>
      <c r="BC261" s="2"/>
      <c r="BD261" s="2"/>
      <c r="BE261" s="2"/>
      <c r="BF261" s="3">
        <v>1</v>
      </c>
      <c r="BG261" s="3">
        <v>1</v>
      </c>
      <c r="BH261" s="2"/>
      <c r="BI261" s="2"/>
      <c r="BJ261" s="2"/>
      <c r="BK261" s="139">
        <f>Table11[[#This Row],[Average MHT
(Feet)]]/16</f>
        <v>0</v>
      </c>
      <c r="BL261" s="2"/>
      <c r="BM261" s="139">
        <f>Table11[[#This Row],[Average DBH
(inches)]]/18</f>
        <v>0</v>
      </c>
      <c r="BN261" s="235">
        <f>((Table11[[#This Row],[Average DBH
(inches)]]-4)^2)*(Table11[[#This Row],[Average MHT
(Feet)]]/16)</f>
        <v>0</v>
      </c>
      <c r="BO261" s="235">
        <f>Table11[[#This Row],[Average BF]]*Table11[[#This Row],[2024 '#Trees Inventory + Estimate]]</f>
        <v>0</v>
      </c>
      <c r="BP261" s="240">
        <f>(Table11[[#This Row],[Harvest Year
(10 year)]]-Table11[[#This Row],[Year of Inventory]]+1)*(Table11[[#This Row],[Average DBH
(inches)]]/(Table11[[#This Row],[Harvest Year
(10 year)]]-Table11[[#This Row],[Year of Inventory]]+1))+Table11[[#This Row],[Average DBH
(inches)]]</f>
        <v>0</v>
      </c>
      <c r="BQ261" s="235">
        <f>((Table11[[#This Row],[Projected DBH
(Extrapolated Growth/Year)]]-4)^2)*(Table11[[#This Row],[Average MHT
(Feet)]]/16)</f>
        <v>0</v>
      </c>
      <c r="BR261" s="235">
        <f>Table11[[#This Row],[Projected Average BF]]*Table11[[#This Row],[2024 '#Trees Inventory + Estimate]]</f>
        <v>0</v>
      </c>
      <c r="BS261" s="235">
        <f>196*Table11[[#This Row],[2024 '#Trees Inventory + Estimate]]</f>
        <v>0</v>
      </c>
      <c r="BT261" s="235">
        <f>Table11[[#This Row],[ETP Offering Expected BF]]-Table11[[#This Row],[Projected Total BF]]</f>
        <v>0</v>
      </c>
      <c r="BU261" s="235">
        <f>(18-Table11[[#This Row],[Average DBH
(inches)]])/(D261-Table11[[#This Row],[Year of Inventory]]+1)</f>
        <v>18</v>
      </c>
    </row>
    <row r="262" spans="1:73" x14ac:dyDescent="0.25">
      <c r="A262" s="7" t="s">
        <v>1512</v>
      </c>
      <c r="B262" s="2">
        <v>2021</v>
      </c>
      <c r="C262" s="2">
        <v>2021</v>
      </c>
      <c r="D262" s="2">
        <f>Table11[[#This Row],[Planting Year]]+9</f>
        <v>2030</v>
      </c>
      <c r="E262" t="s">
        <v>1513</v>
      </c>
      <c r="F262" s="161">
        <v>20065</v>
      </c>
      <c r="G262" t="s">
        <v>1513</v>
      </c>
      <c r="H262" s="357" t="s">
        <v>1514</v>
      </c>
      <c r="I262" t="s">
        <v>147</v>
      </c>
      <c r="J262" s="1" t="s">
        <v>904</v>
      </c>
      <c r="K262" s="1" t="s">
        <v>1515</v>
      </c>
      <c r="L262" s="1" t="s">
        <v>1516</v>
      </c>
      <c r="M262" s="1" t="s">
        <v>213</v>
      </c>
      <c r="N262" t="s">
        <v>1517</v>
      </c>
      <c r="O262">
        <v>10.357669</v>
      </c>
      <c r="P262">
        <v>-84.928809999999999</v>
      </c>
      <c r="Q262" s="2"/>
      <c r="R262" s="86"/>
      <c r="S262" s="2"/>
      <c r="T262" s="1">
        <v>1000</v>
      </c>
      <c r="U262" s="1">
        <v>1000</v>
      </c>
      <c r="V262" s="1" t="str">
        <f>IF(Table11[[#This Row],['#TreesContract]]-Table11[[#This Row],['#Planted]]=0,"",Table11[[#This Row],['#TreesContract]]-Table11[[#This Row],['#Planted]])</f>
        <v/>
      </c>
      <c r="W262" s="2"/>
      <c r="X262" s="34">
        <v>1</v>
      </c>
      <c r="Y262" s="163">
        <f>Table11[[#This Row],['#TreesContract]]*Table11[[#This Row],[USA Allocation %]]</f>
        <v>1000</v>
      </c>
      <c r="Z262" s="163">
        <f>Table11[[#This Row],['#Planted]]*Table11[[#This Row],[USA Allocation %]]</f>
        <v>1000</v>
      </c>
      <c r="AA262" s="34"/>
      <c r="AB262" s="163"/>
      <c r="AC262" s="34"/>
      <c r="AD262" s="163"/>
      <c r="AE262" s="163">
        <f>Table11[[#This Row],[Canada Allocation-tree '#''s]]+Table11[[#This Row],[Can trees/Allocation 2017]]</f>
        <v>0</v>
      </c>
      <c r="AF262" s="5">
        <v>1</v>
      </c>
      <c r="AG262" s="35">
        <v>1000</v>
      </c>
      <c r="AH262" s="35">
        <f>Table11[[#This Row],['#Trees as of 12/31/23]]*Table11[[#This Row],[USA Allocation %]]</f>
        <v>1000</v>
      </c>
      <c r="AI262" s="404">
        <f>Table11[[#This Row],['#TreesContract]]*Table11[[#This Row],[2024 Inventory Survival%-master]]</f>
        <v>0</v>
      </c>
      <c r="AJ262" s="5"/>
      <c r="AK262" s="5">
        <v>1</v>
      </c>
      <c r="AL262" s="5">
        <v>0</v>
      </c>
      <c r="AM262" s="35">
        <f>AK262*Table11[[#This Row],['#TreesContract]]</f>
        <v>1000</v>
      </c>
      <c r="AN262" s="35">
        <f>Table11[[#This Row],[2024 '#Trees Inventory + Estimate]]*Table11[[#This Row],[USA Allocation %]]</f>
        <v>1000</v>
      </c>
      <c r="AO262" s="35">
        <f>Table11[[#This Row],[2024 '#Trees Inventory + Estimate]]*Table11[[#This Row],[Canada Allocation %]]</f>
        <v>0</v>
      </c>
      <c r="AP262" s="35">
        <f>Table11[[#This Row],[2024 '#Trees Inventory + Estimate]]*Table11[[#This Row],[Canada Allocation2017 %]]</f>
        <v>0</v>
      </c>
      <c r="AQ262" s="35">
        <f>Table11[[#This Row],['#Trees as of 2024/estimate-Can allocation]]+Table11[[#This Row],['#Trees as of 2024/estimate-Can allocation 2017]]</f>
        <v>0</v>
      </c>
      <c r="AR262" s="1" t="s">
        <v>531</v>
      </c>
      <c r="AS262" s="2"/>
      <c r="AT262" s="6">
        <f>IFERROR(Table11[[#This Row],['#Total Replacements]]/Table11[[#This Row],['#TreesContract]],"")</f>
        <v>0.24</v>
      </c>
      <c r="AU262" s="4">
        <f>IF(SUM(Table11[[#This Row],['#Replace 24]:['#Replace 16]])=0,0,SUM(Table11[[#This Row],['#Replace 24]:['#Replace 16]]))</f>
        <v>240</v>
      </c>
      <c r="AV262" s="2"/>
      <c r="AW262" s="2"/>
      <c r="AX262" s="3"/>
      <c r="AY262" s="2">
        <v>240</v>
      </c>
      <c r="AZ262" s="2"/>
      <c r="BA262" s="2"/>
      <c r="BB262" s="2"/>
      <c r="BC262" s="2"/>
      <c r="BD262" s="2"/>
      <c r="BE262" s="2"/>
      <c r="BF262" s="3">
        <v>1</v>
      </c>
      <c r="BG262" s="3">
        <v>1</v>
      </c>
      <c r="BH262" s="2"/>
      <c r="BI262" s="158"/>
      <c r="BJ262" s="158"/>
      <c r="BK262" s="139">
        <f>Table11[[#This Row],[Average MHT
(Feet)]]/16</f>
        <v>0</v>
      </c>
      <c r="BL262" s="2"/>
      <c r="BM262" s="139">
        <f>Table11[[#This Row],[Average DBH
(inches)]]/18</f>
        <v>0</v>
      </c>
      <c r="BN262" s="235">
        <f>((Table11[[#This Row],[Average DBH
(inches)]]-4)^2)*(Table11[[#This Row],[Average MHT
(Feet)]]/16)</f>
        <v>0</v>
      </c>
      <c r="BO262" s="235">
        <f>Table11[[#This Row],[Average BF]]*Table11[[#This Row],[2024 '#Trees Inventory + Estimate]]</f>
        <v>0</v>
      </c>
      <c r="BP262" s="240">
        <f>(Table11[[#This Row],[Harvest Year
(10 year)]]-Table11[[#This Row],[Year of Inventory]]+1)*(Table11[[#This Row],[Average DBH
(inches)]]/(Table11[[#This Row],[Harvest Year
(10 year)]]-Table11[[#This Row],[Year of Inventory]]+1))+Table11[[#This Row],[Average DBH
(inches)]]</f>
        <v>0</v>
      </c>
      <c r="BQ262" s="235">
        <f>((Table11[[#This Row],[Projected DBH
(Extrapolated Growth/Year)]]-4)^2)*(Table11[[#This Row],[Average MHT
(Feet)]]/16)</f>
        <v>0</v>
      </c>
      <c r="BR262" s="235">
        <f>Table11[[#This Row],[Projected Average BF]]*Table11[[#This Row],[2024 '#Trees Inventory + Estimate]]</f>
        <v>0</v>
      </c>
      <c r="BS262" s="235">
        <f>196*Table11[[#This Row],[2024 '#Trees Inventory + Estimate]]</f>
        <v>196000</v>
      </c>
      <c r="BT262" s="235">
        <f>Table11[[#This Row],[ETP Offering Expected BF]]-Table11[[#This Row],[Projected Total BF]]</f>
        <v>196000</v>
      </c>
      <c r="BU262" s="235">
        <f>(18-Table11[[#This Row],[Average DBH
(inches)]])/(D262-Table11[[#This Row],[Year of Inventory]]+1)</f>
        <v>8.8626292466765146E-3</v>
      </c>
    </row>
    <row r="263" spans="1:73" x14ac:dyDescent="0.25">
      <c r="A263" s="7" t="s">
        <v>1518</v>
      </c>
      <c r="B263" s="2">
        <v>2021</v>
      </c>
      <c r="C263" s="2">
        <v>2021</v>
      </c>
      <c r="D263" s="2">
        <f>Table11[[#This Row],[Planting Year]]+9</f>
        <v>2030</v>
      </c>
      <c r="E263" t="s">
        <v>1519</v>
      </c>
      <c r="F263" s="161">
        <v>20066</v>
      </c>
      <c r="G263" t="s">
        <v>1520</v>
      </c>
      <c r="H263" s="357" t="s">
        <v>1521</v>
      </c>
      <c r="I263" t="s">
        <v>147</v>
      </c>
      <c r="J263" s="1" t="s">
        <v>1522</v>
      </c>
      <c r="K263" s="1" t="s">
        <v>1523</v>
      </c>
      <c r="L263" s="1" t="s">
        <v>1524</v>
      </c>
      <c r="M263" s="1" t="s">
        <v>213</v>
      </c>
      <c r="N263" t="s">
        <v>1524</v>
      </c>
      <c r="O263">
        <v>9.9070884884966794</v>
      </c>
      <c r="P263">
        <v>-84.533832542328199</v>
      </c>
      <c r="Q263" s="2"/>
      <c r="R263" s="86"/>
      <c r="S263" s="2"/>
      <c r="T263" s="1">
        <v>650</v>
      </c>
      <c r="U263" s="1">
        <v>650</v>
      </c>
      <c r="V263" s="1" t="str">
        <f>IF(Table11[[#This Row],['#TreesContract]]-Table11[[#This Row],['#Planted]]=0,"",Table11[[#This Row],['#TreesContract]]-Table11[[#This Row],['#Planted]])</f>
        <v/>
      </c>
      <c r="W263" s="2"/>
      <c r="X263" s="34">
        <v>1</v>
      </c>
      <c r="Y263" s="163">
        <f>Table11[[#This Row],['#TreesContract]]*Table11[[#This Row],[USA Allocation %]]</f>
        <v>650</v>
      </c>
      <c r="Z263" s="163">
        <f>Table11[[#This Row],['#Planted]]*Table11[[#This Row],[USA Allocation %]]</f>
        <v>650</v>
      </c>
      <c r="AA263" s="34"/>
      <c r="AB263" s="163"/>
      <c r="AC263" s="34"/>
      <c r="AD263" s="163"/>
      <c r="AE263" s="163">
        <f>Table11[[#This Row],[Canada Allocation-tree '#''s]]+Table11[[#This Row],[Can trees/Allocation 2017]]</f>
        <v>0</v>
      </c>
      <c r="AF263" s="5">
        <v>1</v>
      </c>
      <c r="AG263" s="35">
        <v>650</v>
      </c>
      <c r="AH263" s="35">
        <f>Table11[[#This Row],['#Trees as of 12/31/23]]*Table11[[#This Row],[USA Allocation %]]</f>
        <v>650</v>
      </c>
      <c r="AI263" s="404">
        <f>Table11[[#This Row],['#TreesContract]]*Table11[[#This Row],[2024 Inventory Survival%-master]]</f>
        <v>0</v>
      </c>
      <c r="AJ263" s="5"/>
      <c r="AK263" s="5">
        <v>1</v>
      </c>
      <c r="AL263" s="5">
        <v>0</v>
      </c>
      <c r="AM263" s="35">
        <f>AK263*Table11[[#This Row],['#TreesContract]]</f>
        <v>650</v>
      </c>
      <c r="AN263" s="35">
        <f>Table11[[#This Row],[2024 '#Trees Inventory + Estimate]]*Table11[[#This Row],[USA Allocation %]]</f>
        <v>650</v>
      </c>
      <c r="AO263" s="35">
        <f>Table11[[#This Row],[2024 '#Trees Inventory + Estimate]]*Table11[[#This Row],[Canada Allocation %]]</f>
        <v>0</v>
      </c>
      <c r="AP263" s="35">
        <f>Table11[[#This Row],[2024 '#Trees Inventory + Estimate]]*Table11[[#This Row],[Canada Allocation2017 %]]</f>
        <v>0</v>
      </c>
      <c r="AQ263" s="35">
        <f>Table11[[#This Row],['#Trees as of 2024/estimate-Can allocation]]+Table11[[#This Row],['#Trees as of 2024/estimate-Can allocation 2017]]</f>
        <v>0</v>
      </c>
      <c r="AR263" s="1" t="s">
        <v>531</v>
      </c>
      <c r="AS263" s="2"/>
      <c r="AT263" s="6">
        <f>IFERROR(Table11[[#This Row],['#Total Replacements]]/Table11[[#This Row],['#TreesContract]],"")</f>
        <v>1</v>
      </c>
      <c r="AU263" s="4">
        <f>IF(SUM(Table11[[#This Row],['#Replace 24]:['#Replace 16]])=0,0,SUM(Table11[[#This Row],['#Replace 24]:['#Replace 16]]))</f>
        <v>650</v>
      </c>
      <c r="AV263" s="2"/>
      <c r="AW263" s="2"/>
      <c r="AX263" s="3"/>
      <c r="AY263" s="2">
        <v>650</v>
      </c>
      <c r="AZ263" s="2"/>
      <c r="BA263" s="2"/>
      <c r="BB263" s="2"/>
      <c r="BC263" s="2"/>
      <c r="BD263" s="2"/>
      <c r="BE263" s="2"/>
      <c r="BF263" s="3">
        <v>1</v>
      </c>
      <c r="BG263" s="3">
        <v>1</v>
      </c>
      <c r="BH263" s="2"/>
      <c r="BI263" s="158"/>
      <c r="BJ263" s="158"/>
      <c r="BK263" s="139">
        <f>Table11[[#This Row],[Average MHT
(Feet)]]/16</f>
        <v>0</v>
      </c>
      <c r="BL263" s="2"/>
      <c r="BM263" s="139">
        <f>Table11[[#This Row],[Average DBH
(inches)]]/18</f>
        <v>0</v>
      </c>
      <c r="BN263" s="235">
        <f>((Table11[[#This Row],[Average DBH
(inches)]]-4)^2)*(Table11[[#This Row],[Average MHT
(Feet)]]/16)</f>
        <v>0</v>
      </c>
      <c r="BO263" s="235">
        <f>Table11[[#This Row],[Average BF]]*Table11[[#This Row],[2024 '#Trees Inventory + Estimate]]</f>
        <v>0</v>
      </c>
      <c r="BP263" s="240">
        <f>(Table11[[#This Row],[Harvest Year
(10 year)]]-Table11[[#This Row],[Year of Inventory]]+1)*(Table11[[#This Row],[Average DBH
(inches)]]/(Table11[[#This Row],[Harvest Year
(10 year)]]-Table11[[#This Row],[Year of Inventory]]+1))+Table11[[#This Row],[Average DBH
(inches)]]</f>
        <v>0</v>
      </c>
      <c r="BQ263" s="235">
        <f>((Table11[[#This Row],[Projected DBH
(Extrapolated Growth/Year)]]-4)^2)*(Table11[[#This Row],[Average MHT
(Feet)]]/16)</f>
        <v>0</v>
      </c>
      <c r="BR263" s="235">
        <f>Table11[[#This Row],[Projected Average BF]]*Table11[[#This Row],[2024 '#Trees Inventory + Estimate]]</f>
        <v>0</v>
      </c>
      <c r="BS263" s="235">
        <f>196*Table11[[#This Row],[2024 '#Trees Inventory + Estimate]]</f>
        <v>127400</v>
      </c>
      <c r="BT263" s="235">
        <f>Table11[[#This Row],[ETP Offering Expected BF]]-Table11[[#This Row],[Projected Total BF]]</f>
        <v>127400</v>
      </c>
      <c r="BU263" s="235">
        <f>(18-Table11[[#This Row],[Average DBH
(inches)]])/(D263-Table11[[#This Row],[Year of Inventory]]+1)</f>
        <v>8.8626292466765146E-3</v>
      </c>
    </row>
    <row r="264" spans="1:73" x14ac:dyDescent="0.25">
      <c r="A264" s="7" t="s">
        <v>1525</v>
      </c>
      <c r="B264" s="2">
        <v>2021</v>
      </c>
      <c r="C264" s="2">
        <v>2021</v>
      </c>
      <c r="D264" s="2">
        <f>Table11[[#This Row],[Planting Year]]+9</f>
        <v>2030</v>
      </c>
      <c r="E264" t="s">
        <v>1526</v>
      </c>
      <c r="F264" s="161">
        <v>20067</v>
      </c>
      <c r="G264" t="s">
        <v>1526</v>
      </c>
      <c r="H264" s="357" t="s">
        <v>1527</v>
      </c>
      <c r="I264" t="s">
        <v>155</v>
      </c>
      <c r="J264" s="1" t="s">
        <v>1528</v>
      </c>
      <c r="K264" s="1" t="s">
        <v>1529</v>
      </c>
      <c r="L264" s="1" t="s">
        <v>1530</v>
      </c>
      <c r="M264" s="1" t="s">
        <v>213</v>
      </c>
      <c r="N264" t="s">
        <v>1531</v>
      </c>
      <c r="O264">
        <v>10.798889000000001</v>
      </c>
      <c r="P264">
        <v>-84.644999999999996</v>
      </c>
      <c r="Q264" s="2"/>
      <c r="R264" s="86"/>
      <c r="S264" s="2"/>
      <c r="T264" s="1">
        <v>1000</v>
      </c>
      <c r="U264" s="1">
        <v>1000</v>
      </c>
      <c r="V264" s="1" t="str">
        <f>IF(Table11[[#This Row],['#TreesContract]]-Table11[[#This Row],['#Planted]]=0,"",Table11[[#This Row],['#TreesContract]]-Table11[[#This Row],['#Planted]])</f>
        <v/>
      </c>
      <c r="W264" s="2"/>
      <c r="X264" s="34">
        <v>1</v>
      </c>
      <c r="Y264" s="163">
        <f>Table11[[#This Row],['#TreesContract]]*Table11[[#This Row],[USA Allocation %]]</f>
        <v>1000</v>
      </c>
      <c r="Z264" s="163">
        <f>Table11[[#This Row],['#Planted]]*Table11[[#This Row],[USA Allocation %]]</f>
        <v>1000</v>
      </c>
      <c r="AA264" s="34"/>
      <c r="AB264" s="163"/>
      <c r="AC264" s="34"/>
      <c r="AD264" s="163"/>
      <c r="AE264" s="163">
        <f>Table11[[#This Row],[Canada Allocation-tree '#''s]]+Table11[[#This Row],[Can trees/Allocation 2017]]</f>
        <v>0</v>
      </c>
      <c r="AF264" s="5">
        <v>1</v>
      </c>
      <c r="AG264" s="35">
        <v>1000</v>
      </c>
      <c r="AH264" s="35">
        <f>Table11[[#This Row],['#Trees as of 12/31/23]]*Table11[[#This Row],[USA Allocation %]]</f>
        <v>1000</v>
      </c>
      <c r="AI264" s="437">
        <f>Table11[[#This Row],['#TreesContract]]*Table11[[#This Row],[2024 Inventory Survival%-master]]</f>
        <v>978</v>
      </c>
      <c r="AJ264" s="436">
        <v>0.97799999999999998</v>
      </c>
      <c r="AK264" s="5">
        <v>0.98</v>
      </c>
      <c r="AL264" s="5">
        <v>0.98</v>
      </c>
      <c r="AM264" s="35">
        <v>978</v>
      </c>
      <c r="AN264" s="35">
        <f>Table11[[#This Row],[2024 '#Trees Inventory + Estimate]]*Table11[[#This Row],[USA Allocation %]]</f>
        <v>978</v>
      </c>
      <c r="AO264" s="35">
        <f>Table11[[#This Row],[2024 '#Trees Inventory + Estimate]]*Table11[[#This Row],[Canada Allocation %]]</f>
        <v>0</v>
      </c>
      <c r="AP264" s="35">
        <f>Table11[[#This Row],[2024 '#Trees Inventory + Estimate]]*Table11[[#This Row],[Canada Allocation2017 %]]</f>
        <v>0</v>
      </c>
      <c r="AQ264" s="35">
        <f>Table11[[#This Row],['#Trees as of 2024/estimate-Can allocation]]+Table11[[#This Row],['#Trees as of 2024/estimate-Can allocation 2017]]</f>
        <v>0</v>
      </c>
      <c r="AR264" s="1" t="s">
        <v>531</v>
      </c>
      <c r="AS264" s="2"/>
      <c r="AT264" s="6">
        <f>IFERROR(Table11[[#This Row],['#Total Replacements]]/Table11[[#This Row],['#TreesContract]],"")</f>
        <v>0</v>
      </c>
      <c r="AU264" s="4">
        <f>IF(SUM(Table11[[#This Row],['#Replace 24]:['#Replace 16]])=0,0,SUM(Table11[[#This Row],['#Replace 24]:['#Replace 16]]))</f>
        <v>0</v>
      </c>
      <c r="AV264" s="2"/>
      <c r="AW264" s="2"/>
      <c r="AX264" s="3"/>
      <c r="AY264" s="2"/>
      <c r="AZ264" s="2"/>
      <c r="BA264" s="2"/>
      <c r="BB264" s="2"/>
      <c r="BC264" s="2"/>
      <c r="BD264" s="2"/>
      <c r="BE264" s="2"/>
      <c r="BF264" s="3">
        <v>1</v>
      </c>
      <c r="BG264" s="3">
        <v>1</v>
      </c>
      <c r="BH264" s="2">
        <v>2024</v>
      </c>
      <c r="BI264" s="2">
        <v>25.42</v>
      </c>
      <c r="BJ264" s="2">
        <v>20.84</v>
      </c>
      <c r="BK264" s="139">
        <f>Table11[[#This Row],[Average MHT
(Feet)]]/16</f>
        <v>1.3025</v>
      </c>
      <c r="BL264" s="2">
        <v>5.46</v>
      </c>
      <c r="BM264" s="139">
        <f>Table11[[#This Row],[Average DBH
(inches)]]/18</f>
        <v>0.30333333333333334</v>
      </c>
      <c r="BN264" s="235">
        <f>((Table11[[#This Row],[Average DBH
(inches)]]-4)^2)*(Table11[[#This Row],[Average MHT
(Feet)]]/16)</f>
        <v>2.7764089999999997</v>
      </c>
      <c r="BO264" s="235">
        <f>Table11[[#This Row],[Average BF]]*Table11[[#This Row],[2024 '#Trees Inventory + Estimate]]</f>
        <v>2715.3280019999997</v>
      </c>
      <c r="BP264" s="240">
        <f>(Table11[[#This Row],[Harvest Year
(10 year)]]-Table11[[#This Row],[Year of Inventory]]+1)*(Table11[[#This Row],[Average DBH
(inches)]]/(Table11[[#This Row],[Harvest Year
(10 year)]]-Table11[[#This Row],[Year of Inventory]]+1))+Table11[[#This Row],[Average DBH
(inches)]]</f>
        <v>10.92</v>
      </c>
      <c r="BQ264" s="235">
        <f>((Table11[[#This Row],[Projected DBH
(Extrapolated Growth/Year)]]-4)^2)*(Table11[[#This Row],[Average MHT
(Feet)]]/16)</f>
        <v>62.372036000000001</v>
      </c>
      <c r="BR264" s="235">
        <f>Table11[[#This Row],[Projected Average BF]]*Table11[[#This Row],[2024 '#Trees Inventory + Estimate]]</f>
        <v>60999.851208</v>
      </c>
      <c r="BS264" s="235">
        <f>196*Table11[[#This Row],[2024 '#Trees Inventory + Estimate]]</f>
        <v>191688</v>
      </c>
      <c r="BT264" s="243">
        <f>Table11[[#This Row],[ETP Offering Expected BF]]-Table11[[#This Row],[Projected Total BF]]</f>
        <v>130688.14879199999</v>
      </c>
      <c r="BU264" s="235">
        <f>(18-Table11[[#This Row],[Average DBH
(inches)]])/(D264-Table11[[#This Row],[Year of Inventory]]+1)</f>
        <v>1.7914285714285714</v>
      </c>
    </row>
    <row r="265" spans="1:73" x14ac:dyDescent="0.25">
      <c r="A265" s="7" t="s">
        <v>1532</v>
      </c>
      <c r="B265" s="2">
        <v>2021</v>
      </c>
      <c r="C265" s="2">
        <v>2021</v>
      </c>
      <c r="D265" s="2">
        <f>Table11[[#This Row],[Planting Year]]+9</f>
        <v>2030</v>
      </c>
      <c r="E265" t="s">
        <v>1533</v>
      </c>
      <c r="F265" s="161">
        <v>20068</v>
      </c>
      <c r="G265" t="s">
        <v>1534</v>
      </c>
      <c r="H265" s="357" t="s">
        <v>1535</v>
      </c>
      <c r="I265" t="s">
        <v>155</v>
      </c>
      <c r="J265" s="1" t="s">
        <v>1536</v>
      </c>
      <c r="K265" s="1" t="s">
        <v>1537</v>
      </c>
      <c r="L265" s="1" t="s">
        <v>1538</v>
      </c>
      <c r="M265" s="1" t="s">
        <v>213</v>
      </c>
      <c r="N265" t="s">
        <v>1539</v>
      </c>
      <c r="O265">
        <v>10.717385</v>
      </c>
      <c r="P265">
        <v>-84.684208999999996</v>
      </c>
      <c r="Q265" s="2"/>
      <c r="R265" s="86"/>
      <c r="S265" s="2"/>
      <c r="T265" s="1">
        <v>1730</v>
      </c>
      <c r="U265" s="1">
        <v>1730</v>
      </c>
      <c r="V265" s="1" t="str">
        <f>IF(Table11[[#This Row],['#TreesContract]]-Table11[[#This Row],['#Planted]]=0,"",Table11[[#This Row],['#TreesContract]]-Table11[[#This Row],['#Planted]])</f>
        <v/>
      </c>
      <c r="W265" s="2"/>
      <c r="X265" s="34">
        <v>1</v>
      </c>
      <c r="Y265" s="163">
        <f>Table11[[#This Row],['#TreesContract]]*Table11[[#This Row],[USA Allocation %]]</f>
        <v>1730</v>
      </c>
      <c r="Z265" s="163">
        <f>Table11[[#This Row],['#Planted]]*Table11[[#This Row],[USA Allocation %]]</f>
        <v>1730</v>
      </c>
      <c r="AA265" s="34"/>
      <c r="AB265" s="163"/>
      <c r="AC265" s="34"/>
      <c r="AD265" s="163"/>
      <c r="AE265" s="163">
        <f>Table11[[#This Row],[Canada Allocation-tree '#''s]]+Table11[[#This Row],[Can trees/Allocation 2017]]</f>
        <v>0</v>
      </c>
      <c r="AF265" s="5">
        <v>0.97687861271676302</v>
      </c>
      <c r="AG265" s="35">
        <v>1690</v>
      </c>
      <c r="AH265" s="35">
        <f>Table11[[#This Row],['#Trees as of 12/31/23]]*Table11[[#This Row],[USA Allocation %]]</f>
        <v>1690</v>
      </c>
      <c r="AI265" s="437">
        <f>Table11[[#This Row],['#TreesContract]]*Table11[[#This Row],[2024 Inventory Survival%-master]]</f>
        <v>1520.67</v>
      </c>
      <c r="AJ265" s="436">
        <v>0.879</v>
      </c>
      <c r="AK265" s="5">
        <v>0.88</v>
      </c>
      <c r="AL265" s="5">
        <v>0.88</v>
      </c>
      <c r="AM265" s="35">
        <v>1521</v>
      </c>
      <c r="AN265" s="35">
        <f>Table11[[#This Row],[2024 '#Trees Inventory + Estimate]]*Table11[[#This Row],[USA Allocation %]]</f>
        <v>1521</v>
      </c>
      <c r="AO265" s="35">
        <f>Table11[[#This Row],[2024 '#Trees Inventory + Estimate]]*Table11[[#This Row],[Canada Allocation %]]</f>
        <v>0</v>
      </c>
      <c r="AP265" s="35">
        <f>Table11[[#This Row],[2024 '#Trees Inventory + Estimate]]*Table11[[#This Row],[Canada Allocation2017 %]]</f>
        <v>0</v>
      </c>
      <c r="AQ265" s="35">
        <f>Table11[[#This Row],['#Trees as of 2024/estimate-Can allocation]]+Table11[[#This Row],['#Trees as of 2024/estimate-Can allocation 2017]]</f>
        <v>0</v>
      </c>
      <c r="AR265" s="1" t="s">
        <v>531</v>
      </c>
      <c r="AS265" s="2"/>
      <c r="AT265" s="6">
        <f>IFERROR(Table11[[#This Row],['#Total Replacements]]/Table11[[#This Row],['#TreesContract]],"")</f>
        <v>8.6705202312138727E-2</v>
      </c>
      <c r="AU265" s="4">
        <f>IF(SUM(Table11[[#This Row],['#Replace 24]:['#Replace 16]])=0,0,SUM(Table11[[#This Row],['#Replace 24]:['#Replace 16]]))</f>
        <v>150</v>
      </c>
      <c r="AV265" s="2"/>
      <c r="AW265" s="2"/>
      <c r="AX265" s="3"/>
      <c r="AY265" s="2">
        <v>150</v>
      </c>
      <c r="AZ265" s="2"/>
      <c r="BA265" s="2"/>
      <c r="BB265" s="2"/>
      <c r="BC265" s="2"/>
      <c r="BD265" s="2"/>
      <c r="BE265" s="2"/>
      <c r="BF265" s="3">
        <v>1</v>
      </c>
      <c r="BG265" s="3">
        <v>1</v>
      </c>
      <c r="BH265" s="2">
        <v>2024</v>
      </c>
      <c r="BI265" s="2">
        <v>20.239999999999998</v>
      </c>
      <c r="BJ265" s="158">
        <v>16.809999999999999</v>
      </c>
      <c r="BK265" s="139">
        <f>Table11[[#This Row],[Average MHT
(Feet)]]/16</f>
        <v>1.0506249999999999</v>
      </c>
      <c r="BL265" s="2">
        <v>3.6</v>
      </c>
      <c r="BM265" s="139">
        <f>Table11[[#This Row],[Average DBH
(inches)]]/18</f>
        <v>0.2</v>
      </c>
      <c r="BN265" s="235">
        <f>((Table11[[#This Row],[Average DBH
(inches)]]-4)^2)*(Table11[[#This Row],[Average MHT
(Feet)]]/16)</f>
        <v>0.16809999999999992</v>
      </c>
      <c r="BO265" s="235">
        <f>Table11[[#This Row],[Average BF]]*Table11[[#This Row],[2024 '#Trees Inventory + Estimate]]</f>
        <v>255.68009999999987</v>
      </c>
      <c r="BP265" s="240">
        <f>(Table11[[#This Row],[Harvest Year
(10 year)]]-Table11[[#This Row],[Year of Inventory]]+1)*(Table11[[#This Row],[Average DBH
(inches)]]/(Table11[[#This Row],[Harvest Year
(10 year)]]-Table11[[#This Row],[Year of Inventory]]+1))+Table11[[#This Row],[Average DBH
(inches)]]</f>
        <v>7.2000000000000011</v>
      </c>
      <c r="BQ265" s="235">
        <f>((Table11[[#This Row],[Projected DBH
(Extrapolated Growth/Year)]]-4)^2)*(Table11[[#This Row],[Average MHT
(Feet)]]/16)</f>
        <v>10.758400000000007</v>
      </c>
      <c r="BR265" s="235">
        <f>Table11[[#This Row],[Projected Average BF]]*Table11[[#This Row],[2024 '#Trees Inventory + Estimate]]</f>
        <v>16363.526400000012</v>
      </c>
      <c r="BS265" s="235">
        <f>196*Table11[[#This Row],[2024 '#Trees Inventory + Estimate]]</f>
        <v>298116</v>
      </c>
      <c r="BT265" s="243">
        <f>Table11[[#This Row],[ETP Offering Expected BF]]-Table11[[#This Row],[Projected Total BF]]</f>
        <v>281752.47359999997</v>
      </c>
      <c r="BU265" s="235">
        <f>(18-Table11[[#This Row],[Average DBH
(inches)]])/(D265-Table11[[#This Row],[Year of Inventory]]+1)</f>
        <v>2.0571428571428574</v>
      </c>
    </row>
    <row r="266" spans="1:73" x14ac:dyDescent="0.25">
      <c r="A266" s="7" t="s">
        <v>1540</v>
      </c>
      <c r="B266" s="2">
        <v>2021</v>
      </c>
      <c r="C266" s="2">
        <v>2021</v>
      </c>
      <c r="D266" s="2">
        <f>Table11[[#This Row],[Planting Year]]+9</f>
        <v>2030</v>
      </c>
      <c r="E266" t="s">
        <v>1541</v>
      </c>
      <c r="F266" s="161">
        <v>20069</v>
      </c>
      <c r="G266" t="s">
        <v>1541</v>
      </c>
      <c r="H266" s="357">
        <v>50672971864</v>
      </c>
      <c r="I266" t="s">
        <v>155</v>
      </c>
      <c r="J266" s="1" t="s">
        <v>1542</v>
      </c>
      <c r="K266" s="1" t="s">
        <v>1543</v>
      </c>
      <c r="L266" s="1" t="s">
        <v>1544</v>
      </c>
      <c r="M266" s="1" t="s">
        <v>213</v>
      </c>
      <c r="N266" t="s">
        <v>1544</v>
      </c>
      <c r="O266">
        <v>10.819478999999999</v>
      </c>
      <c r="P266">
        <v>-85.239037999999994</v>
      </c>
      <c r="Q266" s="2"/>
      <c r="R266" s="86"/>
      <c r="S266" s="2"/>
      <c r="T266" s="1">
        <v>1000</v>
      </c>
      <c r="U266" s="1">
        <v>1000</v>
      </c>
      <c r="V266" s="1" t="str">
        <f>IF(Table11[[#This Row],['#TreesContract]]-Table11[[#This Row],['#Planted]]=0,"",Table11[[#This Row],['#TreesContract]]-Table11[[#This Row],['#Planted]])</f>
        <v/>
      </c>
      <c r="W266" s="2"/>
      <c r="X266" s="34">
        <v>1</v>
      </c>
      <c r="Y266" s="163">
        <f>Table11[[#This Row],['#TreesContract]]*Table11[[#This Row],[USA Allocation %]]</f>
        <v>1000</v>
      </c>
      <c r="Z266" s="163">
        <f>Table11[[#This Row],['#Planted]]*Table11[[#This Row],[USA Allocation %]]</f>
        <v>1000</v>
      </c>
      <c r="AA266" s="34"/>
      <c r="AB266" s="163"/>
      <c r="AC266" s="34"/>
      <c r="AD266" s="163"/>
      <c r="AE266" s="163">
        <f>Table11[[#This Row],[Canada Allocation-tree '#''s]]+Table11[[#This Row],[Can trees/Allocation 2017]]</f>
        <v>0</v>
      </c>
      <c r="AF266" s="5">
        <v>0.79738117283950627</v>
      </c>
      <c r="AG266" s="35">
        <v>797.38117283950623</v>
      </c>
      <c r="AH266" s="35">
        <f>Table11[[#This Row],['#Trees as of 12/31/23]]*Table11[[#This Row],[USA Allocation %]]</f>
        <v>797.38117283950623</v>
      </c>
      <c r="AI266" s="437">
        <f>Table11[[#This Row],['#TreesContract]]*Table11[[#This Row],[2024 Inventory Survival%-master]]</f>
        <v>0</v>
      </c>
      <c r="AJ266" s="436"/>
      <c r="AK266" s="5">
        <v>0.79738117283950627</v>
      </c>
      <c r="AL266" s="5">
        <v>0.79738117283950627</v>
      </c>
      <c r="AM266" s="35">
        <v>797.38117283950623</v>
      </c>
      <c r="AN266" s="35">
        <f>Table11[[#This Row],[2024 '#Trees Inventory + Estimate]]*Table11[[#This Row],[USA Allocation %]]</f>
        <v>797.38117283950623</v>
      </c>
      <c r="AO266" s="35">
        <f>Table11[[#This Row],[2024 '#Trees Inventory + Estimate]]*Table11[[#This Row],[Canada Allocation %]]</f>
        <v>0</v>
      </c>
      <c r="AP266" s="35">
        <f>Table11[[#This Row],[2024 '#Trees Inventory + Estimate]]*Table11[[#This Row],[Canada Allocation2017 %]]</f>
        <v>0</v>
      </c>
      <c r="AQ266" s="35">
        <f>Table11[[#This Row],['#Trees as of 2024/estimate-Can allocation]]+Table11[[#This Row],['#Trees as of 2024/estimate-Can allocation 2017]]</f>
        <v>0</v>
      </c>
      <c r="AR266" s="1" t="s">
        <v>531</v>
      </c>
      <c r="AS266" s="2"/>
      <c r="AT266" s="6">
        <f>IFERROR(Table11[[#This Row],['#Total Replacements]]/Table11[[#This Row],['#TreesContract]],"")</f>
        <v>0.21199999999999999</v>
      </c>
      <c r="AU266" s="4">
        <f>IF(SUM(Table11[[#This Row],['#Replace 24]:['#Replace 16]])=0,0,SUM(Table11[[#This Row],['#Replace 24]:['#Replace 16]]))</f>
        <v>212</v>
      </c>
      <c r="AV266" s="2"/>
      <c r="AW266" s="2"/>
      <c r="AX266" s="3"/>
      <c r="AY266" s="2">
        <v>212</v>
      </c>
      <c r="AZ266" s="2"/>
      <c r="BA266" s="2"/>
      <c r="BB266" s="2"/>
      <c r="BC266" s="2"/>
      <c r="BD266" s="2"/>
      <c r="BE266" s="2"/>
      <c r="BF266" s="3">
        <v>1</v>
      </c>
      <c r="BG266" s="3">
        <v>1</v>
      </c>
      <c r="BH266" s="2"/>
      <c r="BI266" s="2"/>
      <c r="BJ266" s="2"/>
      <c r="BK266" s="139">
        <f>Table11[[#This Row],[Average MHT
(Feet)]]/16</f>
        <v>0</v>
      </c>
      <c r="BL266" s="2"/>
      <c r="BM266" s="139">
        <f>Table11[[#This Row],[Average DBH
(inches)]]/18</f>
        <v>0</v>
      </c>
      <c r="BN266" s="235">
        <f>((Table11[[#This Row],[Average DBH
(inches)]]-4)^2)*(Table11[[#This Row],[Average MHT
(Feet)]]/16)</f>
        <v>0</v>
      </c>
      <c r="BO266" s="235">
        <f>Table11[[#This Row],[Average BF]]*Table11[[#This Row],[2024 '#Trees Inventory + Estimate]]</f>
        <v>0</v>
      </c>
      <c r="BP266" s="240">
        <f>(Table11[[#This Row],[Harvest Year
(10 year)]]-Table11[[#This Row],[Year of Inventory]]+1)*(Table11[[#This Row],[Average DBH
(inches)]]/(Table11[[#This Row],[Harvest Year
(10 year)]]-Table11[[#This Row],[Year of Inventory]]+1))+Table11[[#This Row],[Average DBH
(inches)]]</f>
        <v>0</v>
      </c>
      <c r="BQ266" s="235">
        <f>((Table11[[#This Row],[Projected DBH
(Extrapolated Growth/Year)]]-4)^2)*(Table11[[#This Row],[Average MHT
(Feet)]]/16)</f>
        <v>0</v>
      </c>
      <c r="BR266" s="235">
        <f>Table11[[#This Row],[Projected Average BF]]*Table11[[#This Row],[2024 '#Trees Inventory + Estimate]]</f>
        <v>0</v>
      </c>
      <c r="BS266" s="235">
        <f>196*Table11[[#This Row],[2024 '#Trees Inventory + Estimate]]</f>
        <v>156286.70987654323</v>
      </c>
      <c r="BT266" s="243">
        <f>Table11[[#This Row],[ETP Offering Expected BF]]-Table11[[#This Row],[Projected Total BF]]</f>
        <v>156286.70987654323</v>
      </c>
      <c r="BU266" s="235">
        <f>(18-Table11[[#This Row],[Average DBH
(inches)]])/(D266-Table11[[#This Row],[Year of Inventory]]+1)</f>
        <v>8.8626292466765146E-3</v>
      </c>
    </row>
    <row r="267" spans="1:73" x14ac:dyDescent="0.25">
      <c r="A267" s="7" t="s">
        <v>1545</v>
      </c>
      <c r="B267" s="2">
        <v>2021</v>
      </c>
      <c r="C267" s="2">
        <v>2021</v>
      </c>
      <c r="D267" s="2">
        <f>Table11[[#This Row],[Planting Year]]+9</f>
        <v>2030</v>
      </c>
      <c r="E267" t="s">
        <v>1546</v>
      </c>
      <c r="F267" s="161">
        <v>20070</v>
      </c>
      <c r="G267" t="s">
        <v>1546</v>
      </c>
      <c r="H267" s="357" t="s">
        <v>1547</v>
      </c>
      <c r="I267" t="s">
        <v>155</v>
      </c>
      <c r="J267" s="1" t="s">
        <v>1548</v>
      </c>
      <c r="K267" s="1" t="s">
        <v>1549</v>
      </c>
      <c r="L267" s="1" t="s">
        <v>1550</v>
      </c>
      <c r="M267" s="1" t="s">
        <v>213</v>
      </c>
      <c r="N267" t="s">
        <v>1551</v>
      </c>
      <c r="O267">
        <v>10.025055</v>
      </c>
      <c r="P267">
        <v>-84.395241999999996</v>
      </c>
      <c r="Q267" s="2"/>
      <c r="R267" s="86"/>
      <c r="S267" s="2"/>
      <c r="T267" s="1">
        <v>1000</v>
      </c>
      <c r="U267" s="1">
        <v>1000</v>
      </c>
      <c r="V267" s="1" t="str">
        <f>IF(Table11[[#This Row],['#TreesContract]]-Table11[[#This Row],['#Planted]]=0,"",Table11[[#This Row],['#TreesContract]]-Table11[[#This Row],['#Planted]])</f>
        <v/>
      </c>
      <c r="W267" s="2"/>
      <c r="X267" s="34">
        <v>1</v>
      </c>
      <c r="Y267" s="163">
        <f>Table11[[#This Row],['#TreesContract]]*Table11[[#This Row],[USA Allocation %]]</f>
        <v>1000</v>
      </c>
      <c r="Z267" s="163">
        <f>Table11[[#This Row],['#Planted]]*Table11[[#This Row],[USA Allocation %]]</f>
        <v>1000</v>
      </c>
      <c r="AA267" s="34"/>
      <c r="AB267" s="163"/>
      <c r="AC267" s="34"/>
      <c r="AD267" s="163"/>
      <c r="AE267" s="163">
        <f>Table11[[#This Row],[Canada Allocation-tree '#''s]]+Table11[[#This Row],[Can trees/Allocation 2017]]</f>
        <v>0</v>
      </c>
      <c r="AF267" s="5">
        <v>0.99199999999999999</v>
      </c>
      <c r="AG267" s="35">
        <v>992</v>
      </c>
      <c r="AH267" s="35">
        <f>Table11[[#This Row],['#Trees as of 12/31/23]]*Table11[[#This Row],[USA Allocation %]]</f>
        <v>992</v>
      </c>
      <c r="AI267" s="437">
        <f>Table11[[#This Row],['#TreesContract]]*Table11[[#This Row],[2024 Inventory Survival%-master]]</f>
        <v>950</v>
      </c>
      <c r="AJ267" s="436">
        <v>0.95</v>
      </c>
      <c r="AK267" s="5">
        <v>0.95</v>
      </c>
      <c r="AL267" s="5">
        <v>0.95</v>
      </c>
      <c r="AM267" s="35">
        <v>950</v>
      </c>
      <c r="AN267" s="35">
        <f>Table11[[#This Row],[2024 '#Trees Inventory + Estimate]]*Table11[[#This Row],[USA Allocation %]]</f>
        <v>950</v>
      </c>
      <c r="AO267" s="35">
        <f>Table11[[#This Row],[2024 '#Trees Inventory + Estimate]]*Table11[[#This Row],[Canada Allocation %]]</f>
        <v>0</v>
      </c>
      <c r="AP267" s="35">
        <f>Table11[[#This Row],[2024 '#Trees Inventory + Estimate]]*Table11[[#This Row],[Canada Allocation2017 %]]</f>
        <v>0</v>
      </c>
      <c r="AQ267" s="35">
        <f>Table11[[#This Row],['#Trees as of 2024/estimate-Can allocation]]+Table11[[#This Row],['#Trees as of 2024/estimate-Can allocation 2017]]</f>
        <v>0</v>
      </c>
      <c r="AR267" s="1" t="s">
        <v>531</v>
      </c>
      <c r="AS267" s="2"/>
      <c r="AT267" s="6">
        <f>IFERROR(Table11[[#This Row],['#Total Replacements]]/Table11[[#This Row],['#TreesContract]],"")</f>
        <v>6.2E-2</v>
      </c>
      <c r="AU267" s="4">
        <f>IF(SUM(Table11[[#This Row],['#Replace 24]:['#Replace 16]])=0,0,SUM(Table11[[#This Row],['#Replace 24]:['#Replace 16]]))</f>
        <v>62</v>
      </c>
      <c r="AV267" s="2"/>
      <c r="AW267" s="2"/>
      <c r="AX267" s="3"/>
      <c r="AY267" s="2">
        <v>62</v>
      </c>
      <c r="AZ267" s="2"/>
      <c r="BA267" s="2"/>
      <c r="BB267" s="2"/>
      <c r="BC267" s="2"/>
      <c r="BD267" s="2"/>
      <c r="BE267" s="2"/>
      <c r="BF267" s="3">
        <v>1</v>
      </c>
      <c r="BG267" s="3">
        <v>1</v>
      </c>
      <c r="BH267" s="2">
        <v>2024</v>
      </c>
      <c r="BI267" s="2">
        <v>19.47</v>
      </c>
      <c r="BJ267" s="158">
        <v>14.1</v>
      </c>
      <c r="BK267" s="139">
        <f>Table11[[#This Row],[Average MHT
(Feet)]]/16</f>
        <v>0.88124999999999998</v>
      </c>
      <c r="BL267" s="2">
        <v>4.07</v>
      </c>
      <c r="BM267" s="139">
        <f>Table11[[#This Row],[Average DBH
(inches)]]/18</f>
        <v>0.22611111111111112</v>
      </c>
      <c r="BN267" s="235">
        <f>((Table11[[#This Row],[Average DBH
(inches)]]-4)^2)*(Table11[[#This Row],[Average MHT
(Feet)]]/16)</f>
        <v>4.3181250000000346E-3</v>
      </c>
      <c r="BO267" s="235">
        <f>Table11[[#This Row],[Average BF]]*Table11[[#This Row],[2024 '#Trees Inventory + Estimate]]</f>
        <v>4.1022187500000324</v>
      </c>
      <c r="BP267" s="240">
        <f>(Table11[[#This Row],[Harvest Year
(10 year)]]-Table11[[#This Row],[Year of Inventory]]+1)*(Table11[[#This Row],[Average DBH
(inches)]]/(Table11[[#This Row],[Harvest Year
(10 year)]]-Table11[[#This Row],[Year of Inventory]]+1))+Table11[[#This Row],[Average DBH
(inches)]]</f>
        <v>8.14</v>
      </c>
      <c r="BQ267" s="235">
        <f>((Table11[[#This Row],[Projected DBH
(Extrapolated Growth/Year)]]-4)^2)*(Table11[[#This Row],[Average MHT
(Feet)]]/16)</f>
        <v>15.104272500000004</v>
      </c>
      <c r="BR267" s="235">
        <f>Table11[[#This Row],[Projected Average BF]]*Table11[[#This Row],[2024 '#Trees Inventory + Estimate]]</f>
        <v>14349.058875000004</v>
      </c>
      <c r="BS267" s="235">
        <f>196*Table11[[#This Row],[2024 '#Trees Inventory + Estimate]]</f>
        <v>186200</v>
      </c>
      <c r="BT267" s="243">
        <f>Table11[[#This Row],[ETP Offering Expected BF]]-Table11[[#This Row],[Projected Total BF]]</f>
        <v>171850.94112499998</v>
      </c>
      <c r="BU267" s="235">
        <f>(18-Table11[[#This Row],[Average DBH
(inches)]])/(D267-Table11[[#This Row],[Year of Inventory]]+1)</f>
        <v>1.99</v>
      </c>
    </row>
    <row r="268" spans="1:73" x14ac:dyDescent="0.25">
      <c r="A268" s="7" t="s">
        <v>1552</v>
      </c>
      <c r="B268" s="2">
        <v>2021</v>
      </c>
      <c r="C268" s="2">
        <v>2021</v>
      </c>
      <c r="D268" s="2">
        <f>Table11[[#This Row],[Planting Year]]+9</f>
        <v>2030</v>
      </c>
      <c r="E268" t="s">
        <v>1553</v>
      </c>
      <c r="F268" s="161">
        <v>20071</v>
      </c>
      <c r="G268" t="s">
        <v>1553</v>
      </c>
      <c r="H268" s="357">
        <v>50660822879</v>
      </c>
      <c r="I268" t="s">
        <v>155</v>
      </c>
      <c r="J268" s="1" t="s">
        <v>1554</v>
      </c>
      <c r="K268" s="1" t="s">
        <v>1555</v>
      </c>
      <c r="L268" s="1" t="s">
        <v>1556</v>
      </c>
      <c r="M268" s="1" t="s">
        <v>213</v>
      </c>
      <c r="N268" t="s">
        <v>1557</v>
      </c>
      <c r="O268">
        <v>9.9572880000000001</v>
      </c>
      <c r="P268">
        <v>-84.191905000000006</v>
      </c>
      <c r="Q268" s="2"/>
      <c r="R268" s="86"/>
      <c r="S268" s="2"/>
      <c r="T268" s="1">
        <v>2875</v>
      </c>
      <c r="U268" s="1">
        <v>2875</v>
      </c>
      <c r="V268" s="1" t="str">
        <f>IF(Table11[[#This Row],['#TreesContract]]-Table11[[#This Row],['#Planted]]=0,"",Table11[[#This Row],['#TreesContract]]-Table11[[#This Row],['#Planted]])</f>
        <v/>
      </c>
      <c r="W268" s="2"/>
      <c r="X268" s="34">
        <v>1</v>
      </c>
      <c r="Y268" s="163">
        <f>Table11[[#This Row],['#TreesContract]]*Table11[[#This Row],[USA Allocation %]]</f>
        <v>2875</v>
      </c>
      <c r="Z268" s="163">
        <f>Table11[[#This Row],['#Planted]]*Table11[[#This Row],[USA Allocation %]]</f>
        <v>2875</v>
      </c>
      <c r="AA268" s="34"/>
      <c r="AB268" s="163"/>
      <c r="AC268" s="34"/>
      <c r="AD268" s="163"/>
      <c r="AE268" s="163">
        <f>Table11[[#This Row],[Canada Allocation-tree '#''s]]+Table11[[#This Row],[Can trees/Allocation 2017]]</f>
        <v>0</v>
      </c>
      <c r="AF268" s="5">
        <v>1</v>
      </c>
      <c r="AG268" s="35">
        <v>2875</v>
      </c>
      <c r="AH268" s="35">
        <f>Table11[[#This Row],['#Trees as of 12/31/23]]*Table11[[#This Row],[USA Allocation %]]</f>
        <v>2875</v>
      </c>
      <c r="AI268" s="437">
        <f>Table11[[#This Row],['#TreesContract]]*Table11[[#This Row],[2024 Inventory Survival%-master]]</f>
        <v>2673.75</v>
      </c>
      <c r="AJ268" s="436">
        <v>0.93</v>
      </c>
      <c r="AK268" s="5">
        <v>0.93</v>
      </c>
      <c r="AL268" s="5">
        <v>0.93</v>
      </c>
      <c r="AM268" s="35">
        <v>2674</v>
      </c>
      <c r="AN268" s="35">
        <f>Table11[[#This Row],[2024 '#Trees Inventory + Estimate]]*Table11[[#This Row],[USA Allocation %]]</f>
        <v>2674</v>
      </c>
      <c r="AO268" s="35">
        <f>Table11[[#This Row],[2024 '#Trees Inventory + Estimate]]*Table11[[#This Row],[Canada Allocation %]]</f>
        <v>0</v>
      </c>
      <c r="AP268" s="35">
        <f>Table11[[#This Row],[2024 '#Trees Inventory + Estimate]]*Table11[[#This Row],[Canada Allocation2017 %]]</f>
        <v>0</v>
      </c>
      <c r="AQ268" s="35">
        <f>Table11[[#This Row],['#Trees as of 2024/estimate-Can allocation]]+Table11[[#This Row],['#Trees as of 2024/estimate-Can allocation 2017]]</f>
        <v>0</v>
      </c>
      <c r="AR268" s="1" t="s">
        <v>531</v>
      </c>
      <c r="AS268" s="2"/>
      <c r="AT268" s="6">
        <f>IFERROR(Table11[[#This Row],['#Total Replacements]]/Table11[[#This Row],['#TreesContract]],"")</f>
        <v>3.826086956521739E-2</v>
      </c>
      <c r="AU268" s="4">
        <f>IF(SUM(Table11[[#This Row],['#Replace 24]:['#Replace 16]])=0,0,SUM(Table11[[#This Row],['#Replace 24]:['#Replace 16]]))</f>
        <v>110</v>
      </c>
      <c r="AV268" s="2"/>
      <c r="AW268" s="2"/>
      <c r="AX268" s="3"/>
      <c r="AY268" s="2">
        <v>60</v>
      </c>
      <c r="AZ268" s="2">
        <v>50</v>
      </c>
      <c r="BA268" s="2"/>
      <c r="BB268" s="2"/>
      <c r="BC268" s="2"/>
      <c r="BD268" s="2"/>
      <c r="BE268" s="2"/>
      <c r="BF268" s="3">
        <v>1</v>
      </c>
      <c r="BG268" s="3">
        <v>1</v>
      </c>
      <c r="BH268" s="2">
        <v>2024</v>
      </c>
      <c r="BI268" s="2">
        <v>16.29</v>
      </c>
      <c r="BJ268" s="2">
        <v>9.35</v>
      </c>
      <c r="BK268" s="139">
        <f>Table11[[#This Row],[Average MHT
(Feet)]]/16</f>
        <v>0.58437499999999998</v>
      </c>
      <c r="BL268" s="2">
        <v>4.04</v>
      </c>
      <c r="BM268" s="139">
        <f>Table11[[#This Row],[Average DBH
(inches)]]/18</f>
        <v>0.22444444444444445</v>
      </c>
      <c r="BN268" s="235">
        <f>((Table11[[#This Row],[Average DBH
(inches)]]-4)^2)*(Table11[[#This Row],[Average MHT
(Feet)]]/16)</f>
        <v>9.3500000000000169E-4</v>
      </c>
      <c r="BO268" s="235">
        <f>Table11[[#This Row],[Average BF]]*Table11[[#This Row],[2024 '#Trees Inventory + Estimate]]</f>
        <v>2.5001900000000044</v>
      </c>
      <c r="BP268" s="240">
        <f>(Table11[[#This Row],[Harvest Year
(10 year)]]-Table11[[#This Row],[Year of Inventory]]+1)*(Table11[[#This Row],[Average DBH
(inches)]]/(Table11[[#This Row],[Harvest Year
(10 year)]]-Table11[[#This Row],[Year of Inventory]]+1))+Table11[[#This Row],[Average DBH
(inches)]]</f>
        <v>8.08</v>
      </c>
      <c r="BQ268" s="235">
        <f>((Table11[[#This Row],[Projected DBH
(Extrapolated Growth/Year)]]-4)^2)*(Table11[[#This Row],[Average MHT
(Feet)]]/16)</f>
        <v>9.7277399999999989</v>
      </c>
      <c r="BR268" s="235">
        <f>Table11[[#This Row],[Projected Average BF]]*Table11[[#This Row],[2024 '#Trees Inventory + Estimate]]</f>
        <v>26011.976759999998</v>
      </c>
      <c r="BS268" s="235">
        <f>196*Table11[[#This Row],[2024 '#Trees Inventory + Estimate]]</f>
        <v>524104</v>
      </c>
      <c r="BT268" s="243">
        <f>Table11[[#This Row],[ETP Offering Expected BF]]-Table11[[#This Row],[Projected Total BF]]</f>
        <v>498092.02324000001</v>
      </c>
      <c r="BU268" s="235">
        <f>(18-Table11[[#This Row],[Average DBH
(inches)]])/(D268-Table11[[#This Row],[Year of Inventory]]+1)</f>
        <v>1.9942857142857144</v>
      </c>
    </row>
    <row r="269" spans="1:73" x14ac:dyDescent="0.25">
      <c r="A269" s="7" t="s">
        <v>1558</v>
      </c>
      <c r="B269" s="2">
        <v>2021</v>
      </c>
      <c r="C269" s="2">
        <v>2021</v>
      </c>
      <c r="D269" s="2">
        <f>Table11[[#This Row],[Planting Year]]+9</f>
        <v>2030</v>
      </c>
      <c r="E269" t="s">
        <v>1559</v>
      </c>
      <c r="F269" s="161">
        <v>20072</v>
      </c>
      <c r="G269" t="s">
        <v>1559</v>
      </c>
      <c r="H269" s="357">
        <v>50686608587</v>
      </c>
      <c r="I269" t="s">
        <v>155</v>
      </c>
      <c r="J269" s="1" t="s">
        <v>1560</v>
      </c>
      <c r="K269" s="1" t="s">
        <v>1561</v>
      </c>
      <c r="L269" s="1" t="s">
        <v>1562</v>
      </c>
      <c r="M269" s="1" t="s">
        <v>213</v>
      </c>
      <c r="N269" t="s">
        <v>1562</v>
      </c>
      <c r="O269">
        <v>10.262187000000001</v>
      </c>
      <c r="P269">
        <v>-83.684871999999999</v>
      </c>
      <c r="Q269" s="2"/>
      <c r="R269" s="86"/>
      <c r="S269" s="2"/>
      <c r="T269" s="1">
        <v>1000</v>
      </c>
      <c r="U269" s="1">
        <v>1000</v>
      </c>
      <c r="V269" s="1" t="str">
        <f>IF(Table11[[#This Row],['#TreesContract]]-Table11[[#This Row],['#Planted]]=0,"",Table11[[#This Row],['#TreesContract]]-Table11[[#This Row],['#Planted]])</f>
        <v/>
      </c>
      <c r="W269" s="2"/>
      <c r="X269" s="34">
        <v>1</v>
      </c>
      <c r="Y269" s="163">
        <f>Table11[[#This Row],['#TreesContract]]*Table11[[#This Row],[USA Allocation %]]</f>
        <v>1000</v>
      </c>
      <c r="Z269" s="163">
        <f>Table11[[#This Row],['#Planted]]*Table11[[#This Row],[USA Allocation %]]</f>
        <v>1000</v>
      </c>
      <c r="AA269" s="34"/>
      <c r="AB269" s="163"/>
      <c r="AC269" s="34"/>
      <c r="AD269" s="163"/>
      <c r="AE269" s="163">
        <f>Table11[[#This Row],[Canada Allocation-tree '#''s]]+Table11[[#This Row],[Can trees/Allocation 2017]]</f>
        <v>0</v>
      </c>
      <c r="AF269" s="5">
        <v>0.91214444444444442</v>
      </c>
      <c r="AG269" s="35">
        <v>912.14444444444439</v>
      </c>
      <c r="AH269" s="35">
        <f>Table11[[#This Row],['#Trees as of 12/31/23]]*Table11[[#This Row],[USA Allocation %]]</f>
        <v>912.14444444444439</v>
      </c>
      <c r="AI269" s="437">
        <f>Table11[[#This Row],['#TreesContract]]*Table11[[#This Row],[2024 Inventory Survival%-master]]</f>
        <v>0</v>
      </c>
      <c r="AJ269" s="436"/>
      <c r="AK269" s="5">
        <v>0.91214444444444442</v>
      </c>
      <c r="AL269" s="5">
        <v>0.91214444444444442</v>
      </c>
      <c r="AM269" s="35">
        <v>912.14444444444439</v>
      </c>
      <c r="AN269" s="35">
        <f>Table11[[#This Row],[2024 '#Trees Inventory + Estimate]]*Table11[[#This Row],[USA Allocation %]]</f>
        <v>912.14444444444439</v>
      </c>
      <c r="AO269" s="35">
        <f>Table11[[#This Row],[2024 '#Trees Inventory + Estimate]]*Table11[[#This Row],[Canada Allocation %]]</f>
        <v>0</v>
      </c>
      <c r="AP269" s="35">
        <f>Table11[[#This Row],[2024 '#Trees Inventory + Estimate]]*Table11[[#This Row],[Canada Allocation2017 %]]</f>
        <v>0</v>
      </c>
      <c r="AQ269" s="35">
        <f>Table11[[#This Row],['#Trees as of 2024/estimate-Can allocation]]+Table11[[#This Row],['#Trees as of 2024/estimate-Can allocation 2017]]</f>
        <v>0</v>
      </c>
      <c r="AR269" s="1" t="s">
        <v>531</v>
      </c>
      <c r="AS269" s="2"/>
      <c r="AT269" s="6">
        <f>IFERROR(Table11[[#This Row],['#Total Replacements]]/Table11[[#This Row],['#TreesContract]],"")</f>
        <v>0.05</v>
      </c>
      <c r="AU269" s="4">
        <f>IF(SUM(Table11[[#This Row],['#Replace 24]:['#Replace 16]])=0,0,SUM(Table11[[#This Row],['#Replace 24]:['#Replace 16]]))</f>
        <v>50</v>
      </c>
      <c r="AV269" s="2"/>
      <c r="AW269" s="2"/>
      <c r="AX269" s="3"/>
      <c r="AY269" s="2">
        <v>50</v>
      </c>
      <c r="AZ269" s="2"/>
      <c r="BA269" s="2"/>
      <c r="BB269" s="2"/>
      <c r="BC269" s="2"/>
      <c r="BD269" s="2"/>
      <c r="BE269" s="2"/>
      <c r="BF269" s="3">
        <v>1</v>
      </c>
      <c r="BG269" s="3">
        <v>1</v>
      </c>
      <c r="BH269" s="2"/>
      <c r="BI269" s="2"/>
      <c r="BJ269" s="158"/>
      <c r="BK269" s="139">
        <f>Table11[[#This Row],[Average MHT
(Feet)]]/16</f>
        <v>0</v>
      </c>
      <c r="BL269" s="2"/>
      <c r="BM269" s="139">
        <f>Table11[[#This Row],[Average DBH
(inches)]]/18</f>
        <v>0</v>
      </c>
      <c r="BN269" s="235">
        <f>((Table11[[#This Row],[Average DBH
(inches)]]-4)^2)*(Table11[[#This Row],[Average MHT
(Feet)]]/16)</f>
        <v>0</v>
      </c>
      <c r="BO269" s="235">
        <f>Table11[[#This Row],[Average BF]]*Table11[[#This Row],[2024 '#Trees Inventory + Estimate]]</f>
        <v>0</v>
      </c>
      <c r="BP269" s="240">
        <f>(Table11[[#This Row],[Harvest Year
(10 year)]]-Table11[[#This Row],[Year of Inventory]]+1)*(Table11[[#This Row],[Average DBH
(inches)]]/(Table11[[#This Row],[Harvest Year
(10 year)]]-Table11[[#This Row],[Year of Inventory]]+1))+Table11[[#This Row],[Average DBH
(inches)]]</f>
        <v>0</v>
      </c>
      <c r="BQ269" s="235">
        <f>((Table11[[#This Row],[Projected DBH
(Extrapolated Growth/Year)]]-4)^2)*(Table11[[#This Row],[Average MHT
(Feet)]]/16)</f>
        <v>0</v>
      </c>
      <c r="BR269" s="235">
        <f>Table11[[#This Row],[Projected Average BF]]*Table11[[#This Row],[2024 '#Trees Inventory + Estimate]]</f>
        <v>0</v>
      </c>
      <c r="BS269" s="235">
        <f>196*Table11[[#This Row],[2024 '#Trees Inventory + Estimate]]</f>
        <v>178780.31111111111</v>
      </c>
      <c r="BT269" s="243">
        <f>Table11[[#This Row],[ETP Offering Expected BF]]-Table11[[#This Row],[Projected Total BF]]</f>
        <v>178780.31111111111</v>
      </c>
      <c r="BU269" s="235">
        <f>(18-Table11[[#This Row],[Average DBH
(inches)]])/(D269-Table11[[#This Row],[Year of Inventory]]+1)</f>
        <v>8.8626292466765146E-3</v>
      </c>
    </row>
    <row r="270" spans="1:73" x14ac:dyDescent="0.25">
      <c r="A270" s="7" t="s">
        <v>1563</v>
      </c>
      <c r="B270" s="2">
        <v>2021</v>
      </c>
      <c r="C270" s="2">
        <v>2021</v>
      </c>
      <c r="D270" s="2">
        <f>Table11[[#This Row],[Planting Year]]+9</f>
        <v>2030</v>
      </c>
      <c r="E270" t="s">
        <v>1564</v>
      </c>
      <c r="F270" s="161">
        <v>20084</v>
      </c>
      <c r="G270" t="s">
        <v>1564</v>
      </c>
      <c r="H270" s="357" t="s">
        <v>1565</v>
      </c>
      <c r="I270" t="s">
        <v>155</v>
      </c>
      <c r="J270" s="1" t="s">
        <v>1566</v>
      </c>
      <c r="K270" s="1" t="s">
        <v>1567</v>
      </c>
      <c r="L270" s="1" t="s">
        <v>1568</v>
      </c>
      <c r="M270" s="1" t="s">
        <v>213</v>
      </c>
      <c r="N270" s="1" t="s">
        <v>1568</v>
      </c>
      <c r="O270">
        <v>10.804138999999999</v>
      </c>
      <c r="P270">
        <v>-85.107325000000003</v>
      </c>
      <c r="Q270" s="2"/>
      <c r="R270" s="86"/>
      <c r="S270" s="2"/>
      <c r="T270" s="1">
        <v>1000</v>
      </c>
      <c r="U270" s="1">
        <v>1000</v>
      </c>
      <c r="V270" s="1" t="str">
        <f>IF(Table11[[#This Row],['#TreesContract]]-Table11[[#This Row],['#Planted]]=0,"",Table11[[#This Row],['#TreesContract]]-Table11[[#This Row],['#Planted]])</f>
        <v/>
      </c>
      <c r="W270" s="2"/>
      <c r="X270" s="34">
        <v>1</v>
      </c>
      <c r="Y270" s="163">
        <f>Table11[[#This Row],['#TreesContract]]*Table11[[#This Row],[USA Allocation %]]</f>
        <v>1000</v>
      </c>
      <c r="Z270" s="163">
        <f>Table11[[#This Row],['#Planted]]*Table11[[#This Row],[USA Allocation %]]</f>
        <v>1000</v>
      </c>
      <c r="AA270" s="34"/>
      <c r="AB270" s="163"/>
      <c r="AC270" s="34"/>
      <c r="AD270" s="163"/>
      <c r="AE270" s="163">
        <f>Table11[[#This Row],[Canada Allocation-tree '#''s]]+Table11[[#This Row],[Can trees/Allocation 2017]]</f>
        <v>0</v>
      </c>
      <c r="AF270" s="5">
        <v>0.89531611111111109</v>
      </c>
      <c r="AG270" s="35">
        <v>895.31611111111113</v>
      </c>
      <c r="AH270" s="35">
        <f>Table11[[#This Row],['#Trees as of 12/31/23]]*Table11[[#This Row],[USA Allocation %]]</f>
        <v>895.31611111111113</v>
      </c>
      <c r="AI270" s="437">
        <f>Table11[[#This Row],['#TreesContract]]*Table11[[#This Row],[2024 Inventory Survival%-master]]</f>
        <v>0</v>
      </c>
      <c r="AJ270" s="436"/>
      <c r="AK270" s="5">
        <v>0.89531611111111109</v>
      </c>
      <c r="AL270" s="5">
        <v>0.89531611111111109</v>
      </c>
      <c r="AM270" s="35">
        <v>895.31611111111113</v>
      </c>
      <c r="AN270" s="35">
        <f>Table11[[#This Row],[2024 '#Trees Inventory + Estimate]]*Table11[[#This Row],[USA Allocation %]]</f>
        <v>895.31611111111113</v>
      </c>
      <c r="AO270" s="35">
        <f>Table11[[#This Row],[2024 '#Trees Inventory + Estimate]]*Table11[[#This Row],[Canada Allocation %]]</f>
        <v>0</v>
      </c>
      <c r="AP270" s="35">
        <f>Table11[[#This Row],[2024 '#Trees Inventory + Estimate]]*Table11[[#This Row],[Canada Allocation2017 %]]</f>
        <v>0</v>
      </c>
      <c r="AQ270" s="35">
        <f>Table11[[#This Row],['#Trees as of 2024/estimate-Can allocation]]+Table11[[#This Row],['#Trees as of 2024/estimate-Can allocation 2017]]</f>
        <v>0</v>
      </c>
      <c r="AR270" s="1" t="s">
        <v>531</v>
      </c>
      <c r="AS270" s="2"/>
      <c r="AT270" s="6">
        <f>IFERROR(Table11[[#This Row],['#Total Replacements]]/Table11[[#This Row],['#TreesContract]],"")</f>
        <v>0.1</v>
      </c>
      <c r="AU270" s="4">
        <f>IF(SUM(Table11[[#This Row],['#Replace 24]:['#Replace 16]])=0,0,SUM(Table11[[#This Row],['#Replace 24]:['#Replace 16]]))</f>
        <v>100</v>
      </c>
      <c r="AV270" s="2"/>
      <c r="AW270" s="2"/>
      <c r="AX270" s="3"/>
      <c r="AY270" s="2">
        <v>100</v>
      </c>
      <c r="AZ270" s="2"/>
      <c r="BA270" s="2"/>
      <c r="BB270" s="2"/>
      <c r="BC270" s="2"/>
      <c r="BD270" s="2"/>
      <c r="BE270" s="2"/>
      <c r="BF270" s="3">
        <v>1</v>
      </c>
      <c r="BG270" s="3">
        <v>1</v>
      </c>
      <c r="BH270" s="2"/>
      <c r="BI270" s="2"/>
      <c r="BJ270" s="2"/>
      <c r="BK270" s="139">
        <f>Table11[[#This Row],[Average MHT
(Feet)]]/16</f>
        <v>0</v>
      </c>
      <c r="BL270" s="2"/>
      <c r="BM270" s="139">
        <f>Table11[[#This Row],[Average DBH
(inches)]]/18</f>
        <v>0</v>
      </c>
      <c r="BN270" s="235">
        <f>((Table11[[#This Row],[Average DBH
(inches)]]-4)^2)*(Table11[[#This Row],[Average MHT
(Feet)]]/16)</f>
        <v>0</v>
      </c>
      <c r="BO270" s="235">
        <f>Table11[[#This Row],[Average BF]]*Table11[[#This Row],[2024 '#Trees Inventory + Estimate]]</f>
        <v>0</v>
      </c>
      <c r="BP270" s="240">
        <f>(Table11[[#This Row],[Harvest Year
(10 year)]]-Table11[[#This Row],[Year of Inventory]]+1)*(Table11[[#This Row],[Average DBH
(inches)]]/(Table11[[#This Row],[Harvest Year
(10 year)]]-Table11[[#This Row],[Year of Inventory]]+1))+Table11[[#This Row],[Average DBH
(inches)]]</f>
        <v>0</v>
      </c>
      <c r="BQ270" s="235">
        <f>((Table11[[#This Row],[Projected DBH
(Extrapolated Growth/Year)]]-4)^2)*(Table11[[#This Row],[Average MHT
(Feet)]]/16)</f>
        <v>0</v>
      </c>
      <c r="BR270" s="235">
        <f>Table11[[#This Row],[Projected Average BF]]*Table11[[#This Row],[2024 '#Trees Inventory + Estimate]]</f>
        <v>0</v>
      </c>
      <c r="BS270" s="235">
        <f>196*Table11[[#This Row],[2024 '#Trees Inventory + Estimate]]</f>
        <v>175481.95777777777</v>
      </c>
      <c r="BT270" s="243">
        <f>Table11[[#This Row],[ETP Offering Expected BF]]-Table11[[#This Row],[Projected Total BF]]</f>
        <v>175481.95777777777</v>
      </c>
      <c r="BU270" s="235">
        <f>(18-Table11[[#This Row],[Average DBH
(inches)]])/(D270-Table11[[#This Row],[Year of Inventory]]+1)</f>
        <v>8.8626292466765146E-3</v>
      </c>
    </row>
    <row r="271" spans="1:73" hidden="1" x14ac:dyDescent="0.25">
      <c r="A271" s="7" t="s">
        <v>1569</v>
      </c>
      <c r="B271" s="2">
        <v>2021</v>
      </c>
      <c r="C271" s="2">
        <v>2021</v>
      </c>
      <c r="D271" s="2">
        <f>Table11[[#This Row],[Planting Year]]+9</f>
        <v>2030</v>
      </c>
      <c r="E271" t="s">
        <v>569</v>
      </c>
      <c r="F271" s="161">
        <v>30001</v>
      </c>
      <c r="G271" t="s">
        <v>569</v>
      </c>
      <c r="H271" s="357" t="s">
        <v>570</v>
      </c>
      <c r="I271" t="s">
        <v>155</v>
      </c>
      <c r="J271" s="1" t="s">
        <v>571</v>
      </c>
      <c r="K271" s="1" t="s">
        <v>572</v>
      </c>
      <c r="L271" s="1" t="s">
        <v>573</v>
      </c>
      <c r="M271" s="1" t="s">
        <v>574</v>
      </c>
      <c r="N271" t="s">
        <v>575</v>
      </c>
      <c r="O271">
        <v>14.673889000000001</v>
      </c>
      <c r="P271">
        <v>-91.808333000000005</v>
      </c>
      <c r="Q271">
        <v>14.673889000000001</v>
      </c>
      <c r="R271" s="2">
        <v>-91.990888999999996</v>
      </c>
      <c r="S271" s="2"/>
      <c r="T271" s="1">
        <v>2000</v>
      </c>
      <c r="U271" s="1">
        <v>2000</v>
      </c>
      <c r="V271" s="1" t="str">
        <f>IF(Table11[[#This Row],['#TreesContract]]-Table11[[#This Row],['#Planted]]=0,"",Table11[[#This Row],['#TreesContract]]-Table11[[#This Row],['#Planted]])</f>
        <v/>
      </c>
      <c r="W271" s="2"/>
      <c r="X271" s="34">
        <v>1</v>
      </c>
      <c r="Y271" s="163">
        <f>Table11[[#This Row],['#TreesContract]]*Table11[[#This Row],[USA Allocation %]]</f>
        <v>2000</v>
      </c>
      <c r="Z271" s="163">
        <f>Table11[[#This Row],['#Planted]]*Table11[[#This Row],[USA Allocation %]]</f>
        <v>2000</v>
      </c>
      <c r="AA271" s="34"/>
      <c r="AB271" s="163"/>
      <c r="AC271" s="34"/>
      <c r="AD271" s="163"/>
      <c r="AE271" s="163">
        <f>Table11[[#This Row],[Canada Allocation-tree '#''s]]+Table11[[#This Row],[Can trees/Allocation 2017]]</f>
        <v>0</v>
      </c>
      <c r="AF271" s="5">
        <v>0.47639943192307688</v>
      </c>
      <c r="AG271" s="35">
        <v>952.79886384615372</v>
      </c>
      <c r="AH271" s="35">
        <f>Table11[[#This Row],['#Trees as of 12/31/23]]*Table11[[#This Row],[USA Allocation %]]</f>
        <v>952.79886384615372</v>
      </c>
      <c r="AI271" s="437">
        <f>Table11[[#This Row],['#TreesContract]]*Table11[[#This Row],[2024 Inventory Survival%-master]]</f>
        <v>0</v>
      </c>
      <c r="AJ271" s="436"/>
      <c r="AK271" s="5">
        <v>0.47639943192307688</v>
      </c>
      <c r="AL271" s="5">
        <v>0.47639943192307688</v>
      </c>
      <c r="AM271" s="35">
        <v>952.79886384615372</v>
      </c>
      <c r="AN271" s="35">
        <f>Table11[[#This Row],[2024 '#Trees Inventory + Estimate]]*Table11[[#This Row],[USA Allocation %]]</f>
        <v>952.79886384615372</v>
      </c>
      <c r="AO271" s="35">
        <f>Table11[[#This Row],[2024 '#Trees Inventory + Estimate]]*Table11[[#This Row],[Canada Allocation %]]</f>
        <v>0</v>
      </c>
      <c r="AP271" s="35">
        <f>Table11[[#This Row],[2024 '#Trees Inventory + Estimate]]*Table11[[#This Row],[Canada Allocation2017 %]]</f>
        <v>0</v>
      </c>
      <c r="AQ271" s="35">
        <f>Table11[[#This Row],['#Trees as of 2024/estimate-Can allocation]]+Table11[[#This Row],['#Trees as of 2024/estimate-Can allocation 2017]]</f>
        <v>0</v>
      </c>
      <c r="AR271" s="1" t="s">
        <v>1570</v>
      </c>
      <c r="AS271" s="2"/>
      <c r="AT271" s="6">
        <f>IFERROR(Table11[[#This Row],['#Total Replacements]]/Table11[[#This Row],['#TreesContract]],"")</f>
        <v>0.45</v>
      </c>
      <c r="AU271" s="4">
        <f>IF(SUM(Table11[[#This Row],['#Replace 24]:['#Replace 16]])=0,0,SUM(Table11[[#This Row],['#Replace 24]:['#Replace 16]]))</f>
        <v>900</v>
      </c>
      <c r="AV271" s="2"/>
      <c r="AW271" s="2"/>
      <c r="AX271" s="3">
        <v>400</v>
      </c>
      <c r="AY271" s="2">
        <v>500</v>
      </c>
      <c r="AZ271" s="2"/>
      <c r="BA271" s="2"/>
      <c r="BB271" s="2"/>
      <c r="BC271" s="2"/>
      <c r="BD271" s="2"/>
      <c r="BE271" s="2"/>
      <c r="BF271" s="3">
        <v>1</v>
      </c>
      <c r="BG271" s="3">
        <v>1</v>
      </c>
      <c r="BH271" s="2"/>
      <c r="BI271" s="2"/>
      <c r="BJ271" s="158"/>
      <c r="BK271" s="139">
        <f>Table11[[#This Row],[Average MHT
(Feet)]]/16</f>
        <v>0</v>
      </c>
      <c r="BL271" s="2"/>
      <c r="BM271" s="139">
        <f>Table11[[#This Row],[Average DBH
(inches)]]/18</f>
        <v>0</v>
      </c>
      <c r="BN271" s="235">
        <f>((Table11[[#This Row],[Average DBH
(inches)]]-4)^2)*(Table11[[#This Row],[Average MHT
(Feet)]]/16)</f>
        <v>0</v>
      </c>
      <c r="BO271" s="235">
        <f>Table11[[#This Row],[Average BF]]*Table11[[#This Row],[2024 '#Trees Inventory + Estimate]]</f>
        <v>0</v>
      </c>
      <c r="BP271" s="240">
        <f>(Table11[[#This Row],[Harvest Year
(10 year)]]-Table11[[#This Row],[Year of Inventory]]+1)*(Table11[[#This Row],[Average DBH
(inches)]]/(Table11[[#This Row],[Harvest Year
(10 year)]]-Table11[[#This Row],[Year of Inventory]]+1))+Table11[[#This Row],[Average DBH
(inches)]]</f>
        <v>0</v>
      </c>
      <c r="BQ271" s="235">
        <f>((Table11[[#This Row],[Projected DBH
(Extrapolated Growth/Year)]]-4)^2)*(Table11[[#This Row],[Average MHT
(Feet)]]/16)</f>
        <v>0</v>
      </c>
      <c r="BR271" s="235">
        <f>Table11[[#This Row],[Projected Average BF]]*Table11[[#This Row],[2024 '#Trees Inventory + Estimate]]</f>
        <v>0</v>
      </c>
      <c r="BS271" s="235">
        <f>196*Table11[[#This Row],[2024 '#Trees Inventory + Estimate]]</f>
        <v>186748.57731384612</v>
      </c>
      <c r="BT271" s="243">
        <f>Table11[[#This Row],[ETP Offering Expected BF]]-Table11[[#This Row],[Projected Total BF]]</f>
        <v>186748.57731384612</v>
      </c>
      <c r="BU271" s="235">
        <f>(18-Table11[[#This Row],[Average DBH
(inches)]])/(D271-Table11[[#This Row],[Year of Inventory]]+1)</f>
        <v>8.8626292466765146E-3</v>
      </c>
    </row>
    <row r="272" spans="1:73" hidden="1" x14ac:dyDescent="0.25">
      <c r="A272" s="7" t="s">
        <v>1571</v>
      </c>
      <c r="B272" s="2">
        <v>2021</v>
      </c>
      <c r="C272" s="2">
        <v>2021</v>
      </c>
      <c r="D272" s="2">
        <f>Table11[[#This Row],[Planting Year]]+9</f>
        <v>2030</v>
      </c>
      <c r="E272" t="s">
        <v>586</v>
      </c>
      <c r="F272" s="161">
        <v>30006</v>
      </c>
      <c r="G272" t="s">
        <v>586</v>
      </c>
      <c r="H272" s="357" t="s">
        <v>587</v>
      </c>
      <c r="I272" t="s">
        <v>155</v>
      </c>
      <c r="J272" s="1" t="s">
        <v>588</v>
      </c>
      <c r="K272" s="1" t="s">
        <v>589</v>
      </c>
      <c r="L272" s="1" t="s">
        <v>590</v>
      </c>
      <c r="M272" s="1" t="s">
        <v>574</v>
      </c>
      <c r="N272" t="s">
        <v>591</v>
      </c>
      <c r="O272">
        <v>14.680103000000001</v>
      </c>
      <c r="P272">
        <v>-91.609027999999995</v>
      </c>
      <c r="Q272" s="2"/>
      <c r="R272" s="86"/>
      <c r="S272" s="2"/>
      <c r="T272" s="1">
        <v>3795</v>
      </c>
      <c r="U272" s="1">
        <v>3795</v>
      </c>
      <c r="V272" s="1" t="str">
        <f>IF(Table11[[#This Row],['#TreesContract]]-Table11[[#This Row],['#Planted]]=0,"",Table11[[#This Row],['#TreesContract]]-Table11[[#This Row],['#Planted]])</f>
        <v/>
      </c>
      <c r="W272" s="2"/>
      <c r="X272" s="34">
        <v>1</v>
      </c>
      <c r="Y272" s="163">
        <f>Table11[[#This Row],['#TreesContract]]*Table11[[#This Row],[USA Allocation %]]</f>
        <v>3795</v>
      </c>
      <c r="Z272" s="163">
        <f>Table11[[#This Row],['#Planted]]*Table11[[#This Row],[USA Allocation %]]</f>
        <v>3795</v>
      </c>
      <c r="AA272" s="34"/>
      <c r="AB272" s="163"/>
      <c r="AC272" s="34"/>
      <c r="AD272" s="163"/>
      <c r="AE272" s="163">
        <f>Table11[[#This Row],[Canada Allocation-tree '#''s]]+Table11[[#This Row],[Can trees/Allocation 2017]]</f>
        <v>0</v>
      </c>
      <c r="AF272" s="5">
        <v>0.79658714839778522</v>
      </c>
      <c r="AG272" s="35">
        <v>3023.0482281695949</v>
      </c>
      <c r="AH272" s="35">
        <f>Table11[[#This Row],['#Trees as of 12/31/23]]*Table11[[#This Row],[USA Allocation %]]</f>
        <v>3023.0482281695949</v>
      </c>
      <c r="AI272" s="437">
        <f>Table11[[#This Row],['#TreesContract]]*Table11[[#This Row],[2024 Inventory Survival%-master]]</f>
        <v>0</v>
      </c>
      <c r="AJ272" s="436"/>
      <c r="AK272" s="5">
        <v>0.79658714839778522</v>
      </c>
      <c r="AL272" s="5">
        <v>0.79658714839778522</v>
      </c>
      <c r="AM272" s="35">
        <v>3023.0482281695949</v>
      </c>
      <c r="AN272" s="35">
        <f>Table11[[#This Row],[2024 '#Trees Inventory + Estimate]]*Table11[[#This Row],[USA Allocation %]]</f>
        <v>3023.0482281695949</v>
      </c>
      <c r="AO272" s="35">
        <f>Table11[[#This Row],[2024 '#Trees Inventory + Estimate]]*Table11[[#This Row],[Canada Allocation %]]</f>
        <v>0</v>
      </c>
      <c r="AP272" s="35">
        <f>Table11[[#This Row],[2024 '#Trees Inventory + Estimate]]*Table11[[#This Row],[Canada Allocation2017 %]]</f>
        <v>0</v>
      </c>
      <c r="AQ272" s="35">
        <f>Table11[[#This Row],['#Trees as of 2024/estimate-Can allocation]]+Table11[[#This Row],['#Trees as of 2024/estimate-Can allocation 2017]]</f>
        <v>0</v>
      </c>
      <c r="AR272" s="1" t="s">
        <v>1570</v>
      </c>
      <c r="AS272" s="2"/>
      <c r="AT272" s="6">
        <f>IFERROR(Table11[[#This Row],['#Total Replacements]]/Table11[[#This Row],['#TreesContract]],"")</f>
        <v>5.2700922266139656E-2</v>
      </c>
      <c r="AU272" s="4">
        <f>IF(SUM(Table11[[#This Row],['#Replace 24]:['#Replace 16]])=0,0,SUM(Table11[[#This Row],['#Replace 24]:['#Replace 16]]))</f>
        <v>200</v>
      </c>
      <c r="AV272" s="2"/>
      <c r="AW272" s="2"/>
      <c r="AX272" s="3"/>
      <c r="AY272" s="2">
        <v>200</v>
      </c>
      <c r="AZ272" s="2"/>
      <c r="BA272" s="2"/>
      <c r="BB272" s="2"/>
      <c r="BC272" s="2"/>
      <c r="BD272" s="2"/>
      <c r="BE272" s="2"/>
      <c r="BF272" s="3">
        <v>1</v>
      </c>
      <c r="BG272" s="3">
        <v>1</v>
      </c>
      <c r="BH272" s="2"/>
      <c r="BI272" s="2"/>
      <c r="BJ272" s="2"/>
      <c r="BK272" s="139">
        <f>Table11[[#This Row],[Average MHT
(Feet)]]/16</f>
        <v>0</v>
      </c>
      <c r="BL272" s="2"/>
      <c r="BM272" s="139">
        <f>Table11[[#This Row],[Average DBH
(inches)]]/18</f>
        <v>0</v>
      </c>
      <c r="BN272" s="235">
        <f>((Table11[[#This Row],[Average DBH
(inches)]]-4)^2)*(Table11[[#This Row],[Average MHT
(Feet)]]/16)</f>
        <v>0</v>
      </c>
      <c r="BO272" s="235">
        <f>Table11[[#This Row],[Average BF]]*Table11[[#This Row],[2024 '#Trees Inventory + Estimate]]</f>
        <v>0</v>
      </c>
      <c r="BP272" s="240">
        <f>(Table11[[#This Row],[Harvest Year
(10 year)]]-Table11[[#This Row],[Year of Inventory]]+1)*(Table11[[#This Row],[Average DBH
(inches)]]/(Table11[[#This Row],[Harvest Year
(10 year)]]-Table11[[#This Row],[Year of Inventory]]+1))+Table11[[#This Row],[Average DBH
(inches)]]</f>
        <v>0</v>
      </c>
      <c r="BQ272" s="235">
        <f>((Table11[[#This Row],[Projected DBH
(Extrapolated Growth/Year)]]-4)^2)*(Table11[[#This Row],[Average MHT
(Feet)]]/16)</f>
        <v>0</v>
      </c>
      <c r="BR272" s="235">
        <f>Table11[[#This Row],[Projected Average BF]]*Table11[[#This Row],[2024 '#Trees Inventory + Estimate]]</f>
        <v>0</v>
      </c>
      <c r="BS272" s="235">
        <f>196*Table11[[#This Row],[2024 '#Trees Inventory + Estimate]]</f>
        <v>592517.45272124058</v>
      </c>
      <c r="BT272" s="243">
        <f>Table11[[#This Row],[ETP Offering Expected BF]]-Table11[[#This Row],[Projected Total BF]]</f>
        <v>592517.45272124058</v>
      </c>
      <c r="BU272" s="235">
        <f>(18-Table11[[#This Row],[Average DBH
(inches)]])/(D272-Table11[[#This Row],[Year of Inventory]]+1)</f>
        <v>8.8626292466765146E-3</v>
      </c>
    </row>
    <row r="273" spans="1:73" hidden="1" x14ac:dyDescent="0.25">
      <c r="A273" s="7" t="s">
        <v>1572</v>
      </c>
      <c r="B273" s="2">
        <v>2020</v>
      </c>
      <c r="C273" s="2">
        <v>2021</v>
      </c>
      <c r="D273" s="2">
        <f>Table11[[#This Row],[Planting Year]]+9</f>
        <v>2030</v>
      </c>
      <c r="E273" t="s">
        <v>594</v>
      </c>
      <c r="F273" s="161">
        <v>30007</v>
      </c>
      <c r="G273" t="s">
        <v>594</v>
      </c>
      <c r="H273" s="357" t="s">
        <v>595</v>
      </c>
      <c r="I273" t="s">
        <v>155</v>
      </c>
      <c r="J273" s="1" t="s">
        <v>596</v>
      </c>
      <c r="K273" s="1" t="s">
        <v>597</v>
      </c>
      <c r="L273" s="1" t="s">
        <v>598</v>
      </c>
      <c r="M273" s="1" t="s">
        <v>574</v>
      </c>
      <c r="N273" t="s">
        <v>599</v>
      </c>
      <c r="O273">
        <v>14.6625</v>
      </c>
      <c r="P273">
        <v>-91.613889</v>
      </c>
      <c r="Q273">
        <v>14.6625</v>
      </c>
      <c r="R273" s="2">
        <v>-91.840889000000004</v>
      </c>
      <c r="S273" s="2"/>
      <c r="T273" s="1">
        <v>690</v>
      </c>
      <c r="U273" s="1">
        <v>690</v>
      </c>
      <c r="V273" s="1" t="str">
        <f>IF(Table11[[#This Row],['#TreesContract]]-Table11[[#This Row],['#Planted]]=0,"",Table11[[#This Row],['#TreesContract]]-Table11[[#This Row],['#Planted]])</f>
        <v/>
      </c>
      <c r="W273" s="2"/>
      <c r="X273" s="34">
        <v>1</v>
      </c>
      <c r="Y273" s="163">
        <f>Table11[[#This Row],['#TreesContract]]*Table11[[#This Row],[USA Allocation %]]</f>
        <v>690</v>
      </c>
      <c r="Z273" s="163">
        <f>Table11[[#This Row],['#Planted]]*Table11[[#This Row],[USA Allocation %]]</f>
        <v>690</v>
      </c>
      <c r="AA273" s="34"/>
      <c r="AB273" s="163"/>
      <c r="AC273" s="34"/>
      <c r="AD273" s="163"/>
      <c r="AE273" s="163">
        <f>Table11[[#This Row],[Canada Allocation-tree '#''s]]+Table11[[#This Row],[Can trees/Allocation 2017]]</f>
        <v>0</v>
      </c>
      <c r="AF273" s="5">
        <v>0.9735441137123747</v>
      </c>
      <c r="AG273" s="35">
        <v>671.74543846153858</v>
      </c>
      <c r="AH273" s="35">
        <f>Table11[[#This Row],['#Trees as of 12/31/23]]*Table11[[#This Row],[USA Allocation %]]</f>
        <v>671.74543846153858</v>
      </c>
      <c r="AI273" s="437">
        <f>Table11[[#This Row],['#TreesContract]]*Table11[[#This Row],[2024 Inventory Survival%-master]]</f>
        <v>0</v>
      </c>
      <c r="AJ273" s="436"/>
      <c r="AK273" s="5">
        <v>0.9735441137123747</v>
      </c>
      <c r="AL273" s="5">
        <v>0.9735441137123747</v>
      </c>
      <c r="AM273" s="35">
        <v>671.74543846153858</v>
      </c>
      <c r="AN273" s="35">
        <f>Table11[[#This Row],[2024 '#Trees Inventory + Estimate]]*Table11[[#This Row],[USA Allocation %]]</f>
        <v>671.74543846153858</v>
      </c>
      <c r="AO273" s="35">
        <f>Table11[[#This Row],[2024 '#Trees Inventory + Estimate]]*Table11[[#This Row],[Canada Allocation %]]</f>
        <v>0</v>
      </c>
      <c r="AP273" s="35">
        <f>Table11[[#This Row],[2024 '#Trees Inventory + Estimate]]*Table11[[#This Row],[Canada Allocation2017 %]]</f>
        <v>0</v>
      </c>
      <c r="AQ273" s="35">
        <f>Table11[[#This Row],['#Trees as of 2024/estimate-Can allocation]]+Table11[[#This Row],['#Trees as of 2024/estimate-Can allocation 2017]]</f>
        <v>0</v>
      </c>
      <c r="AR273" s="1" t="s">
        <v>1573</v>
      </c>
      <c r="AS273" s="2"/>
      <c r="AT273" s="6">
        <f>IFERROR(Table11[[#This Row],['#Total Replacements]]/Table11[[#This Row],['#TreesContract]],"")</f>
        <v>0</v>
      </c>
      <c r="AU273" s="4">
        <f>IF(SUM(Table11[[#This Row],['#Replace 24]:['#Replace 16]])=0,0,SUM(Table11[[#This Row],['#Replace 24]:['#Replace 16]]))</f>
        <v>0</v>
      </c>
      <c r="AV273" s="2"/>
      <c r="AW273" s="2"/>
      <c r="AX273" s="3"/>
      <c r="AY273" s="2"/>
      <c r="AZ273" s="2"/>
      <c r="BA273" s="2"/>
      <c r="BB273" s="2"/>
      <c r="BC273" s="2"/>
      <c r="BD273" s="2"/>
      <c r="BE273" s="2"/>
      <c r="BF273" s="3">
        <v>1</v>
      </c>
      <c r="BG273" s="3">
        <v>1</v>
      </c>
      <c r="BH273" s="2"/>
      <c r="BI273" s="2"/>
      <c r="BJ273" s="2"/>
      <c r="BK273" s="139">
        <f>Table11[[#This Row],[Average MHT
(Feet)]]/16</f>
        <v>0</v>
      </c>
      <c r="BL273" s="2"/>
      <c r="BM273" s="139">
        <f>Table11[[#This Row],[Average DBH
(inches)]]/18</f>
        <v>0</v>
      </c>
      <c r="BN273" s="235">
        <f>((Table11[[#This Row],[Average DBH
(inches)]]-4)^2)*(Table11[[#This Row],[Average MHT
(Feet)]]/16)</f>
        <v>0</v>
      </c>
      <c r="BO273" s="235">
        <f>Table11[[#This Row],[Average BF]]*Table11[[#This Row],[2024 '#Trees Inventory + Estimate]]</f>
        <v>0</v>
      </c>
      <c r="BP273" s="240">
        <f>(Table11[[#This Row],[Harvest Year
(10 year)]]-Table11[[#This Row],[Year of Inventory]]+1)*(Table11[[#This Row],[Average DBH
(inches)]]/(Table11[[#This Row],[Harvest Year
(10 year)]]-Table11[[#This Row],[Year of Inventory]]+1))+Table11[[#This Row],[Average DBH
(inches)]]</f>
        <v>0</v>
      </c>
      <c r="BQ273" s="235">
        <f>((Table11[[#This Row],[Projected DBH
(Extrapolated Growth/Year)]]-4)^2)*(Table11[[#This Row],[Average MHT
(Feet)]]/16)</f>
        <v>0</v>
      </c>
      <c r="BR273" s="235">
        <f>Table11[[#This Row],[Projected Average BF]]*Table11[[#This Row],[2024 '#Trees Inventory + Estimate]]</f>
        <v>0</v>
      </c>
      <c r="BS273" s="235">
        <f>196*Table11[[#This Row],[2024 '#Trees Inventory + Estimate]]</f>
        <v>131662.10593846155</v>
      </c>
      <c r="BT273" s="243">
        <f>Table11[[#This Row],[ETP Offering Expected BF]]-Table11[[#This Row],[Projected Total BF]]</f>
        <v>131662.10593846155</v>
      </c>
      <c r="BU273" s="235">
        <f>(18-Table11[[#This Row],[Average DBH
(inches)]])/(D273-Table11[[#This Row],[Year of Inventory]]+1)</f>
        <v>8.8626292466765146E-3</v>
      </c>
    </row>
    <row r="274" spans="1:73" hidden="1" x14ac:dyDescent="0.25">
      <c r="A274" s="7" t="s">
        <v>1574</v>
      </c>
      <c r="B274" s="2">
        <v>2020</v>
      </c>
      <c r="C274" s="2">
        <v>2021</v>
      </c>
      <c r="D274" s="2">
        <f>Table11[[#This Row],[Planting Year]]+9</f>
        <v>2030</v>
      </c>
      <c r="E274" t="s">
        <v>612</v>
      </c>
      <c r="F274" s="161">
        <v>30011</v>
      </c>
      <c r="G274" t="s">
        <v>613</v>
      </c>
      <c r="H274" s="357" t="s">
        <v>614</v>
      </c>
      <c r="I274" t="s">
        <v>155</v>
      </c>
      <c r="J274" s="1" t="s">
        <v>615</v>
      </c>
      <c r="K274" s="1" t="s">
        <v>616</v>
      </c>
      <c r="L274" s="1" t="s">
        <v>617</v>
      </c>
      <c r="M274" s="1" t="s">
        <v>574</v>
      </c>
      <c r="N274" t="s">
        <v>618</v>
      </c>
      <c r="O274">
        <v>14.949444</v>
      </c>
      <c r="P274">
        <v>-89.331666999999996</v>
      </c>
      <c r="Q274" s="2"/>
      <c r="R274" s="86"/>
      <c r="S274" s="2"/>
      <c r="T274" s="1">
        <v>4050</v>
      </c>
      <c r="U274" s="1">
        <v>4050</v>
      </c>
      <c r="V274" s="1" t="str">
        <f>IF(Table11[[#This Row],['#TreesContract]]-Table11[[#This Row],['#Planted]]=0,"",Table11[[#This Row],['#TreesContract]]-Table11[[#This Row],['#Planted]])</f>
        <v/>
      </c>
      <c r="W274" s="2"/>
      <c r="X274" s="34">
        <v>1</v>
      </c>
      <c r="Y274" s="163">
        <f>Table11[[#This Row],['#TreesContract]]*Table11[[#This Row],[USA Allocation %]]</f>
        <v>4050</v>
      </c>
      <c r="Z274" s="163">
        <f>Table11[[#This Row],['#Planted]]*Table11[[#This Row],[USA Allocation %]]</f>
        <v>4050</v>
      </c>
      <c r="AA274" s="34"/>
      <c r="AB274" s="163"/>
      <c r="AC274" s="34"/>
      <c r="AD274" s="163"/>
      <c r="AE274" s="163">
        <f>Table11[[#This Row],[Canada Allocation-tree '#''s]]+Table11[[#This Row],[Can trees/Allocation 2017]]</f>
        <v>0</v>
      </c>
      <c r="AF274" s="5">
        <v>0.63782465185185189</v>
      </c>
      <c r="AG274" s="35">
        <v>2583.18984</v>
      </c>
      <c r="AH274" s="35">
        <f>Table11[[#This Row],['#Trees as of 12/31/23]]*Table11[[#This Row],[USA Allocation %]]</f>
        <v>2583.18984</v>
      </c>
      <c r="AI274" s="437">
        <f>Table11[[#This Row],['#TreesContract]]*Table11[[#This Row],[2024 Inventory Survival%-master]]</f>
        <v>0</v>
      </c>
      <c r="AJ274" s="436"/>
      <c r="AK274" s="5">
        <v>0.63782465185185189</v>
      </c>
      <c r="AL274" s="5">
        <v>0.63782465185185189</v>
      </c>
      <c r="AM274" s="35">
        <v>2583.18984</v>
      </c>
      <c r="AN274" s="35">
        <f>Table11[[#This Row],[2024 '#Trees Inventory + Estimate]]*Table11[[#This Row],[USA Allocation %]]</f>
        <v>2583.18984</v>
      </c>
      <c r="AO274" s="35">
        <f>Table11[[#This Row],[2024 '#Trees Inventory + Estimate]]*Table11[[#This Row],[Canada Allocation %]]</f>
        <v>0</v>
      </c>
      <c r="AP274" s="35">
        <f>Table11[[#This Row],[2024 '#Trees Inventory + Estimate]]*Table11[[#This Row],[Canada Allocation2017 %]]</f>
        <v>0</v>
      </c>
      <c r="AQ274" s="35">
        <f>Table11[[#This Row],['#Trees as of 2024/estimate-Can allocation]]+Table11[[#This Row],['#Trees as of 2024/estimate-Can allocation 2017]]</f>
        <v>0</v>
      </c>
      <c r="AR274" s="1" t="s">
        <v>576</v>
      </c>
      <c r="AS274" s="2"/>
      <c r="AT274" s="6">
        <f>IFERROR(Table11[[#This Row],['#Total Replacements]]/Table11[[#This Row],['#TreesContract]],"")</f>
        <v>1.308641975308642E-2</v>
      </c>
      <c r="AU274" s="4">
        <f>IF(SUM(Table11[[#This Row],['#Replace 24]:['#Replace 16]])=0,0,SUM(Table11[[#This Row],['#Replace 24]:['#Replace 16]]))</f>
        <v>53</v>
      </c>
      <c r="AV274" s="2"/>
      <c r="AW274" s="2"/>
      <c r="AX274" s="3"/>
      <c r="AY274" s="2"/>
      <c r="AZ274" s="2"/>
      <c r="BA274" s="2">
        <v>53</v>
      </c>
      <c r="BB274" s="2"/>
      <c r="BC274" s="2"/>
      <c r="BD274" s="2"/>
      <c r="BE274" s="2"/>
      <c r="BF274" s="3">
        <v>1</v>
      </c>
      <c r="BG274" s="3">
        <v>1</v>
      </c>
      <c r="BH274" s="2"/>
      <c r="BI274" s="2"/>
      <c r="BJ274" s="2"/>
      <c r="BK274" s="139">
        <f>Table11[[#This Row],[Average MHT
(Feet)]]/16</f>
        <v>0</v>
      </c>
      <c r="BL274" s="2"/>
      <c r="BM274" s="139">
        <f>Table11[[#This Row],[Average DBH
(inches)]]/18</f>
        <v>0</v>
      </c>
      <c r="BN274" s="235">
        <f>((Table11[[#This Row],[Average DBH
(inches)]]-4)^2)*(Table11[[#This Row],[Average MHT
(Feet)]]/16)</f>
        <v>0</v>
      </c>
      <c r="BO274" s="235">
        <f>Table11[[#This Row],[Average BF]]*Table11[[#This Row],[2024 '#Trees Inventory + Estimate]]</f>
        <v>0</v>
      </c>
      <c r="BP274" s="240">
        <f>(Table11[[#This Row],[Harvest Year
(10 year)]]-Table11[[#This Row],[Year of Inventory]]+1)*(Table11[[#This Row],[Average DBH
(inches)]]/(Table11[[#This Row],[Harvest Year
(10 year)]]-Table11[[#This Row],[Year of Inventory]]+1))+Table11[[#This Row],[Average DBH
(inches)]]</f>
        <v>0</v>
      </c>
      <c r="BQ274" s="235">
        <f>((Table11[[#This Row],[Projected DBH
(Extrapolated Growth/Year)]]-4)^2)*(Table11[[#This Row],[Average MHT
(Feet)]]/16)</f>
        <v>0</v>
      </c>
      <c r="BR274" s="235">
        <f>Table11[[#This Row],[Projected Average BF]]*Table11[[#This Row],[2024 '#Trees Inventory + Estimate]]</f>
        <v>0</v>
      </c>
      <c r="BS274" s="235">
        <f>196*Table11[[#This Row],[2024 '#Trees Inventory + Estimate]]</f>
        <v>506305.20864000003</v>
      </c>
      <c r="BT274" s="243">
        <f>Table11[[#This Row],[ETP Offering Expected BF]]-Table11[[#This Row],[Projected Total BF]]</f>
        <v>506305.20864000003</v>
      </c>
      <c r="BU274" s="235">
        <f>(18-Table11[[#This Row],[Average DBH
(inches)]])/(D274-Table11[[#This Row],[Year of Inventory]]+1)</f>
        <v>8.8626292466765146E-3</v>
      </c>
    </row>
    <row r="275" spans="1:73" hidden="1" x14ac:dyDescent="0.25">
      <c r="A275" s="7" t="s">
        <v>1575</v>
      </c>
      <c r="B275" s="2">
        <v>2021</v>
      </c>
      <c r="C275" s="2">
        <v>2021</v>
      </c>
      <c r="D275" s="2">
        <f>Table11[[#This Row],[Planting Year]]+9</f>
        <v>2030</v>
      </c>
      <c r="E275" t="s">
        <v>1117</v>
      </c>
      <c r="F275" s="161">
        <v>30014</v>
      </c>
      <c r="G275" t="s">
        <v>1118</v>
      </c>
      <c r="H275" s="357" t="s">
        <v>1119</v>
      </c>
      <c r="I275" t="s">
        <v>147</v>
      </c>
      <c r="J275" s="1" t="s">
        <v>1120</v>
      </c>
      <c r="K275" s="1" t="s">
        <v>1121</v>
      </c>
      <c r="L275" s="1" t="s">
        <v>1122</v>
      </c>
      <c r="M275" s="1" t="s">
        <v>574</v>
      </c>
      <c r="N275" t="s">
        <v>1123</v>
      </c>
      <c r="O275">
        <v>14.568407300000001</v>
      </c>
      <c r="P275" t="s">
        <v>1576</v>
      </c>
      <c r="Q275" s="2">
        <v>-89.243806000000006</v>
      </c>
      <c r="R275" s="86"/>
      <c r="S275" s="2"/>
      <c r="T275" s="1">
        <v>2000</v>
      </c>
      <c r="U275" s="1">
        <v>2000</v>
      </c>
      <c r="V275" s="1" t="str">
        <f>IF(Table11[[#This Row],['#TreesContract]]-Table11[[#This Row],['#Planted]]=0,"",Table11[[#This Row],['#TreesContract]]-Table11[[#This Row],['#Planted]])</f>
        <v/>
      </c>
      <c r="W275" s="2"/>
      <c r="X275" s="34">
        <v>1</v>
      </c>
      <c r="Y275" s="163">
        <f>Table11[[#This Row],['#TreesContract]]*Table11[[#This Row],[USA Allocation %]]</f>
        <v>2000</v>
      </c>
      <c r="Z275" s="163">
        <f>Table11[[#This Row],['#Planted]]*Table11[[#This Row],[USA Allocation %]]</f>
        <v>2000</v>
      </c>
      <c r="AA275" s="34"/>
      <c r="AB275" s="163"/>
      <c r="AC275" s="34"/>
      <c r="AD275" s="163"/>
      <c r="AE275" s="163">
        <f>Table11[[#This Row],[Canada Allocation-tree '#''s]]+Table11[[#This Row],[Can trees/Allocation 2017]]</f>
        <v>0</v>
      </c>
      <c r="AF275" s="5">
        <v>0</v>
      </c>
      <c r="AG275" s="35">
        <v>0</v>
      </c>
      <c r="AH275" s="35">
        <f>Table11[[#This Row],['#Trees as of 12/31/23]]*Table11[[#This Row],[USA Allocation %]]</f>
        <v>0</v>
      </c>
      <c r="AI275" s="404">
        <f>Table11[[#This Row],['#TreesContract]]*Table11[[#This Row],[2024 Inventory Survival%-master]]</f>
        <v>0</v>
      </c>
      <c r="AJ275" s="5"/>
      <c r="AK275" s="5">
        <v>0</v>
      </c>
      <c r="AL275" s="5">
        <v>0</v>
      </c>
      <c r="AM275" s="35">
        <f>AK275*Table11[[#This Row],['#TreesContract]]</f>
        <v>0</v>
      </c>
      <c r="AN275" s="35">
        <f>Table11[[#This Row],[2024 '#Trees Inventory + Estimate]]*Table11[[#This Row],[USA Allocation %]]</f>
        <v>0</v>
      </c>
      <c r="AO275" s="35">
        <f>Table11[[#This Row],[2024 '#Trees Inventory + Estimate]]*Table11[[#This Row],[Canada Allocation %]]</f>
        <v>0</v>
      </c>
      <c r="AP275" s="35">
        <f>Table11[[#This Row],[2024 '#Trees Inventory + Estimate]]*Table11[[#This Row],[Canada Allocation2017 %]]</f>
        <v>0</v>
      </c>
      <c r="AQ275" s="35">
        <f>Table11[[#This Row],['#Trees as of 2024/estimate-Can allocation]]+Table11[[#This Row],['#Trees as of 2024/estimate-Can allocation 2017]]</f>
        <v>0</v>
      </c>
      <c r="AR275" s="1" t="s">
        <v>1570</v>
      </c>
      <c r="AS275" s="2"/>
      <c r="AT275" s="6">
        <f>IFERROR(Table11[[#This Row],['#Total Replacements]]/Table11[[#This Row],['#TreesContract]],"")</f>
        <v>0.65</v>
      </c>
      <c r="AU275" s="4">
        <f>IF(SUM(Table11[[#This Row],['#Replace 24]:['#Replace 16]])=0,0,SUM(Table11[[#This Row],['#Replace 24]:['#Replace 16]]))</f>
        <v>1300</v>
      </c>
      <c r="AV275" s="2"/>
      <c r="AW275" s="2"/>
      <c r="AX275" s="3"/>
      <c r="AY275" s="2"/>
      <c r="AZ275" s="2">
        <v>1300</v>
      </c>
      <c r="BA275" s="2"/>
      <c r="BB275" s="2"/>
      <c r="BC275" s="2"/>
      <c r="BD275" s="2"/>
      <c r="BE275" s="2"/>
      <c r="BF275" s="3">
        <v>1</v>
      </c>
      <c r="BG275" s="3">
        <v>1</v>
      </c>
      <c r="BH275" s="2"/>
      <c r="BI275" s="2"/>
      <c r="BJ275" s="2"/>
      <c r="BK275" s="139">
        <f>Table11[[#This Row],[Average MHT
(Feet)]]/16</f>
        <v>0</v>
      </c>
      <c r="BL275" s="2"/>
      <c r="BM275" s="139">
        <f>Table11[[#This Row],[Average DBH
(inches)]]/18</f>
        <v>0</v>
      </c>
      <c r="BN275" s="235">
        <f>((Table11[[#This Row],[Average DBH
(inches)]]-4)^2)*(Table11[[#This Row],[Average MHT
(Feet)]]/16)</f>
        <v>0</v>
      </c>
      <c r="BO275" s="235">
        <f>Table11[[#This Row],[Average BF]]*Table11[[#This Row],[2024 '#Trees Inventory + Estimate]]</f>
        <v>0</v>
      </c>
      <c r="BP275" s="240">
        <f>(Table11[[#This Row],[Harvest Year
(10 year)]]-Table11[[#This Row],[Year of Inventory]]+1)*(Table11[[#This Row],[Average DBH
(inches)]]/(Table11[[#This Row],[Harvest Year
(10 year)]]-Table11[[#This Row],[Year of Inventory]]+1))+Table11[[#This Row],[Average DBH
(inches)]]</f>
        <v>0</v>
      </c>
      <c r="BQ275" s="235">
        <f>((Table11[[#This Row],[Projected DBH
(Extrapolated Growth/Year)]]-4)^2)*(Table11[[#This Row],[Average MHT
(Feet)]]/16)</f>
        <v>0</v>
      </c>
      <c r="BR275" s="235">
        <f>Table11[[#This Row],[Projected Average BF]]*Table11[[#This Row],[2024 '#Trees Inventory + Estimate]]</f>
        <v>0</v>
      </c>
      <c r="BS275" s="235">
        <f>196*Table11[[#This Row],[2024 '#Trees Inventory + Estimate]]</f>
        <v>0</v>
      </c>
      <c r="BT275" s="235">
        <f>Table11[[#This Row],[ETP Offering Expected BF]]-Table11[[#This Row],[Projected Total BF]]</f>
        <v>0</v>
      </c>
      <c r="BU275" s="235">
        <f>(18-Table11[[#This Row],[Average DBH
(inches)]])/(D275-Table11[[#This Row],[Year of Inventory]]+1)</f>
        <v>8.8626292466765146E-3</v>
      </c>
    </row>
    <row r="276" spans="1:73" hidden="1" x14ac:dyDescent="0.25">
      <c r="A276" s="7" t="s">
        <v>1577</v>
      </c>
      <c r="B276" s="2">
        <v>2020</v>
      </c>
      <c r="C276" s="2">
        <v>2021</v>
      </c>
      <c r="D276" s="2">
        <f>Table11[[#This Row],[Planting Year]]+9</f>
        <v>2030</v>
      </c>
      <c r="E276" t="s">
        <v>1126</v>
      </c>
      <c r="F276" s="161">
        <v>30015</v>
      </c>
      <c r="G276" t="s">
        <v>1126</v>
      </c>
      <c r="H276" s="357" t="s">
        <v>1127</v>
      </c>
      <c r="I276" t="s">
        <v>155</v>
      </c>
      <c r="J276" s="1" t="s">
        <v>1128</v>
      </c>
      <c r="K276" s="1" t="s">
        <v>1129</v>
      </c>
      <c r="L276" s="1" t="s">
        <v>1130</v>
      </c>
      <c r="M276" s="1" t="s">
        <v>574</v>
      </c>
      <c r="N276" t="s">
        <v>1131</v>
      </c>
      <c r="O276">
        <v>14.670583000000001</v>
      </c>
      <c r="P276">
        <v>-91.861889000000005</v>
      </c>
      <c r="Q276" s="2"/>
      <c r="R276" s="86"/>
      <c r="S276" s="2"/>
      <c r="T276" s="1">
        <v>2650</v>
      </c>
      <c r="U276" s="1">
        <v>2650</v>
      </c>
      <c r="V276" s="1" t="str">
        <f>IF(Table11[[#This Row],['#TreesContract]]-Table11[[#This Row],['#Planted]]=0,"",Table11[[#This Row],['#TreesContract]]-Table11[[#This Row],['#Planted]])</f>
        <v/>
      </c>
      <c r="W276" s="2"/>
      <c r="X276" s="34">
        <v>1</v>
      </c>
      <c r="Y276" s="163">
        <f>Table11[[#This Row],['#TreesContract]]*Table11[[#This Row],[USA Allocation %]]</f>
        <v>2650</v>
      </c>
      <c r="Z276" s="163">
        <f>Table11[[#This Row],['#Planted]]*Table11[[#This Row],[USA Allocation %]]</f>
        <v>2650</v>
      </c>
      <c r="AA276" s="34"/>
      <c r="AB276" s="163"/>
      <c r="AC276" s="34"/>
      <c r="AD276" s="163"/>
      <c r="AE276" s="163">
        <f>Table11[[#This Row],[Canada Allocation-tree '#''s]]+Table11[[#This Row],[Can trees/Allocation 2017]]</f>
        <v>0</v>
      </c>
      <c r="AF276" s="5">
        <v>0.40309903807890224</v>
      </c>
      <c r="AG276" s="35">
        <v>1068.2124509090909</v>
      </c>
      <c r="AH276" s="35">
        <f>Table11[[#This Row],['#Trees as of 12/31/23]]*Table11[[#This Row],[USA Allocation %]]</f>
        <v>1068.2124509090909</v>
      </c>
      <c r="AI276" s="437">
        <f>Table11[[#This Row],['#TreesContract]]*Table11[[#This Row],[2024 Inventory Survival%-master]]</f>
        <v>0</v>
      </c>
      <c r="AJ276" s="436"/>
      <c r="AK276" s="5">
        <v>0.40309903807890224</v>
      </c>
      <c r="AL276" s="5">
        <v>0.40309903807890224</v>
      </c>
      <c r="AM276" s="35">
        <v>1068.2124509090909</v>
      </c>
      <c r="AN276" s="35">
        <f>Table11[[#This Row],[2024 '#Trees Inventory + Estimate]]*Table11[[#This Row],[USA Allocation %]]</f>
        <v>1068.2124509090909</v>
      </c>
      <c r="AO276" s="35">
        <f>Table11[[#This Row],[2024 '#Trees Inventory + Estimate]]*Table11[[#This Row],[Canada Allocation %]]</f>
        <v>0</v>
      </c>
      <c r="AP276" s="35">
        <f>Table11[[#This Row],[2024 '#Trees Inventory + Estimate]]*Table11[[#This Row],[Canada Allocation2017 %]]</f>
        <v>0</v>
      </c>
      <c r="AQ276" s="35">
        <f>Table11[[#This Row],['#Trees as of 2024/estimate-Can allocation]]+Table11[[#This Row],['#Trees as of 2024/estimate-Can allocation 2017]]</f>
        <v>0</v>
      </c>
      <c r="AR276" s="1" t="s">
        <v>1570</v>
      </c>
      <c r="AS276" s="2"/>
      <c r="AT276" s="6">
        <f>IFERROR(Table11[[#This Row],['#Total Replacements]]/Table11[[#This Row],['#TreesContract]],"")</f>
        <v>0.26415094339622641</v>
      </c>
      <c r="AU276" s="4">
        <f>IF(SUM(Table11[[#This Row],['#Replace 24]:['#Replace 16]])=0,0,SUM(Table11[[#This Row],['#Replace 24]:['#Replace 16]]))</f>
        <v>700</v>
      </c>
      <c r="AV276" s="2"/>
      <c r="AW276" s="2"/>
      <c r="AX276" s="3"/>
      <c r="AY276" s="2">
        <v>700</v>
      </c>
      <c r="AZ276" s="2"/>
      <c r="BA276" s="2"/>
      <c r="BB276" s="2"/>
      <c r="BC276" s="2"/>
      <c r="BD276" s="2"/>
      <c r="BE276" s="2"/>
      <c r="BF276" s="3">
        <v>1</v>
      </c>
      <c r="BG276" s="3">
        <v>1</v>
      </c>
      <c r="BH276" s="2"/>
      <c r="BI276" s="2"/>
      <c r="BJ276" s="158"/>
      <c r="BK276" s="139">
        <f>Table11[[#This Row],[Average MHT
(Feet)]]/16</f>
        <v>0</v>
      </c>
      <c r="BL276" s="2"/>
      <c r="BM276" s="139">
        <f>Table11[[#This Row],[Average DBH
(inches)]]/18</f>
        <v>0</v>
      </c>
      <c r="BN276" s="235">
        <f>((Table11[[#This Row],[Average DBH
(inches)]]-4)^2)*(Table11[[#This Row],[Average MHT
(Feet)]]/16)</f>
        <v>0</v>
      </c>
      <c r="BO276" s="235">
        <f>Table11[[#This Row],[Average BF]]*Table11[[#This Row],[2024 '#Trees Inventory + Estimate]]</f>
        <v>0</v>
      </c>
      <c r="BP276" s="240">
        <f>(Table11[[#This Row],[Harvest Year
(10 year)]]-Table11[[#This Row],[Year of Inventory]]+1)*(Table11[[#This Row],[Average DBH
(inches)]]/(Table11[[#This Row],[Harvest Year
(10 year)]]-Table11[[#This Row],[Year of Inventory]]+1))+Table11[[#This Row],[Average DBH
(inches)]]</f>
        <v>0</v>
      </c>
      <c r="BQ276" s="235">
        <f>((Table11[[#This Row],[Projected DBH
(Extrapolated Growth/Year)]]-4)^2)*(Table11[[#This Row],[Average MHT
(Feet)]]/16)</f>
        <v>0</v>
      </c>
      <c r="BR276" s="235">
        <f>Table11[[#This Row],[Projected Average BF]]*Table11[[#This Row],[2024 '#Trees Inventory + Estimate]]</f>
        <v>0</v>
      </c>
      <c r="BS276" s="235">
        <f>196*Table11[[#This Row],[2024 '#Trees Inventory + Estimate]]</f>
        <v>209369.64037818182</v>
      </c>
      <c r="BT276" s="243">
        <f>Table11[[#This Row],[ETP Offering Expected BF]]-Table11[[#This Row],[Projected Total BF]]</f>
        <v>209369.64037818182</v>
      </c>
      <c r="BU276" s="235">
        <f>(18-Table11[[#This Row],[Average DBH
(inches)]])/(D276-Table11[[#This Row],[Year of Inventory]]+1)</f>
        <v>8.8626292466765146E-3</v>
      </c>
    </row>
    <row r="277" spans="1:73" hidden="1" x14ac:dyDescent="0.25">
      <c r="A277" s="7" t="s">
        <v>1578</v>
      </c>
      <c r="B277" s="2">
        <v>2020</v>
      </c>
      <c r="C277" s="2">
        <v>2021</v>
      </c>
      <c r="D277" s="2">
        <f>Table11[[#This Row],[Planting Year]]+9</f>
        <v>2030</v>
      </c>
      <c r="E277" t="s">
        <v>1173</v>
      </c>
      <c r="F277" s="161">
        <v>30023</v>
      </c>
      <c r="G277" t="s">
        <v>1173</v>
      </c>
      <c r="H277" s="357" t="s">
        <v>1174</v>
      </c>
      <c r="I277" t="s">
        <v>155</v>
      </c>
      <c r="J277" s="1" t="s">
        <v>1175</v>
      </c>
      <c r="K277" s="1" t="s">
        <v>1176</v>
      </c>
      <c r="L277" s="1" t="s">
        <v>1177</v>
      </c>
      <c r="M277" s="1" t="s">
        <v>574</v>
      </c>
      <c r="N277" t="s">
        <v>1178</v>
      </c>
      <c r="O277">
        <v>14.696111</v>
      </c>
      <c r="P277">
        <v>-91.608056000000005</v>
      </c>
      <c r="Q277" s="2"/>
      <c r="R277" s="86"/>
      <c r="S277" s="2"/>
      <c r="T277" s="1">
        <v>1433</v>
      </c>
      <c r="U277" s="1">
        <v>1433</v>
      </c>
      <c r="V277" s="1" t="str">
        <f>IF(Table11[[#This Row],['#TreesContract]]-Table11[[#This Row],['#Planted]]=0,"",Table11[[#This Row],['#TreesContract]]-Table11[[#This Row],['#Planted]])</f>
        <v/>
      </c>
      <c r="W277" s="2"/>
      <c r="X277" s="34">
        <v>1</v>
      </c>
      <c r="Y277" s="163">
        <f>Table11[[#This Row],['#TreesContract]]*Table11[[#This Row],[USA Allocation %]]</f>
        <v>1433</v>
      </c>
      <c r="Z277" s="163">
        <f>Table11[[#This Row],['#Planted]]*Table11[[#This Row],[USA Allocation %]]</f>
        <v>1433</v>
      </c>
      <c r="AA277" s="34"/>
      <c r="AB277" s="163"/>
      <c r="AC277" s="34"/>
      <c r="AD277" s="163"/>
      <c r="AE277" s="163">
        <f>Table11[[#This Row],[Canada Allocation-tree '#''s]]+Table11[[#This Row],[Can trees/Allocation 2017]]</f>
        <v>0</v>
      </c>
      <c r="AF277" s="5">
        <v>0.82858216683583918</v>
      </c>
      <c r="AG277" s="35">
        <v>1187.3582450757576</v>
      </c>
      <c r="AH277" s="35">
        <f>Table11[[#This Row],['#Trees as of 12/31/23]]*Table11[[#This Row],[USA Allocation %]]</f>
        <v>1187.3582450757576</v>
      </c>
      <c r="AI277" s="437">
        <f>Table11[[#This Row],['#TreesContract]]*Table11[[#This Row],[2024 Inventory Survival%-master]]</f>
        <v>0</v>
      </c>
      <c r="AJ277" s="436"/>
      <c r="AK277" s="5">
        <v>0.82858216683583918</v>
      </c>
      <c r="AL277" s="5">
        <v>0.82858216683583918</v>
      </c>
      <c r="AM277" s="35">
        <v>1187.3582450757576</v>
      </c>
      <c r="AN277" s="35">
        <f>Table11[[#This Row],[2024 '#Trees Inventory + Estimate]]*Table11[[#This Row],[USA Allocation %]]</f>
        <v>1187.3582450757576</v>
      </c>
      <c r="AO277" s="35">
        <f>Table11[[#This Row],[2024 '#Trees Inventory + Estimate]]*Table11[[#This Row],[Canada Allocation %]]</f>
        <v>0</v>
      </c>
      <c r="AP277" s="35">
        <f>Table11[[#This Row],[2024 '#Trees Inventory + Estimate]]*Table11[[#This Row],[Canada Allocation2017 %]]</f>
        <v>0</v>
      </c>
      <c r="AQ277" s="35">
        <f>Table11[[#This Row],['#Trees as of 2024/estimate-Can allocation]]+Table11[[#This Row],['#Trees as of 2024/estimate-Can allocation 2017]]</f>
        <v>0</v>
      </c>
      <c r="AR277" s="1"/>
      <c r="AS277" s="2"/>
      <c r="AT277" s="6">
        <f>IFERROR(Table11[[#This Row],['#Total Replacements]]/Table11[[#This Row],['#TreesContract]],"")</f>
        <v>0</v>
      </c>
      <c r="AU277" s="4">
        <f>IF(SUM(Table11[[#This Row],['#Replace 24]:['#Replace 16]])=0,0,SUM(Table11[[#This Row],['#Replace 24]:['#Replace 16]]))</f>
        <v>0</v>
      </c>
      <c r="AV277" s="2"/>
      <c r="AW277" s="2"/>
      <c r="AX277" s="3"/>
      <c r="AY277" s="2"/>
      <c r="AZ277" s="2"/>
      <c r="BA277" s="2"/>
      <c r="BB277" s="2"/>
      <c r="BC277" s="2"/>
      <c r="BD277" s="2"/>
      <c r="BE277" s="2"/>
      <c r="BF277" s="3">
        <v>1</v>
      </c>
      <c r="BG277" s="3">
        <v>1</v>
      </c>
      <c r="BH277" s="2"/>
      <c r="BI277" s="2"/>
      <c r="BJ277" s="158"/>
      <c r="BK277" s="139">
        <f>Table11[[#This Row],[Average MHT
(Feet)]]/16</f>
        <v>0</v>
      </c>
      <c r="BL277" s="2"/>
      <c r="BM277" s="139">
        <f>Table11[[#This Row],[Average DBH
(inches)]]/18</f>
        <v>0</v>
      </c>
      <c r="BN277" s="235">
        <f>((Table11[[#This Row],[Average DBH
(inches)]]-4)^2)*(Table11[[#This Row],[Average MHT
(Feet)]]/16)</f>
        <v>0</v>
      </c>
      <c r="BO277" s="235">
        <f>Table11[[#This Row],[Average BF]]*Table11[[#This Row],[2024 '#Trees Inventory + Estimate]]</f>
        <v>0</v>
      </c>
      <c r="BP277" s="240">
        <f>(Table11[[#This Row],[Harvest Year
(10 year)]]-Table11[[#This Row],[Year of Inventory]]+1)*(Table11[[#This Row],[Average DBH
(inches)]]/(Table11[[#This Row],[Harvest Year
(10 year)]]-Table11[[#This Row],[Year of Inventory]]+1))+Table11[[#This Row],[Average DBH
(inches)]]</f>
        <v>0</v>
      </c>
      <c r="BQ277" s="235">
        <f>((Table11[[#This Row],[Projected DBH
(Extrapolated Growth/Year)]]-4)^2)*(Table11[[#This Row],[Average MHT
(Feet)]]/16)</f>
        <v>0</v>
      </c>
      <c r="BR277" s="235">
        <f>Table11[[#This Row],[Projected Average BF]]*Table11[[#This Row],[2024 '#Trees Inventory + Estimate]]</f>
        <v>0</v>
      </c>
      <c r="BS277" s="235">
        <f>196*Table11[[#This Row],[2024 '#Trees Inventory + Estimate]]</f>
        <v>232722.2160348485</v>
      </c>
      <c r="BT277" s="243">
        <f>Table11[[#This Row],[ETP Offering Expected BF]]-Table11[[#This Row],[Projected Total BF]]</f>
        <v>232722.2160348485</v>
      </c>
      <c r="BU277" s="235">
        <f>(18-Table11[[#This Row],[Average DBH
(inches)]])/(D277-Table11[[#This Row],[Year of Inventory]]+1)</f>
        <v>8.8626292466765146E-3</v>
      </c>
    </row>
    <row r="278" spans="1:73" hidden="1" x14ac:dyDescent="0.25">
      <c r="A278" s="7" t="s">
        <v>1579</v>
      </c>
      <c r="B278" s="2">
        <v>2020</v>
      </c>
      <c r="C278" s="2">
        <v>2021</v>
      </c>
      <c r="D278" s="2">
        <f>Table11[[#This Row],[Planting Year]]+9</f>
        <v>2030</v>
      </c>
      <c r="E278" t="s">
        <v>1580</v>
      </c>
      <c r="F278" s="161">
        <v>30024</v>
      </c>
      <c r="G278" t="s">
        <v>1580</v>
      </c>
      <c r="H278" s="357" t="s">
        <v>1181</v>
      </c>
      <c r="I278" t="s">
        <v>147</v>
      </c>
      <c r="J278" s="1" t="s">
        <v>1182</v>
      </c>
      <c r="K278" s="1" t="s">
        <v>1183</v>
      </c>
      <c r="L278" s="1" t="s">
        <v>1184</v>
      </c>
      <c r="M278" s="1" t="s">
        <v>574</v>
      </c>
      <c r="N278" t="s">
        <v>1185</v>
      </c>
      <c r="O278">
        <v>16.074252999999999</v>
      </c>
      <c r="P278">
        <v>-89.729667000000006</v>
      </c>
      <c r="Q278" s="2"/>
      <c r="R278" s="86"/>
      <c r="S278" s="2"/>
      <c r="T278" s="1">
        <v>2350</v>
      </c>
      <c r="U278" s="1">
        <v>2350</v>
      </c>
      <c r="V278" s="1" t="str">
        <f>IF(Table11[[#This Row],['#TreesContract]]-Table11[[#This Row],['#Planted]]=0,"",Table11[[#This Row],['#TreesContract]]-Table11[[#This Row],['#Planted]])</f>
        <v/>
      </c>
      <c r="W278" s="2"/>
      <c r="X278" s="34">
        <v>1</v>
      </c>
      <c r="Y278" s="163">
        <f>Table11[[#This Row],['#TreesContract]]*Table11[[#This Row],[USA Allocation %]]</f>
        <v>2350</v>
      </c>
      <c r="Z278" s="163">
        <f>Table11[[#This Row],['#Planted]]*Table11[[#This Row],[USA Allocation %]]</f>
        <v>2350</v>
      </c>
      <c r="AA278" s="34"/>
      <c r="AB278" s="163"/>
      <c r="AC278" s="34"/>
      <c r="AD278" s="163"/>
      <c r="AE278" s="163">
        <f>Table11[[#This Row],[Canada Allocation-tree '#''s]]+Table11[[#This Row],[Can trees/Allocation 2017]]</f>
        <v>0</v>
      </c>
      <c r="AF278" s="5">
        <v>0.569907813742912</v>
      </c>
      <c r="AG278" s="35">
        <v>1339.2833622958433</v>
      </c>
      <c r="AH278" s="35">
        <f>Table11[[#This Row],['#Trees as of 12/31/23]]*Table11[[#This Row],[USA Allocation %]]</f>
        <v>1339.2833622958433</v>
      </c>
      <c r="AI278" s="404">
        <f>Table11[[#This Row],['#TreesContract]]*Table11[[#This Row],[2024 Inventory Survival%-master]]</f>
        <v>0</v>
      </c>
      <c r="AJ278" s="5"/>
      <c r="AK278" s="5">
        <v>0.569907813742912</v>
      </c>
      <c r="AL278" s="5">
        <v>0</v>
      </c>
      <c r="AM278" s="35">
        <f>AK278*Table11[[#This Row],['#TreesContract]]</f>
        <v>1339.2833622958433</v>
      </c>
      <c r="AN278" s="35">
        <f>Table11[[#This Row],[2024 '#Trees Inventory + Estimate]]*Table11[[#This Row],[USA Allocation %]]</f>
        <v>1339.2833622958433</v>
      </c>
      <c r="AO278" s="35">
        <f>Table11[[#This Row],[2024 '#Trees Inventory + Estimate]]*Table11[[#This Row],[Canada Allocation %]]</f>
        <v>0</v>
      </c>
      <c r="AP278" s="35">
        <f>Table11[[#This Row],[2024 '#Trees Inventory + Estimate]]*Table11[[#This Row],[Canada Allocation2017 %]]</f>
        <v>0</v>
      </c>
      <c r="AQ278" s="35">
        <f>Table11[[#This Row],['#Trees as of 2024/estimate-Can allocation]]+Table11[[#This Row],['#Trees as of 2024/estimate-Can allocation 2017]]</f>
        <v>0</v>
      </c>
      <c r="AR278" s="1" t="s">
        <v>1570</v>
      </c>
      <c r="AS278" s="2"/>
      <c r="AT278" s="6">
        <f>IFERROR(Table11[[#This Row],['#Total Replacements]]/Table11[[#This Row],['#TreesContract]],"")</f>
        <v>0</v>
      </c>
      <c r="AU278" s="4">
        <f>IF(SUM(Table11[[#This Row],['#Replace 24]:['#Replace 16]])=0,0,SUM(Table11[[#This Row],['#Replace 24]:['#Replace 16]]))</f>
        <v>0</v>
      </c>
      <c r="AV278" s="2"/>
      <c r="AW278" s="2"/>
      <c r="AX278" s="3"/>
      <c r="AY278" s="2"/>
      <c r="AZ278" s="2"/>
      <c r="BA278" s="2"/>
      <c r="BB278" s="2"/>
      <c r="BC278" s="2"/>
      <c r="BD278" s="2"/>
      <c r="BE278" s="2"/>
      <c r="BF278" s="3">
        <v>1</v>
      </c>
      <c r="BG278" s="3">
        <v>1</v>
      </c>
      <c r="BH278" s="2"/>
      <c r="BI278" s="158"/>
      <c r="BJ278" s="158"/>
      <c r="BK278" s="139">
        <f>Table11[[#This Row],[Average MHT
(Feet)]]/16</f>
        <v>0</v>
      </c>
      <c r="BL278" s="2"/>
      <c r="BM278" s="139">
        <f>Table11[[#This Row],[Average DBH
(inches)]]/18</f>
        <v>0</v>
      </c>
      <c r="BN278" s="235">
        <f>((Table11[[#This Row],[Average DBH
(inches)]]-4)^2)*(Table11[[#This Row],[Average MHT
(Feet)]]/16)</f>
        <v>0</v>
      </c>
      <c r="BO278" s="235">
        <f>Table11[[#This Row],[Average BF]]*Table11[[#This Row],[2024 '#Trees Inventory + Estimate]]</f>
        <v>0</v>
      </c>
      <c r="BP278" s="240">
        <f>(Table11[[#This Row],[Harvest Year
(10 year)]]-Table11[[#This Row],[Year of Inventory]]+1)*(Table11[[#This Row],[Average DBH
(inches)]]/(Table11[[#This Row],[Harvest Year
(10 year)]]-Table11[[#This Row],[Year of Inventory]]+1))+Table11[[#This Row],[Average DBH
(inches)]]</f>
        <v>0</v>
      </c>
      <c r="BQ278" s="235">
        <f>((Table11[[#This Row],[Projected DBH
(Extrapolated Growth/Year)]]-4)^2)*(Table11[[#This Row],[Average MHT
(Feet)]]/16)</f>
        <v>0</v>
      </c>
      <c r="BR278" s="235">
        <f>Table11[[#This Row],[Projected Average BF]]*Table11[[#This Row],[2024 '#Trees Inventory + Estimate]]</f>
        <v>0</v>
      </c>
      <c r="BS278" s="235">
        <f>196*Table11[[#This Row],[2024 '#Trees Inventory + Estimate]]</f>
        <v>262499.53900998528</v>
      </c>
      <c r="BT278" s="235">
        <f>Table11[[#This Row],[ETP Offering Expected BF]]-Table11[[#This Row],[Projected Total BF]]</f>
        <v>262499.53900998528</v>
      </c>
      <c r="BU278" s="235">
        <f>(18-Table11[[#This Row],[Average DBH
(inches)]])/(D278-Table11[[#This Row],[Year of Inventory]]+1)</f>
        <v>8.8626292466765146E-3</v>
      </c>
    </row>
    <row r="279" spans="1:73" hidden="1" x14ac:dyDescent="0.25">
      <c r="A279" s="7" t="s">
        <v>1581</v>
      </c>
      <c r="B279" s="2">
        <v>2021</v>
      </c>
      <c r="C279" s="2">
        <v>2021</v>
      </c>
      <c r="D279" s="2">
        <f>Table11[[#This Row],[Planting Year]]+9</f>
        <v>2030</v>
      </c>
      <c r="E279" t="s">
        <v>1582</v>
      </c>
      <c r="F279" s="161">
        <v>30028</v>
      </c>
      <c r="G279" t="s">
        <v>1583</v>
      </c>
      <c r="H279" s="357" t="s">
        <v>1584</v>
      </c>
      <c r="I279" t="s">
        <v>155</v>
      </c>
      <c r="J279" s="1" t="s">
        <v>1585</v>
      </c>
      <c r="K279" s="1" t="s">
        <v>1586</v>
      </c>
      <c r="L279" s="1" t="s">
        <v>1587</v>
      </c>
      <c r="M279" s="1" t="s">
        <v>574</v>
      </c>
      <c r="N279" t="s">
        <v>1588</v>
      </c>
      <c r="O279">
        <v>16.489999999999998</v>
      </c>
      <c r="P279">
        <v>-90.127200000000002</v>
      </c>
      <c r="Q279" s="2"/>
      <c r="R279" s="86"/>
      <c r="S279" s="2"/>
      <c r="T279" s="1">
        <v>18000</v>
      </c>
      <c r="U279" s="1">
        <v>18000</v>
      </c>
      <c r="V279" s="1" t="str">
        <f>IF(Table11[[#This Row],['#TreesContract]]-Table11[[#This Row],['#Planted]]=0,"",Table11[[#This Row],['#TreesContract]]-Table11[[#This Row],['#Planted]])</f>
        <v/>
      </c>
      <c r="W279" s="2"/>
      <c r="X279" s="34">
        <v>1</v>
      </c>
      <c r="Y279" s="163">
        <f>Table11[[#This Row],['#TreesContract]]*Table11[[#This Row],[USA Allocation %]]</f>
        <v>18000</v>
      </c>
      <c r="Z279" s="163">
        <f>Table11[[#This Row],['#Planted]]*Table11[[#This Row],[USA Allocation %]]</f>
        <v>18000</v>
      </c>
      <c r="AA279" s="34"/>
      <c r="AB279" s="163"/>
      <c r="AC279" s="34"/>
      <c r="AD279" s="163"/>
      <c r="AE279" s="163">
        <f>Table11[[#This Row],[Canada Allocation-tree '#''s]]+Table11[[#This Row],[Can trees/Allocation 2017]]</f>
        <v>0</v>
      </c>
      <c r="AF279" s="5">
        <v>0.42083333333333334</v>
      </c>
      <c r="AG279" s="35">
        <v>7575</v>
      </c>
      <c r="AH279" s="35">
        <f>Table11[[#This Row],['#Trees as of 12/31/23]]*Table11[[#This Row],[USA Allocation %]]</f>
        <v>7575</v>
      </c>
      <c r="AI279" s="437">
        <f>Table11[[#This Row],['#TreesContract]]*Table11[[#This Row],[2024 Inventory Survival%-master]]</f>
        <v>0</v>
      </c>
      <c r="AJ279" s="436"/>
      <c r="AK279" s="5">
        <v>0.42083333333333334</v>
      </c>
      <c r="AL279" s="5">
        <v>0.42</v>
      </c>
      <c r="AM279" s="35">
        <f>Table11[[#This Row],[USA trees/Allocation/Planted]]*Table11[[#This Row],[2024 Survival% Inventory + Estimate]]</f>
        <v>7560</v>
      </c>
      <c r="AN279" s="35">
        <f>Table11[[#This Row],[2024 '#Trees Inventory + Estimate]]*Table11[[#This Row],[USA Allocation %]]</f>
        <v>7560</v>
      </c>
      <c r="AO279" s="35">
        <f>Table11[[#This Row],[2024 '#Trees Inventory + Estimate]]*Table11[[#This Row],[Canada Allocation %]]</f>
        <v>0</v>
      </c>
      <c r="AP279" s="35">
        <f>Table11[[#This Row],[2024 '#Trees Inventory + Estimate]]*Table11[[#This Row],[Canada Allocation2017 %]]</f>
        <v>0</v>
      </c>
      <c r="AQ279" s="35">
        <f>Table11[[#This Row],['#Trees as of 2024/estimate-Can allocation]]+Table11[[#This Row],['#Trees as of 2024/estimate-Can allocation 2017]]</f>
        <v>0</v>
      </c>
      <c r="AR279" s="1" t="s">
        <v>592</v>
      </c>
      <c r="AS279" s="2"/>
      <c r="AT279" s="6">
        <f>IFERROR(Table11[[#This Row],['#Total Replacements]]/Table11[[#This Row],['#TreesContract]],"")</f>
        <v>0.63738888888888889</v>
      </c>
      <c r="AU279" s="4">
        <f>IF(SUM(Table11[[#This Row],['#Replace 24]:['#Replace 16]])=0,0,SUM(Table11[[#This Row],['#Replace 24]:['#Replace 16]]))</f>
        <v>11473</v>
      </c>
      <c r="AV279" s="2"/>
      <c r="AW279" s="2"/>
      <c r="AX279" s="3"/>
      <c r="AY279" s="2">
        <v>11473</v>
      </c>
      <c r="AZ279" s="2"/>
      <c r="BA279" s="2"/>
      <c r="BB279" s="2"/>
      <c r="BC279" s="2"/>
      <c r="BD279" s="2"/>
      <c r="BE279" s="2"/>
      <c r="BF279" s="3">
        <v>1</v>
      </c>
      <c r="BG279" s="3">
        <v>1</v>
      </c>
      <c r="BH279" s="2"/>
      <c r="BI279" s="2"/>
      <c r="BJ279" s="2"/>
      <c r="BK279" s="139">
        <f>Table11[[#This Row],[Average MHT
(Feet)]]/16</f>
        <v>0</v>
      </c>
      <c r="BL279" s="2"/>
      <c r="BM279" s="139">
        <f>Table11[[#This Row],[Average DBH
(inches)]]/18</f>
        <v>0</v>
      </c>
      <c r="BN279" s="235">
        <f>((Table11[[#This Row],[Average DBH
(inches)]]-4)^2)*(Table11[[#This Row],[Average MHT
(Feet)]]/16)</f>
        <v>0</v>
      </c>
      <c r="BO279" s="235">
        <f>Table11[[#This Row],[Average BF]]*Table11[[#This Row],[2024 '#Trees Inventory + Estimate]]</f>
        <v>0</v>
      </c>
      <c r="BP279" s="240">
        <f>(Table11[[#This Row],[Harvest Year
(10 year)]]-Table11[[#This Row],[Year of Inventory]]+1)*(Table11[[#This Row],[Average DBH
(inches)]]/(Table11[[#This Row],[Harvest Year
(10 year)]]-Table11[[#This Row],[Year of Inventory]]+1))+Table11[[#This Row],[Average DBH
(inches)]]</f>
        <v>0</v>
      </c>
      <c r="BQ279" s="235">
        <f>((Table11[[#This Row],[Projected DBH
(Extrapolated Growth/Year)]]-4)^2)*(Table11[[#This Row],[Average MHT
(Feet)]]/16)</f>
        <v>0</v>
      </c>
      <c r="BR279" s="235">
        <f>Table11[[#This Row],[Projected Average BF]]*Table11[[#This Row],[2024 '#Trees Inventory + Estimate]]</f>
        <v>0</v>
      </c>
      <c r="BS279" s="235">
        <f>196*Table11[[#This Row],[2024 '#Trees Inventory + Estimate]]</f>
        <v>1481760</v>
      </c>
      <c r="BT279" s="243">
        <f>Table11[[#This Row],[ETP Offering Expected BF]]-Table11[[#This Row],[Projected Total BF]]</f>
        <v>1481760</v>
      </c>
      <c r="BU279" s="235">
        <f>(18-Table11[[#This Row],[Average DBH
(inches)]])/(D279-Table11[[#This Row],[Year of Inventory]]+1)</f>
        <v>8.8626292466765146E-3</v>
      </c>
    </row>
    <row r="280" spans="1:73" hidden="1" x14ac:dyDescent="0.25">
      <c r="A280" s="7" t="s">
        <v>1589</v>
      </c>
      <c r="B280" s="2">
        <v>2020</v>
      </c>
      <c r="C280" s="2">
        <v>2021</v>
      </c>
      <c r="D280" s="2">
        <f>Table11[[#This Row],[Planting Year]]+9</f>
        <v>2030</v>
      </c>
      <c r="E280" t="s">
        <v>1590</v>
      </c>
      <c r="F280" s="161">
        <v>30029</v>
      </c>
      <c r="G280" t="s">
        <v>1590</v>
      </c>
      <c r="H280" s="357" t="s">
        <v>1591</v>
      </c>
      <c r="I280" t="s">
        <v>155</v>
      </c>
      <c r="J280" s="1" t="s">
        <v>1592</v>
      </c>
      <c r="K280" s="1" t="s">
        <v>1593</v>
      </c>
      <c r="L280" s="1" t="s">
        <v>1594</v>
      </c>
      <c r="M280" s="1" t="s">
        <v>574</v>
      </c>
      <c r="N280" t="s">
        <v>1595</v>
      </c>
      <c r="O280">
        <v>16.739722</v>
      </c>
      <c r="P280">
        <v>-90.462361000000001</v>
      </c>
      <c r="Q280" s="2"/>
      <c r="R280" s="86"/>
      <c r="S280" s="2"/>
      <c r="T280" s="1">
        <v>1000</v>
      </c>
      <c r="U280" s="1">
        <v>1000</v>
      </c>
      <c r="V280" s="1" t="str">
        <f>IF(Table11[[#This Row],['#TreesContract]]-Table11[[#This Row],['#Planted]]=0,"",Table11[[#This Row],['#TreesContract]]-Table11[[#This Row],['#Planted]])</f>
        <v/>
      </c>
      <c r="W280" s="2"/>
      <c r="X280" s="34">
        <v>1</v>
      </c>
      <c r="Y280" s="163">
        <f>Table11[[#This Row],['#TreesContract]]*Table11[[#This Row],[USA Allocation %]]</f>
        <v>1000</v>
      </c>
      <c r="Z280" s="163">
        <f>Table11[[#This Row],['#Planted]]*Table11[[#This Row],[USA Allocation %]]</f>
        <v>1000</v>
      </c>
      <c r="AA280" s="34"/>
      <c r="AB280" s="163"/>
      <c r="AC280" s="34"/>
      <c r="AD280" s="163"/>
      <c r="AE280" s="163">
        <f>Table11[[#This Row],[Canada Allocation-tree '#''s]]+Table11[[#This Row],[Can trees/Allocation 2017]]</f>
        <v>0</v>
      </c>
      <c r="AF280" s="5">
        <v>0.88318954662680671</v>
      </c>
      <c r="AG280" s="35">
        <v>883.18954662680676</v>
      </c>
      <c r="AH280" s="35">
        <f>Table11[[#This Row],['#Trees as of 12/31/23]]*Table11[[#This Row],[USA Allocation %]]</f>
        <v>883.18954662680676</v>
      </c>
      <c r="AI280" s="437">
        <f>Table11[[#This Row],['#TreesContract]]*Table11[[#This Row],[2024 Inventory Survival%-master]]</f>
        <v>0</v>
      </c>
      <c r="AJ280" s="436"/>
      <c r="AK280" s="5">
        <v>0.88318954662680671</v>
      </c>
      <c r="AL280" s="5">
        <v>0.88318954662680671</v>
      </c>
      <c r="AM280" s="35">
        <v>883.18954662680676</v>
      </c>
      <c r="AN280" s="35">
        <f>Table11[[#This Row],[2024 '#Trees Inventory + Estimate]]*Table11[[#This Row],[USA Allocation %]]</f>
        <v>883.18954662680676</v>
      </c>
      <c r="AO280" s="35">
        <f>Table11[[#This Row],[2024 '#Trees Inventory + Estimate]]*Table11[[#This Row],[Canada Allocation %]]</f>
        <v>0</v>
      </c>
      <c r="AP280" s="35">
        <f>Table11[[#This Row],[2024 '#Trees Inventory + Estimate]]*Table11[[#This Row],[Canada Allocation2017 %]]</f>
        <v>0</v>
      </c>
      <c r="AQ280" s="35">
        <f>Table11[[#This Row],['#Trees as of 2024/estimate-Can allocation]]+Table11[[#This Row],['#Trees as of 2024/estimate-Can allocation 2017]]</f>
        <v>0</v>
      </c>
      <c r="AR280" s="1" t="s">
        <v>592</v>
      </c>
      <c r="AS280" s="2"/>
      <c r="AT280" s="6">
        <f>IFERROR(Table11[[#This Row],['#Total Replacements]]/Table11[[#This Row],['#TreesContract]],"")</f>
        <v>1.3560000000000001</v>
      </c>
      <c r="AU280" s="4">
        <f>IF(SUM(Table11[[#This Row],['#Replace 24]:['#Replace 16]])=0,0,SUM(Table11[[#This Row],['#Replace 24]:['#Replace 16]]))</f>
        <v>1356</v>
      </c>
      <c r="AV280" s="2"/>
      <c r="AW280" s="2"/>
      <c r="AX280" s="3">
        <v>1056</v>
      </c>
      <c r="AY280" s="2">
        <v>300</v>
      </c>
      <c r="AZ280" s="2"/>
      <c r="BA280" s="2"/>
      <c r="BB280" s="2"/>
      <c r="BC280" s="2"/>
      <c r="BD280" s="2"/>
      <c r="BE280" s="2"/>
      <c r="BF280" s="3">
        <v>1</v>
      </c>
      <c r="BG280" s="3">
        <v>1</v>
      </c>
      <c r="BH280" s="2"/>
      <c r="BI280" s="2"/>
      <c r="BJ280" s="2"/>
      <c r="BK280" s="139">
        <f>Table11[[#This Row],[Average MHT
(Feet)]]/16</f>
        <v>0</v>
      </c>
      <c r="BL280" s="2"/>
      <c r="BM280" s="139">
        <f>Table11[[#This Row],[Average DBH
(inches)]]/18</f>
        <v>0</v>
      </c>
      <c r="BN280" s="235">
        <f>((Table11[[#This Row],[Average DBH
(inches)]]-4)^2)*(Table11[[#This Row],[Average MHT
(Feet)]]/16)</f>
        <v>0</v>
      </c>
      <c r="BO280" s="235">
        <f>Table11[[#This Row],[Average BF]]*Table11[[#This Row],[2024 '#Trees Inventory + Estimate]]</f>
        <v>0</v>
      </c>
      <c r="BP280" s="240">
        <f>(Table11[[#This Row],[Harvest Year
(10 year)]]-Table11[[#This Row],[Year of Inventory]]+1)*(Table11[[#This Row],[Average DBH
(inches)]]/(Table11[[#This Row],[Harvest Year
(10 year)]]-Table11[[#This Row],[Year of Inventory]]+1))+Table11[[#This Row],[Average DBH
(inches)]]</f>
        <v>0</v>
      </c>
      <c r="BQ280" s="235">
        <f>((Table11[[#This Row],[Projected DBH
(Extrapolated Growth/Year)]]-4)^2)*(Table11[[#This Row],[Average MHT
(Feet)]]/16)</f>
        <v>0</v>
      </c>
      <c r="BR280" s="235">
        <f>Table11[[#This Row],[Projected Average BF]]*Table11[[#This Row],[2024 '#Trees Inventory + Estimate]]</f>
        <v>0</v>
      </c>
      <c r="BS280" s="235">
        <f>196*Table11[[#This Row],[2024 '#Trees Inventory + Estimate]]</f>
        <v>173105.15113885413</v>
      </c>
      <c r="BT280" s="243">
        <f>Table11[[#This Row],[ETP Offering Expected BF]]-Table11[[#This Row],[Projected Total BF]]</f>
        <v>173105.15113885413</v>
      </c>
      <c r="BU280" s="235">
        <f>(18-Table11[[#This Row],[Average DBH
(inches)]])/(D280-Table11[[#This Row],[Year of Inventory]]+1)</f>
        <v>8.8626292466765146E-3</v>
      </c>
    </row>
    <row r="281" spans="1:73" hidden="1" x14ac:dyDescent="0.25">
      <c r="A281" s="7" t="s">
        <v>1596</v>
      </c>
      <c r="B281" s="2">
        <v>2020</v>
      </c>
      <c r="C281" s="2">
        <v>2021</v>
      </c>
      <c r="D281" s="2">
        <f>Table11[[#This Row],[Planting Year]]+9</f>
        <v>2030</v>
      </c>
      <c r="E281" t="s">
        <v>1597</v>
      </c>
      <c r="F281" s="161">
        <v>30030</v>
      </c>
      <c r="G281" t="s">
        <v>1598</v>
      </c>
      <c r="H281" s="357" t="s">
        <v>1599</v>
      </c>
      <c r="I281" t="s">
        <v>155</v>
      </c>
      <c r="J281" s="1" t="s">
        <v>1600</v>
      </c>
      <c r="K281" s="1" t="s">
        <v>1601</v>
      </c>
      <c r="L281" s="1" t="s">
        <v>1602</v>
      </c>
      <c r="M281" s="1" t="s">
        <v>574</v>
      </c>
      <c r="N281" t="s">
        <v>1603</v>
      </c>
      <c r="O281">
        <v>14.965472</v>
      </c>
      <c r="P281">
        <v>-89.280582999999993</v>
      </c>
      <c r="Q281" s="2"/>
      <c r="R281" s="86"/>
      <c r="S281" s="2"/>
      <c r="T281" s="1">
        <v>1000</v>
      </c>
      <c r="U281" s="1">
        <v>1000</v>
      </c>
      <c r="V281" s="1" t="str">
        <f>IF(Table11[[#This Row],['#TreesContract]]-Table11[[#This Row],['#Planted]]=0,"",Table11[[#This Row],['#TreesContract]]-Table11[[#This Row],['#Planted]])</f>
        <v/>
      </c>
      <c r="W281" s="2"/>
      <c r="X281" s="34">
        <v>1</v>
      </c>
      <c r="Y281" s="163">
        <f>Table11[[#This Row],['#TreesContract]]*Table11[[#This Row],[USA Allocation %]]</f>
        <v>1000</v>
      </c>
      <c r="Z281" s="163">
        <f>Table11[[#This Row],['#Planted]]*Table11[[#This Row],[USA Allocation %]]</f>
        <v>1000</v>
      </c>
      <c r="AA281" s="34"/>
      <c r="AB281" s="163"/>
      <c r="AC281" s="34"/>
      <c r="AD281" s="163"/>
      <c r="AE281" s="163">
        <f>Table11[[#This Row],[Canada Allocation-tree '#''s]]+Table11[[#This Row],[Can trees/Allocation 2017]]</f>
        <v>0</v>
      </c>
      <c r="AF281" s="5">
        <v>0.89730003125000013</v>
      </c>
      <c r="AG281" s="35">
        <v>897.30003125000007</v>
      </c>
      <c r="AH281" s="35">
        <f>Table11[[#This Row],['#Trees as of 12/31/23]]*Table11[[#This Row],[USA Allocation %]]</f>
        <v>897.30003125000007</v>
      </c>
      <c r="AI281" s="437">
        <f>Table11[[#This Row],['#TreesContract]]*Table11[[#This Row],[2024 Inventory Survival%-master]]</f>
        <v>0</v>
      </c>
      <c r="AJ281" s="436"/>
      <c r="AK281" s="5">
        <v>0.89730003125000013</v>
      </c>
      <c r="AL281" s="5">
        <v>0.89730003125000013</v>
      </c>
      <c r="AM281" s="35">
        <v>897.30003125000007</v>
      </c>
      <c r="AN281" s="35">
        <f>Table11[[#This Row],[2024 '#Trees Inventory + Estimate]]*Table11[[#This Row],[USA Allocation %]]</f>
        <v>897.30003125000007</v>
      </c>
      <c r="AO281" s="35">
        <f>Table11[[#This Row],[2024 '#Trees Inventory + Estimate]]*Table11[[#This Row],[Canada Allocation %]]</f>
        <v>0</v>
      </c>
      <c r="AP281" s="35">
        <f>Table11[[#This Row],[2024 '#Trees Inventory + Estimate]]*Table11[[#This Row],[Canada Allocation2017 %]]</f>
        <v>0</v>
      </c>
      <c r="AQ281" s="35">
        <f>Table11[[#This Row],['#Trees as of 2024/estimate-Can allocation]]+Table11[[#This Row],['#Trees as of 2024/estimate-Can allocation 2017]]</f>
        <v>0</v>
      </c>
      <c r="AR281" s="1" t="s">
        <v>1570</v>
      </c>
      <c r="AS281" s="2"/>
      <c r="AT281" s="6">
        <f>IFERROR(Table11[[#This Row],['#Total Replacements]]/Table11[[#This Row],['#TreesContract]],"")</f>
        <v>0.25</v>
      </c>
      <c r="AU281" s="4">
        <f>IF(SUM(Table11[[#This Row],['#Replace 24]:['#Replace 16]])=0,0,SUM(Table11[[#This Row],['#Replace 24]:['#Replace 16]]))</f>
        <v>250</v>
      </c>
      <c r="AV281" s="2"/>
      <c r="AW281" s="2"/>
      <c r="AX281" s="3"/>
      <c r="AY281" s="2">
        <v>250</v>
      </c>
      <c r="AZ281" s="2"/>
      <c r="BA281" s="2"/>
      <c r="BB281" s="2"/>
      <c r="BC281" s="2"/>
      <c r="BD281" s="2"/>
      <c r="BE281" s="2"/>
      <c r="BF281" s="3">
        <v>1</v>
      </c>
      <c r="BG281" s="3">
        <v>1</v>
      </c>
      <c r="BH281" s="2"/>
      <c r="BI281" s="2"/>
      <c r="BJ281" s="158"/>
      <c r="BK281" s="139">
        <f>Table11[[#This Row],[Average MHT
(Feet)]]/16</f>
        <v>0</v>
      </c>
      <c r="BL281" s="2"/>
      <c r="BM281" s="139">
        <f>Table11[[#This Row],[Average DBH
(inches)]]/18</f>
        <v>0</v>
      </c>
      <c r="BN281" s="235">
        <f>((Table11[[#This Row],[Average DBH
(inches)]]-4)^2)*(Table11[[#This Row],[Average MHT
(Feet)]]/16)</f>
        <v>0</v>
      </c>
      <c r="BO281" s="235">
        <f>Table11[[#This Row],[Average BF]]*Table11[[#This Row],[2024 '#Trees Inventory + Estimate]]</f>
        <v>0</v>
      </c>
      <c r="BP281" s="240">
        <f>(Table11[[#This Row],[Harvest Year
(10 year)]]-Table11[[#This Row],[Year of Inventory]]+1)*(Table11[[#This Row],[Average DBH
(inches)]]/(Table11[[#This Row],[Harvest Year
(10 year)]]-Table11[[#This Row],[Year of Inventory]]+1))+Table11[[#This Row],[Average DBH
(inches)]]</f>
        <v>0</v>
      </c>
      <c r="BQ281" s="235">
        <f>((Table11[[#This Row],[Projected DBH
(Extrapolated Growth/Year)]]-4)^2)*(Table11[[#This Row],[Average MHT
(Feet)]]/16)</f>
        <v>0</v>
      </c>
      <c r="BR281" s="235">
        <f>Table11[[#This Row],[Projected Average BF]]*Table11[[#This Row],[2024 '#Trees Inventory + Estimate]]</f>
        <v>0</v>
      </c>
      <c r="BS281" s="235">
        <f>196*Table11[[#This Row],[2024 '#Trees Inventory + Estimate]]</f>
        <v>175870.806125</v>
      </c>
      <c r="BT281" s="243">
        <f>Table11[[#This Row],[ETP Offering Expected BF]]-Table11[[#This Row],[Projected Total BF]]</f>
        <v>175870.806125</v>
      </c>
      <c r="BU281" s="235">
        <f>(18-Table11[[#This Row],[Average DBH
(inches)]])/(D281-Table11[[#This Row],[Year of Inventory]]+1)</f>
        <v>8.8626292466765146E-3</v>
      </c>
    </row>
    <row r="282" spans="1:73" hidden="1" x14ac:dyDescent="0.25">
      <c r="A282" s="7" t="s">
        <v>1604</v>
      </c>
      <c r="B282" s="2">
        <v>2021</v>
      </c>
      <c r="C282" s="2">
        <v>2021</v>
      </c>
      <c r="D282" s="2">
        <f>Table11[[#This Row],[Planting Year]]+9</f>
        <v>2030</v>
      </c>
      <c r="E282" t="s">
        <v>1605</v>
      </c>
      <c r="F282" s="161">
        <v>30031</v>
      </c>
      <c r="G282" t="s">
        <v>1606</v>
      </c>
      <c r="H282" s="357" t="s">
        <v>1607</v>
      </c>
      <c r="I282" t="s">
        <v>155</v>
      </c>
      <c r="J282" s="1" t="s">
        <v>1608</v>
      </c>
      <c r="K282" s="1" t="s">
        <v>1609</v>
      </c>
      <c r="L282" s="1" t="s">
        <v>1610</v>
      </c>
      <c r="M282" s="1" t="s">
        <v>574</v>
      </c>
      <c r="N282" t="s">
        <v>1611</v>
      </c>
      <c r="O282">
        <v>16.008610999999998</v>
      </c>
      <c r="P282">
        <v>-90.841999999999999</v>
      </c>
      <c r="Q282" s="2"/>
      <c r="R282" s="86"/>
      <c r="S282" s="2"/>
      <c r="T282" s="1">
        <v>2907</v>
      </c>
      <c r="U282" s="1">
        <v>2907</v>
      </c>
      <c r="V282" s="1" t="str">
        <f>IF(Table11[[#This Row],['#TreesContract]]-Table11[[#This Row],['#Planted]]=0,"",Table11[[#This Row],['#TreesContract]]-Table11[[#This Row],['#Planted]])</f>
        <v/>
      </c>
      <c r="W282" s="2"/>
      <c r="X282" s="34">
        <v>1</v>
      </c>
      <c r="Y282" s="163">
        <f>Table11[[#This Row],['#TreesContract]]*Table11[[#This Row],[USA Allocation %]]</f>
        <v>2907</v>
      </c>
      <c r="Z282" s="163">
        <f>Table11[[#This Row],['#Planted]]*Table11[[#This Row],[USA Allocation %]]</f>
        <v>2907</v>
      </c>
      <c r="AA282" s="34"/>
      <c r="AB282" s="163"/>
      <c r="AC282" s="34"/>
      <c r="AD282" s="163"/>
      <c r="AE282" s="163">
        <f>Table11[[#This Row],[Canada Allocation-tree '#''s]]+Table11[[#This Row],[Can trees/Allocation 2017]]</f>
        <v>0</v>
      </c>
      <c r="AF282" s="5">
        <v>0.99556028895768844</v>
      </c>
      <c r="AG282" s="35">
        <v>2894.0937600000002</v>
      </c>
      <c r="AH282" s="35">
        <f>Table11[[#This Row],['#Trees as of 12/31/23]]*Table11[[#This Row],[USA Allocation %]]</f>
        <v>2894.0937600000002</v>
      </c>
      <c r="AI282" s="437">
        <f>Table11[[#This Row],['#TreesContract]]*Table11[[#This Row],[2024 Inventory Survival%-master]]</f>
        <v>0</v>
      </c>
      <c r="AJ282" s="436"/>
      <c r="AK282" s="5">
        <v>0.99556028895768844</v>
      </c>
      <c r="AL282" s="5">
        <v>0.99556028895768844</v>
      </c>
      <c r="AM282" s="35">
        <v>2894.0937600000002</v>
      </c>
      <c r="AN282" s="35">
        <f>Table11[[#This Row],[2024 '#Trees Inventory + Estimate]]*Table11[[#This Row],[USA Allocation %]]</f>
        <v>2894.0937600000002</v>
      </c>
      <c r="AO282" s="35">
        <f>Table11[[#This Row],[2024 '#Trees Inventory + Estimate]]*Table11[[#This Row],[Canada Allocation %]]</f>
        <v>0</v>
      </c>
      <c r="AP282" s="35">
        <f>Table11[[#This Row],[2024 '#Trees Inventory + Estimate]]*Table11[[#This Row],[Canada Allocation2017 %]]</f>
        <v>0</v>
      </c>
      <c r="AQ282" s="35">
        <f>Table11[[#This Row],['#Trees as of 2024/estimate-Can allocation]]+Table11[[#This Row],['#Trees as of 2024/estimate-Can allocation 2017]]</f>
        <v>0</v>
      </c>
      <c r="AR282" s="1" t="s">
        <v>1570</v>
      </c>
      <c r="AS282" s="2"/>
      <c r="AT282" s="6">
        <f>IFERROR(Table11[[#This Row],['#Total Replacements]]/Table11[[#This Row],['#TreesContract]],"")</f>
        <v>4.2999656002751976E-2</v>
      </c>
      <c r="AU282" s="4">
        <f>IF(SUM(Table11[[#This Row],['#Replace 24]:['#Replace 16]])=0,0,SUM(Table11[[#This Row],['#Replace 24]:['#Replace 16]]))</f>
        <v>125</v>
      </c>
      <c r="AV282" s="2"/>
      <c r="AW282" s="2"/>
      <c r="AX282" s="3">
        <v>100</v>
      </c>
      <c r="AY282" s="2">
        <v>25</v>
      </c>
      <c r="AZ282" s="2"/>
      <c r="BA282" s="2"/>
      <c r="BB282" s="2"/>
      <c r="BC282" s="2"/>
      <c r="BD282" s="2"/>
      <c r="BE282" s="2"/>
      <c r="BF282" s="3">
        <v>1</v>
      </c>
      <c r="BG282" s="3">
        <v>1</v>
      </c>
      <c r="BH282" s="2"/>
      <c r="BI282" s="2"/>
      <c r="BJ282" s="2"/>
      <c r="BK282" s="139">
        <f>Table11[[#This Row],[Average MHT
(Feet)]]/16</f>
        <v>0</v>
      </c>
      <c r="BL282" s="2"/>
      <c r="BM282" s="139">
        <f>Table11[[#This Row],[Average DBH
(inches)]]/18</f>
        <v>0</v>
      </c>
      <c r="BN282" s="235">
        <f>((Table11[[#This Row],[Average DBH
(inches)]]-4)^2)*(Table11[[#This Row],[Average MHT
(Feet)]]/16)</f>
        <v>0</v>
      </c>
      <c r="BO282" s="235">
        <f>Table11[[#This Row],[Average BF]]*Table11[[#This Row],[2024 '#Trees Inventory + Estimate]]</f>
        <v>0</v>
      </c>
      <c r="BP282" s="240">
        <f>(Table11[[#This Row],[Harvest Year
(10 year)]]-Table11[[#This Row],[Year of Inventory]]+1)*(Table11[[#This Row],[Average DBH
(inches)]]/(Table11[[#This Row],[Harvest Year
(10 year)]]-Table11[[#This Row],[Year of Inventory]]+1))+Table11[[#This Row],[Average DBH
(inches)]]</f>
        <v>0</v>
      </c>
      <c r="BQ282" s="235">
        <f>((Table11[[#This Row],[Projected DBH
(Extrapolated Growth/Year)]]-4)^2)*(Table11[[#This Row],[Average MHT
(Feet)]]/16)</f>
        <v>0</v>
      </c>
      <c r="BR282" s="235">
        <f>Table11[[#This Row],[Projected Average BF]]*Table11[[#This Row],[2024 '#Trees Inventory + Estimate]]</f>
        <v>0</v>
      </c>
      <c r="BS282" s="235">
        <f>196*Table11[[#This Row],[2024 '#Trees Inventory + Estimate]]</f>
        <v>567242.37696000002</v>
      </c>
      <c r="BT282" s="243">
        <f>Table11[[#This Row],[ETP Offering Expected BF]]-Table11[[#This Row],[Projected Total BF]]</f>
        <v>567242.37696000002</v>
      </c>
      <c r="BU282" s="235">
        <f>(18-Table11[[#This Row],[Average DBH
(inches)]])/(D282-Table11[[#This Row],[Year of Inventory]]+1)</f>
        <v>8.8626292466765146E-3</v>
      </c>
    </row>
    <row r="283" spans="1:73" hidden="1" x14ac:dyDescent="0.25">
      <c r="A283" s="7" t="s">
        <v>1612</v>
      </c>
      <c r="B283" s="2">
        <v>2021</v>
      </c>
      <c r="C283" s="2">
        <v>2021</v>
      </c>
      <c r="D283" s="2">
        <f>Table11[[#This Row],[Planting Year]]+9</f>
        <v>2030</v>
      </c>
      <c r="E283" t="s">
        <v>1613</v>
      </c>
      <c r="F283" s="161">
        <v>30032</v>
      </c>
      <c r="G283" t="s">
        <v>1613</v>
      </c>
      <c r="H283" s="357" t="s">
        <v>1614</v>
      </c>
      <c r="I283" t="s">
        <v>155</v>
      </c>
      <c r="J283" s="1" t="s">
        <v>1615</v>
      </c>
      <c r="K283" s="1" t="s">
        <v>1616</v>
      </c>
      <c r="L283" s="1" t="s">
        <v>1617</v>
      </c>
      <c r="M283" s="1" t="s">
        <v>574</v>
      </c>
      <c r="N283" t="s">
        <v>1618</v>
      </c>
      <c r="O283">
        <v>14.990888999999999</v>
      </c>
      <c r="P283">
        <v>-91.990888999999996</v>
      </c>
      <c r="Q283" s="2"/>
      <c r="R283" s="86"/>
      <c r="S283" s="2"/>
      <c r="T283" s="1">
        <v>1500</v>
      </c>
      <c r="U283" s="1">
        <v>1500</v>
      </c>
      <c r="V283" s="1" t="str">
        <f>IF(Table11[[#This Row],['#TreesContract]]-Table11[[#This Row],['#Planted]]=0,"",Table11[[#This Row],['#TreesContract]]-Table11[[#This Row],['#Planted]])</f>
        <v/>
      </c>
      <c r="W283" s="2"/>
      <c r="X283" s="34">
        <v>1</v>
      </c>
      <c r="Y283" s="163">
        <f>Table11[[#This Row],['#TreesContract]]*Table11[[#This Row],[USA Allocation %]]</f>
        <v>1500</v>
      </c>
      <c r="Z283" s="163">
        <f>Table11[[#This Row],['#Planted]]*Table11[[#This Row],[USA Allocation %]]</f>
        <v>1500</v>
      </c>
      <c r="AA283" s="34"/>
      <c r="AB283" s="163"/>
      <c r="AC283" s="34"/>
      <c r="AD283" s="163"/>
      <c r="AE283" s="163">
        <f>Table11[[#This Row],[Canada Allocation-tree '#''s]]+Table11[[#This Row],[Can trees/Allocation 2017]]</f>
        <v>0</v>
      </c>
      <c r="AF283" s="5">
        <v>0.77819284158241753</v>
      </c>
      <c r="AG283" s="35">
        <v>1167.2892623736263</v>
      </c>
      <c r="AH283" s="35">
        <f>Table11[[#This Row],['#Trees as of 12/31/23]]*Table11[[#This Row],[USA Allocation %]]</f>
        <v>1167.2892623736263</v>
      </c>
      <c r="AI283" s="437">
        <f>Table11[[#This Row],['#TreesContract]]*Table11[[#This Row],[2024 Inventory Survival%-master]]</f>
        <v>0</v>
      </c>
      <c r="AJ283" s="436"/>
      <c r="AK283" s="5">
        <v>0.3</v>
      </c>
      <c r="AL283" s="5">
        <v>0.3</v>
      </c>
      <c r="AM283" s="35">
        <f>Table11[[#This Row],['#Trees as of 12/31/23]]*0.3</f>
        <v>350.18677871208791</v>
      </c>
      <c r="AN283" s="35">
        <f>Table11[[#This Row],[2024 '#Trees Inventory + Estimate]]*Table11[[#This Row],[USA Allocation %]]</f>
        <v>350.18677871208791</v>
      </c>
      <c r="AO283" s="35">
        <f>Table11[[#This Row],[2024 '#Trees Inventory + Estimate]]*Table11[[#This Row],[Canada Allocation %]]</f>
        <v>0</v>
      </c>
      <c r="AP283" s="35">
        <f>Table11[[#This Row],[2024 '#Trees Inventory + Estimate]]*Table11[[#This Row],[Canada Allocation2017 %]]</f>
        <v>0</v>
      </c>
      <c r="AQ283" s="35">
        <f>Table11[[#This Row],['#Trees as of 2024/estimate-Can allocation]]+Table11[[#This Row],['#Trees as of 2024/estimate-Can allocation 2017]]</f>
        <v>0</v>
      </c>
      <c r="AR283" s="1" t="s">
        <v>1619</v>
      </c>
      <c r="AS283" s="2"/>
      <c r="AT283" s="6">
        <f>IFERROR(Table11[[#This Row],['#Total Replacements]]/Table11[[#This Row],['#TreesContract]],"")</f>
        <v>0.45</v>
      </c>
      <c r="AU283" s="4">
        <f>IF(SUM(Table11[[#This Row],['#Replace 24]:['#Replace 16]])=0,0,SUM(Table11[[#This Row],['#Replace 24]:['#Replace 16]]))</f>
        <v>675</v>
      </c>
      <c r="AV283" s="2"/>
      <c r="AW283" s="2"/>
      <c r="AX283" s="3">
        <v>300</v>
      </c>
      <c r="AY283" s="2">
        <v>375</v>
      </c>
      <c r="AZ283" s="2"/>
      <c r="BA283" s="2"/>
      <c r="BB283" s="2"/>
      <c r="BC283" s="2"/>
      <c r="BD283" s="2"/>
      <c r="BE283" s="2"/>
      <c r="BF283" s="3">
        <v>1</v>
      </c>
      <c r="BG283" s="3">
        <v>1</v>
      </c>
      <c r="BH283" s="2"/>
      <c r="BI283" s="2"/>
      <c r="BJ283" s="158"/>
      <c r="BK283" s="139">
        <f>Table11[[#This Row],[Average MHT
(Feet)]]/16</f>
        <v>0</v>
      </c>
      <c r="BL283" s="2"/>
      <c r="BM283" s="139">
        <f>Table11[[#This Row],[Average DBH
(inches)]]/18</f>
        <v>0</v>
      </c>
      <c r="BN283" s="235">
        <f>((Table11[[#This Row],[Average DBH
(inches)]]-4)^2)*(Table11[[#This Row],[Average MHT
(Feet)]]/16)</f>
        <v>0</v>
      </c>
      <c r="BO283" s="235">
        <f>Table11[[#This Row],[Average BF]]*Table11[[#This Row],[2024 '#Trees Inventory + Estimate]]</f>
        <v>0</v>
      </c>
      <c r="BP283" s="240">
        <f>(Table11[[#This Row],[Harvest Year
(10 year)]]-Table11[[#This Row],[Year of Inventory]]+1)*(Table11[[#This Row],[Average DBH
(inches)]]/(Table11[[#This Row],[Harvest Year
(10 year)]]-Table11[[#This Row],[Year of Inventory]]+1))+Table11[[#This Row],[Average DBH
(inches)]]</f>
        <v>0</v>
      </c>
      <c r="BQ283" s="235">
        <f>((Table11[[#This Row],[Projected DBH
(Extrapolated Growth/Year)]]-4)^2)*(Table11[[#This Row],[Average MHT
(Feet)]]/16)</f>
        <v>0</v>
      </c>
      <c r="BR283" s="235">
        <f>Table11[[#This Row],[Projected Average BF]]*Table11[[#This Row],[2024 '#Trees Inventory + Estimate]]</f>
        <v>0</v>
      </c>
      <c r="BS283" s="235">
        <f>196*Table11[[#This Row],[2024 '#Trees Inventory + Estimate]]</f>
        <v>68636.608627569236</v>
      </c>
      <c r="BT283" s="243">
        <f>Table11[[#This Row],[ETP Offering Expected BF]]-Table11[[#This Row],[Projected Total BF]]</f>
        <v>68636.608627569236</v>
      </c>
      <c r="BU283" s="235">
        <f>(18-Table11[[#This Row],[Average DBH
(inches)]])/(D283-Table11[[#This Row],[Year of Inventory]]+1)</f>
        <v>8.8626292466765146E-3</v>
      </c>
    </row>
    <row r="284" spans="1:73" hidden="1" x14ac:dyDescent="0.25">
      <c r="A284" s="7" t="s">
        <v>1620</v>
      </c>
      <c r="B284" s="2">
        <v>2020</v>
      </c>
      <c r="C284" s="2">
        <v>2021</v>
      </c>
      <c r="D284" s="2">
        <f>Table11[[#This Row],[Planting Year]]+9</f>
        <v>2030</v>
      </c>
      <c r="E284" t="s">
        <v>1621</v>
      </c>
      <c r="F284" s="161">
        <v>40003</v>
      </c>
      <c r="G284" t="s">
        <v>1621</v>
      </c>
      <c r="H284" s="357" t="s">
        <v>1622</v>
      </c>
      <c r="I284" t="s">
        <v>147</v>
      </c>
      <c r="J284" s="1" t="s">
        <v>1623</v>
      </c>
      <c r="K284" s="1" t="s">
        <v>1624</v>
      </c>
      <c r="L284" s="1" t="s">
        <v>1625</v>
      </c>
      <c r="M284" s="1" t="s">
        <v>621</v>
      </c>
      <c r="N284" t="s">
        <v>1626</v>
      </c>
      <c r="O284">
        <v>22.446449999999999</v>
      </c>
      <c r="P284">
        <v>-101.494247</v>
      </c>
      <c r="Q284" s="2"/>
      <c r="R284" s="86"/>
      <c r="S284" s="2"/>
      <c r="T284" s="1">
        <v>1100</v>
      </c>
      <c r="U284" s="1">
        <v>1100</v>
      </c>
      <c r="V284" s="1" t="str">
        <f>IF(Table11[[#This Row],['#TreesContract]]-Table11[[#This Row],['#Planted]]=0,"",Table11[[#This Row],['#TreesContract]]-Table11[[#This Row],['#Planted]])</f>
        <v/>
      </c>
      <c r="W284" s="2"/>
      <c r="X284" s="34">
        <v>1</v>
      </c>
      <c r="Y284" s="163">
        <f>Table11[[#This Row],['#TreesContract]]*Table11[[#This Row],[USA Allocation %]]</f>
        <v>1100</v>
      </c>
      <c r="Z284" s="163">
        <f>Table11[[#This Row],['#Planted]]*Table11[[#This Row],[USA Allocation %]]</f>
        <v>1100</v>
      </c>
      <c r="AA284" s="34"/>
      <c r="AB284" s="163"/>
      <c r="AC284" s="34"/>
      <c r="AD284" s="163"/>
      <c r="AE284" s="163">
        <f>Table11[[#This Row],[Canada Allocation-tree '#''s]]+Table11[[#This Row],[Can trees/Allocation 2017]]</f>
        <v>0</v>
      </c>
      <c r="AF284" s="5">
        <v>0.99</v>
      </c>
      <c r="AG284" s="35">
        <v>1089</v>
      </c>
      <c r="AH284" s="35">
        <f>Table11[[#This Row],['#Trees as of 12/31/23]]*Table11[[#This Row],[USA Allocation %]]</f>
        <v>1089</v>
      </c>
      <c r="AI284" s="404">
        <f>Table11[[#This Row],['#TreesContract]]*Table11[[#This Row],[2024 Inventory Survival%-master]]</f>
        <v>0</v>
      </c>
      <c r="AJ284" s="5"/>
      <c r="AK284" s="5">
        <v>0.99</v>
      </c>
      <c r="AL284" s="5">
        <v>0</v>
      </c>
      <c r="AM284" s="35">
        <f>AK284*Table11[[#This Row],['#TreesContract]]</f>
        <v>1089</v>
      </c>
      <c r="AN284" s="35">
        <f>Table11[[#This Row],[2024 '#Trees Inventory + Estimate]]*Table11[[#This Row],[USA Allocation %]]</f>
        <v>1089</v>
      </c>
      <c r="AO284" s="35">
        <f>Table11[[#This Row],[2024 '#Trees Inventory + Estimate]]*Table11[[#This Row],[Canada Allocation %]]</f>
        <v>0</v>
      </c>
      <c r="AP284" s="35">
        <f>Table11[[#This Row],[2024 '#Trees Inventory + Estimate]]*Table11[[#This Row],[Canada Allocation2017 %]]</f>
        <v>0</v>
      </c>
      <c r="AQ284" s="35">
        <f>Table11[[#This Row],['#Trees as of 2024/estimate-Can allocation]]+Table11[[#This Row],['#Trees as of 2024/estimate-Can allocation 2017]]</f>
        <v>0</v>
      </c>
      <c r="AR284" s="1"/>
      <c r="AS284" s="2"/>
      <c r="AT284" s="6">
        <f>IFERROR(Table11[[#This Row],['#Total Replacements]]/Table11[[#This Row],['#TreesContract]],"")</f>
        <v>0</v>
      </c>
      <c r="AU284" s="4">
        <f>IF(SUM(Table11[[#This Row],['#Replace 24]:['#Replace 16]])=0,0,SUM(Table11[[#This Row],['#Replace 24]:['#Replace 16]]))</f>
        <v>0</v>
      </c>
      <c r="AV284" s="2"/>
      <c r="AW284" s="2"/>
      <c r="AX284" s="3"/>
      <c r="AY284" s="2"/>
      <c r="AZ284" s="2"/>
      <c r="BA284" s="2"/>
      <c r="BB284" s="2"/>
      <c r="BC284" s="2"/>
      <c r="BD284" s="2"/>
      <c r="BE284" s="2"/>
      <c r="BF284" s="3">
        <v>1</v>
      </c>
      <c r="BG284" s="3">
        <v>1</v>
      </c>
      <c r="BH284" s="2"/>
      <c r="BI284" s="2"/>
      <c r="BJ284" s="2"/>
      <c r="BK284" s="139">
        <f>Table11[[#This Row],[Average MHT
(Feet)]]/16</f>
        <v>0</v>
      </c>
      <c r="BL284" s="2"/>
      <c r="BM284" s="139">
        <f>Table11[[#This Row],[Average DBH
(inches)]]/18</f>
        <v>0</v>
      </c>
      <c r="BN284" s="235">
        <f>((Table11[[#This Row],[Average DBH
(inches)]]-4)^2)*(Table11[[#This Row],[Average MHT
(Feet)]]/16)</f>
        <v>0</v>
      </c>
      <c r="BO284" s="235">
        <f>Table11[[#This Row],[Average BF]]*Table11[[#This Row],[2024 '#Trees Inventory + Estimate]]</f>
        <v>0</v>
      </c>
      <c r="BP284" s="240">
        <f>(Table11[[#This Row],[Harvest Year
(10 year)]]-Table11[[#This Row],[Year of Inventory]]+1)*(Table11[[#This Row],[Average DBH
(inches)]]/(Table11[[#This Row],[Harvest Year
(10 year)]]-Table11[[#This Row],[Year of Inventory]]+1))+Table11[[#This Row],[Average DBH
(inches)]]</f>
        <v>0</v>
      </c>
      <c r="BQ284" s="235">
        <f>((Table11[[#This Row],[Projected DBH
(Extrapolated Growth/Year)]]-4)^2)*(Table11[[#This Row],[Average MHT
(Feet)]]/16)</f>
        <v>0</v>
      </c>
      <c r="BR284" s="235">
        <f>Table11[[#This Row],[Projected Average BF]]*Table11[[#This Row],[2024 '#Trees Inventory + Estimate]]</f>
        <v>0</v>
      </c>
      <c r="BS284" s="235">
        <f>196*Table11[[#This Row],[2024 '#Trees Inventory + Estimate]]</f>
        <v>213444</v>
      </c>
      <c r="BT284" s="235">
        <f>Table11[[#This Row],[ETP Offering Expected BF]]-Table11[[#This Row],[Projected Total BF]]</f>
        <v>213444</v>
      </c>
      <c r="BU284" s="235">
        <f>(18-Table11[[#This Row],[Average DBH
(inches)]])/(D284-Table11[[#This Row],[Year of Inventory]]+1)</f>
        <v>8.8626292466765146E-3</v>
      </c>
    </row>
    <row r="285" spans="1:73" hidden="1" x14ac:dyDescent="0.25">
      <c r="A285" s="7" t="s">
        <v>1627</v>
      </c>
      <c r="B285" s="2">
        <v>2021</v>
      </c>
      <c r="C285" s="2">
        <v>2021</v>
      </c>
      <c r="D285" s="2">
        <f>Table11[[#This Row],[Planting Year]]+9</f>
        <v>2030</v>
      </c>
      <c r="E285" t="s">
        <v>1628</v>
      </c>
      <c r="F285" s="161">
        <v>40008</v>
      </c>
      <c r="G285" t="s">
        <v>1628</v>
      </c>
      <c r="H285" s="357" t="s">
        <v>1209</v>
      </c>
      <c r="I285" t="s">
        <v>155</v>
      </c>
      <c r="J285" s="1" t="s">
        <v>1629</v>
      </c>
      <c r="K285" s="1" t="s">
        <v>1630</v>
      </c>
      <c r="L285" s="1" t="s">
        <v>1630</v>
      </c>
      <c r="M285" s="1" t="s">
        <v>621</v>
      </c>
      <c r="N285" t="s">
        <v>1631</v>
      </c>
      <c r="O285">
        <v>17.568432999999999</v>
      </c>
      <c r="P285">
        <v>-95.317893999999995</v>
      </c>
      <c r="Q285" s="2"/>
      <c r="R285" s="86"/>
      <c r="S285" s="2"/>
      <c r="T285" s="1">
        <v>2750</v>
      </c>
      <c r="U285" s="1">
        <v>2750</v>
      </c>
      <c r="V285" s="1" t="str">
        <f>IF(Table11[[#This Row],['#TreesContract]]-Table11[[#This Row],['#Planted]]=0,"",Table11[[#This Row],['#TreesContract]]-Table11[[#This Row],['#Planted]])</f>
        <v/>
      </c>
      <c r="W285" s="2"/>
      <c r="X285" s="34">
        <v>1</v>
      </c>
      <c r="Y285" s="163">
        <f>Table11[[#This Row],['#TreesContract]]*Table11[[#This Row],[USA Allocation %]]</f>
        <v>2750</v>
      </c>
      <c r="Z285" s="163">
        <f>Table11[[#This Row],['#Planted]]*Table11[[#This Row],[USA Allocation %]]</f>
        <v>2750</v>
      </c>
      <c r="AA285" s="34"/>
      <c r="AB285" s="163"/>
      <c r="AC285" s="34"/>
      <c r="AD285" s="163"/>
      <c r="AE285" s="163">
        <f>Table11[[#This Row],[Canada Allocation-tree '#''s]]+Table11[[#This Row],[Can trees/Allocation 2017]]</f>
        <v>0</v>
      </c>
      <c r="AF285" s="5">
        <v>0.75180051860701436</v>
      </c>
      <c r="AG285" s="35">
        <v>2067.4514261692893</v>
      </c>
      <c r="AH285" s="35">
        <f>Table11[[#This Row],['#Trees as of 12/31/23]]*Table11[[#This Row],[USA Allocation %]]</f>
        <v>2067.4514261692893</v>
      </c>
      <c r="AI285" s="437">
        <f>Table11[[#This Row],['#TreesContract]]*Table11[[#This Row],[2024 Inventory Survival%-master]]</f>
        <v>0</v>
      </c>
      <c r="AJ285" s="436"/>
      <c r="AK285" s="5">
        <v>0.75180051860701436</v>
      </c>
      <c r="AL285" s="5">
        <v>0.75180051860701436</v>
      </c>
      <c r="AM285" s="35">
        <v>2067.4514261692893</v>
      </c>
      <c r="AN285" s="35">
        <f>Table11[[#This Row],[2024 '#Trees Inventory + Estimate]]*Table11[[#This Row],[USA Allocation %]]</f>
        <v>2067.4514261692893</v>
      </c>
      <c r="AO285" s="35">
        <f>Table11[[#This Row],[2024 '#Trees Inventory + Estimate]]*Table11[[#This Row],[Canada Allocation %]]</f>
        <v>0</v>
      </c>
      <c r="AP285" s="35">
        <f>Table11[[#This Row],[2024 '#Trees Inventory + Estimate]]*Table11[[#This Row],[Canada Allocation2017 %]]</f>
        <v>0</v>
      </c>
      <c r="AQ285" s="35">
        <f>Table11[[#This Row],['#Trees as of 2024/estimate-Can allocation]]+Table11[[#This Row],['#Trees as of 2024/estimate-Can allocation 2017]]</f>
        <v>0</v>
      </c>
      <c r="AR285" s="1"/>
      <c r="AS285" s="2"/>
      <c r="AT285" s="6">
        <f>IFERROR(Table11[[#This Row],['#Total Replacements]]/Table11[[#This Row],['#TreesContract]],"")</f>
        <v>0.36363636363636365</v>
      </c>
      <c r="AU285" s="4">
        <f>IF(SUM(Table11[[#This Row],['#Replace 24]:['#Replace 16]])=0,0,SUM(Table11[[#This Row],['#Replace 24]:['#Replace 16]]))</f>
        <v>1000</v>
      </c>
      <c r="AV285" s="2"/>
      <c r="AW285" s="2"/>
      <c r="AX285" s="3"/>
      <c r="AY285" s="2">
        <v>1000</v>
      </c>
      <c r="AZ285" s="2"/>
      <c r="BA285" s="2"/>
      <c r="BB285" s="2"/>
      <c r="BC285" s="2"/>
      <c r="BD285" s="2"/>
      <c r="BE285" s="2"/>
      <c r="BF285" s="3">
        <v>1</v>
      </c>
      <c r="BG285" s="3">
        <v>1</v>
      </c>
      <c r="BH285" s="2"/>
      <c r="BI285" s="2"/>
      <c r="BJ285" s="2"/>
      <c r="BK285" s="139">
        <f>Table11[[#This Row],[Average MHT
(Feet)]]/16</f>
        <v>0</v>
      </c>
      <c r="BL285" s="2"/>
      <c r="BM285" s="139">
        <f>Table11[[#This Row],[Average DBH
(inches)]]/18</f>
        <v>0</v>
      </c>
      <c r="BN285" s="235">
        <f>((Table11[[#This Row],[Average DBH
(inches)]]-4)^2)*(Table11[[#This Row],[Average MHT
(Feet)]]/16)</f>
        <v>0</v>
      </c>
      <c r="BO285" s="235">
        <f>Table11[[#This Row],[Average BF]]*Table11[[#This Row],[2024 '#Trees Inventory + Estimate]]</f>
        <v>0</v>
      </c>
      <c r="BP285" s="240">
        <f>(Table11[[#This Row],[Harvest Year
(10 year)]]-Table11[[#This Row],[Year of Inventory]]+1)*(Table11[[#This Row],[Average DBH
(inches)]]/(Table11[[#This Row],[Harvest Year
(10 year)]]-Table11[[#This Row],[Year of Inventory]]+1))+Table11[[#This Row],[Average DBH
(inches)]]</f>
        <v>0</v>
      </c>
      <c r="BQ285" s="235">
        <f>((Table11[[#This Row],[Projected DBH
(Extrapolated Growth/Year)]]-4)^2)*(Table11[[#This Row],[Average MHT
(Feet)]]/16)</f>
        <v>0</v>
      </c>
      <c r="BR285" s="235">
        <f>Table11[[#This Row],[Projected Average BF]]*Table11[[#This Row],[2024 '#Trees Inventory + Estimate]]</f>
        <v>0</v>
      </c>
      <c r="BS285" s="235">
        <f>196*Table11[[#This Row],[2024 '#Trees Inventory + Estimate]]</f>
        <v>405220.47952918068</v>
      </c>
      <c r="BT285" s="243">
        <f>Table11[[#This Row],[ETP Offering Expected BF]]-Table11[[#This Row],[Projected Total BF]]</f>
        <v>405220.47952918068</v>
      </c>
      <c r="BU285" s="235">
        <f>(18-Table11[[#This Row],[Average DBH
(inches)]])/(D285-Table11[[#This Row],[Year of Inventory]]+1)</f>
        <v>8.8626292466765146E-3</v>
      </c>
    </row>
    <row r="286" spans="1:73" hidden="1" x14ac:dyDescent="0.25">
      <c r="A286" s="7" t="s">
        <v>1632</v>
      </c>
      <c r="B286" s="2">
        <v>2021</v>
      </c>
      <c r="C286" s="2">
        <v>2021</v>
      </c>
      <c r="D286" s="2">
        <f>Table11[[#This Row],[Planting Year]]+9</f>
        <v>2030</v>
      </c>
      <c r="E286" t="s">
        <v>1633</v>
      </c>
      <c r="F286" s="161">
        <v>40020</v>
      </c>
      <c r="G286" t="s">
        <v>1633</v>
      </c>
      <c r="H286" s="357" t="s">
        <v>1634</v>
      </c>
      <c r="I286" t="s">
        <v>147</v>
      </c>
      <c r="J286" s="1" t="s">
        <v>1635</v>
      </c>
      <c r="K286" s="1" t="s">
        <v>1636</v>
      </c>
      <c r="L286" s="1" t="s">
        <v>1637</v>
      </c>
      <c r="M286" s="1" t="s">
        <v>621</v>
      </c>
      <c r="N286" t="s">
        <v>1638</v>
      </c>
      <c r="O286">
        <v>17.81775</v>
      </c>
      <c r="P286">
        <v>-95.269309000000007</v>
      </c>
      <c r="Q286" s="2"/>
      <c r="R286" s="86"/>
      <c r="S286" s="2"/>
      <c r="T286" s="1">
        <v>2750</v>
      </c>
      <c r="U286" s="1">
        <v>2750</v>
      </c>
      <c r="V286" s="1" t="str">
        <f>IF(Table11[[#This Row],['#TreesContract]]-Table11[[#This Row],['#Planted]]=0,"",Table11[[#This Row],['#TreesContract]]-Table11[[#This Row],['#Planted]])</f>
        <v/>
      </c>
      <c r="W286" s="2"/>
      <c r="X286" s="34">
        <v>1</v>
      </c>
      <c r="Y286" s="163">
        <f>Table11[[#This Row],['#TreesContract]]*Table11[[#This Row],[USA Allocation %]]</f>
        <v>2750</v>
      </c>
      <c r="Z286" s="163">
        <f>Table11[[#This Row],['#Planted]]*Table11[[#This Row],[USA Allocation %]]</f>
        <v>2750</v>
      </c>
      <c r="AA286" s="34"/>
      <c r="AB286" s="163"/>
      <c r="AC286" s="34"/>
      <c r="AD286" s="163"/>
      <c r="AE286" s="163">
        <f>Table11[[#This Row],[Canada Allocation-tree '#''s]]+Table11[[#This Row],[Can trees/Allocation 2017]]</f>
        <v>0</v>
      </c>
      <c r="AF286" s="5">
        <v>0.49865233400236858</v>
      </c>
      <c r="AG286" s="35">
        <v>1371.2939185065136</v>
      </c>
      <c r="AH286" s="35">
        <f>Table11[[#This Row],['#Trees as of 12/31/23]]*Table11[[#This Row],[USA Allocation %]]</f>
        <v>1371.2939185065136</v>
      </c>
      <c r="AI286" s="404">
        <f>Table11[[#This Row],['#TreesContract]]*Table11[[#This Row],[2024 Inventory Survival%-master]]</f>
        <v>0</v>
      </c>
      <c r="AJ286" s="5"/>
      <c r="AK286" s="5">
        <v>0.49865233400236858</v>
      </c>
      <c r="AL286" s="5">
        <v>0</v>
      </c>
      <c r="AM286" s="35">
        <f>AK286*Table11[[#This Row],['#TreesContract]]</f>
        <v>1371.2939185065136</v>
      </c>
      <c r="AN286" s="35">
        <f>Table11[[#This Row],[2024 '#Trees Inventory + Estimate]]*Table11[[#This Row],[USA Allocation %]]</f>
        <v>1371.2939185065136</v>
      </c>
      <c r="AO286" s="35">
        <f>Table11[[#This Row],[2024 '#Trees Inventory + Estimate]]*Table11[[#This Row],[Canada Allocation %]]</f>
        <v>0</v>
      </c>
      <c r="AP286" s="35">
        <f>Table11[[#This Row],[2024 '#Trees Inventory + Estimate]]*Table11[[#This Row],[Canada Allocation2017 %]]</f>
        <v>0</v>
      </c>
      <c r="AQ286" s="35">
        <f>Table11[[#This Row],['#Trees as of 2024/estimate-Can allocation]]+Table11[[#This Row],['#Trees as of 2024/estimate-Can allocation 2017]]</f>
        <v>0</v>
      </c>
      <c r="AR286" s="1"/>
      <c r="AS286" s="2"/>
      <c r="AT286" s="6">
        <f>IFERROR(Table11[[#This Row],['#Total Replacements]]/Table11[[#This Row],['#TreesContract]],"")</f>
        <v>0.65527272727272723</v>
      </c>
      <c r="AU286" s="4">
        <f>IF(SUM(Table11[[#This Row],['#Replace 24]:['#Replace 16]])=0,0,SUM(Table11[[#This Row],['#Replace 24]:['#Replace 16]]))</f>
        <v>1802</v>
      </c>
      <c r="AV286" s="2"/>
      <c r="AW286" s="2"/>
      <c r="AX286" s="3"/>
      <c r="AY286" s="2">
        <v>1802</v>
      </c>
      <c r="AZ286" s="2"/>
      <c r="BA286" s="2"/>
      <c r="BB286" s="2"/>
      <c r="BC286" s="2"/>
      <c r="BD286" s="2"/>
      <c r="BE286" s="2"/>
      <c r="BF286" s="3">
        <v>1</v>
      </c>
      <c r="BG286" s="3">
        <v>1</v>
      </c>
      <c r="BH286" s="2"/>
      <c r="BI286" s="158"/>
      <c r="BJ286" s="158"/>
      <c r="BK286" s="139">
        <f>Table11[[#This Row],[Average MHT
(Feet)]]/16</f>
        <v>0</v>
      </c>
      <c r="BL286" s="2"/>
      <c r="BM286" s="139">
        <f>Table11[[#This Row],[Average DBH
(inches)]]/18</f>
        <v>0</v>
      </c>
      <c r="BN286" s="235">
        <f>((Table11[[#This Row],[Average DBH
(inches)]]-4)^2)*(Table11[[#This Row],[Average MHT
(Feet)]]/16)</f>
        <v>0</v>
      </c>
      <c r="BO286" s="235">
        <f>Table11[[#This Row],[Average BF]]*Table11[[#This Row],[2024 '#Trees Inventory + Estimate]]</f>
        <v>0</v>
      </c>
      <c r="BP286" s="240">
        <f>(Table11[[#This Row],[Harvest Year
(10 year)]]-Table11[[#This Row],[Year of Inventory]]+1)*(Table11[[#This Row],[Average DBH
(inches)]]/(Table11[[#This Row],[Harvest Year
(10 year)]]-Table11[[#This Row],[Year of Inventory]]+1))+Table11[[#This Row],[Average DBH
(inches)]]</f>
        <v>0</v>
      </c>
      <c r="BQ286" s="235">
        <f>((Table11[[#This Row],[Projected DBH
(Extrapolated Growth/Year)]]-4)^2)*(Table11[[#This Row],[Average MHT
(Feet)]]/16)</f>
        <v>0</v>
      </c>
      <c r="BR286" s="235">
        <f>Table11[[#This Row],[Projected Average BF]]*Table11[[#This Row],[2024 '#Trees Inventory + Estimate]]</f>
        <v>0</v>
      </c>
      <c r="BS286" s="235">
        <f>196*Table11[[#This Row],[2024 '#Trees Inventory + Estimate]]</f>
        <v>268773.60802727664</v>
      </c>
      <c r="BT286" s="235">
        <f>Table11[[#This Row],[ETP Offering Expected BF]]-Table11[[#This Row],[Projected Total BF]]</f>
        <v>268773.60802727664</v>
      </c>
      <c r="BU286" s="235">
        <f>(18-Table11[[#This Row],[Average DBH
(inches)]])/(D286-Table11[[#This Row],[Year of Inventory]]+1)</f>
        <v>8.8626292466765146E-3</v>
      </c>
    </row>
    <row r="287" spans="1:73" hidden="1" x14ac:dyDescent="0.25">
      <c r="A287" s="7" t="s">
        <v>1639</v>
      </c>
      <c r="B287" s="2">
        <v>2021</v>
      </c>
      <c r="C287" s="2">
        <v>2021</v>
      </c>
      <c r="D287" s="2">
        <f>Table11[[#This Row],[Planting Year]]+9</f>
        <v>2030</v>
      </c>
      <c r="E287" t="s">
        <v>1640</v>
      </c>
      <c r="F287" s="161">
        <v>40021</v>
      </c>
      <c r="G287" t="s">
        <v>1640</v>
      </c>
      <c r="H287" s="357" t="s">
        <v>1641</v>
      </c>
      <c r="I287" t="s">
        <v>155</v>
      </c>
      <c r="J287" s="1" t="s">
        <v>1642</v>
      </c>
      <c r="K287" s="1" t="s">
        <v>1643</v>
      </c>
      <c r="L287" s="1" t="s">
        <v>1643</v>
      </c>
      <c r="M287" s="1" t="s">
        <v>621</v>
      </c>
      <c r="N287" t="s">
        <v>1644</v>
      </c>
      <c r="O287">
        <v>17.773121</v>
      </c>
      <c r="P287">
        <v>-94.070393999999993</v>
      </c>
      <c r="Q287" s="2"/>
      <c r="R287" s="86"/>
      <c r="S287" s="2"/>
      <c r="T287" s="1">
        <v>2750</v>
      </c>
      <c r="U287" s="1">
        <v>2750</v>
      </c>
      <c r="V287" s="1" t="str">
        <f>IF(Table11[[#This Row],['#TreesContract]]-Table11[[#This Row],['#Planted]]=0,"",Table11[[#This Row],['#TreesContract]]-Table11[[#This Row],['#Planted]])</f>
        <v/>
      </c>
      <c r="W287" s="2"/>
      <c r="X287" s="34">
        <v>1</v>
      </c>
      <c r="Y287" s="163">
        <f>Table11[[#This Row],['#TreesContract]]*Table11[[#This Row],[USA Allocation %]]</f>
        <v>2750</v>
      </c>
      <c r="Z287" s="163">
        <f>Table11[[#This Row],['#Planted]]*Table11[[#This Row],[USA Allocation %]]</f>
        <v>2750</v>
      </c>
      <c r="AA287" s="34"/>
      <c r="AB287" s="163"/>
      <c r="AC287" s="34"/>
      <c r="AD287" s="163"/>
      <c r="AE287" s="163">
        <f>Table11[[#This Row],[Canada Allocation-tree '#''s]]+Table11[[#This Row],[Can trees/Allocation 2017]]</f>
        <v>0</v>
      </c>
      <c r="AF287" s="5">
        <v>0.98381437317028064</v>
      </c>
      <c r="AG287" s="35">
        <v>2705.4895262182717</v>
      </c>
      <c r="AH287" s="35">
        <f>Table11[[#This Row],['#Trees as of 12/31/23]]*Table11[[#This Row],[USA Allocation %]]</f>
        <v>2705.4895262182717</v>
      </c>
      <c r="AI287" s="437">
        <f>Table11[[#This Row],['#TreesContract]]*Table11[[#This Row],[2024 Inventory Survival%-master]]</f>
        <v>0</v>
      </c>
      <c r="AJ287" s="436"/>
      <c r="AK287" s="5">
        <v>0.98381437317028064</v>
      </c>
      <c r="AL287" s="5">
        <v>0.98381437317028064</v>
      </c>
      <c r="AM287" s="35">
        <v>2705.4895262182717</v>
      </c>
      <c r="AN287" s="35">
        <f>Table11[[#This Row],[2024 '#Trees Inventory + Estimate]]*Table11[[#This Row],[USA Allocation %]]</f>
        <v>2705.4895262182717</v>
      </c>
      <c r="AO287" s="35">
        <f>Table11[[#This Row],[2024 '#Trees Inventory + Estimate]]*Table11[[#This Row],[Canada Allocation %]]</f>
        <v>0</v>
      </c>
      <c r="AP287" s="35">
        <f>Table11[[#This Row],[2024 '#Trees Inventory + Estimate]]*Table11[[#This Row],[Canada Allocation2017 %]]</f>
        <v>0</v>
      </c>
      <c r="AQ287" s="35">
        <f>Table11[[#This Row],['#Trees as of 2024/estimate-Can allocation]]+Table11[[#This Row],['#Trees as of 2024/estimate-Can allocation 2017]]</f>
        <v>0</v>
      </c>
      <c r="AR287" s="1"/>
      <c r="AS287" s="2"/>
      <c r="AT287" s="6">
        <f>IFERROR(Table11[[#This Row],['#Total Replacements]]/Table11[[#This Row],['#TreesContract]],"")</f>
        <v>0.94545454545454544</v>
      </c>
      <c r="AU287" s="4">
        <f>IF(SUM(Table11[[#This Row],['#Replace 24]:['#Replace 16]])=0,0,SUM(Table11[[#This Row],['#Replace 24]:['#Replace 16]]))</f>
        <v>2600</v>
      </c>
      <c r="AV287" s="2"/>
      <c r="AW287" s="2"/>
      <c r="AX287" s="3">
        <v>300</v>
      </c>
      <c r="AY287" s="2">
        <v>2300</v>
      </c>
      <c r="AZ287" s="2"/>
      <c r="BA287" s="2"/>
      <c r="BB287" s="2"/>
      <c r="BC287" s="2"/>
      <c r="BD287" s="2"/>
      <c r="BE287" s="2"/>
      <c r="BF287" s="3">
        <v>1</v>
      </c>
      <c r="BG287" s="3">
        <v>1</v>
      </c>
      <c r="BH287" s="2"/>
      <c r="BI287" s="158"/>
      <c r="BJ287" s="158"/>
      <c r="BK287" s="139">
        <f>Table11[[#This Row],[Average MHT
(Feet)]]/16</f>
        <v>0</v>
      </c>
      <c r="BL287" s="2"/>
      <c r="BM287" s="139">
        <f>Table11[[#This Row],[Average DBH
(inches)]]/18</f>
        <v>0</v>
      </c>
      <c r="BN287" s="235">
        <f>((Table11[[#This Row],[Average DBH
(inches)]]-4)^2)*(Table11[[#This Row],[Average MHT
(Feet)]]/16)</f>
        <v>0</v>
      </c>
      <c r="BO287" s="235">
        <f>Table11[[#This Row],[Average BF]]*Table11[[#This Row],[2024 '#Trees Inventory + Estimate]]</f>
        <v>0</v>
      </c>
      <c r="BP287" s="240">
        <f>(Table11[[#This Row],[Harvest Year
(10 year)]]-Table11[[#This Row],[Year of Inventory]]+1)*(Table11[[#This Row],[Average DBH
(inches)]]/(Table11[[#This Row],[Harvest Year
(10 year)]]-Table11[[#This Row],[Year of Inventory]]+1))+Table11[[#This Row],[Average DBH
(inches)]]</f>
        <v>0</v>
      </c>
      <c r="BQ287" s="235">
        <f>((Table11[[#This Row],[Projected DBH
(Extrapolated Growth/Year)]]-4)^2)*(Table11[[#This Row],[Average MHT
(Feet)]]/16)</f>
        <v>0</v>
      </c>
      <c r="BR287" s="235">
        <f>Table11[[#This Row],[Projected Average BF]]*Table11[[#This Row],[2024 '#Trees Inventory + Estimate]]</f>
        <v>0</v>
      </c>
      <c r="BS287" s="235">
        <f>196*Table11[[#This Row],[2024 '#Trees Inventory + Estimate]]</f>
        <v>530275.94713878131</v>
      </c>
      <c r="BT287" s="243">
        <f>Table11[[#This Row],[ETP Offering Expected BF]]-Table11[[#This Row],[Projected Total BF]]</f>
        <v>530275.94713878131</v>
      </c>
      <c r="BU287" s="235">
        <f>(18-Table11[[#This Row],[Average DBH
(inches)]])/(D287-Table11[[#This Row],[Year of Inventory]]+1)</f>
        <v>8.8626292466765146E-3</v>
      </c>
    </row>
    <row r="288" spans="1:73" hidden="1" x14ac:dyDescent="0.25">
      <c r="A288" s="7" t="s">
        <v>1645</v>
      </c>
      <c r="B288" s="2">
        <v>2021</v>
      </c>
      <c r="C288" s="2">
        <v>2021</v>
      </c>
      <c r="D288" s="2">
        <f>Table11[[#This Row],[Planting Year]]+9</f>
        <v>2030</v>
      </c>
      <c r="E288" t="s">
        <v>1646</v>
      </c>
      <c r="F288" s="161">
        <v>40022</v>
      </c>
      <c r="G288" t="s">
        <v>1646</v>
      </c>
      <c r="H288" s="357" t="s">
        <v>1647</v>
      </c>
      <c r="I288" t="s">
        <v>155</v>
      </c>
      <c r="J288" s="1" t="s">
        <v>1648</v>
      </c>
      <c r="K288" s="1" t="s">
        <v>1649</v>
      </c>
      <c r="L288" s="1" t="s">
        <v>1650</v>
      </c>
      <c r="M288" s="1" t="s">
        <v>621</v>
      </c>
      <c r="N288" t="s">
        <v>1651</v>
      </c>
      <c r="O288">
        <v>17.613268000000001</v>
      </c>
      <c r="P288">
        <v>-95.258004999999997</v>
      </c>
      <c r="Q288" s="2"/>
      <c r="R288" s="86"/>
      <c r="S288" s="2"/>
      <c r="T288" s="1">
        <v>2200</v>
      </c>
      <c r="U288" s="1">
        <v>2200</v>
      </c>
      <c r="V288" s="1" t="str">
        <f>IF(Table11[[#This Row],['#TreesContract]]-Table11[[#This Row],['#Planted]]=0,"",Table11[[#This Row],['#TreesContract]]-Table11[[#This Row],['#Planted]])</f>
        <v/>
      </c>
      <c r="W288" s="2"/>
      <c r="X288" s="34">
        <v>1</v>
      </c>
      <c r="Y288" s="163">
        <f>Table11[[#This Row],['#TreesContract]]*Table11[[#This Row],[USA Allocation %]]</f>
        <v>2200</v>
      </c>
      <c r="Z288" s="163">
        <f>Table11[[#This Row],['#Planted]]*Table11[[#This Row],[USA Allocation %]]</f>
        <v>2200</v>
      </c>
      <c r="AA288" s="34"/>
      <c r="AB288" s="163"/>
      <c r="AC288" s="34"/>
      <c r="AD288" s="163"/>
      <c r="AE288" s="163">
        <f>Table11[[#This Row],[Canada Allocation-tree '#''s]]+Table11[[#This Row],[Can trees/Allocation 2017]]</f>
        <v>0</v>
      </c>
      <c r="AF288" s="5">
        <v>0.76766132076147975</v>
      </c>
      <c r="AG288" s="35">
        <v>1688.8549056752554</v>
      </c>
      <c r="AH288" s="35">
        <f>Table11[[#This Row],['#Trees as of 12/31/23]]*Table11[[#This Row],[USA Allocation %]]</f>
        <v>1688.8549056752554</v>
      </c>
      <c r="AI288" s="437">
        <f>Table11[[#This Row],['#TreesContract]]*Table11[[#This Row],[2024 Inventory Survival%-master]]</f>
        <v>0</v>
      </c>
      <c r="AJ288" s="436"/>
      <c r="AK288" s="5">
        <v>0.76766132076147975</v>
      </c>
      <c r="AL288" s="5">
        <v>0.76766132076147975</v>
      </c>
      <c r="AM288" s="35">
        <v>1688.8549056752554</v>
      </c>
      <c r="AN288" s="35">
        <f>Table11[[#This Row],[2024 '#Trees Inventory + Estimate]]*Table11[[#This Row],[USA Allocation %]]</f>
        <v>1688.8549056752554</v>
      </c>
      <c r="AO288" s="35">
        <f>Table11[[#This Row],[2024 '#Trees Inventory + Estimate]]*Table11[[#This Row],[Canada Allocation %]]</f>
        <v>0</v>
      </c>
      <c r="AP288" s="35">
        <f>Table11[[#This Row],[2024 '#Trees Inventory + Estimate]]*Table11[[#This Row],[Canada Allocation2017 %]]</f>
        <v>0</v>
      </c>
      <c r="AQ288" s="35">
        <f>Table11[[#This Row],['#Trees as of 2024/estimate-Can allocation]]+Table11[[#This Row],['#Trees as of 2024/estimate-Can allocation 2017]]</f>
        <v>0</v>
      </c>
      <c r="AR288" s="1"/>
      <c r="AS288" s="2"/>
      <c r="AT288" s="6">
        <f>IFERROR(Table11[[#This Row],['#Total Replacements]]/Table11[[#This Row],['#TreesContract]],"")</f>
        <v>0.79545454545454541</v>
      </c>
      <c r="AU288" s="4">
        <f>IF(SUM(Table11[[#This Row],['#Replace 24]:['#Replace 16]])=0,0,SUM(Table11[[#This Row],['#Replace 24]:['#Replace 16]]))</f>
        <v>1750</v>
      </c>
      <c r="AV288" s="2"/>
      <c r="AW288" s="2"/>
      <c r="AX288" s="3">
        <v>300</v>
      </c>
      <c r="AY288" s="2">
        <v>1450</v>
      </c>
      <c r="AZ288" s="2"/>
      <c r="BA288" s="2"/>
      <c r="BB288" s="2"/>
      <c r="BC288" s="2"/>
      <c r="BD288" s="2"/>
      <c r="BE288" s="2"/>
      <c r="BF288" s="3">
        <v>1</v>
      </c>
      <c r="BG288" s="3">
        <v>1</v>
      </c>
      <c r="BH288" s="2"/>
      <c r="BI288" s="2"/>
      <c r="BJ288" s="2"/>
      <c r="BK288" s="139">
        <f>Table11[[#This Row],[Average MHT
(Feet)]]/16</f>
        <v>0</v>
      </c>
      <c r="BL288" s="2"/>
      <c r="BM288" s="139">
        <f>Table11[[#This Row],[Average DBH
(inches)]]/18</f>
        <v>0</v>
      </c>
      <c r="BN288" s="235">
        <f>((Table11[[#This Row],[Average DBH
(inches)]]-4)^2)*(Table11[[#This Row],[Average MHT
(Feet)]]/16)</f>
        <v>0</v>
      </c>
      <c r="BO288" s="235">
        <f>Table11[[#This Row],[Average BF]]*Table11[[#This Row],[2024 '#Trees Inventory + Estimate]]</f>
        <v>0</v>
      </c>
      <c r="BP288" s="240">
        <f>(Table11[[#This Row],[Harvest Year
(10 year)]]-Table11[[#This Row],[Year of Inventory]]+1)*(Table11[[#This Row],[Average DBH
(inches)]]/(Table11[[#This Row],[Harvest Year
(10 year)]]-Table11[[#This Row],[Year of Inventory]]+1))+Table11[[#This Row],[Average DBH
(inches)]]</f>
        <v>0</v>
      </c>
      <c r="BQ288" s="235">
        <f>((Table11[[#This Row],[Projected DBH
(Extrapolated Growth/Year)]]-4)^2)*(Table11[[#This Row],[Average MHT
(Feet)]]/16)</f>
        <v>0</v>
      </c>
      <c r="BR288" s="235">
        <f>Table11[[#This Row],[Projected Average BF]]*Table11[[#This Row],[2024 '#Trees Inventory + Estimate]]</f>
        <v>0</v>
      </c>
      <c r="BS288" s="235">
        <f>196*Table11[[#This Row],[2024 '#Trees Inventory + Estimate]]</f>
        <v>331015.56151235005</v>
      </c>
      <c r="BT288" s="243">
        <f>Table11[[#This Row],[ETP Offering Expected BF]]-Table11[[#This Row],[Projected Total BF]]</f>
        <v>331015.56151235005</v>
      </c>
      <c r="BU288" s="235">
        <f>(18-Table11[[#This Row],[Average DBH
(inches)]])/(D288-Table11[[#This Row],[Year of Inventory]]+1)</f>
        <v>8.8626292466765146E-3</v>
      </c>
    </row>
    <row r="289" spans="1:73" hidden="1" x14ac:dyDescent="0.25">
      <c r="A289" s="7" t="s">
        <v>1652</v>
      </c>
      <c r="B289" s="2">
        <v>2021</v>
      </c>
      <c r="C289" s="2">
        <v>2021</v>
      </c>
      <c r="D289" s="2">
        <f>Table11[[#This Row],[Planting Year]]+9</f>
        <v>2030</v>
      </c>
      <c r="E289" t="s">
        <v>1653</v>
      </c>
      <c r="F289" s="161">
        <v>40023</v>
      </c>
      <c r="G289" t="s">
        <v>1654</v>
      </c>
      <c r="H289" s="357" t="s">
        <v>1655</v>
      </c>
      <c r="I289" t="s">
        <v>147</v>
      </c>
      <c r="J289" s="1" t="s">
        <v>1656</v>
      </c>
      <c r="K289" s="1" t="s">
        <v>1657</v>
      </c>
      <c r="L289" s="1" t="s">
        <v>1658</v>
      </c>
      <c r="M289" s="1" t="s">
        <v>621</v>
      </c>
      <c r="N289" t="s">
        <v>1659</v>
      </c>
      <c r="O289">
        <v>16.534257</v>
      </c>
      <c r="P289">
        <v>-92.474401</v>
      </c>
      <c r="Q289" s="2"/>
      <c r="R289" s="86"/>
      <c r="S289" s="2"/>
      <c r="T289" s="1">
        <v>1100</v>
      </c>
      <c r="U289" s="1">
        <v>1100</v>
      </c>
      <c r="V289" s="1" t="str">
        <f>IF(Table11[[#This Row],['#TreesContract]]-Table11[[#This Row],['#Planted]]=0,"",Table11[[#This Row],['#TreesContract]]-Table11[[#This Row],['#Planted]])</f>
        <v/>
      </c>
      <c r="W289" s="2"/>
      <c r="X289" s="34">
        <v>1</v>
      </c>
      <c r="Y289" s="163">
        <f>Table11[[#This Row],['#TreesContract]]*Table11[[#This Row],[USA Allocation %]]</f>
        <v>1100</v>
      </c>
      <c r="Z289" s="163">
        <f>Table11[[#This Row],['#Planted]]*Table11[[#This Row],[USA Allocation %]]</f>
        <v>1100</v>
      </c>
      <c r="AA289" s="34"/>
      <c r="AB289" s="163"/>
      <c r="AC289" s="34"/>
      <c r="AD289" s="163"/>
      <c r="AE289" s="163">
        <f>Table11[[#This Row],[Canada Allocation-tree '#''s]]+Table11[[#This Row],[Can trees/Allocation 2017]]</f>
        <v>0</v>
      </c>
      <c r="AF289" s="5">
        <v>0.95</v>
      </c>
      <c r="AG289" s="35">
        <v>1045</v>
      </c>
      <c r="AH289" s="35">
        <f>Table11[[#This Row],['#Trees as of 12/31/23]]*Table11[[#This Row],[USA Allocation %]]</f>
        <v>1045</v>
      </c>
      <c r="AI289" s="404">
        <f>Table11[[#This Row],['#TreesContract]]*Table11[[#This Row],[2024 Inventory Survival%-master]]</f>
        <v>0</v>
      </c>
      <c r="AJ289" s="5"/>
      <c r="AK289" s="5">
        <v>0.95</v>
      </c>
      <c r="AL289" s="5">
        <v>0</v>
      </c>
      <c r="AM289" s="35">
        <f>AK289*Table11[[#This Row],['#TreesContract]]</f>
        <v>1045</v>
      </c>
      <c r="AN289" s="35">
        <f>Table11[[#This Row],[2024 '#Trees Inventory + Estimate]]*Table11[[#This Row],[USA Allocation %]]</f>
        <v>1045</v>
      </c>
      <c r="AO289" s="35">
        <f>Table11[[#This Row],[2024 '#Trees Inventory + Estimate]]*Table11[[#This Row],[Canada Allocation %]]</f>
        <v>0</v>
      </c>
      <c r="AP289" s="35">
        <f>Table11[[#This Row],[2024 '#Trees Inventory + Estimate]]*Table11[[#This Row],[Canada Allocation2017 %]]</f>
        <v>0</v>
      </c>
      <c r="AQ289" s="35">
        <f>Table11[[#This Row],['#Trees as of 2024/estimate-Can allocation]]+Table11[[#This Row],['#Trees as of 2024/estimate-Can allocation 2017]]</f>
        <v>0</v>
      </c>
      <c r="AR289" s="1"/>
      <c r="AS289" s="2"/>
      <c r="AT289" s="6">
        <f>IFERROR(Table11[[#This Row],['#Total Replacements]]/Table11[[#This Row],['#TreesContract]],"")</f>
        <v>0</v>
      </c>
      <c r="AU289" s="4">
        <f>IF(SUM(Table11[[#This Row],['#Replace 24]:['#Replace 16]])=0,0,SUM(Table11[[#This Row],['#Replace 24]:['#Replace 16]]))</f>
        <v>0</v>
      </c>
      <c r="AV289" s="2"/>
      <c r="AW289" s="2"/>
      <c r="AX289" s="3"/>
      <c r="AY289" s="2"/>
      <c r="AZ289" s="2"/>
      <c r="BA289" s="2"/>
      <c r="BB289" s="2"/>
      <c r="BC289" s="2"/>
      <c r="BD289" s="2"/>
      <c r="BE289" s="2"/>
      <c r="BF289" s="3">
        <v>1</v>
      </c>
      <c r="BG289" s="3">
        <v>1</v>
      </c>
      <c r="BH289" s="2"/>
      <c r="BI289" s="2"/>
      <c r="BJ289" s="2"/>
      <c r="BK289" s="139">
        <f>Table11[[#This Row],[Average MHT
(Feet)]]/16</f>
        <v>0</v>
      </c>
      <c r="BL289" s="2"/>
      <c r="BM289" s="139">
        <f>Table11[[#This Row],[Average DBH
(inches)]]/18</f>
        <v>0</v>
      </c>
      <c r="BN289" s="235">
        <f>((Table11[[#This Row],[Average DBH
(inches)]]-4)^2)*(Table11[[#This Row],[Average MHT
(Feet)]]/16)</f>
        <v>0</v>
      </c>
      <c r="BO289" s="235">
        <f>Table11[[#This Row],[Average BF]]*Table11[[#This Row],[2024 '#Trees Inventory + Estimate]]</f>
        <v>0</v>
      </c>
      <c r="BP289" s="240">
        <f>(Table11[[#This Row],[Harvest Year
(10 year)]]-Table11[[#This Row],[Year of Inventory]]+1)*(Table11[[#This Row],[Average DBH
(inches)]]/(Table11[[#This Row],[Harvest Year
(10 year)]]-Table11[[#This Row],[Year of Inventory]]+1))+Table11[[#This Row],[Average DBH
(inches)]]</f>
        <v>0</v>
      </c>
      <c r="BQ289" s="235">
        <f>((Table11[[#This Row],[Projected DBH
(Extrapolated Growth/Year)]]-4)^2)*(Table11[[#This Row],[Average MHT
(Feet)]]/16)</f>
        <v>0</v>
      </c>
      <c r="BR289" s="235">
        <f>Table11[[#This Row],[Projected Average BF]]*Table11[[#This Row],[2024 '#Trees Inventory + Estimate]]</f>
        <v>0</v>
      </c>
      <c r="BS289" s="235">
        <f>196*Table11[[#This Row],[2024 '#Trees Inventory + Estimate]]</f>
        <v>204820</v>
      </c>
      <c r="BT289" s="235">
        <f>Table11[[#This Row],[ETP Offering Expected BF]]-Table11[[#This Row],[Projected Total BF]]</f>
        <v>204820</v>
      </c>
      <c r="BU289" s="235">
        <f>(18-Table11[[#This Row],[Average DBH
(inches)]])/(D289-Table11[[#This Row],[Year of Inventory]]+1)</f>
        <v>8.8626292466765146E-3</v>
      </c>
    </row>
    <row r="290" spans="1:73" hidden="1" x14ac:dyDescent="0.25">
      <c r="A290" s="7" t="s">
        <v>1660</v>
      </c>
      <c r="B290" s="2">
        <v>2021</v>
      </c>
      <c r="C290" s="2">
        <v>2021</v>
      </c>
      <c r="D290" s="2">
        <f>Table11[[#This Row],[Planting Year]]+9</f>
        <v>2030</v>
      </c>
      <c r="E290" t="s">
        <v>1661</v>
      </c>
      <c r="F290" s="161">
        <v>40024</v>
      </c>
      <c r="G290" t="s">
        <v>1662</v>
      </c>
      <c r="H290" s="357" t="s">
        <v>1663</v>
      </c>
      <c r="I290" t="s">
        <v>147</v>
      </c>
      <c r="J290" s="1" t="s">
        <v>1635</v>
      </c>
      <c r="K290" s="1" t="s">
        <v>1664</v>
      </c>
      <c r="L290" s="1" t="s">
        <v>1665</v>
      </c>
      <c r="M290" s="1" t="s">
        <v>621</v>
      </c>
      <c r="N290" t="s">
        <v>1666</v>
      </c>
      <c r="O290">
        <v>17.933918999999999</v>
      </c>
      <c r="P290">
        <v>-95.322563000000002</v>
      </c>
      <c r="Q290" s="2"/>
      <c r="R290" s="86"/>
      <c r="S290" s="2"/>
      <c r="T290" s="1">
        <v>2750</v>
      </c>
      <c r="U290" s="1">
        <v>2750</v>
      </c>
      <c r="V290" s="1" t="str">
        <f>IF(Table11[[#This Row],['#TreesContract]]-Table11[[#This Row],['#Planted]]=0,"",Table11[[#This Row],['#TreesContract]]-Table11[[#This Row],['#Planted]])</f>
        <v/>
      </c>
      <c r="W290" s="2"/>
      <c r="X290" s="34">
        <v>1</v>
      </c>
      <c r="Y290" s="163">
        <f>Table11[[#This Row],['#TreesContract]]*Table11[[#This Row],[USA Allocation %]]</f>
        <v>2750</v>
      </c>
      <c r="Z290" s="163">
        <f>Table11[[#This Row],['#Planted]]*Table11[[#This Row],[USA Allocation %]]</f>
        <v>2750</v>
      </c>
      <c r="AA290" s="34"/>
      <c r="AB290" s="163"/>
      <c r="AC290" s="34"/>
      <c r="AD290" s="163"/>
      <c r="AE290" s="163">
        <f>Table11[[#This Row],[Canada Allocation-tree '#''s]]+Table11[[#This Row],[Can trees/Allocation 2017]]</f>
        <v>0</v>
      </c>
      <c r="AF290" s="5">
        <v>0.14065963545930102</v>
      </c>
      <c r="AG290" s="35">
        <v>386.81399751307782</v>
      </c>
      <c r="AH290" s="35">
        <f>Table11[[#This Row],['#Trees as of 12/31/23]]*Table11[[#This Row],[USA Allocation %]]</f>
        <v>386.81399751307782</v>
      </c>
      <c r="AI290" s="404">
        <f>Table11[[#This Row],['#TreesContract]]*Table11[[#This Row],[2024 Inventory Survival%-master]]</f>
        <v>0</v>
      </c>
      <c r="AJ290" s="5"/>
      <c r="AK290" s="5">
        <v>0.14065963545930102</v>
      </c>
      <c r="AL290" s="5">
        <v>0</v>
      </c>
      <c r="AM290" s="35">
        <f>AK290*Table11[[#This Row],['#TreesContract]]</f>
        <v>386.81399751307782</v>
      </c>
      <c r="AN290" s="35">
        <f>Table11[[#This Row],[2024 '#Trees Inventory + Estimate]]*Table11[[#This Row],[USA Allocation %]]</f>
        <v>386.81399751307782</v>
      </c>
      <c r="AO290" s="35">
        <f>Table11[[#This Row],[2024 '#Trees Inventory + Estimate]]*Table11[[#This Row],[Canada Allocation %]]</f>
        <v>0</v>
      </c>
      <c r="AP290" s="35">
        <f>Table11[[#This Row],[2024 '#Trees Inventory + Estimate]]*Table11[[#This Row],[Canada Allocation2017 %]]</f>
        <v>0</v>
      </c>
      <c r="AQ290" s="35">
        <f>Table11[[#This Row],['#Trees as of 2024/estimate-Can allocation]]+Table11[[#This Row],['#Trees as of 2024/estimate-Can allocation 2017]]</f>
        <v>0</v>
      </c>
      <c r="AR290" s="1"/>
      <c r="AS290" s="2"/>
      <c r="AT290" s="6">
        <f>IFERROR(Table11[[#This Row],['#Total Replacements]]/Table11[[#This Row],['#TreesContract]],"")</f>
        <v>0</v>
      </c>
      <c r="AU290" s="4">
        <f>IF(SUM(Table11[[#This Row],['#Replace 24]:['#Replace 16]])=0,0,SUM(Table11[[#This Row],['#Replace 24]:['#Replace 16]]))</f>
        <v>0</v>
      </c>
      <c r="AV290" s="2"/>
      <c r="AW290" s="2"/>
      <c r="AX290" s="3"/>
      <c r="AY290" s="2"/>
      <c r="AZ290" s="2"/>
      <c r="BA290" s="2"/>
      <c r="BB290" s="2"/>
      <c r="BC290" s="2"/>
      <c r="BD290" s="2"/>
      <c r="BE290" s="2"/>
      <c r="BF290" s="3">
        <v>1</v>
      </c>
      <c r="BG290" s="3">
        <v>1</v>
      </c>
      <c r="BH290" s="2"/>
      <c r="BI290" s="158"/>
      <c r="BJ290" s="158"/>
      <c r="BK290" s="139">
        <f>Table11[[#This Row],[Average MHT
(Feet)]]/16</f>
        <v>0</v>
      </c>
      <c r="BL290" s="2"/>
      <c r="BM290" s="139">
        <f>Table11[[#This Row],[Average DBH
(inches)]]/18</f>
        <v>0</v>
      </c>
      <c r="BN290" s="235">
        <f>((Table11[[#This Row],[Average DBH
(inches)]]-4)^2)*(Table11[[#This Row],[Average MHT
(Feet)]]/16)</f>
        <v>0</v>
      </c>
      <c r="BO290" s="235">
        <f>Table11[[#This Row],[Average BF]]*Table11[[#This Row],[2024 '#Trees Inventory + Estimate]]</f>
        <v>0</v>
      </c>
      <c r="BP290" s="240">
        <f>(Table11[[#This Row],[Harvest Year
(10 year)]]-Table11[[#This Row],[Year of Inventory]]+1)*(Table11[[#This Row],[Average DBH
(inches)]]/(Table11[[#This Row],[Harvest Year
(10 year)]]-Table11[[#This Row],[Year of Inventory]]+1))+Table11[[#This Row],[Average DBH
(inches)]]</f>
        <v>0</v>
      </c>
      <c r="BQ290" s="235">
        <f>((Table11[[#This Row],[Projected DBH
(Extrapolated Growth/Year)]]-4)^2)*(Table11[[#This Row],[Average MHT
(Feet)]]/16)</f>
        <v>0</v>
      </c>
      <c r="BR290" s="235">
        <f>Table11[[#This Row],[Projected Average BF]]*Table11[[#This Row],[2024 '#Trees Inventory + Estimate]]</f>
        <v>0</v>
      </c>
      <c r="BS290" s="235">
        <f>196*Table11[[#This Row],[2024 '#Trees Inventory + Estimate]]</f>
        <v>75815.54351256325</v>
      </c>
      <c r="BT290" s="235">
        <f>Table11[[#This Row],[ETP Offering Expected BF]]-Table11[[#This Row],[Projected Total BF]]</f>
        <v>75815.54351256325</v>
      </c>
      <c r="BU290" s="235">
        <f>(18-Table11[[#This Row],[Average DBH
(inches)]])/(D290-Table11[[#This Row],[Year of Inventory]]+1)</f>
        <v>8.8626292466765146E-3</v>
      </c>
    </row>
    <row r="291" spans="1:73" hidden="1" x14ac:dyDescent="0.25">
      <c r="A291" s="7" t="s">
        <v>1667</v>
      </c>
      <c r="B291" s="2">
        <v>2021</v>
      </c>
      <c r="C291" s="2">
        <v>2022</v>
      </c>
      <c r="D291" s="2">
        <f>Table11[[#This Row],[Planting Year]]+9</f>
        <v>2031</v>
      </c>
      <c r="E291" s="97" t="s">
        <v>797</v>
      </c>
      <c r="F291" s="161">
        <v>10068</v>
      </c>
      <c r="G291" t="s">
        <v>797</v>
      </c>
      <c r="H291" s="357" t="s">
        <v>798</v>
      </c>
      <c r="I291" t="s">
        <v>147</v>
      </c>
      <c r="J291" s="1" t="s">
        <v>799</v>
      </c>
      <c r="K291" s="1" t="s">
        <v>800</v>
      </c>
      <c r="L291" s="1" t="s">
        <v>800</v>
      </c>
      <c r="M291" s="1" t="s">
        <v>150</v>
      </c>
      <c r="N291" t="s">
        <v>801</v>
      </c>
      <c r="O291">
        <v>32.617043000000002</v>
      </c>
      <c r="P291">
        <v>-86.203638999999995</v>
      </c>
      <c r="Q291" s="2"/>
      <c r="R291" s="86"/>
      <c r="S291" s="2"/>
      <c r="T291" s="1">
        <v>1100</v>
      </c>
      <c r="U291" s="1">
        <v>1100</v>
      </c>
      <c r="V291" s="1" t="str">
        <f>IF(Table11[[#This Row],['#TreesContract]]-Table11[[#This Row],['#Planted]]=0,"",Table11[[#This Row],['#TreesContract]]-Table11[[#This Row],['#Planted]])</f>
        <v/>
      </c>
      <c r="W291" s="2"/>
      <c r="X291" s="34">
        <v>1</v>
      </c>
      <c r="Y291" s="163">
        <f>Table11[[#This Row],['#TreesContract]]*Table11[[#This Row],[USA Allocation %]]</f>
        <v>1100</v>
      </c>
      <c r="Z291" s="163">
        <f>Table11[[#This Row],['#Planted]]*Table11[[#This Row],[USA Allocation %]]</f>
        <v>1100</v>
      </c>
      <c r="AA291" s="34"/>
      <c r="AB291" s="163"/>
      <c r="AC291" s="34"/>
      <c r="AD291" s="163"/>
      <c r="AE291" s="163">
        <f>Table11[[#This Row],[Canada Allocation-tree '#''s]]+Table11[[#This Row],[Can trees/Allocation 2017]]</f>
        <v>0</v>
      </c>
      <c r="AF291" s="5">
        <v>1</v>
      </c>
      <c r="AG291" s="35">
        <v>1100</v>
      </c>
      <c r="AH291" s="35">
        <f>Table11[[#This Row],['#Trees as of 12/31/23]]*Table11[[#This Row],[USA Allocation %]]</f>
        <v>1100</v>
      </c>
      <c r="AI291" s="404">
        <f>Table11[[#This Row],['#TreesContract]]*Table11[[#This Row],[2024 Inventory Survival%-master]]</f>
        <v>0</v>
      </c>
      <c r="AJ291" s="5"/>
      <c r="AK291" s="5">
        <v>1</v>
      </c>
      <c r="AL291" s="5">
        <v>0</v>
      </c>
      <c r="AM291" s="35">
        <f>AK291*Table11[[#This Row],['#TreesContract]]</f>
        <v>1100</v>
      </c>
      <c r="AN291" s="35">
        <f>Table11[[#This Row],[2024 '#Trees Inventory + Estimate]]*Table11[[#This Row],[USA Allocation %]]</f>
        <v>1100</v>
      </c>
      <c r="AO291" s="35">
        <f>Table11[[#This Row],[2024 '#Trees Inventory + Estimate]]*Table11[[#This Row],[Canada Allocation %]]</f>
        <v>0</v>
      </c>
      <c r="AP291" s="35">
        <f>Table11[[#This Row],[2024 '#Trees Inventory + Estimate]]*Table11[[#This Row],[Canada Allocation2017 %]]</f>
        <v>0</v>
      </c>
      <c r="AQ291" s="35">
        <f>Table11[[#This Row],['#Trees as of 2024/estimate-Can allocation]]+Table11[[#This Row],['#Trees as of 2024/estimate-Can allocation 2017]]</f>
        <v>0</v>
      </c>
      <c r="AR291" s="1" t="s">
        <v>152</v>
      </c>
      <c r="AS291" s="2" t="s">
        <v>209</v>
      </c>
      <c r="AT291" s="6">
        <f>IFERROR(Table11[[#This Row],['#Total Replacements]]/Table11[[#This Row],['#TreesContract]],"")</f>
        <v>0</v>
      </c>
      <c r="AU291" s="4">
        <f>IF(SUM(Table11[[#This Row],['#Replace 24]:['#Replace 16]])=0,0,SUM(Table11[[#This Row],['#Replace 24]:['#Replace 16]]))</f>
        <v>0</v>
      </c>
      <c r="AV291" s="2"/>
      <c r="AW291" s="2"/>
      <c r="AX291" s="3"/>
      <c r="AY291" s="2"/>
      <c r="AZ291" s="2"/>
      <c r="BA291" s="2"/>
      <c r="BB291" s="2"/>
      <c r="BC291" s="2"/>
      <c r="BD291" s="2"/>
      <c r="BE291" s="2"/>
      <c r="BF291" s="3">
        <v>1</v>
      </c>
      <c r="BG291" s="3">
        <v>1</v>
      </c>
      <c r="BH291" s="2"/>
      <c r="BI291" s="2"/>
      <c r="BJ291" s="2"/>
      <c r="BK291" s="139">
        <f>Table11[[#This Row],[Average MHT
(Feet)]]/16</f>
        <v>0</v>
      </c>
      <c r="BL291" s="2"/>
      <c r="BM291" s="139">
        <f>Table11[[#This Row],[Average DBH
(inches)]]/18</f>
        <v>0</v>
      </c>
      <c r="BN291" s="235">
        <f>((Table11[[#This Row],[Average DBH
(inches)]]-4)^2)*(Table11[[#This Row],[Average MHT
(Feet)]]/16)</f>
        <v>0</v>
      </c>
      <c r="BO291" s="235">
        <f>Table11[[#This Row],[Average BF]]*Table11[[#This Row],[2024 '#Trees Inventory + Estimate]]</f>
        <v>0</v>
      </c>
      <c r="BP291" s="240">
        <f>(Table11[[#This Row],[Harvest Year
(10 year)]]-Table11[[#This Row],[Year of Inventory]]+1)*(Table11[[#This Row],[Average DBH
(inches)]]/(Table11[[#This Row],[Harvest Year
(10 year)]]-Table11[[#This Row],[Year of Inventory]]+1))+Table11[[#This Row],[Average DBH
(inches)]]</f>
        <v>0</v>
      </c>
      <c r="BQ291" s="235">
        <f>((Table11[[#This Row],[Projected DBH
(Extrapolated Growth/Year)]]-4)^2)*(Table11[[#This Row],[Average MHT
(Feet)]]/16)</f>
        <v>0</v>
      </c>
      <c r="BR291" s="235">
        <f>Table11[[#This Row],[Projected Average BF]]*Table11[[#This Row],[2024 '#Trees Inventory + Estimate]]</f>
        <v>0</v>
      </c>
      <c r="BS291" s="235">
        <f>196*Table11[[#This Row],[2024 '#Trees Inventory + Estimate]]</f>
        <v>215600</v>
      </c>
      <c r="BT291" s="235">
        <f>Table11[[#This Row],[ETP Offering Expected BF]]-Table11[[#This Row],[Projected Total BF]]</f>
        <v>215600</v>
      </c>
      <c r="BU291" s="235">
        <f>(18-Table11[[#This Row],[Average DBH
(inches)]])/(D291-Table11[[#This Row],[Year of Inventory]]+1)</f>
        <v>8.8582677165354329E-3</v>
      </c>
    </row>
    <row r="292" spans="1:73" hidden="1" x14ac:dyDescent="0.25">
      <c r="A292" s="7" t="s">
        <v>1668</v>
      </c>
      <c r="B292" s="2">
        <v>2021</v>
      </c>
      <c r="C292" s="2">
        <v>2022</v>
      </c>
      <c r="D292" s="2">
        <f>Table11[[#This Row],[Planting Year]]+9</f>
        <v>2031</v>
      </c>
      <c r="E292" s="97" t="s">
        <v>1300</v>
      </c>
      <c r="F292" s="161">
        <v>10080</v>
      </c>
      <c r="G292" t="s">
        <v>1300</v>
      </c>
      <c r="H292" s="357" t="s">
        <v>1302</v>
      </c>
      <c r="I292" s="346" t="s">
        <v>155</v>
      </c>
      <c r="J292" s="1" t="s">
        <v>1303</v>
      </c>
      <c r="K292" s="1" t="s">
        <v>1304</v>
      </c>
      <c r="L292" s="1" t="s">
        <v>1304</v>
      </c>
      <c r="M292" s="1" t="s">
        <v>150</v>
      </c>
      <c r="N292" t="s">
        <v>1305</v>
      </c>
      <c r="O292">
        <v>31.258754</v>
      </c>
      <c r="P292">
        <v>-85.252274999999997</v>
      </c>
      <c r="Q292" s="2"/>
      <c r="R292" s="86"/>
      <c r="S292" s="2"/>
      <c r="T292" s="1">
        <v>550</v>
      </c>
      <c r="U292" s="1">
        <v>550</v>
      </c>
      <c r="V292" s="1" t="str">
        <f>IF(Table11[[#This Row],['#TreesContract]]-Table11[[#This Row],['#Planted]]=0,"",Table11[[#This Row],['#TreesContract]]-Table11[[#This Row],['#Planted]])</f>
        <v/>
      </c>
      <c r="W292" s="2"/>
      <c r="X292" s="34">
        <v>1</v>
      </c>
      <c r="Y292" s="163">
        <f>Table11[[#This Row],['#TreesContract]]*Table11[[#This Row],[USA Allocation %]]</f>
        <v>550</v>
      </c>
      <c r="Z292" s="163">
        <f>Table11[[#This Row],['#Planted]]*Table11[[#This Row],[USA Allocation %]]</f>
        <v>550</v>
      </c>
      <c r="AA292" s="34"/>
      <c r="AB292" s="163"/>
      <c r="AC292" s="34"/>
      <c r="AD292" s="163"/>
      <c r="AE292" s="163">
        <f>Table11[[#This Row],[Canada Allocation-tree '#''s]]+Table11[[#This Row],[Can trees/Allocation 2017]]</f>
        <v>0</v>
      </c>
      <c r="AF292" s="5">
        <v>1</v>
      </c>
      <c r="AG292" s="35">
        <v>550</v>
      </c>
      <c r="AH292" s="35">
        <f>Table11[[#This Row],['#Trees as of 12/31/23]]*Table11[[#This Row],[USA Allocation %]]</f>
        <v>550</v>
      </c>
      <c r="AI292" s="437">
        <f>Table11[[#This Row],['#TreesContract]]*Table11[[#This Row],[2024 Inventory Survival%-master]]</f>
        <v>0</v>
      </c>
      <c r="AJ292" s="436">
        <v>0</v>
      </c>
      <c r="AK292" s="366">
        <v>0</v>
      </c>
      <c r="AL292" s="5">
        <v>0</v>
      </c>
      <c r="AM292" s="35">
        <f>Table11[[#This Row],['#TreesContract]]*Table11[[#This Row],[2024 Inventory Survival%-master]]</f>
        <v>0</v>
      </c>
      <c r="AN292" s="35">
        <f>Table11[[#This Row],[2024 '#Trees Inventory + Estimate]]*Table11[[#This Row],[USA Allocation %]]</f>
        <v>0</v>
      </c>
      <c r="AO292" s="35">
        <f>Table11[[#This Row],[2024 '#Trees Inventory + Estimate]]*Table11[[#This Row],[Canada Allocation %]]</f>
        <v>0</v>
      </c>
      <c r="AP292" s="35">
        <f>Table11[[#This Row],[2024 '#Trees Inventory + Estimate]]*Table11[[#This Row],[Canada Allocation2017 %]]</f>
        <v>0</v>
      </c>
      <c r="AQ292" s="35">
        <f>Table11[[#This Row],['#Trees as of 2024/estimate-Can allocation]]+Table11[[#This Row],['#Trees as of 2024/estimate-Can allocation 2017]]</f>
        <v>0</v>
      </c>
      <c r="AR292" s="1" t="s">
        <v>152</v>
      </c>
      <c r="AS292" s="2" t="s">
        <v>171</v>
      </c>
      <c r="AT292" s="6">
        <f>IFERROR(Table11[[#This Row],['#Total Replacements]]/Table11[[#This Row],['#TreesContract]],"")</f>
        <v>0</v>
      </c>
      <c r="AU292" s="4">
        <f>IF(SUM(Table11[[#This Row],['#Replace 24]:['#Replace 16]])=0,0,SUM(Table11[[#This Row],['#Replace 24]:['#Replace 16]]))</f>
        <v>0</v>
      </c>
      <c r="AV292" s="2"/>
      <c r="AW292" s="2"/>
      <c r="AX292" s="3"/>
      <c r="AY292" s="2"/>
      <c r="AZ292" s="2"/>
      <c r="BA292" s="2"/>
      <c r="BB292" s="2"/>
      <c r="BC292" s="2"/>
      <c r="BD292" s="2"/>
      <c r="BE292" s="2"/>
      <c r="BF292" s="3">
        <v>1</v>
      </c>
      <c r="BG292" s="3">
        <v>1</v>
      </c>
      <c r="BH292" s="2">
        <v>2024</v>
      </c>
      <c r="BI292" s="2">
        <v>0</v>
      </c>
      <c r="BJ292" s="2">
        <v>0</v>
      </c>
      <c r="BK292" s="139">
        <f>Table11[[#This Row],[Average MHT
(Feet)]]/16</f>
        <v>0</v>
      </c>
      <c r="BL292" s="2">
        <v>0</v>
      </c>
      <c r="BM292" s="139">
        <f>Table11[[#This Row],[Average DBH
(inches)]]/18</f>
        <v>0</v>
      </c>
      <c r="BN292" s="235">
        <f>((Table11[[#This Row],[Average DBH
(inches)]]-4)^2)*(Table11[[#This Row],[Average MHT
(Feet)]]/16)</f>
        <v>0</v>
      </c>
      <c r="BO292" s="235">
        <f>Table11[[#This Row],[Average BF]]*Table11[[#This Row],[2024 '#Trees Inventory + Estimate]]</f>
        <v>0</v>
      </c>
      <c r="BP292" s="240">
        <f>(Table11[[#This Row],[Harvest Year
(10 year)]]-Table11[[#This Row],[Year of Inventory]]+1)*(Table11[[#This Row],[Average DBH
(inches)]]/(Table11[[#This Row],[Harvest Year
(10 year)]]-Table11[[#This Row],[Year of Inventory]]+1))+Table11[[#This Row],[Average DBH
(inches)]]</f>
        <v>0</v>
      </c>
      <c r="BQ292" s="235">
        <f>((Table11[[#This Row],[Projected DBH
(Extrapolated Growth/Year)]]-4)^2)*(Table11[[#This Row],[Average MHT
(Feet)]]/16)</f>
        <v>0</v>
      </c>
      <c r="BR292" s="235">
        <f>Table11[[#This Row],[Projected Average BF]]*Table11[[#This Row],[2024 '#Trees Inventory + Estimate]]</f>
        <v>0</v>
      </c>
      <c r="BS292" s="235">
        <f>196*Table11[[#This Row],[2024 '#Trees Inventory + Estimate]]</f>
        <v>0</v>
      </c>
      <c r="BT292" s="243">
        <f>Table11[[#This Row],[ETP Offering Expected BF]]-Table11[[#This Row],[Projected Total BF]]</f>
        <v>0</v>
      </c>
      <c r="BU292" s="235">
        <f>(18-Table11[[#This Row],[Average DBH
(inches)]])/(D292-Table11[[#This Row],[Year of Inventory]]+1)</f>
        <v>2.25</v>
      </c>
    </row>
    <row r="293" spans="1:73" hidden="1" x14ac:dyDescent="0.25">
      <c r="A293" s="7" t="s">
        <v>1669</v>
      </c>
      <c r="B293" s="2">
        <v>2021</v>
      </c>
      <c r="C293" s="2">
        <v>2022</v>
      </c>
      <c r="D293" s="2">
        <f>Table11[[#This Row],[Planting Year]]+9</f>
        <v>2031</v>
      </c>
      <c r="E293" s="97" t="s">
        <v>1314</v>
      </c>
      <c r="F293" s="161">
        <v>10082</v>
      </c>
      <c r="G293" t="s">
        <v>1314</v>
      </c>
      <c r="H293" s="357" t="s">
        <v>1316</v>
      </c>
      <c r="I293" t="s">
        <v>155</v>
      </c>
      <c r="J293" s="1" t="s">
        <v>1317</v>
      </c>
      <c r="K293" s="1" t="s">
        <v>1318</v>
      </c>
      <c r="L293" s="1" t="s">
        <v>1319</v>
      </c>
      <c r="M293" s="1" t="s">
        <v>150</v>
      </c>
      <c r="N293" t="s">
        <v>1320</v>
      </c>
      <c r="O293">
        <v>33.220832999999999</v>
      </c>
      <c r="P293">
        <v>-83.948611</v>
      </c>
      <c r="Q293" s="2"/>
      <c r="R293" s="86"/>
      <c r="S293" s="2"/>
      <c r="T293" s="1">
        <v>1100</v>
      </c>
      <c r="U293" s="1">
        <v>1100</v>
      </c>
      <c r="V293" s="1" t="str">
        <f>IF(Table11[[#This Row],['#TreesContract]]-Table11[[#This Row],['#Planted]]=0,"",Table11[[#This Row],['#TreesContract]]-Table11[[#This Row],['#Planted]])</f>
        <v/>
      </c>
      <c r="W293" s="2"/>
      <c r="X293" s="34">
        <v>1</v>
      </c>
      <c r="Y293" s="163">
        <f>Table11[[#This Row],['#TreesContract]]*Table11[[#This Row],[USA Allocation %]]</f>
        <v>1100</v>
      </c>
      <c r="Z293" s="163">
        <f>Table11[[#This Row],['#Planted]]*Table11[[#This Row],[USA Allocation %]]</f>
        <v>1100</v>
      </c>
      <c r="AA293" s="34"/>
      <c r="AB293" s="163"/>
      <c r="AC293" s="34"/>
      <c r="AD293" s="163"/>
      <c r="AE293" s="163">
        <f>Table11[[#This Row],[Canada Allocation-tree '#''s]]+Table11[[#This Row],[Can trees/Allocation 2017]]</f>
        <v>0</v>
      </c>
      <c r="AF293" s="5">
        <v>1</v>
      </c>
      <c r="AG293" s="35">
        <v>1100</v>
      </c>
      <c r="AH293" s="35">
        <f>Table11[[#This Row],['#Trees as of 12/31/23]]*Table11[[#This Row],[USA Allocation %]]</f>
        <v>1100</v>
      </c>
      <c r="AI293" s="437">
        <f>Table11[[#This Row],['#TreesContract]]*Table11[[#This Row],[2024 Inventory Survival%-master]]</f>
        <v>0</v>
      </c>
      <c r="AJ293" s="436"/>
      <c r="AK293" s="5">
        <v>1</v>
      </c>
      <c r="AL293" s="5">
        <v>1</v>
      </c>
      <c r="AM293" s="35">
        <v>1100</v>
      </c>
      <c r="AN293" s="35">
        <f>Table11[[#This Row],[2024 '#Trees Inventory + Estimate]]*Table11[[#This Row],[USA Allocation %]]</f>
        <v>1100</v>
      </c>
      <c r="AO293" s="35">
        <f>Table11[[#This Row],[2024 '#Trees Inventory + Estimate]]*Table11[[#This Row],[Canada Allocation %]]</f>
        <v>0</v>
      </c>
      <c r="AP293" s="35">
        <f>Table11[[#This Row],[2024 '#Trees Inventory + Estimate]]*Table11[[#This Row],[Canada Allocation2017 %]]</f>
        <v>0</v>
      </c>
      <c r="AQ293" s="35">
        <f>Table11[[#This Row],['#Trees as of 2024/estimate-Can allocation]]+Table11[[#This Row],['#Trees as of 2024/estimate-Can allocation 2017]]</f>
        <v>0</v>
      </c>
      <c r="AR293" s="1" t="s">
        <v>152</v>
      </c>
      <c r="AS293" s="2" t="s">
        <v>1670</v>
      </c>
      <c r="AT293" s="6">
        <f>IFERROR(Table11[[#This Row],['#Total Replacements]]/Table11[[#This Row],['#TreesContract]],"")</f>
        <v>4.5454545454545456E-2</v>
      </c>
      <c r="AU293" s="4">
        <f>IF(SUM(Table11[[#This Row],['#Replace 24]:['#Replace 16]])=0,0,SUM(Table11[[#This Row],['#Replace 24]:['#Replace 16]]))</f>
        <v>50</v>
      </c>
      <c r="AV293" s="2"/>
      <c r="AW293" s="2">
        <v>50</v>
      </c>
      <c r="AX293" s="3"/>
      <c r="AY293" s="2"/>
      <c r="AZ293" s="2"/>
      <c r="BA293" s="2"/>
      <c r="BB293" s="2"/>
      <c r="BC293" s="2"/>
      <c r="BD293" s="2"/>
      <c r="BE293" s="2"/>
      <c r="BF293" s="3">
        <v>1</v>
      </c>
      <c r="BG293" s="3">
        <v>1</v>
      </c>
      <c r="BH293" s="2"/>
      <c r="BI293" s="158"/>
      <c r="BJ293" s="158"/>
      <c r="BK293" s="139">
        <f>Table11[[#This Row],[Average MHT
(Feet)]]/16</f>
        <v>0</v>
      </c>
      <c r="BL293" s="2"/>
      <c r="BM293" s="139">
        <f>Table11[[#This Row],[Average DBH
(inches)]]/18</f>
        <v>0</v>
      </c>
      <c r="BN293" s="235">
        <f>((Table11[[#This Row],[Average DBH
(inches)]]-4)^2)*(Table11[[#This Row],[Average MHT
(Feet)]]/16)</f>
        <v>0</v>
      </c>
      <c r="BO293" s="235">
        <f>Table11[[#This Row],[Average BF]]*Table11[[#This Row],[2024 '#Trees Inventory + Estimate]]</f>
        <v>0</v>
      </c>
      <c r="BP293" s="240">
        <f>(Table11[[#This Row],[Harvest Year
(10 year)]]-Table11[[#This Row],[Year of Inventory]]+1)*(Table11[[#This Row],[Average DBH
(inches)]]/(Table11[[#This Row],[Harvest Year
(10 year)]]-Table11[[#This Row],[Year of Inventory]]+1))+Table11[[#This Row],[Average DBH
(inches)]]</f>
        <v>0</v>
      </c>
      <c r="BQ293" s="235">
        <f>((Table11[[#This Row],[Projected DBH
(Extrapolated Growth/Year)]]-4)^2)*(Table11[[#This Row],[Average MHT
(Feet)]]/16)</f>
        <v>0</v>
      </c>
      <c r="BR293" s="235">
        <f>Table11[[#This Row],[Projected Average BF]]*Table11[[#This Row],[2024 '#Trees Inventory + Estimate]]</f>
        <v>0</v>
      </c>
      <c r="BS293" s="235">
        <f>196*Table11[[#This Row],[2024 '#Trees Inventory + Estimate]]</f>
        <v>215600</v>
      </c>
      <c r="BT293" s="243">
        <f>Table11[[#This Row],[ETP Offering Expected BF]]-Table11[[#This Row],[Projected Total BF]]</f>
        <v>215600</v>
      </c>
      <c r="BU293" s="235">
        <f>(18-Table11[[#This Row],[Average DBH
(inches)]])/(D293-Table11[[#This Row],[Year of Inventory]]+1)</f>
        <v>8.8582677165354329E-3</v>
      </c>
    </row>
    <row r="294" spans="1:73" hidden="1" x14ac:dyDescent="0.25">
      <c r="A294" s="7" t="s">
        <v>1671</v>
      </c>
      <c r="B294" s="2">
        <v>2021</v>
      </c>
      <c r="C294" s="2">
        <v>2022</v>
      </c>
      <c r="D294" s="2">
        <f>Table11[[#This Row],[Planting Year]]+9</f>
        <v>2031</v>
      </c>
      <c r="E294" s="97" t="s">
        <v>1404</v>
      </c>
      <c r="F294" s="161">
        <v>10094</v>
      </c>
      <c r="G294" t="s">
        <v>1404</v>
      </c>
      <c r="H294" s="357" t="s">
        <v>1406</v>
      </c>
      <c r="I294" t="s">
        <v>155</v>
      </c>
      <c r="J294" s="1" t="s">
        <v>1407</v>
      </c>
      <c r="K294" s="1" t="s">
        <v>1408</v>
      </c>
      <c r="L294" s="1" t="s">
        <v>1409</v>
      </c>
      <c r="M294" s="1" t="s">
        <v>150</v>
      </c>
      <c r="N294" t="s">
        <v>1672</v>
      </c>
      <c r="O294">
        <v>34.778478</v>
      </c>
      <c r="P294">
        <v>-97.835937000000001</v>
      </c>
      <c r="Q294">
        <v>34.778478</v>
      </c>
      <c r="R294" s="2">
        <v>-97.562043000000003</v>
      </c>
      <c r="S294" s="2"/>
      <c r="T294" s="1">
        <v>4400</v>
      </c>
      <c r="U294" s="1">
        <v>4400</v>
      </c>
      <c r="V294" s="1" t="str">
        <f>IF(Table11[[#This Row],['#TreesContract]]-Table11[[#This Row],['#Planted]]=0,"",Table11[[#This Row],['#TreesContract]]-Table11[[#This Row],['#Planted]])</f>
        <v/>
      </c>
      <c r="W294" s="2"/>
      <c r="X294" s="34">
        <v>1</v>
      </c>
      <c r="Y294" s="163">
        <f>Table11[[#This Row],['#TreesContract]]*Table11[[#This Row],[USA Allocation %]]</f>
        <v>4400</v>
      </c>
      <c r="Z294" s="163">
        <f>Table11[[#This Row],['#Planted]]*Table11[[#This Row],[USA Allocation %]]</f>
        <v>4400</v>
      </c>
      <c r="AA294" s="34"/>
      <c r="AB294" s="163"/>
      <c r="AC294" s="34"/>
      <c r="AD294" s="163"/>
      <c r="AE294" s="163">
        <f>Table11[[#This Row],[Canada Allocation-tree '#''s]]+Table11[[#This Row],[Can trees/Allocation 2017]]</f>
        <v>0</v>
      </c>
      <c r="AF294" s="5">
        <v>1</v>
      </c>
      <c r="AG294" s="35">
        <v>4400</v>
      </c>
      <c r="AH294" s="35">
        <f>Table11[[#This Row],['#Trees as of 12/31/23]]*Table11[[#This Row],[USA Allocation %]]</f>
        <v>4400</v>
      </c>
      <c r="AI294" s="437">
        <f>Table11[[#This Row],['#TreesContract]]*Table11[[#This Row],[2024 Inventory Survival%-master]]</f>
        <v>0</v>
      </c>
      <c r="AJ294" s="436"/>
      <c r="AK294" s="5">
        <v>0.5</v>
      </c>
      <c r="AL294" s="5">
        <v>0.5</v>
      </c>
      <c r="AM294" s="35">
        <v>2200</v>
      </c>
      <c r="AN294" s="35">
        <f>Table11[[#This Row],[2024 '#Trees Inventory + Estimate]]*Table11[[#This Row],[USA Allocation %]]</f>
        <v>2200</v>
      </c>
      <c r="AO294" s="35">
        <f>Table11[[#This Row],[2024 '#Trees Inventory + Estimate]]*Table11[[#This Row],[Canada Allocation %]]</f>
        <v>0</v>
      </c>
      <c r="AP294" s="35">
        <f>Table11[[#This Row],[2024 '#Trees Inventory + Estimate]]*Table11[[#This Row],[Canada Allocation2017 %]]</f>
        <v>0</v>
      </c>
      <c r="AQ294" s="35">
        <f>Table11[[#This Row],['#Trees as of 2024/estimate-Can allocation]]+Table11[[#This Row],['#Trees as of 2024/estimate-Can allocation 2017]]</f>
        <v>0</v>
      </c>
      <c r="AR294" s="1" t="s">
        <v>152</v>
      </c>
      <c r="AS294" s="2" t="s">
        <v>1673</v>
      </c>
      <c r="AT294" s="6">
        <f>IFERROR(Table11[[#This Row],['#Total Replacements]]/Table11[[#This Row],['#TreesContract]],"")</f>
        <v>0.21590909090909091</v>
      </c>
      <c r="AU294" s="4">
        <f>IF(SUM(Table11[[#This Row],['#Replace 24]:['#Replace 16]])=0,0,SUM(Table11[[#This Row],['#Replace 24]:['#Replace 16]]))</f>
        <v>950</v>
      </c>
      <c r="AV294" s="2"/>
      <c r="AW294" s="2"/>
      <c r="AX294" s="3">
        <v>950</v>
      </c>
      <c r="AY294" s="2"/>
      <c r="AZ294" s="2"/>
      <c r="BA294" s="2"/>
      <c r="BB294" s="2"/>
      <c r="BC294" s="2"/>
      <c r="BD294" s="2"/>
      <c r="BE294" s="2"/>
      <c r="BF294" s="3">
        <v>1</v>
      </c>
      <c r="BG294" s="3">
        <v>1</v>
      </c>
      <c r="BH294" s="2"/>
      <c r="BI294" s="2"/>
      <c r="BJ294" s="2"/>
      <c r="BK294" s="139">
        <f>Table11[[#This Row],[Average MHT
(Feet)]]/16</f>
        <v>0</v>
      </c>
      <c r="BL294" s="2"/>
      <c r="BM294" s="139">
        <f>Table11[[#This Row],[Average DBH
(inches)]]/18</f>
        <v>0</v>
      </c>
      <c r="BN294" s="235">
        <f>((Table11[[#This Row],[Average DBH
(inches)]]-4)^2)*(Table11[[#This Row],[Average MHT
(Feet)]]/16)</f>
        <v>0</v>
      </c>
      <c r="BO294" s="235">
        <f>Table11[[#This Row],[Average BF]]*Table11[[#This Row],[2024 '#Trees Inventory + Estimate]]</f>
        <v>0</v>
      </c>
      <c r="BP294" s="240">
        <f>(Table11[[#This Row],[Harvest Year
(10 year)]]-Table11[[#This Row],[Year of Inventory]]+1)*(Table11[[#This Row],[Average DBH
(inches)]]/(Table11[[#This Row],[Harvest Year
(10 year)]]-Table11[[#This Row],[Year of Inventory]]+1))+Table11[[#This Row],[Average DBH
(inches)]]</f>
        <v>0</v>
      </c>
      <c r="BQ294" s="235">
        <f>((Table11[[#This Row],[Projected DBH
(Extrapolated Growth/Year)]]-4)^2)*(Table11[[#This Row],[Average MHT
(Feet)]]/16)</f>
        <v>0</v>
      </c>
      <c r="BR294" s="235">
        <f>Table11[[#This Row],[Projected Average BF]]*Table11[[#This Row],[2024 '#Trees Inventory + Estimate]]</f>
        <v>0</v>
      </c>
      <c r="BS294" s="235">
        <f>196*Table11[[#This Row],[2024 '#Trees Inventory + Estimate]]</f>
        <v>431200</v>
      </c>
      <c r="BT294" s="243">
        <f>Table11[[#This Row],[ETP Offering Expected BF]]-Table11[[#This Row],[Projected Total BF]]</f>
        <v>431200</v>
      </c>
      <c r="BU294" s="235">
        <f>(18-Table11[[#This Row],[Average DBH
(inches)]])/(D294-Table11[[#This Row],[Year of Inventory]]+1)</f>
        <v>8.8582677165354329E-3</v>
      </c>
    </row>
    <row r="295" spans="1:73" hidden="1" x14ac:dyDescent="0.25">
      <c r="A295" s="7" t="s">
        <v>1674</v>
      </c>
      <c r="B295" s="2">
        <v>2021</v>
      </c>
      <c r="C295" s="2">
        <v>2022</v>
      </c>
      <c r="D295" s="2">
        <f>Table11[[#This Row],[Planting Year]]+9</f>
        <v>2031</v>
      </c>
      <c r="E295" s="97" t="s">
        <v>1462</v>
      </c>
      <c r="F295" s="161">
        <v>10102</v>
      </c>
      <c r="G295" t="s">
        <v>1462</v>
      </c>
      <c r="H295" s="357" t="s">
        <v>1464</v>
      </c>
      <c r="I295" t="s">
        <v>155</v>
      </c>
      <c r="J295" s="1" t="s">
        <v>1465</v>
      </c>
      <c r="K295" s="1" t="s">
        <v>1466</v>
      </c>
      <c r="L295" s="1" t="s">
        <v>1467</v>
      </c>
      <c r="M295" s="1" t="s">
        <v>150</v>
      </c>
      <c r="N295" t="s">
        <v>1675</v>
      </c>
      <c r="O295">
        <v>32.619273999999997</v>
      </c>
      <c r="P295">
        <v>-86.316457999999997</v>
      </c>
      <c r="Q295" s="2"/>
      <c r="R295" s="86"/>
      <c r="S295" s="2"/>
      <c r="T295" s="1">
        <v>550</v>
      </c>
      <c r="U295" s="1">
        <v>550</v>
      </c>
      <c r="V295" s="1" t="str">
        <f>IF(Table11[[#This Row],['#TreesContract]]-Table11[[#This Row],['#Planted]]=0,"",Table11[[#This Row],['#TreesContract]]-Table11[[#This Row],['#Planted]])</f>
        <v/>
      </c>
      <c r="W295" s="2"/>
      <c r="X295" s="34">
        <v>1</v>
      </c>
      <c r="Y295" s="163">
        <f>Table11[[#This Row],['#TreesContract]]*Table11[[#This Row],[USA Allocation %]]</f>
        <v>550</v>
      </c>
      <c r="Z295" s="163">
        <f>Table11[[#This Row],['#Planted]]*Table11[[#This Row],[USA Allocation %]]</f>
        <v>550</v>
      </c>
      <c r="AA295" s="34"/>
      <c r="AB295" s="163"/>
      <c r="AC295" s="34"/>
      <c r="AD295" s="163"/>
      <c r="AE295" s="163">
        <f>Table11[[#This Row],[Canada Allocation-tree '#''s]]+Table11[[#This Row],[Can trees/Allocation 2017]]</f>
        <v>0</v>
      </c>
      <c r="AF295" s="5">
        <v>1</v>
      </c>
      <c r="AG295" s="35">
        <v>550</v>
      </c>
      <c r="AH295" s="35">
        <f>Table11[[#This Row],['#Trees as of 12/31/23]]*Table11[[#This Row],[USA Allocation %]]</f>
        <v>550</v>
      </c>
      <c r="AI295" s="437">
        <f>Table11[[#This Row],['#TreesContract]]*Table11[[#This Row],[2024 Inventory Survival%-master]]</f>
        <v>399.3</v>
      </c>
      <c r="AJ295" s="436">
        <v>0.72599999999999998</v>
      </c>
      <c r="AK295" s="5">
        <v>0.73</v>
      </c>
      <c r="AL295" s="5">
        <v>0.73</v>
      </c>
      <c r="AM295" s="35">
        <v>399</v>
      </c>
      <c r="AN295" s="35">
        <f>Table11[[#This Row],[2024 '#Trees Inventory + Estimate]]*Table11[[#This Row],[USA Allocation %]]</f>
        <v>399</v>
      </c>
      <c r="AO295" s="35">
        <f>Table11[[#This Row],[2024 '#Trees Inventory + Estimate]]*Table11[[#This Row],[Canada Allocation %]]</f>
        <v>0</v>
      </c>
      <c r="AP295" s="35">
        <f>Table11[[#This Row],[2024 '#Trees Inventory + Estimate]]*Table11[[#This Row],[Canada Allocation2017 %]]</f>
        <v>0</v>
      </c>
      <c r="AQ295" s="35">
        <f>Table11[[#This Row],['#Trees as of 2024/estimate-Can allocation]]+Table11[[#This Row],['#Trees as of 2024/estimate-Can allocation 2017]]</f>
        <v>0</v>
      </c>
      <c r="AR295" s="1" t="s">
        <v>152</v>
      </c>
      <c r="AS295" s="2">
        <v>2</v>
      </c>
      <c r="AT295" s="6">
        <f>IFERROR(Table11[[#This Row],['#Total Replacements]]/Table11[[#This Row],['#TreesContract]],"")</f>
        <v>0</v>
      </c>
      <c r="AU295" s="4">
        <f>IF(SUM(Table11[[#This Row],['#Replace 24]:['#Replace 16]])=0,0,SUM(Table11[[#This Row],['#Replace 24]:['#Replace 16]]))</f>
        <v>0</v>
      </c>
      <c r="AV295" s="2"/>
      <c r="AW295" s="2"/>
      <c r="AX295" s="3"/>
      <c r="AY295" s="2"/>
      <c r="AZ295" s="2"/>
      <c r="BA295" s="2"/>
      <c r="BB295" s="2"/>
      <c r="BC295" s="2"/>
      <c r="BD295" s="2"/>
      <c r="BE295" s="2"/>
      <c r="BF295" s="3">
        <v>1</v>
      </c>
      <c r="BG295" s="3">
        <v>1</v>
      </c>
      <c r="BH295" s="2">
        <v>2024</v>
      </c>
      <c r="BI295" s="158">
        <v>4.93</v>
      </c>
      <c r="BJ295" s="158">
        <v>0</v>
      </c>
      <c r="BK295" s="139">
        <f>Table11[[#This Row],[Average MHT
(Feet)]]/16</f>
        <v>0</v>
      </c>
      <c r="BL295" s="2">
        <v>0</v>
      </c>
      <c r="BM295" s="139">
        <f>Table11[[#This Row],[Average DBH
(inches)]]/18</f>
        <v>0</v>
      </c>
      <c r="BN295" s="235">
        <f>((Table11[[#This Row],[Average DBH
(inches)]]-4)^2)*(Table11[[#This Row],[Average MHT
(Feet)]]/16)</f>
        <v>0</v>
      </c>
      <c r="BO295" s="235">
        <f>Table11[[#This Row],[Average BF]]*Table11[[#This Row],[2024 '#Trees Inventory + Estimate]]</f>
        <v>0</v>
      </c>
      <c r="BP295" s="240">
        <f>(Table11[[#This Row],[Harvest Year
(10 year)]]-Table11[[#This Row],[Year of Inventory]]+1)*(Table11[[#This Row],[Average DBH
(inches)]]/(Table11[[#This Row],[Harvest Year
(10 year)]]-Table11[[#This Row],[Year of Inventory]]+1))+Table11[[#This Row],[Average DBH
(inches)]]</f>
        <v>0</v>
      </c>
      <c r="BQ295" s="235">
        <f>((Table11[[#This Row],[Projected DBH
(Extrapolated Growth/Year)]]-4)^2)*(Table11[[#This Row],[Average MHT
(Feet)]]/16)</f>
        <v>0</v>
      </c>
      <c r="BR295" s="235">
        <f>Table11[[#This Row],[Projected Average BF]]*Table11[[#This Row],[2024 '#Trees Inventory + Estimate]]</f>
        <v>0</v>
      </c>
      <c r="BS295" s="235">
        <f>196*Table11[[#This Row],[2024 '#Trees Inventory + Estimate]]</f>
        <v>78204</v>
      </c>
      <c r="BT295" s="243">
        <f>Table11[[#This Row],[ETP Offering Expected BF]]-Table11[[#This Row],[Projected Total BF]]</f>
        <v>78204</v>
      </c>
      <c r="BU295" s="235">
        <f>(18-Table11[[#This Row],[Average DBH
(inches)]])/(D295-Table11[[#This Row],[Year of Inventory]]+1)</f>
        <v>2.25</v>
      </c>
    </row>
    <row r="296" spans="1:73" hidden="1" x14ac:dyDescent="0.25">
      <c r="A296" s="7" t="s">
        <v>1676</v>
      </c>
      <c r="B296" s="2">
        <v>2021</v>
      </c>
      <c r="C296" s="2">
        <v>2022</v>
      </c>
      <c r="D296" s="2">
        <f>Table11[[#This Row],[Planting Year]]+9</f>
        <v>2031</v>
      </c>
      <c r="E296" s="97" t="s">
        <v>1477</v>
      </c>
      <c r="F296" s="161">
        <v>10104</v>
      </c>
      <c r="G296" t="s">
        <v>1477</v>
      </c>
      <c r="H296" s="357" t="s">
        <v>1479</v>
      </c>
      <c r="I296" t="s">
        <v>155</v>
      </c>
      <c r="J296" s="1" t="s">
        <v>1480</v>
      </c>
      <c r="K296" s="1" t="s">
        <v>1481</v>
      </c>
      <c r="L296" s="1" t="s">
        <v>1482</v>
      </c>
      <c r="M296" s="1" t="s">
        <v>150</v>
      </c>
      <c r="N296" t="s">
        <v>1483</v>
      </c>
      <c r="O296">
        <v>32.819540000000003</v>
      </c>
      <c r="P296">
        <v>-86.884326999999999</v>
      </c>
      <c r="Q296" s="2"/>
      <c r="R296" s="86"/>
      <c r="S296" s="2"/>
      <c r="T296" s="1">
        <v>1100</v>
      </c>
      <c r="U296" s="1">
        <v>1100</v>
      </c>
      <c r="V296" s="1" t="str">
        <f>IF(Table11[[#This Row],['#TreesContract]]-Table11[[#This Row],['#Planted]]=0,"",Table11[[#This Row],['#TreesContract]]-Table11[[#This Row],['#Planted]])</f>
        <v/>
      </c>
      <c r="W296" s="2"/>
      <c r="X296" s="34">
        <v>1</v>
      </c>
      <c r="Y296" s="163">
        <f>Table11[[#This Row],['#TreesContract]]*Table11[[#This Row],[USA Allocation %]]</f>
        <v>1100</v>
      </c>
      <c r="Z296" s="163">
        <f>Table11[[#This Row],['#Planted]]*Table11[[#This Row],[USA Allocation %]]</f>
        <v>1100</v>
      </c>
      <c r="AA296" s="34"/>
      <c r="AB296" s="163"/>
      <c r="AC296" s="34"/>
      <c r="AD296" s="163"/>
      <c r="AE296" s="163">
        <f>Table11[[#This Row],[Canada Allocation-tree '#''s]]+Table11[[#This Row],[Can trees/Allocation 2017]]</f>
        <v>0</v>
      </c>
      <c r="AF296" s="5">
        <v>1</v>
      </c>
      <c r="AG296" s="35">
        <v>1100</v>
      </c>
      <c r="AH296" s="35">
        <f>Table11[[#This Row],['#Trees as of 12/31/23]]*Table11[[#This Row],[USA Allocation %]]</f>
        <v>1100</v>
      </c>
      <c r="AI296" s="437">
        <f>Table11[[#This Row],['#TreesContract]]*Table11[[#This Row],[2024 Inventory Survival%-master]]</f>
        <v>66</v>
      </c>
      <c r="AJ296" s="436">
        <v>0.06</v>
      </c>
      <c r="AK296" s="5">
        <v>0.06</v>
      </c>
      <c r="AL296" s="5">
        <v>0.06</v>
      </c>
      <c r="AM296" s="35">
        <v>66</v>
      </c>
      <c r="AN296" s="35">
        <f>Table11[[#This Row],[2024 '#Trees Inventory + Estimate]]*Table11[[#This Row],[USA Allocation %]]</f>
        <v>66</v>
      </c>
      <c r="AO296" s="35">
        <f>Table11[[#This Row],[2024 '#Trees Inventory + Estimate]]*Table11[[#This Row],[Canada Allocation %]]</f>
        <v>0</v>
      </c>
      <c r="AP296" s="35">
        <f>Table11[[#This Row],[2024 '#Trees Inventory + Estimate]]*Table11[[#This Row],[Canada Allocation2017 %]]</f>
        <v>0</v>
      </c>
      <c r="AQ296" s="35">
        <f>Table11[[#This Row],['#Trees as of 2024/estimate-Can allocation]]+Table11[[#This Row],['#Trees as of 2024/estimate-Can allocation 2017]]</f>
        <v>0</v>
      </c>
      <c r="AR296" s="1" t="s">
        <v>152</v>
      </c>
      <c r="AS296" s="2" t="s">
        <v>1336</v>
      </c>
      <c r="AT296" s="6">
        <f>IFERROR(Table11[[#This Row],['#Total Replacements]]/Table11[[#This Row],['#TreesContract]],"")</f>
        <v>0</v>
      </c>
      <c r="AU296" s="4">
        <f>IF(SUM(Table11[[#This Row],['#Replace 24]:['#Replace 16]])=0,0,SUM(Table11[[#This Row],['#Replace 24]:['#Replace 16]]))</f>
        <v>0</v>
      </c>
      <c r="AV296" s="2"/>
      <c r="AW296" s="2"/>
      <c r="AX296" s="3"/>
      <c r="AY296" s="2"/>
      <c r="AZ296" s="2"/>
      <c r="BA296" s="2"/>
      <c r="BB296" s="2"/>
      <c r="BC296" s="2"/>
      <c r="BD296" s="2"/>
      <c r="BE296" s="2"/>
      <c r="BF296" s="3">
        <v>1</v>
      </c>
      <c r="BG296" s="3">
        <v>1</v>
      </c>
      <c r="BH296" s="2">
        <v>2024</v>
      </c>
      <c r="BI296" s="2">
        <v>9</v>
      </c>
      <c r="BJ296" s="2">
        <v>0</v>
      </c>
      <c r="BK296" s="139">
        <f>Table11[[#This Row],[Average MHT
(Feet)]]/16</f>
        <v>0</v>
      </c>
      <c r="BL296" s="2">
        <v>0</v>
      </c>
      <c r="BM296" s="139">
        <f>Table11[[#This Row],[Average DBH
(inches)]]/18</f>
        <v>0</v>
      </c>
      <c r="BN296" s="235">
        <f>((Table11[[#This Row],[Average DBH
(inches)]]-4)^2)*(Table11[[#This Row],[Average MHT
(Feet)]]/16)</f>
        <v>0</v>
      </c>
      <c r="BO296" s="235">
        <f>Table11[[#This Row],[Average BF]]*Table11[[#This Row],[2024 '#Trees Inventory + Estimate]]</f>
        <v>0</v>
      </c>
      <c r="BP296" s="240">
        <f>(Table11[[#This Row],[Harvest Year
(10 year)]]-Table11[[#This Row],[Year of Inventory]]+1)*(Table11[[#This Row],[Average DBH
(inches)]]/(Table11[[#This Row],[Harvest Year
(10 year)]]-Table11[[#This Row],[Year of Inventory]]+1))+Table11[[#This Row],[Average DBH
(inches)]]</f>
        <v>0</v>
      </c>
      <c r="BQ296" s="235">
        <f>((Table11[[#This Row],[Projected DBH
(Extrapolated Growth/Year)]]-4)^2)*(Table11[[#This Row],[Average MHT
(Feet)]]/16)</f>
        <v>0</v>
      </c>
      <c r="BR296" s="235">
        <f>Table11[[#This Row],[Projected Average BF]]*Table11[[#This Row],[2024 '#Trees Inventory + Estimate]]</f>
        <v>0</v>
      </c>
      <c r="BS296" s="235">
        <f>196*Table11[[#This Row],[2024 '#Trees Inventory + Estimate]]</f>
        <v>12936</v>
      </c>
      <c r="BT296" s="243">
        <f>Table11[[#This Row],[ETP Offering Expected BF]]-Table11[[#This Row],[Projected Total BF]]</f>
        <v>12936</v>
      </c>
      <c r="BU296" s="235">
        <f>(18-Table11[[#This Row],[Average DBH
(inches)]])/(D296-Table11[[#This Row],[Year of Inventory]]+1)</f>
        <v>2.25</v>
      </c>
    </row>
    <row r="297" spans="1:73" hidden="1" x14ac:dyDescent="0.25">
      <c r="A297" s="7" t="s">
        <v>1677</v>
      </c>
      <c r="B297" s="2">
        <v>2021</v>
      </c>
      <c r="C297" s="2">
        <v>2022</v>
      </c>
      <c r="D297" s="2">
        <f>Table11[[#This Row],[Planting Year]]+9</f>
        <v>2031</v>
      </c>
      <c r="E297" s="97" t="s">
        <v>1678</v>
      </c>
      <c r="F297" s="161">
        <v>10109</v>
      </c>
      <c r="G297" t="s">
        <v>1678</v>
      </c>
      <c r="H297" s="357" t="s">
        <v>1679</v>
      </c>
      <c r="I297" t="s">
        <v>155</v>
      </c>
      <c r="J297" s="1" t="s">
        <v>1680</v>
      </c>
      <c r="K297" s="1" t="s">
        <v>1681</v>
      </c>
      <c r="L297" s="1" t="s">
        <v>1682</v>
      </c>
      <c r="M297" s="1" t="s">
        <v>150</v>
      </c>
      <c r="N297" t="s">
        <v>1683</v>
      </c>
      <c r="O297">
        <v>35.624442999999999</v>
      </c>
      <c r="P297">
        <v>-84.560837000000006</v>
      </c>
      <c r="Q297" s="2"/>
      <c r="R297" s="86"/>
      <c r="S297" s="2"/>
      <c r="T297" s="1">
        <v>1320</v>
      </c>
      <c r="U297" s="1">
        <v>1320</v>
      </c>
      <c r="V297" s="1" t="str">
        <f>IF(Table11[[#This Row],['#TreesContract]]-Table11[[#This Row],['#Planted]]=0,"",Table11[[#This Row],['#TreesContract]]-Table11[[#This Row],['#Planted]])</f>
        <v/>
      </c>
      <c r="W297" s="2"/>
      <c r="X297" s="34">
        <v>1</v>
      </c>
      <c r="Y297" s="163">
        <f>Table11[[#This Row],['#TreesContract]]*Table11[[#This Row],[USA Allocation %]]</f>
        <v>1320</v>
      </c>
      <c r="Z297" s="163">
        <f>Table11[[#This Row],['#Planted]]*Table11[[#This Row],[USA Allocation %]]</f>
        <v>1320</v>
      </c>
      <c r="AA297" s="34"/>
      <c r="AB297" s="163"/>
      <c r="AC297" s="34"/>
      <c r="AD297" s="163"/>
      <c r="AE297" s="163">
        <f>Table11[[#This Row],[Canada Allocation-tree '#''s]]+Table11[[#This Row],[Can trees/Allocation 2017]]</f>
        <v>0</v>
      </c>
      <c r="AF297" s="5">
        <v>1</v>
      </c>
      <c r="AG297" s="35">
        <v>1320</v>
      </c>
      <c r="AH297" s="35">
        <f>Table11[[#This Row],['#Trees as of 12/31/23]]*Table11[[#This Row],[USA Allocation %]]</f>
        <v>1320</v>
      </c>
      <c r="AI297" s="437">
        <f>Table11[[#This Row],['#TreesContract]]*Table11[[#This Row],[2024 Inventory Survival%-master]]</f>
        <v>1244.76</v>
      </c>
      <c r="AJ297" s="436">
        <v>0.94299999999999995</v>
      </c>
      <c r="AK297" s="5">
        <v>0.94</v>
      </c>
      <c r="AL297" s="5">
        <v>0.94299999999999995</v>
      </c>
      <c r="AM297" s="35">
        <f>Table11[[#This Row],['#TreesContract]]*Table11[[#This Row],[2024 Inventory Survival%-master]]</f>
        <v>1244.76</v>
      </c>
      <c r="AN297" s="35">
        <f>Table11[[#This Row],[2024 '#Trees Inventory + Estimate]]*Table11[[#This Row],[USA Allocation %]]</f>
        <v>1244.76</v>
      </c>
      <c r="AO297" s="35">
        <f>Table11[[#This Row],[2024 '#Trees Inventory + Estimate]]*Table11[[#This Row],[Canada Allocation %]]</f>
        <v>0</v>
      </c>
      <c r="AP297" s="35">
        <f>Table11[[#This Row],[2024 '#Trees Inventory + Estimate]]*Table11[[#This Row],[Canada Allocation2017 %]]</f>
        <v>0</v>
      </c>
      <c r="AQ297" s="35">
        <f>Table11[[#This Row],['#Trees as of 2024/estimate-Can allocation]]+Table11[[#This Row],['#Trees as of 2024/estimate-Can allocation 2017]]</f>
        <v>0</v>
      </c>
      <c r="AR297" s="1" t="s">
        <v>152</v>
      </c>
      <c r="AS297" s="2" t="s">
        <v>1684</v>
      </c>
      <c r="AT297" s="6">
        <f>IFERROR(Table11[[#This Row],['#Total Replacements]]/Table11[[#This Row],['#TreesContract]],"")</f>
        <v>0.34621212121212119</v>
      </c>
      <c r="AU297" s="4">
        <f>IF(SUM(Table11[[#This Row],['#Replace 24]:['#Replace 16]])=0,0,SUM(Table11[[#This Row],['#Replace 24]:['#Replace 16]]))</f>
        <v>457</v>
      </c>
      <c r="AV297" s="2"/>
      <c r="AW297" s="2">
        <v>100</v>
      </c>
      <c r="AX297" s="3">
        <v>357</v>
      </c>
      <c r="AY297" s="2"/>
      <c r="AZ297" s="2"/>
      <c r="BA297" s="2"/>
      <c r="BB297" s="2"/>
      <c r="BC297" s="2"/>
      <c r="BD297" s="2"/>
      <c r="BE297" s="2"/>
      <c r="BF297" s="3">
        <v>1</v>
      </c>
      <c r="BG297" s="3">
        <v>1</v>
      </c>
      <c r="BH297" s="2">
        <v>2024</v>
      </c>
      <c r="BI297" s="158">
        <v>7.88</v>
      </c>
      <c r="BJ297" s="158">
        <v>0</v>
      </c>
      <c r="BK297" s="139">
        <f>Table11[[#This Row],[Average MHT
(Feet)]]/16</f>
        <v>0</v>
      </c>
      <c r="BL297" s="2">
        <v>0.22</v>
      </c>
      <c r="BM297" s="139">
        <f>Table11[[#This Row],[Average DBH
(inches)]]/18</f>
        <v>1.2222222222222223E-2</v>
      </c>
      <c r="BN297" s="235">
        <f>((Table11[[#This Row],[Average DBH
(inches)]]-4)^2)*(Table11[[#This Row],[Average MHT
(Feet)]]/16)</f>
        <v>0</v>
      </c>
      <c r="BO297" s="235">
        <f>Table11[[#This Row],[Average BF]]*Table11[[#This Row],[2024 '#Trees Inventory + Estimate]]</f>
        <v>0</v>
      </c>
      <c r="BP297" s="240">
        <f>(Table11[[#This Row],[Harvest Year
(10 year)]]-Table11[[#This Row],[Year of Inventory]]+1)*(Table11[[#This Row],[Average DBH
(inches)]]/(Table11[[#This Row],[Harvest Year
(10 year)]]-Table11[[#This Row],[Year of Inventory]]+1))+Table11[[#This Row],[Average DBH
(inches)]]</f>
        <v>0.44</v>
      </c>
      <c r="BQ297" s="235">
        <f>((Table11[[#This Row],[Projected DBH
(Extrapolated Growth/Year)]]-4)^2)*(Table11[[#This Row],[Average MHT
(Feet)]]/16)</f>
        <v>0</v>
      </c>
      <c r="BR297" s="235">
        <f>Table11[[#This Row],[Projected Average BF]]*Table11[[#This Row],[2024 '#Trees Inventory + Estimate]]</f>
        <v>0</v>
      </c>
      <c r="BS297" s="235">
        <f>196*Table11[[#This Row],[2024 '#Trees Inventory + Estimate]]</f>
        <v>243972.96</v>
      </c>
      <c r="BT297" s="243">
        <f>Table11[[#This Row],[ETP Offering Expected BF]]-Table11[[#This Row],[Projected Total BF]]</f>
        <v>243972.96</v>
      </c>
      <c r="BU297" s="235">
        <f>(18-Table11[[#This Row],[Average DBH
(inches)]])/(D297-Table11[[#This Row],[Year of Inventory]]+1)</f>
        <v>2.2225000000000001</v>
      </c>
    </row>
    <row r="298" spans="1:73" hidden="1" x14ac:dyDescent="0.25">
      <c r="A298" s="7" t="s">
        <v>1685</v>
      </c>
      <c r="B298" s="2">
        <v>2021</v>
      </c>
      <c r="C298" s="2">
        <v>2022</v>
      </c>
      <c r="D298" s="2">
        <f>Table11[[#This Row],[Planting Year]]+9</f>
        <v>2031</v>
      </c>
      <c r="E298" s="97" t="s">
        <v>1686</v>
      </c>
      <c r="F298" s="161">
        <v>10110</v>
      </c>
      <c r="G298" t="s">
        <v>1686</v>
      </c>
      <c r="H298" s="357" t="s">
        <v>1687</v>
      </c>
      <c r="I298" t="s">
        <v>155</v>
      </c>
      <c r="J298" s="1" t="s">
        <v>1688</v>
      </c>
      <c r="K298" s="1" t="s">
        <v>1689</v>
      </c>
      <c r="L298" s="1" t="s">
        <v>1689</v>
      </c>
      <c r="M298" s="1" t="s">
        <v>150</v>
      </c>
      <c r="N298" t="s">
        <v>1690</v>
      </c>
      <c r="O298">
        <v>30.959731999999999</v>
      </c>
      <c r="P298">
        <v>-84.864058999999997</v>
      </c>
      <c r="Q298" s="2"/>
      <c r="R298" s="86"/>
      <c r="S298" s="2"/>
      <c r="T298" s="1">
        <v>3829</v>
      </c>
      <c r="U298" s="1">
        <v>3829</v>
      </c>
      <c r="V298" s="1" t="str">
        <f>IF(Table11[[#This Row],['#TreesContract]]-Table11[[#This Row],['#Planted]]=0,"",Table11[[#This Row],['#TreesContract]]-Table11[[#This Row],['#Planted]])</f>
        <v/>
      </c>
      <c r="W298" s="2"/>
      <c r="X298" s="34">
        <v>1</v>
      </c>
      <c r="Y298" s="163">
        <f>Table11[[#This Row],['#TreesContract]]*Table11[[#This Row],[USA Allocation %]]</f>
        <v>3829</v>
      </c>
      <c r="Z298" s="163">
        <f>Table11[[#This Row],['#Planted]]*Table11[[#This Row],[USA Allocation %]]</f>
        <v>3829</v>
      </c>
      <c r="AA298" s="34"/>
      <c r="AB298" s="163"/>
      <c r="AC298" s="34"/>
      <c r="AD298" s="163"/>
      <c r="AE298" s="163">
        <f>Table11[[#This Row],[Canada Allocation-tree '#''s]]+Table11[[#This Row],[Can trees/Allocation 2017]]</f>
        <v>0</v>
      </c>
      <c r="AF298" s="5">
        <v>1</v>
      </c>
      <c r="AG298" s="35">
        <v>3829</v>
      </c>
      <c r="AH298" s="35">
        <f>Table11[[#This Row],['#Trees as of 12/31/23]]*Table11[[#This Row],[USA Allocation %]]</f>
        <v>3829</v>
      </c>
      <c r="AI298" s="437">
        <f>Table11[[#This Row],['#TreesContract]]*Table11[[#This Row],[2024 Inventory Survival%-master]]</f>
        <v>3737.1039999999998</v>
      </c>
      <c r="AJ298" s="436">
        <v>0.97599999999999998</v>
      </c>
      <c r="AK298" s="5">
        <v>0.98</v>
      </c>
      <c r="AL298" s="5">
        <v>0.98</v>
      </c>
      <c r="AM298" s="35">
        <v>3737</v>
      </c>
      <c r="AN298" s="35">
        <f>Table11[[#This Row],[2024 '#Trees Inventory + Estimate]]*Table11[[#This Row],[USA Allocation %]]</f>
        <v>3737</v>
      </c>
      <c r="AO298" s="35">
        <f>Table11[[#This Row],[2024 '#Trees Inventory + Estimate]]*Table11[[#This Row],[Canada Allocation %]]</f>
        <v>0</v>
      </c>
      <c r="AP298" s="35">
        <f>Table11[[#This Row],[2024 '#Trees Inventory + Estimate]]*Table11[[#This Row],[Canada Allocation2017 %]]</f>
        <v>0</v>
      </c>
      <c r="AQ298" s="35">
        <f>Table11[[#This Row],['#Trees as of 2024/estimate-Can allocation]]+Table11[[#This Row],['#Trees as of 2024/estimate-Can allocation 2017]]</f>
        <v>0</v>
      </c>
      <c r="AR298" s="1" t="s">
        <v>152</v>
      </c>
      <c r="AS298" s="2" t="s">
        <v>1298</v>
      </c>
      <c r="AT298" s="6">
        <f>IFERROR(Table11[[#This Row],['#Total Replacements]]/Table11[[#This Row],['#TreesContract]],"")</f>
        <v>0.21937842778793418</v>
      </c>
      <c r="AU298" s="4">
        <f>IF(SUM(Table11[[#This Row],['#Replace 24]:['#Replace 16]])=0,0,SUM(Table11[[#This Row],['#Replace 24]:['#Replace 16]]))</f>
        <v>840</v>
      </c>
      <c r="AV298" s="2"/>
      <c r="AW298" s="2"/>
      <c r="AX298" s="3">
        <v>840</v>
      </c>
      <c r="AY298" s="2"/>
      <c r="AZ298" s="2"/>
      <c r="BA298" s="2"/>
      <c r="BB298" s="2"/>
      <c r="BC298" s="2"/>
      <c r="BD298" s="2"/>
      <c r="BE298" s="2"/>
      <c r="BF298" s="3">
        <v>1</v>
      </c>
      <c r="BG298" s="3">
        <v>1</v>
      </c>
      <c r="BH298" s="2">
        <v>2024</v>
      </c>
      <c r="BI298" s="2">
        <v>8.92</v>
      </c>
      <c r="BJ298" s="2">
        <v>4.42</v>
      </c>
      <c r="BK298" s="139">
        <f>Table11[[#This Row],[Average MHT
(Feet)]]/16</f>
        <v>0.27625</v>
      </c>
      <c r="BL298" s="2">
        <v>0.01</v>
      </c>
      <c r="BM298" s="139">
        <f>Table11[[#This Row],[Average DBH
(inches)]]/18</f>
        <v>5.5555555555555556E-4</v>
      </c>
      <c r="BN298" s="235">
        <f>((Table11[[#This Row],[Average DBH
(inches)]]-4)^2)*(Table11[[#This Row],[Average MHT
(Feet)]]/16)</f>
        <v>4.3979276250000003</v>
      </c>
      <c r="BO298" s="235">
        <f>Table11[[#This Row],[Average BF]]*Table11[[#This Row],[2024 '#Trees Inventory + Estimate]]</f>
        <v>16435.055534625</v>
      </c>
      <c r="BP298" s="240">
        <f>(Table11[[#This Row],[Harvest Year
(10 year)]]-Table11[[#This Row],[Year of Inventory]]+1)*(Table11[[#This Row],[Average DBH
(inches)]]/(Table11[[#This Row],[Harvest Year
(10 year)]]-Table11[[#This Row],[Year of Inventory]]+1))+Table11[[#This Row],[Average DBH
(inches)]]</f>
        <v>0.02</v>
      </c>
      <c r="BQ298" s="235">
        <f>((Table11[[#This Row],[Projected DBH
(Extrapolated Growth/Year)]]-4)^2)*(Table11[[#This Row],[Average MHT
(Feet)]]/16)</f>
        <v>4.3759104999999998</v>
      </c>
      <c r="BR298" s="235">
        <f>Table11[[#This Row],[Projected Average BF]]*Table11[[#This Row],[2024 '#Trees Inventory + Estimate]]</f>
        <v>16352.777538499999</v>
      </c>
      <c r="BS298" s="235">
        <f>196*Table11[[#This Row],[2024 '#Trees Inventory + Estimate]]</f>
        <v>732452</v>
      </c>
      <c r="BT298" s="243">
        <f>Table11[[#This Row],[ETP Offering Expected BF]]-Table11[[#This Row],[Projected Total BF]]</f>
        <v>716099.22246149997</v>
      </c>
      <c r="BU298" s="235">
        <f>(18-Table11[[#This Row],[Average DBH
(inches)]])/(D298-Table11[[#This Row],[Year of Inventory]]+1)</f>
        <v>2.2487499999999998</v>
      </c>
    </row>
    <row r="299" spans="1:73" hidden="1" x14ac:dyDescent="0.25">
      <c r="A299" s="7" t="s">
        <v>1691</v>
      </c>
      <c r="B299" s="2">
        <v>2021</v>
      </c>
      <c r="C299" s="2">
        <v>2022</v>
      </c>
      <c r="D299" s="2">
        <f>Table11[[#This Row],[Planting Year]]+9</f>
        <v>2031</v>
      </c>
      <c r="E299" s="97" t="s">
        <v>1692</v>
      </c>
      <c r="F299" s="161">
        <v>10111</v>
      </c>
      <c r="G299" t="s">
        <v>1692</v>
      </c>
      <c r="H299" s="357" t="s">
        <v>1693</v>
      </c>
      <c r="I299" t="s">
        <v>155</v>
      </c>
      <c r="J299" s="1" t="s">
        <v>1694</v>
      </c>
      <c r="K299" s="1" t="s">
        <v>1695</v>
      </c>
      <c r="L299" s="1" t="s">
        <v>1696</v>
      </c>
      <c r="M299" s="1" t="s">
        <v>150</v>
      </c>
      <c r="N299" t="s">
        <v>1697</v>
      </c>
      <c r="O299">
        <v>30.694789</v>
      </c>
      <c r="P299">
        <v>-87.088517999999993</v>
      </c>
      <c r="Q299" s="2"/>
      <c r="R299" s="86"/>
      <c r="S299" s="2"/>
      <c r="T299" s="1">
        <v>1100</v>
      </c>
      <c r="U299" s="1">
        <v>1100</v>
      </c>
      <c r="V299" s="1" t="str">
        <f>IF(Table11[[#This Row],['#TreesContract]]-Table11[[#This Row],['#Planted]]=0,"",Table11[[#This Row],['#TreesContract]]-Table11[[#This Row],['#Planted]])</f>
        <v/>
      </c>
      <c r="W299" s="2"/>
      <c r="X299" s="34">
        <v>1</v>
      </c>
      <c r="Y299" s="163">
        <f>Table11[[#This Row],['#TreesContract]]*Table11[[#This Row],[USA Allocation %]]</f>
        <v>1100</v>
      </c>
      <c r="Z299" s="163">
        <f>Table11[[#This Row],['#Planted]]*Table11[[#This Row],[USA Allocation %]]</f>
        <v>1100</v>
      </c>
      <c r="AA299" s="34"/>
      <c r="AB299" s="163"/>
      <c r="AC299" s="34"/>
      <c r="AD299" s="163"/>
      <c r="AE299" s="163">
        <f>Table11[[#This Row],[Canada Allocation-tree '#''s]]+Table11[[#This Row],[Can trees/Allocation 2017]]</f>
        <v>0</v>
      </c>
      <c r="AF299" s="5">
        <v>1</v>
      </c>
      <c r="AG299" s="35">
        <v>1100</v>
      </c>
      <c r="AH299" s="35">
        <f>Table11[[#This Row],['#Trees as of 12/31/23]]*Table11[[#This Row],[USA Allocation %]]</f>
        <v>1100</v>
      </c>
      <c r="AI299" s="437">
        <f>Table11[[#This Row],['#TreesContract]]*Table11[[#This Row],[2024 Inventory Survival%-master]]</f>
        <v>1072.5</v>
      </c>
      <c r="AJ299" s="436">
        <v>0.97499999999999998</v>
      </c>
      <c r="AK299" s="5">
        <v>0.98</v>
      </c>
      <c r="AL299" s="5">
        <v>0.98</v>
      </c>
      <c r="AM299" s="35">
        <v>1073</v>
      </c>
      <c r="AN299" s="35">
        <f>Table11[[#This Row],[2024 '#Trees Inventory + Estimate]]*Table11[[#This Row],[USA Allocation %]]</f>
        <v>1073</v>
      </c>
      <c r="AO299" s="35">
        <f>Table11[[#This Row],[2024 '#Trees Inventory + Estimate]]*Table11[[#This Row],[Canada Allocation %]]</f>
        <v>0</v>
      </c>
      <c r="AP299" s="35">
        <f>Table11[[#This Row],[2024 '#Trees Inventory + Estimate]]*Table11[[#This Row],[Canada Allocation2017 %]]</f>
        <v>0</v>
      </c>
      <c r="AQ299" s="35">
        <f>Table11[[#This Row],['#Trees as of 2024/estimate-Can allocation]]+Table11[[#This Row],['#Trees as of 2024/estimate-Can allocation 2017]]</f>
        <v>0</v>
      </c>
      <c r="AR299" s="1" t="s">
        <v>152</v>
      </c>
      <c r="AS299" s="2" t="s">
        <v>1360</v>
      </c>
      <c r="AT299" s="6">
        <f>IFERROR(Table11[[#This Row],['#Total Replacements]]/Table11[[#This Row],['#TreesContract]],"")</f>
        <v>4.5454545454545456E-2</v>
      </c>
      <c r="AU299" s="4">
        <f>IF(SUM(Table11[[#This Row],['#Replace 24]:['#Replace 16]])=0,0,SUM(Table11[[#This Row],['#Replace 24]:['#Replace 16]]))</f>
        <v>50</v>
      </c>
      <c r="AV299" s="2"/>
      <c r="AW299" s="2"/>
      <c r="AX299" s="3">
        <v>50</v>
      </c>
      <c r="AY299" s="2"/>
      <c r="AZ299" s="2"/>
      <c r="BA299" s="2"/>
      <c r="BB299" s="2"/>
      <c r="BC299" s="2"/>
      <c r="BD299" s="2"/>
      <c r="BE299" s="2"/>
      <c r="BF299" s="3">
        <v>1</v>
      </c>
      <c r="BG299" s="3">
        <v>1</v>
      </c>
      <c r="BH299" s="2">
        <v>2024</v>
      </c>
      <c r="BI299" s="158">
        <v>5.75</v>
      </c>
      <c r="BJ299" s="158">
        <v>0</v>
      </c>
      <c r="BK299" s="139">
        <f>Table11[[#This Row],[Average MHT
(Feet)]]/16</f>
        <v>0</v>
      </c>
      <c r="BL299" s="2">
        <v>0</v>
      </c>
      <c r="BM299" s="139">
        <f>Table11[[#This Row],[Average DBH
(inches)]]/18</f>
        <v>0</v>
      </c>
      <c r="BN299" s="235">
        <f>((Table11[[#This Row],[Average DBH
(inches)]]-4)^2)*(Table11[[#This Row],[Average MHT
(Feet)]]/16)</f>
        <v>0</v>
      </c>
      <c r="BO299" s="235">
        <f>Table11[[#This Row],[Average BF]]*Table11[[#This Row],[2024 '#Trees Inventory + Estimate]]</f>
        <v>0</v>
      </c>
      <c r="BP299" s="240">
        <f>(Table11[[#This Row],[Harvest Year
(10 year)]]-Table11[[#This Row],[Year of Inventory]]+1)*(Table11[[#This Row],[Average DBH
(inches)]]/(Table11[[#This Row],[Harvest Year
(10 year)]]-Table11[[#This Row],[Year of Inventory]]+1))+Table11[[#This Row],[Average DBH
(inches)]]</f>
        <v>0</v>
      </c>
      <c r="BQ299" s="235">
        <f>((Table11[[#This Row],[Projected DBH
(Extrapolated Growth/Year)]]-4)^2)*(Table11[[#This Row],[Average MHT
(Feet)]]/16)</f>
        <v>0</v>
      </c>
      <c r="BR299" s="235">
        <f>Table11[[#This Row],[Projected Average BF]]*Table11[[#This Row],[2024 '#Trees Inventory + Estimate]]</f>
        <v>0</v>
      </c>
      <c r="BS299" s="235">
        <f>196*Table11[[#This Row],[2024 '#Trees Inventory + Estimate]]</f>
        <v>210308</v>
      </c>
      <c r="BT299" s="243">
        <f>Table11[[#This Row],[ETP Offering Expected BF]]-Table11[[#This Row],[Projected Total BF]]</f>
        <v>210308</v>
      </c>
      <c r="BU299" s="235">
        <f>(18-Table11[[#This Row],[Average DBH
(inches)]])/(D299-Table11[[#This Row],[Year of Inventory]]+1)</f>
        <v>2.25</v>
      </c>
    </row>
    <row r="300" spans="1:73" hidden="1" x14ac:dyDescent="0.25">
      <c r="A300" s="7" t="s">
        <v>1698</v>
      </c>
      <c r="B300" s="2">
        <v>2021</v>
      </c>
      <c r="C300" s="2">
        <v>2022</v>
      </c>
      <c r="D300" s="2">
        <f>Table11[[#This Row],[Planting Year]]+9</f>
        <v>2031</v>
      </c>
      <c r="E300" s="97" t="s">
        <v>1699</v>
      </c>
      <c r="F300" s="161">
        <v>10112</v>
      </c>
      <c r="G300" t="s">
        <v>1699</v>
      </c>
      <c r="H300" s="357" t="s">
        <v>1700</v>
      </c>
      <c r="I300" t="s">
        <v>155</v>
      </c>
      <c r="J300" s="1" t="s">
        <v>1701</v>
      </c>
      <c r="K300" s="1" t="s">
        <v>1702</v>
      </c>
      <c r="L300" s="1" t="s">
        <v>1703</v>
      </c>
      <c r="M300" s="1" t="s">
        <v>150</v>
      </c>
      <c r="N300" t="s">
        <v>1704</v>
      </c>
      <c r="O300">
        <v>46.537576000000001</v>
      </c>
      <c r="P300">
        <v>-122.35475099999999</v>
      </c>
      <c r="Q300" s="2"/>
      <c r="R300" s="86"/>
      <c r="S300" s="2"/>
      <c r="T300" s="1">
        <v>1373</v>
      </c>
      <c r="U300" s="1">
        <v>1373</v>
      </c>
      <c r="V300" s="1" t="str">
        <f>IF(Table11[[#This Row],['#TreesContract]]-Table11[[#This Row],['#Planted]]=0,"",Table11[[#This Row],['#TreesContract]]-Table11[[#This Row],['#Planted]])</f>
        <v/>
      </c>
      <c r="W300" s="2"/>
      <c r="X300" s="34">
        <v>1</v>
      </c>
      <c r="Y300" s="163">
        <f>Table11[[#This Row],['#TreesContract]]*Table11[[#This Row],[USA Allocation %]]</f>
        <v>1373</v>
      </c>
      <c r="Z300" s="163">
        <f>Table11[[#This Row],['#Planted]]*Table11[[#This Row],[USA Allocation %]]</f>
        <v>1373</v>
      </c>
      <c r="AA300" s="34"/>
      <c r="AB300" s="163"/>
      <c r="AC300" s="34"/>
      <c r="AD300" s="163"/>
      <c r="AE300" s="163">
        <f>Table11[[#This Row],[Canada Allocation-tree '#''s]]+Table11[[#This Row],[Can trees/Allocation 2017]]</f>
        <v>0</v>
      </c>
      <c r="AF300" s="5">
        <v>1</v>
      </c>
      <c r="AG300" s="35">
        <v>1373</v>
      </c>
      <c r="AH300" s="35">
        <f>Table11[[#This Row],['#Trees as of 12/31/23]]*Table11[[#This Row],[USA Allocation %]]</f>
        <v>1373</v>
      </c>
      <c r="AI300" s="437">
        <f>Table11[[#This Row],['#TreesContract]]*Table11[[#This Row],[2024 Inventory Survival%-master]]</f>
        <v>0</v>
      </c>
      <c r="AJ300" s="436"/>
      <c r="AK300" s="366">
        <v>0</v>
      </c>
      <c r="AL300" s="366">
        <v>0</v>
      </c>
      <c r="AM300" s="35">
        <v>0</v>
      </c>
      <c r="AN300" s="35">
        <f>Table11[[#This Row],[2024 '#Trees Inventory + Estimate]]*Table11[[#This Row],[USA Allocation %]]</f>
        <v>0</v>
      </c>
      <c r="AO300" s="35">
        <f>Table11[[#This Row],[2024 '#Trees Inventory + Estimate]]*Table11[[#This Row],[Canada Allocation %]]</f>
        <v>0</v>
      </c>
      <c r="AP300" s="35">
        <f>Table11[[#This Row],[2024 '#Trees Inventory + Estimate]]*Table11[[#This Row],[Canada Allocation2017 %]]</f>
        <v>0</v>
      </c>
      <c r="AQ300" s="35">
        <f>Table11[[#This Row],['#Trees as of 2024/estimate-Can allocation]]+Table11[[#This Row],['#Trees as of 2024/estimate-Can allocation 2017]]</f>
        <v>0</v>
      </c>
      <c r="AR300" s="1" t="s">
        <v>152</v>
      </c>
      <c r="AS300" s="2" t="s">
        <v>1705</v>
      </c>
      <c r="AT300" s="6">
        <f>IFERROR(Table11[[#This Row],['#Total Replacements]]/Table11[[#This Row],['#TreesContract]],"")</f>
        <v>0.29133284777858703</v>
      </c>
      <c r="AU300" s="4">
        <f>IF(SUM(Table11[[#This Row],['#Replace 24]:['#Replace 16]])=0,0,SUM(Table11[[#This Row],['#Replace 24]:['#Replace 16]]))</f>
        <v>400</v>
      </c>
      <c r="AV300" s="2"/>
      <c r="AW300" s="2"/>
      <c r="AX300" s="3">
        <v>400</v>
      </c>
      <c r="AY300" s="2"/>
      <c r="AZ300" s="2"/>
      <c r="BA300" s="2"/>
      <c r="BB300" s="2"/>
      <c r="BC300" s="2"/>
      <c r="BD300" s="2"/>
      <c r="BE300" s="2"/>
      <c r="BF300" s="3">
        <v>1</v>
      </c>
      <c r="BG300" s="3">
        <v>1</v>
      </c>
      <c r="BH300" s="2"/>
      <c r="BI300" s="2"/>
      <c r="BJ300" s="2"/>
      <c r="BK300" s="139">
        <f>Table11[[#This Row],[Average MHT
(Feet)]]/16</f>
        <v>0</v>
      </c>
      <c r="BL300" s="2"/>
      <c r="BM300" s="139">
        <f>Table11[[#This Row],[Average DBH
(inches)]]/18</f>
        <v>0</v>
      </c>
      <c r="BN300" s="235">
        <f>((Table11[[#This Row],[Average DBH
(inches)]]-4)^2)*(Table11[[#This Row],[Average MHT
(Feet)]]/16)</f>
        <v>0</v>
      </c>
      <c r="BO300" s="235">
        <f>Table11[[#This Row],[Average BF]]*Table11[[#This Row],[2024 '#Trees Inventory + Estimate]]</f>
        <v>0</v>
      </c>
      <c r="BP300" s="240">
        <f>(Table11[[#This Row],[Harvest Year
(10 year)]]-Table11[[#This Row],[Year of Inventory]]+1)*(Table11[[#This Row],[Average DBH
(inches)]]/(Table11[[#This Row],[Harvest Year
(10 year)]]-Table11[[#This Row],[Year of Inventory]]+1))+Table11[[#This Row],[Average DBH
(inches)]]</f>
        <v>0</v>
      </c>
      <c r="BQ300" s="235">
        <f>((Table11[[#This Row],[Projected DBH
(Extrapolated Growth/Year)]]-4)^2)*(Table11[[#This Row],[Average MHT
(Feet)]]/16)</f>
        <v>0</v>
      </c>
      <c r="BR300" s="235">
        <f>Table11[[#This Row],[Projected Average BF]]*Table11[[#This Row],[2024 '#Trees Inventory + Estimate]]</f>
        <v>0</v>
      </c>
      <c r="BS300" s="235">
        <f>196*Table11[[#This Row],[2024 '#Trees Inventory + Estimate]]</f>
        <v>0</v>
      </c>
      <c r="BT300" s="243">
        <f>Table11[[#This Row],[ETP Offering Expected BF]]-Table11[[#This Row],[Projected Total BF]]</f>
        <v>0</v>
      </c>
      <c r="BU300" s="235">
        <f>(18-Table11[[#This Row],[Average DBH
(inches)]])/(D300-Table11[[#This Row],[Year of Inventory]]+1)</f>
        <v>8.8582677165354329E-3</v>
      </c>
    </row>
    <row r="301" spans="1:73" hidden="1" x14ac:dyDescent="0.25">
      <c r="A301" s="7" t="s">
        <v>1706</v>
      </c>
      <c r="B301" s="2">
        <v>2021</v>
      </c>
      <c r="C301" s="2">
        <v>2022</v>
      </c>
      <c r="D301" s="2">
        <f>Table11[[#This Row],[Planting Year]]+9</f>
        <v>2031</v>
      </c>
      <c r="E301" s="97" t="s">
        <v>1707</v>
      </c>
      <c r="F301" s="161">
        <v>10113</v>
      </c>
      <c r="G301" t="s">
        <v>1707</v>
      </c>
      <c r="H301" s="357" t="s">
        <v>1708</v>
      </c>
      <c r="I301" t="s">
        <v>155</v>
      </c>
      <c r="J301" s="1" t="s">
        <v>1709</v>
      </c>
      <c r="K301" s="1" t="s">
        <v>1710</v>
      </c>
      <c r="L301" s="1" t="s">
        <v>1711</v>
      </c>
      <c r="M301" s="1" t="s">
        <v>150</v>
      </c>
      <c r="N301" t="s">
        <v>1712</v>
      </c>
      <c r="O301">
        <v>31.22017</v>
      </c>
      <c r="P301">
        <v>-82.632182999999998</v>
      </c>
      <c r="Q301" s="2"/>
      <c r="R301" s="86"/>
      <c r="S301" s="2"/>
      <c r="T301" s="1">
        <v>1100</v>
      </c>
      <c r="U301" s="1">
        <v>1100</v>
      </c>
      <c r="V301" s="1" t="str">
        <f>IF(Table11[[#This Row],['#TreesContract]]-Table11[[#This Row],['#Planted]]=0,"",Table11[[#This Row],['#TreesContract]]-Table11[[#This Row],['#Planted]])</f>
        <v/>
      </c>
      <c r="W301" s="2"/>
      <c r="X301" s="34">
        <v>1</v>
      </c>
      <c r="Y301" s="163">
        <f>Table11[[#This Row],['#TreesContract]]*Table11[[#This Row],[USA Allocation %]]</f>
        <v>1100</v>
      </c>
      <c r="Z301" s="163">
        <f>Table11[[#This Row],['#Planted]]*Table11[[#This Row],[USA Allocation %]]</f>
        <v>1100</v>
      </c>
      <c r="AA301" s="34"/>
      <c r="AB301" s="163"/>
      <c r="AC301" s="34"/>
      <c r="AD301" s="163"/>
      <c r="AE301" s="163">
        <f>Table11[[#This Row],[Canada Allocation-tree '#''s]]+Table11[[#This Row],[Can trees/Allocation 2017]]</f>
        <v>0</v>
      </c>
      <c r="AF301" s="5">
        <v>1</v>
      </c>
      <c r="AG301" s="35">
        <v>1100</v>
      </c>
      <c r="AH301" s="35">
        <f>Table11[[#This Row],['#Trees as of 12/31/23]]*Table11[[#This Row],[USA Allocation %]]</f>
        <v>1100</v>
      </c>
      <c r="AI301" s="437">
        <f>Table11[[#This Row],['#TreesContract]]*Table11[[#This Row],[2024 Inventory Survival%-master]]</f>
        <v>739.2</v>
      </c>
      <c r="AJ301" s="436">
        <v>0.67200000000000004</v>
      </c>
      <c r="AK301" s="5">
        <v>0.67</v>
      </c>
      <c r="AL301" s="5">
        <v>0.67</v>
      </c>
      <c r="AM301" s="35">
        <v>739</v>
      </c>
      <c r="AN301" s="35">
        <f>Table11[[#This Row],[2024 '#Trees Inventory + Estimate]]*Table11[[#This Row],[USA Allocation %]]</f>
        <v>739</v>
      </c>
      <c r="AO301" s="35">
        <f>Table11[[#This Row],[2024 '#Trees Inventory + Estimate]]*Table11[[#This Row],[Canada Allocation %]]</f>
        <v>0</v>
      </c>
      <c r="AP301" s="35">
        <f>Table11[[#This Row],[2024 '#Trees Inventory + Estimate]]*Table11[[#This Row],[Canada Allocation2017 %]]</f>
        <v>0</v>
      </c>
      <c r="AQ301" s="35">
        <f>Table11[[#This Row],['#Trees as of 2024/estimate-Can allocation]]+Table11[[#This Row],['#Trees as of 2024/estimate-Can allocation 2017]]</f>
        <v>0</v>
      </c>
      <c r="AR301" s="1" t="s">
        <v>152</v>
      </c>
      <c r="AS301" s="2" t="s">
        <v>1284</v>
      </c>
      <c r="AT301" s="6">
        <f>IFERROR(Table11[[#This Row],['#Total Replacements]]/Table11[[#This Row],['#TreesContract]],"")</f>
        <v>0</v>
      </c>
      <c r="AU301" s="4">
        <f>IF(SUM(Table11[[#This Row],['#Replace 24]:['#Replace 16]])=0,0,SUM(Table11[[#This Row],['#Replace 24]:['#Replace 16]]))</f>
        <v>0</v>
      </c>
      <c r="AV301" s="2"/>
      <c r="AW301" s="2"/>
      <c r="AX301" s="3"/>
      <c r="AY301" s="2"/>
      <c r="AZ301" s="2"/>
      <c r="BA301" s="2"/>
      <c r="BB301" s="2"/>
      <c r="BC301" s="2"/>
      <c r="BD301" s="2"/>
      <c r="BE301" s="2"/>
      <c r="BF301" s="3">
        <v>1</v>
      </c>
      <c r="BG301" s="3">
        <v>1</v>
      </c>
      <c r="BH301" s="2">
        <v>2024</v>
      </c>
      <c r="BI301" s="158">
        <v>0.35</v>
      </c>
      <c r="BJ301" s="158">
        <v>0</v>
      </c>
      <c r="BK301" s="139">
        <f>Table11[[#This Row],[Average MHT
(Feet)]]/16</f>
        <v>0</v>
      </c>
      <c r="BL301" s="2">
        <v>0</v>
      </c>
      <c r="BM301" s="139">
        <f>Table11[[#This Row],[Average DBH
(inches)]]/18</f>
        <v>0</v>
      </c>
      <c r="BN301" s="235">
        <f>((Table11[[#This Row],[Average DBH
(inches)]]-4)^2)*(Table11[[#This Row],[Average MHT
(Feet)]]/16)</f>
        <v>0</v>
      </c>
      <c r="BO301" s="235">
        <f>Table11[[#This Row],[Average BF]]*Table11[[#This Row],[2024 '#Trees Inventory + Estimate]]</f>
        <v>0</v>
      </c>
      <c r="BP301" s="240">
        <f>(Table11[[#This Row],[Harvest Year
(10 year)]]-Table11[[#This Row],[Year of Inventory]]+1)*(Table11[[#This Row],[Average DBH
(inches)]]/(Table11[[#This Row],[Harvest Year
(10 year)]]-Table11[[#This Row],[Year of Inventory]]+1))+Table11[[#This Row],[Average DBH
(inches)]]</f>
        <v>0</v>
      </c>
      <c r="BQ301" s="235">
        <f>((Table11[[#This Row],[Projected DBH
(Extrapolated Growth/Year)]]-4)^2)*(Table11[[#This Row],[Average MHT
(Feet)]]/16)</f>
        <v>0</v>
      </c>
      <c r="BR301" s="235">
        <f>Table11[[#This Row],[Projected Average BF]]*Table11[[#This Row],[2024 '#Trees Inventory + Estimate]]</f>
        <v>0</v>
      </c>
      <c r="BS301" s="235">
        <f>196*Table11[[#This Row],[2024 '#Trees Inventory + Estimate]]</f>
        <v>144844</v>
      </c>
      <c r="BT301" s="243">
        <f>Table11[[#This Row],[ETP Offering Expected BF]]-Table11[[#This Row],[Projected Total BF]]</f>
        <v>144844</v>
      </c>
      <c r="BU301" s="235">
        <f>(18-Table11[[#This Row],[Average DBH
(inches)]])/(D301-Table11[[#This Row],[Year of Inventory]]+1)</f>
        <v>2.25</v>
      </c>
    </row>
    <row r="302" spans="1:73" hidden="1" x14ac:dyDescent="0.25">
      <c r="A302" s="7" t="s">
        <v>1713</v>
      </c>
      <c r="B302" s="2">
        <v>2021</v>
      </c>
      <c r="C302" s="2">
        <v>2022</v>
      </c>
      <c r="D302" s="2">
        <f>Table11[[#This Row],[Planting Year]]+9</f>
        <v>2031</v>
      </c>
      <c r="E302" s="97" t="s">
        <v>1714</v>
      </c>
      <c r="F302" s="161">
        <v>10114</v>
      </c>
      <c r="G302" t="s">
        <v>1714</v>
      </c>
      <c r="H302" s="357" t="s">
        <v>1715</v>
      </c>
      <c r="I302" t="s">
        <v>147</v>
      </c>
      <c r="J302" s="1" t="s">
        <v>1716</v>
      </c>
      <c r="K302" s="1" t="s">
        <v>1717</v>
      </c>
      <c r="L302" s="1" t="s">
        <v>1717</v>
      </c>
      <c r="M302" s="1" t="s">
        <v>150</v>
      </c>
      <c r="N302" t="s">
        <v>1718</v>
      </c>
      <c r="O302">
        <v>37.159784000000002</v>
      </c>
      <c r="P302">
        <v>-79.564228999999997</v>
      </c>
      <c r="Q302" s="2"/>
      <c r="R302" s="86"/>
      <c r="S302" s="2"/>
      <c r="T302" s="1">
        <v>1112</v>
      </c>
      <c r="U302" s="1">
        <v>1112</v>
      </c>
      <c r="V302" s="1" t="str">
        <f>IF(Table11[[#This Row],['#TreesContract]]-Table11[[#This Row],['#Planted]]=0,"",Table11[[#This Row],['#TreesContract]]-Table11[[#This Row],['#Planted]])</f>
        <v/>
      </c>
      <c r="W302" s="2"/>
      <c r="X302" s="34">
        <v>1</v>
      </c>
      <c r="Y302" s="163">
        <f>Table11[[#This Row],['#TreesContract]]*Table11[[#This Row],[USA Allocation %]]</f>
        <v>1112</v>
      </c>
      <c r="Z302" s="163">
        <f>Table11[[#This Row],['#Planted]]*Table11[[#This Row],[USA Allocation %]]</f>
        <v>1112</v>
      </c>
      <c r="AA302" s="34"/>
      <c r="AB302" s="163"/>
      <c r="AC302" s="34"/>
      <c r="AD302" s="163"/>
      <c r="AE302" s="163">
        <f>Table11[[#This Row],[Canada Allocation-tree '#''s]]+Table11[[#This Row],[Can trees/Allocation 2017]]</f>
        <v>0</v>
      </c>
      <c r="AF302" s="5">
        <v>1</v>
      </c>
      <c r="AG302" s="35">
        <v>1112</v>
      </c>
      <c r="AH302" s="35">
        <f>Table11[[#This Row],['#Trees as of 12/31/23]]*Table11[[#This Row],[USA Allocation %]]</f>
        <v>1112</v>
      </c>
      <c r="AI302" s="404">
        <f>Table11[[#This Row],['#TreesContract]]*Table11[[#This Row],[2024 Inventory Survival%-master]]</f>
        <v>0</v>
      </c>
      <c r="AJ302" s="5"/>
      <c r="AK302" s="5">
        <v>1</v>
      </c>
      <c r="AL302" s="5">
        <v>0</v>
      </c>
      <c r="AM302" s="35">
        <f>AK302*Table11[[#This Row],['#TreesContract]]</f>
        <v>1112</v>
      </c>
      <c r="AN302" s="35">
        <f>Table11[[#This Row],[2024 '#Trees Inventory + Estimate]]*Table11[[#This Row],[USA Allocation %]]</f>
        <v>1112</v>
      </c>
      <c r="AO302" s="35">
        <f>Table11[[#This Row],[2024 '#Trees Inventory + Estimate]]*Table11[[#This Row],[Canada Allocation %]]</f>
        <v>0</v>
      </c>
      <c r="AP302" s="35">
        <f>Table11[[#This Row],[2024 '#Trees Inventory + Estimate]]*Table11[[#This Row],[Canada Allocation2017 %]]</f>
        <v>0</v>
      </c>
      <c r="AQ302" s="35">
        <f>Table11[[#This Row],['#Trees as of 2024/estimate-Can allocation]]+Table11[[#This Row],['#Trees as of 2024/estimate-Can allocation 2017]]</f>
        <v>0</v>
      </c>
      <c r="AR302" s="1" t="s">
        <v>152</v>
      </c>
      <c r="AS302" s="2" t="s">
        <v>1719</v>
      </c>
      <c r="AT302" s="6">
        <f>IFERROR(Table11[[#This Row],['#Total Replacements]]/Table11[[#This Row],['#TreesContract]],"")</f>
        <v>9.4424460431654672E-2</v>
      </c>
      <c r="AU302" s="4">
        <f>IF(SUM(Table11[[#This Row],['#Replace 24]:['#Replace 16]])=0,0,SUM(Table11[[#This Row],['#Replace 24]:['#Replace 16]]))</f>
        <v>105</v>
      </c>
      <c r="AV302" s="2"/>
      <c r="AW302" s="2"/>
      <c r="AX302" s="3">
        <v>105</v>
      </c>
      <c r="AY302" s="2"/>
      <c r="AZ302" s="2"/>
      <c r="BA302" s="2"/>
      <c r="BB302" s="2"/>
      <c r="BC302" s="2"/>
      <c r="BD302" s="2"/>
      <c r="BE302" s="2"/>
      <c r="BF302" s="3">
        <v>1</v>
      </c>
      <c r="BG302" s="3">
        <v>1</v>
      </c>
      <c r="BH302" s="2"/>
      <c r="BI302" s="158"/>
      <c r="BJ302" s="158"/>
      <c r="BK302" s="139">
        <f>Table11[[#This Row],[Average MHT
(Feet)]]/16</f>
        <v>0</v>
      </c>
      <c r="BL302" s="2"/>
      <c r="BM302" s="139">
        <f>Table11[[#This Row],[Average DBH
(inches)]]/18</f>
        <v>0</v>
      </c>
      <c r="BN302" s="235">
        <f>((Table11[[#This Row],[Average DBH
(inches)]]-4)^2)*(Table11[[#This Row],[Average MHT
(Feet)]]/16)</f>
        <v>0</v>
      </c>
      <c r="BO302" s="235">
        <f>Table11[[#This Row],[Average BF]]*Table11[[#This Row],[2024 '#Trees Inventory + Estimate]]</f>
        <v>0</v>
      </c>
      <c r="BP302" s="240">
        <f>(Table11[[#This Row],[Harvest Year
(10 year)]]-Table11[[#This Row],[Year of Inventory]]+1)*(Table11[[#This Row],[Average DBH
(inches)]]/(Table11[[#This Row],[Harvest Year
(10 year)]]-Table11[[#This Row],[Year of Inventory]]+1))+Table11[[#This Row],[Average DBH
(inches)]]</f>
        <v>0</v>
      </c>
      <c r="BQ302" s="235">
        <f>((Table11[[#This Row],[Projected DBH
(Extrapolated Growth/Year)]]-4)^2)*(Table11[[#This Row],[Average MHT
(Feet)]]/16)</f>
        <v>0</v>
      </c>
      <c r="BR302" s="235">
        <f>Table11[[#This Row],[Projected Average BF]]*Table11[[#This Row],[2024 '#Trees Inventory + Estimate]]</f>
        <v>0</v>
      </c>
      <c r="BS302" s="235">
        <f>196*Table11[[#This Row],[2024 '#Trees Inventory + Estimate]]</f>
        <v>217952</v>
      </c>
      <c r="BT302" s="235">
        <f>Table11[[#This Row],[ETP Offering Expected BF]]-Table11[[#This Row],[Projected Total BF]]</f>
        <v>217952</v>
      </c>
      <c r="BU302" s="235">
        <f>(18-Table11[[#This Row],[Average DBH
(inches)]])/(D302-Table11[[#This Row],[Year of Inventory]]+1)</f>
        <v>8.8582677165354329E-3</v>
      </c>
    </row>
    <row r="303" spans="1:73" hidden="1" x14ac:dyDescent="0.25">
      <c r="A303" s="7" t="s">
        <v>1720</v>
      </c>
      <c r="B303" s="2">
        <v>2021</v>
      </c>
      <c r="C303" s="2">
        <v>2022</v>
      </c>
      <c r="D303" s="2">
        <f>Table11[[#This Row],[Planting Year]]+9</f>
        <v>2031</v>
      </c>
      <c r="E303" s="97" t="s">
        <v>1721</v>
      </c>
      <c r="F303" s="161">
        <v>10115</v>
      </c>
      <c r="G303" t="s">
        <v>1721</v>
      </c>
      <c r="H303" s="357" t="s">
        <v>1722</v>
      </c>
      <c r="I303" t="s">
        <v>147</v>
      </c>
      <c r="J303" s="1" t="s">
        <v>1723</v>
      </c>
      <c r="K303" s="1" t="s">
        <v>1724</v>
      </c>
      <c r="L303" s="1" t="s">
        <v>1724</v>
      </c>
      <c r="M303" s="1" t="s">
        <v>150</v>
      </c>
      <c r="N303" t="s">
        <v>1725</v>
      </c>
      <c r="O303">
        <v>30.824649000000001</v>
      </c>
      <c r="P303">
        <v>-83.054344999999998</v>
      </c>
      <c r="Q303" s="2"/>
      <c r="R303" s="86"/>
      <c r="S303" s="2"/>
      <c r="T303" s="1">
        <v>1100</v>
      </c>
      <c r="U303" s="1">
        <v>1100</v>
      </c>
      <c r="V303" s="1" t="str">
        <f>IF(Table11[[#This Row],['#TreesContract]]-Table11[[#This Row],['#Planted]]=0,"",Table11[[#This Row],['#TreesContract]]-Table11[[#This Row],['#Planted]])</f>
        <v/>
      </c>
      <c r="W303" s="2"/>
      <c r="X303" s="34">
        <v>1</v>
      </c>
      <c r="Y303" s="163">
        <f>Table11[[#This Row],['#TreesContract]]*Table11[[#This Row],[USA Allocation %]]</f>
        <v>1100</v>
      </c>
      <c r="Z303" s="163">
        <f>Table11[[#This Row],['#Planted]]*Table11[[#This Row],[USA Allocation %]]</f>
        <v>1100</v>
      </c>
      <c r="AA303" s="34"/>
      <c r="AB303" s="163"/>
      <c r="AC303" s="34"/>
      <c r="AD303" s="163"/>
      <c r="AE303" s="163">
        <f>Table11[[#This Row],[Canada Allocation-tree '#''s]]+Table11[[#This Row],[Can trees/Allocation 2017]]</f>
        <v>0</v>
      </c>
      <c r="AF303" s="5">
        <v>1</v>
      </c>
      <c r="AG303" s="35">
        <v>1100</v>
      </c>
      <c r="AH303" s="35">
        <f>Table11[[#This Row],['#Trees as of 12/31/23]]*Table11[[#This Row],[USA Allocation %]]</f>
        <v>1100</v>
      </c>
      <c r="AI303" s="404">
        <f>Table11[[#This Row],['#TreesContract]]*Table11[[#This Row],[2024 Inventory Survival%-master]]</f>
        <v>0</v>
      </c>
      <c r="AJ303" s="5"/>
      <c r="AK303" s="5">
        <v>1</v>
      </c>
      <c r="AL303" s="5">
        <v>0</v>
      </c>
      <c r="AM303" s="35">
        <f>AK303*Table11[[#This Row],['#TreesContract]]</f>
        <v>1100</v>
      </c>
      <c r="AN303" s="35">
        <f>Table11[[#This Row],[2024 '#Trees Inventory + Estimate]]*Table11[[#This Row],[USA Allocation %]]</f>
        <v>1100</v>
      </c>
      <c r="AO303" s="35">
        <f>Table11[[#This Row],[2024 '#Trees Inventory + Estimate]]*Table11[[#This Row],[Canada Allocation %]]</f>
        <v>0</v>
      </c>
      <c r="AP303" s="35">
        <f>Table11[[#This Row],[2024 '#Trees Inventory + Estimate]]*Table11[[#This Row],[Canada Allocation2017 %]]</f>
        <v>0</v>
      </c>
      <c r="AQ303" s="35">
        <f>Table11[[#This Row],['#Trees as of 2024/estimate-Can allocation]]+Table11[[#This Row],['#Trees as of 2024/estimate-Can allocation 2017]]</f>
        <v>0</v>
      </c>
      <c r="AR303" s="1" t="s">
        <v>152</v>
      </c>
      <c r="AS303" s="2" t="s">
        <v>1298</v>
      </c>
      <c r="AT303" s="6">
        <f>IFERROR(Table11[[#This Row],['#Total Replacements]]/Table11[[#This Row],['#TreesContract]],"")</f>
        <v>5.7272727272727274E-2</v>
      </c>
      <c r="AU303" s="4">
        <f>IF(SUM(Table11[[#This Row],['#Replace 24]:['#Replace 16]])=0,0,SUM(Table11[[#This Row],['#Replace 24]:['#Replace 16]]))</f>
        <v>63</v>
      </c>
      <c r="AV303" s="2"/>
      <c r="AW303" s="2"/>
      <c r="AX303" s="3"/>
      <c r="AY303" s="2">
        <v>63</v>
      </c>
      <c r="AZ303" s="2"/>
      <c r="BA303" s="2"/>
      <c r="BB303" s="2"/>
      <c r="BC303" s="2"/>
      <c r="BD303" s="2"/>
      <c r="BE303" s="2"/>
      <c r="BF303" s="3">
        <v>1</v>
      </c>
      <c r="BG303" s="3">
        <v>1</v>
      </c>
      <c r="BH303" s="2"/>
      <c r="BI303" s="158"/>
      <c r="BJ303" s="158"/>
      <c r="BK303" s="139">
        <f>Table11[[#This Row],[Average MHT
(Feet)]]/16</f>
        <v>0</v>
      </c>
      <c r="BL303" s="2"/>
      <c r="BM303" s="139">
        <f>Table11[[#This Row],[Average DBH
(inches)]]/18</f>
        <v>0</v>
      </c>
      <c r="BN303" s="235">
        <f>((Table11[[#This Row],[Average DBH
(inches)]]-4)^2)*(Table11[[#This Row],[Average MHT
(Feet)]]/16)</f>
        <v>0</v>
      </c>
      <c r="BO303" s="235">
        <f>Table11[[#This Row],[Average BF]]*Table11[[#This Row],[2024 '#Trees Inventory + Estimate]]</f>
        <v>0</v>
      </c>
      <c r="BP303" s="240">
        <f>(Table11[[#This Row],[Harvest Year
(10 year)]]-Table11[[#This Row],[Year of Inventory]]+1)*(Table11[[#This Row],[Average DBH
(inches)]]/(Table11[[#This Row],[Harvest Year
(10 year)]]-Table11[[#This Row],[Year of Inventory]]+1))+Table11[[#This Row],[Average DBH
(inches)]]</f>
        <v>0</v>
      </c>
      <c r="BQ303" s="235">
        <f>((Table11[[#This Row],[Projected DBH
(Extrapolated Growth/Year)]]-4)^2)*(Table11[[#This Row],[Average MHT
(Feet)]]/16)</f>
        <v>0</v>
      </c>
      <c r="BR303" s="235">
        <f>Table11[[#This Row],[Projected Average BF]]*Table11[[#This Row],[2024 '#Trees Inventory + Estimate]]</f>
        <v>0</v>
      </c>
      <c r="BS303" s="235">
        <f>196*Table11[[#This Row],[2024 '#Trees Inventory + Estimate]]</f>
        <v>215600</v>
      </c>
      <c r="BT303" s="235">
        <f>Table11[[#This Row],[ETP Offering Expected BF]]-Table11[[#This Row],[Projected Total BF]]</f>
        <v>215600</v>
      </c>
      <c r="BU303" s="235">
        <f>(18-Table11[[#This Row],[Average DBH
(inches)]])/(D303-Table11[[#This Row],[Year of Inventory]]+1)</f>
        <v>8.8582677165354329E-3</v>
      </c>
    </row>
    <row r="304" spans="1:73" hidden="1" x14ac:dyDescent="0.25">
      <c r="A304" s="7" t="s">
        <v>1726</v>
      </c>
      <c r="B304" s="2">
        <v>2021</v>
      </c>
      <c r="C304" s="2">
        <v>2022</v>
      </c>
      <c r="D304" s="2">
        <f>Table11[[#This Row],[Planting Year]]+9</f>
        <v>2031</v>
      </c>
      <c r="E304" s="97" t="s">
        <v>1727</v>
      </c>
      <c r="F304" s="161">
        <v>10116</v>
      </c>
      <c r="G304" t="s">
        <v>1727</v>
      </c>
      <c r="H304" s="357" t="s">
        <v>1728</v>
      </c>
      <c r="I304" t="s">
        <v>155</v>
      </c>
      <c r="J304" s="1" t="s">
        <v>1729</v>
      </c>
      <c r="K304" s="1" t="s">
        <v>1730</v>
      </c>
      <c r="L304" s="1" t="s">
        <v>1730</v>
      </c>
      <c r="M304" s="1" t="s">
        <v>150</v>
      </c>
      <c r="N304" t="s">
        <v>1731</v>
      </c>
      <c r="O304">
        <v>30.047118000000001</v>
      </c>
      <c r="P304">
        <v>-82.259403000000006</v>
      </c>
      <c r="Q304" s="2"/>
      <c r="R304" s="86"/>
      <c r="S304" s="2"/>
      <c r="T304" s="1">
        <v>2200</v>
      </c>
      <c r="U304" s="1">
        <v>2200</v>
      </c>
      <c r="V304" s="1" t="str">
        <f>IF(Table11[[#This Row],['#TreesContract]]-Table11[[#This Row],['#Planted]]=0,"",Table11[[#This Row],['#TreesContract]]-Table11[[#This Row],['#Planted]])</f>
        <v/>
      </c>
      <c r="W304" s="2"/>
      <c r="X304" s="34">
        <v>1</v>
      </c>
      <c r="Y304" s="163">
        <f>Table11[[#This Row],['#TreesContract]]*Table11[[#This Row],[USA Allocation %]]</f>
        <v>2200</v>
      </c>
      <c r="Z304" s="163">
        <f>Table11[[#This Row],['#Planted]]*Table11[[#This Row],[USA Allocation %]]</f>
        <v>2200</v>
      </c>
      <c r="AA304" s="34"/>
      <c r="AB304" s="163"/>
      <c r="AC304" s="34"/>
      <c r="AD304" s="163"/>
      <c r="AE304" s="163">
        <f>Table11[[#This Row],[Canada Allocation-tree '#''s]]+Table11[[#This Row],[Can trees/Allocation 2017]]</f>
        <v>0</v>
      </c>
      <c r="AF304" s="5">
        <v>1</v>
      </c>
      <c r="AG304" s="35">
        <v>2200</v>
      </c>
      <c r="AH304" s="35">
        <f>Table11[[#This Row],['#Trees as of 12/31/23]]*Table11[[#This Row],[USA Allocation %]]</f>
        <v>2200</v>
      </c>
      <c r="AI304" s="437">
        <f>Table11[[#This Row],['#TreesContract]]*Table11[[#This Row],[2024 Inventory Survival%-master]]</f>
        <v>908.59999999999991</v>
      </c>
      <c r="AJ304" s="436">
        <v>0.41299999999999998</v>
      </c>
      <c r="AK304" s="5">
        <v>0.41</v>
      </c>
      <c r="AL304" s="5">
        <v>0.41</v>
      </c>
      <c r="AM304" s="35">
        <v>909</v>
      </c>
      <c r="AN304" s="35">
        <f>Table11[[#This Row],[2024 '#Trees Inventory + Estimate]]*Table11[[#This Row],[USA Allocation %]]</f>
        <v>909</v>
      </c>
      <c r="AO304" s="35">
        <f>Table11[[#This Row],[2024 '#Trees Inventory + Estimate]]*Table11[[#This Row],[Canada Allocation %]]</f>
        <v>0</v>
      </c>
      <c r="AP304" s="35">
        <f>Table11[[#This Row],[2024 '#Trees Inventory + Estimate]]*Table11[[#This Row],[Canada Allocation2017 %]]</f>
        <v>0</v>
      </c>
      <c r="AQ304" s="35">
        <f>Table11[[#This Row],['#Trees as of 2024/estimate-Can allocation]]+Table11[[#This Row],['#Trees as of 2024/estimate-Can allocation 2017]]</f>
        <v>0</v>
      </c>
      <c r="AR304" s="1" t="s">
        <v>152</v>
      </c>
      <c r="AS304" s="2" t="s">
        <v>1284</v>
      </c>
      <c r="AT304" s="6">
        <f>IFERROR(Table11[[#This Row],['#Total Replacements]]/Table11[[#This Row],['#TreesContract]],"")</f>
        <v>0.17181818181818181</v>
      </c>
      <c r="AU304" s="4">
        <f>IF(SUM(Table11[[#This Row],['#Replace 24]:['#Replace 16]])=0,0,SUM(Table11[[#This Row],['#Replace 24]:['#Replace 16]]))</f>
        <v>378</v>
      </c>
      <c r="AV304" s="2"/>
      <c r="AW304" s="2"/>
      <c r="AX304" s="3">
        <v>252</v>
      </c>
      <c r="AY304" s="2">
        <v>126</v>
      </c>
      <c r="AZ304" s="2"/>
      <c r="BA304" s="2"/>
      <c r="BB304" s="2"/>
      <c r="BC304" s="2"/>
      <c r="BD304" s="2"/>
      <c r="BE304" s="2"/>
      <c r="BF304" s="3">
        <v>1</v>
      </c>
      <c r="BG304" s="3">
        <v>1</v>
      </c>
      <c r="BH304" s="2">
        <v>2024</v>
      </c>
      <c r="BI304" s="158">
        <v>0.73</v>
      </c>
      <c r="BJ304" s="158">
        <v>0</v>
      </c>
      <c r="BK304" s="139">
        <f>Table11[[#This Row],[Average MHT
(Feet)]]/16</f>
        <v>0</v>
      </c>
      <c r="BL304" s="2">
        <v>0.02</v>
      </c>
      <c r="BM304" s="139">
        <f>Table11[[#This Row],[Average DBH
(inches)]]/18</f>
        <v>1.1111111111111111E-3</v>
      </c>
      <c r="BN304" s="235">
        <f>((Table11[[#This Row],[Average DBH
(inches)]]-4)^2)*(Table11[[#This Row],[Average MHT
(Feet)]]/16)</f>
        <v>0</v>
      </c>
      <c r="BO304" s="235">
        <f>Table11[[#This Row],[Average BF]]*Table11[[#This Row],[2024 '#Trees Inventory + Estimate]]</f>
        <v>0</v>
      </c>
      <c r="BP304" s="240">
        <f>(Table11[[#This Row],[Harvest Year
(10 year)]]-Table11[[#This Row],[Year of Inventory]]+1)*(Table11[[#This Row],[Average DBH
(inches)]]/(Table11[[#This Row],[Harvest Year
(10 year)]]-Table11[[#This Row],[Year of Inventory]]+1))+Table11[[#This Row],[Average DBH
(inches)]]</f>
        <v>0.04</v>
      </c>
      <c r="BQ304" s="235">
        <f>((Table11[[#This Row],[Projected DBH
(Extrapolated Growth/Year)]]-4)^2)*(Table11[[#This Row],[Average MHT
(Feet)]]/16)</f>
        <v>0</v>
      </c>
      <c r="BR304" s="235">
        <f>Table11[[#This Row],[Projected Average BF]]*Table11[[#This Row],[2024 '#Trees Inventory + Estimate]]</f>
        <v>0</v>
      </c>
      <c r="BS304" s="235">
        <f>196*Table11[[#This Row],[2024 '#Trees Inventory + Estimate]]</f>
        <v>178164</v>
      </c>
      <c r="BT304" s="243">
        <f>Table11[[#This Row],[ETP Offering Expected BF]]-Table11[[#This Row],[Projected Total BF]]</f>
        <v>178164</v>
      </c>
      <c r="BU304" s="235">
        <f>(18-Table11[[#This Row],[Average DBH
(inches)]])/(D304-Table11[[#This Row],[Year of Inventory]]+1)</f>
        <v>2.2475000000000001</v>
      </c>
    </row>
    <row r="305" spans="1:73" hidden="1" x14ac:dyDescent="0.25">
      <c r="A305" s="7" t="s">
        <v>1732</v>
      </c>
      <c r="B305" s="2">
        <v>2021</v>
      </c>
      <c r="C305" s="2">
        <v>2022</v>
      </c>
      <c r="D305" s="2">
        <f>Table11[[#This Row],[Planting Year]]+9</f>
        <v>2031</v>
      </c>
      <c r="E305" s="97" t="s">
        <v>1733</v>
      </c>
      <c r="F305" s="161">
        <v>10117</v>
      </c>
      <c r="G305" t="s">
        <v>1733</v>
      </c>
      <c r="H305" s="357" t="s">
        <v>1734</v>
      </c>
      <c r="I305" t="s">
        <v>155</v>
      </c>
      <c r="J305" s="1" t="s">
        <v>1735</v>
      </c>
      <c r="K305" s="1" t="s">
        <v>1736</v>
      </c>
      <c r="L305" s="1" t="s">
        <v>1737</v>
      </c>
      <c r="M305" s="1" t="s">
        <v>150</v>
      </c>
      <c r="N305" t="s">
        <v>1738</v>
      </c>
      <c r="O305">
        <v>33.191420999999998</v>
      </c>
      <c r="P305">
        <v>-84.068181999999993</v>
      </c>
      <c r="Q305" s="2"/>
      <c r="R305" s="86"/>
      <c r="S305" s="2"/>
      <c r="T305" s="1">
        <v>1980</v>
      </c>
      <c r="U305" s="1">
        <v>1980</v>
      </c>
      <c r="V305" s="1" t="str">
        <f>IF(Table11[[#This Row],['#TreesContract]]-Table11[[#This Row],['#Planted]]=0,"",Table11[[#This Row],['#TreesContract]]-Table11[[#This Row],['#Planted]])</f>
        <v/>
      </c>
      <c r="W305" s="2"/>
      <c r="X305" s="34">
        <v>1</v>
      </c>
      <c r="Y305" s="163">
        <f>Table11[[#This Row],['#TreesContract]]*Table11[[#This Row],[USA Allocation %]]</f>
        <v>1980</v>
      </c>
      <c r="Z305" s="163">
        <f>Table11[[#This Row],['#Planted]]*Table11[[#This Row],[USA Allocation %]]</f>
        <v>1980</v>
      </c>
      <c r="AA305" s="34"/>
      <c r="AB305" s="163"/>
      <c r="AC305" s="34"/>
      <c r="AD305" s="163"/>
      <c r="AE305" s="163">
        <f>Table11[[#This Row],[Canada Allocation-tree '#''s]]+Table11[[#This Row],[Can trees/Allocation 2017]]</f>
        <v>0</v>
      </c>
      <c r="AF305" s="5">
        <v>1</v>
      </c>
      <c r="AG305" s="35">
        <v>1980</v>
      </c>
      <c r="AH305" s="35">
        <f>Table11[[#This Row],['#Trees as of 12/31/23]]*Table11[[#This Row],[USA Allocation %]]</f>
        <v>1980</v>
      </c>
      <c r="AI305" s="437">
        <f>Table11[[#This Row],['#TreesContract]]*Table11[[#This Row],[2024 Inventory Survival%-master]]</f>
        <v>0</v>
      </c>
      <c r="AJ305" s="436"/>
      <c r="AK305" s="5">
        <v>1</v>
      </c>
      <c r="AL305" s="5">
        <v>1</v>
      </c>
      <c r="AM305" s="35">
        <v>1980</v>
      </c>
      <c r="AN305" s="35">
        <f>Table11[[#This Row],[2024 '#Trees Inventory + Estimate]]*Table11[[#This Row],[USA Allocation %]]</f>
        <v>1980</v>
      </c>
      <c r="AO305" s="35">
        <f>Table11[[#This Row],[2024 '#Trees Inventory + Estimate]]*Table11[[#This Row],[Canada Allocation %]]</f>
        <v>0</v>
      </c>
      <c r="AP305" s="35">
        <f>Table11[[#This Row],[2024 '#Trees Inventory + Estimate]]*Table11[[#This Row],[Canada Allocation2017 %]]</f>
        <v>0</v>
      </c>
      <c r="AQ305" s="35">
        <f>Table11[[#This Row],['#Trees as of 2024/estimate-Can allocation]]+Table11[[#This Row],['#Trees as of 2024/estimate-Can allocation 2017]]</f>
        <v>0</v>
      </c>
      <c r="AR305" s="1" t="s">
        <v>152</v>
      </c>
      <c r="AS305" s="2" t="s">
        <v>661</v>
      </c>
      <c r="AT305" s="6">
        <f>IFERROR(Table11[[#This Row],['#Total Replacements]]/Table11[[#This Row],['#TreesContract]],"")</f>
        <v>0.71111111111111114</v>
      </c>
      <c r="AU305" s="4">
        <f>IF(SUM(Table11[[#This Row],['#Replace 24]:['#Replace 16]])=0,0,SUM(Table11[[#This Row],['#Replace 24]:['#Replace 16]]))</f>
        <v>1408</v>
      </c>
      <c r="AV305" s="2"/>
      <c r="AW305" s="2">
        <v>625</v>
      </c>
      <c r="AX305" s="3">
        <v>783</v>
      </c>
      <c r="AY305" s="2"/>
      <c r="AZ305" s="2"/>
      <c r="BA305" s="2"/>
      <c r="BB305" s="2"/>
      <c r="BC305" s="2"/>
      <c r="BD305" s="2"/>
      <c r="BE305" s="2"/>
      <c r="BF305" s="3">
        <v>1</v>
      </c>
      <c r="BG305" s="3">
        <v>1</v>
      </c>
      <c r="BH305" s="2"/>
      <c r="BI305" s="2"/>
      <c r="BJ305" s="2"/>
      <c r="BK305" s="139">
        <f>Table11[[#This Row],[Average MHT
(Feet)]]/16</f>
        <v>0</v>
      </c>
      <c r="BL305" s="2"/>
      <c r="BM305" s="139">
        <f>Table11[[#This Row],[Average DBH
(inches)]]/18</f>
        <v>0</v>
      </c>
      <c r="BN305" s="235">
        <f>((Table11[[#This Row],[Average DBH
(inches)]]-4)^2)*(Table11[[#This Row],[Average MHT
(Feet)]]/16)</f>
        <v>0</v>
      </c>
      <c r="BO305" s="235">
        <f>Table11[[#This Row],[Average BF]]*Table11[[#This Row],[2024 '#Trees Inventory + Estimate]]</f>
        <v>0</v>
      </c>
      <c r="BP305" s="240">
        <f>(Table11[[#This Row],[Harvest Year
(10 year)]]-Table11[[#This Row],[Year of Inventory]]+1)*(Table11[[#This Row],[Average DBH
(inches)]]/(Table11[[#This Row],[Harvest Year
(10 year)]]-Table11[[#This Row],[Year of Inventory]]+1))+Table11[[#This Row],[Average DBH
(inches)]]</f>
        <v>0</v>
      </c>
      <c r="BQ305" s="235">
        <f>((Table11[[#This Row],[Projected DBH
(Extrapolated Growth/Year)]]-4)^2)*(Table11[[#This Row],[Average MHT
(Feet)]]/16)</f>
        <v>0</v>
      </c>
      <c r="BR305" s="235">
        <f>Table11[[#This Row],[Projected Average BF]]*Table11[[#This Row],[2024 '#Trees Inventory + Estimate]]</f>
        <v>0</v>
      </c>
      <c r="BS305" s="235">
        <f>196*Table11[[#This Row],[2024 '#Trees Inventory + Estimate]]</f>
        <v>388080</v>
      </c>
      <c r="BT305" s="243">
        <f>Table11[[#This Row],[ETP Offering Expected BF]]-Table11[[#This Row],[Projected Total BF]]</f>
        <v>388080</v>
      </c>
      <c r="BU305" s="235">
        <f>(18-Table11[[#This Row],[Average DBH
(inches)]])/(D305-Table11[[#This Row],[Year of Inventory]]+1)</f>
        <v>8.8582677165354329E-3</v>
      </c>
    </row>
    <row r="306" spans="1:73" hidden="1" x14ac:dyDescent="0.25">
      <c r="A306" s="7" t="s">
        <v>1739</v>
      </c>
      <c r="B306" s="2">
        <v>2021</v>
      </c>
      <c r="C306" s="2">
        <v>2022</v>
      </c>
      <c r="D306" s="2">
        <f>Table11[[#This Row],[Planting Year]]+9</f>
        <v>2031</v>
      </c>
      <c r="E306" s="97" t="s">
        <v>1740</v>
      </c>
      <c r="F306" s="161">
        <v>10118</v>
      </c>
      <c r="G306" t="s">
        <v>1740</v>
      </c>
      <c r="H306" s="357" t="s">
        <v>1741</v>
      </c>
      <c r="I306" t="s">
        <v>155</v>
      </c>
      <c r="J306" s="1" t="s">
        <v>1742</v>
      </c>
      <c r="K306" s="1" t="s">
        <v>1743</v>
      </c>
      <c r="L306" s="1" t="s">
        <v>1743</v>
      </c>
      <c r="M306" s="1" t="s">
        <v>150</v>
      </c>
      <c r="N306" t="s">
        <v>1744</v>
      </c>
      <c r="O306">
        <v>32.646970000000003</v>
      </c>
      <c r="P306">
        <v>-86.381338999999997</v>
      </c>
      <c r="Q306" s="2"/>
      <c r="R306" s="86"/>
      <c r="S306" s="2"/>
      <c r="T306" s="1">
        <v>1100</v>
      </c>
      <c r="U306" s="1">
        <v>1100</v>
      </c>
      <c r="V306" s="1" t="str">
        <f>IF(Table11[[#This Row],['#TreesContract]]-Table11[[#This Row],['#Planted]]=0,"",Table11[[#This Row],['#TreesContract]]-Table11[[#This Row],['#Planted]])</f>
        <v/>
      </c>
      <c r="W306" s="2"/>
      <c r="X306" s="34">
        <v>1</v>
      </c>
      <c r="Y306" s="163">
        <f>Table11[[#This Row],['#TreesContract]]*Table11[[#This Row],[USA Allocation %]]</f>
        <v>1100</v>
      </c>
      <c r="Z306" s="163">
        <f>Table11[[#This Row],['#Planted]]*Table11[[#This Row],[USA Allocation %]]</f>
        <v>1100</v>
      </c>
      <c r="AA306" s="34"/>
      <c r="AB306" s="163"/>
      <c r="AC306" s="34"/>
      <c r="AD306" s="163"/>
      <c r="AE306" s="163">
        <f>Table11[[#This Row],[Canada Allocation-tree '#''s]]+Table11[[#This Row],[Can trees/Allocation 2017]]</f>
        <v>0</v>
      </c>
      <c r="AF306" s="5">
        <v>1</v>
      </c>
      <c r="AG306" s="35">
        <v>1100</v>
      </c>
      <c r="AH306" s="35">
        <f>Table11[[#This Row],['#Trees as of 12/31/23]]*Table11[[#This Row],[USA Allocation %]]</f>
        <v>1100</v>
      </c>
      <c r="AI306" s="437">
        <f>Table11[[#This Row],['#TreesContract]]*Table11[[#This Row],[2024 Inventory Survival%-master]]</f>
        <v>726</v>
      </c>
      <c r="AJ306" s="436">
        <v>0.66</v>
      </c>
      <c r="AK306" s="5">
        <v>0.66</v>
      </c>
      <c r="AL306" s="5">
        <v>0.66</v>
      </c>
      <c r="AM306" s="35">
        <v>726</v>
      </c>
      <c r="AN306" s="35">
        <f>Table11[[#This Row],[2024 '#Trees Inventory + Estimate]]*Table11[[#This Row],[USA Allocation %]]</f>
        <v>726</v>
      </c>
      <c r="AO306" s="35">
        <f>Table11[[#This Row],[2024 '#Trees Inventory + Estimate]]*Table11[[#This Row],[Canada Allocation %]]</f>
        <v>0</v>
      </c>
      <c r="AP306" s="35">
        <f>Table11[[#This Row],[2024 '#Trees Inventory + Estimate]]*Table11[[#This Row],[Canada Allocation2017 %]]</f>
        <v>0</v>
      </c>
      <c r="AQ306" s="35">
        <f>Table11[[#This Row],['#Trees as of 2024/estimate-Can allocation]]+Table11[[#This Row],['#Trees as of 2024/estimate-Can allocation 2017]]</f>
        <v>0</v>
      </c>
      <c r="AR306" s="1" t="s">
        <v>152</v>
      </c>
      <c r="AS306" s="2" t="s">
        <v>1336</v>
      </c>
      <c r="AT306" s="6">
        <f>IFERROR(Table11[[#This Row],['#Total Replacements]]/Table11[[#This Row],['#TreesContract]],"")</f>
        <v>5.7272727272727274E-2</v>
      </c>
      <c r="AU306" s="4">
        <f>IF(SUM(Table11[[#This Row],['#Replace 24]:['#Replace 16]])=0,0,SUM(Table11[[#This Row],['#Replace 24]:['#Replace 16]]))</f>
        <v>63</v>
      </c>
      <c r="AV306" s="2"/>
      <c r="AW306" s="2"/>
      <c r="AX306" s="3"/>
      <c r="AY306" s="2">
        <v>63</v>
      </c>
      <c r="AZ306" s="2"/>
      <c r="BA306" s="2"/>
      <c r="BB306" s="2"/>
      <c r="BC306" s="2"/>
      <c r="BD306" s="2"/>
      <c r="BE306" s="2"/>
      <c r="BF306" s="3">
        <v>1</v>
      </c>
      <c r="BG306" s="3">
        <v>1</v>
      </c>
      <c r="BH306" s="2">
        <v>2024</v>
      </c>
      <c r="BI306" s="158">
        <v>18.78</v>
      </c>
      <c r="BJ306" s="158">
        <v>0</v>
      </c>
      <c r="BK306" s="139">
        <f>Table11[[#This Row],[Average MHT
(Feet)]]/16</f>
        <v>0</v>
      </c>
      <c r="BL306" s="2">
        <v>0</v>
      </c>
      <c r="BM306" s="139">
        <f>Table11[[#This Row],[Average DBH
(inches)]]/18</f>
        <v>0</v>
      </c>
      <c r="BN306" s="235">
        <f>((Table11[[#This Row],[Average DBH
(inches)]]-4)^2)*(Table11[[#This Row],[Average MHT
(Feet)]]/16)</f>
        <v>0</v>
      </c>
      <c r="BO306" s="235">
        <f>Table11[[#This Row],[Average BF]]*Table11[[#This Row],[2024 '#Trees Inventory + Estimate]]</f>
        <v>0</v>
      </c>
      <c r="BP306" s="240">
        <f>(Table11[[#This Row],[Harvest Year
(10 year)]]-Table11[[#This Row],[Year of Inventory]]+1)*(Table11[[#This Row],[Average DBH
(inches)]]/(Table11[[#This Row],[Harvest Year
(10 year)]]-Table11[[#This Row],[Year of Inventory]]+1))+Table11[[#This Row],[Average DBH
(inches)]]</f>
        <v>0</v>
      </c>
      <c r="BQ306" s="235">
        <f>((Table11[[#This Row],[Projected DBH
(Extrapolated Growth/Year)]]-4)^2)*(Table11[[#This Row],[Average MHT
(Feet)]]/16)</f>
        <v>0</v>
      </c>
      <c r="BR306" s="235">
        <f>Table11[[#This Row],[Projected Average BF]]*Table11[[#This Row],[2024 '#Trees Inventory + Estimate]]</f>
        <v>0</v>
      </c>
      <c r="BS306" s="235">
        <f>196*Table11[[#This Row],[2024 '#Trees Inventory + Estimate]]</f>
        <v>142296</v>
      </c>
      <c r="BT306" s="243">
        <f>Table11[[#This Row],[ETP Offering Expected BF]]-Table11[[#This Row],[Projected Total BF]]</f>
        <v>142296</v>
      </c>
      <c r="BU306" s="235">
        <f>(18-Table11[[#This Row],[Average DBH
(inches)]])/(D306-Table11[[#This Row],[Year of Inventory]]+1)</f>
        <v>2.25</v>
      </c>
    </row>
    <row r="307" spans="1:73" hidden="1" x14ac:dyDescent="0.25">
      <c r="A307" s="7" t="s">
        <v>1745</v>
      </c>
      <c r="B307" s="2">
        <v>2021</v>
      </c>
      <c r="C307" s="2">
        <v>2022</v>
      </c>
      <c r="D307" s="2">
        <f>Table11[[#This Row],[Planting Year]]+9</f>
        <v>2031</v>
      </c>
      <c r="E307" s="97" t="s">
        <v>1746</v>
      </c>
      <c r="F307" s="161">
        <v>10119</v>
      </c>
      <c r="G307" t="s">
        <v>1746</v>
      </c>
      <c r="H307" s="357" t="s">
        <v>1747</v>
      </c>
      <c r="I307" t="s">
        <v>155</v>
      </c>
      <c r="J307" s="1" t="s">
        <v>1748</v>
      </c>
      <c r="K307" s="1" t="s">
        <v>1749</v>
      </c>
      <c r="L307" s="1" t="s">
        <v>1749</v>
      </c>
      <c r="M307" s="1" t="s">
        <v>150</v>
      </c>
      <c r="N307" t="s">
        <v>1750</v>
      </c>
      <c r="O307">
        <v>32.329098999999999</v>
      </c>
      <c r="P307">
        <v>-83.418513000000004</v>
      </c>
      <c r="Q307" s="2"/>
      <c r="R307" s="86"/>
      <c r="S307" s="2"/>
      <c r="T307" s="1">
        <v>1100</v>
      </c>
      <c r="U307" s="1">
        <v>1100</v>
      </c>
      <c r="V307" s="1" t="str">
        <f>IF(Table11[[#This Row],['#TreesContract]]-Table11[[#This Row],['#Planted]]=0,"",Table11[[#This Row],['#TreesContract]]-Table11[[#This Row],['#Planted]])</f>
        <v/>
      </c>
      <c r="W307" s="2"/>
      <c r="X307" s="34">
        <v>1</v>
      </c>
      <c r="Y307" s="163">
        <f>Table11[[#This Row],['#TreesContract]]*Table11[[#This Row],[USA Allocation %]]</f>
        <v>1100</v>
      </c>
      <c r="Z307" s="163">
        <f>Table11[[#This Row],['#Planted]]*Table11[[#This Row],[USA Allocation %]]</f>
        <v>1100</v>
      </c>
      <c r="AA307" s="34"/>
      <c r="AB307" s="163"/>
      <c r="AC307" s="34"/>
      <c r="AD307" s="163"/>
      <c r="AE307" s="163">
        <f>Table11[[#This Row],[Canada Allocation-tree '#''s]]+Table11[[#This Row],[Can trees/Allocation 2017]]</f>
        <v>0</v>
      </c>
      <c r="AF307" s="5">
        <v>1</v>
      </c>
      <c r="AG307" s="35">
        <v>1100</v>
      </c>
      <c r="AH307" s="35">
        <f>Table11[[#This Row],['#Trees as of 12/31/23]]*Table11[[#This Row],[USA Allocation %]]</f>
        <v>1100</v>
      </c>
      <c r="AI307" s="437">
        <f>Table11[[#This Row],['#TreesContract]]*Table11[[#This Row],[2024 Inventory Survival%-master]]</f>
        <v>0</v>
      </c>
      <c r="AJ307" s="436"/>
      <c r="AK307" s="5">
        <v>1</v>
      </c>
      <c r="AL307" s="5">
        <v>1</v>
      </c>
      <c r="AM307" s="35">
        <v>1100</v>
      </c>
      <c r="AN307" s="35">
        <f>Table11[[#This Row],[2024 '#Trees Inventory + Estimate]]*Table11[[#This Row],[USA Allocation %]]</f>
        <v>1100</v>
      </c>
      <c r="AO307" s="35">
        <f>Table11[[#This Row],[2024 '#Trees Inventory + Estimate]]*Table11[[#This Row],[Canada Allocation %]]</f>
        <v>0</v>
      </c>
      <c r="AP307" s="35">
        <f>Table11[[#This Row],[2024 '#Trees Inventory + Estimate]]*Table11[[#This Row],[Canada Allocation2017 %]]</f>
        <v>0</v>
      </c>
      <c r="AQ307" s="35">
        <f>Table11[[#This Row],['#Trees as of 2024/estimate-Can allocation]]+Table11[[#This Row],['#Trees as of 2024/estimate-Can allocation 2017]]</f>
        <v>0</v>
      </c>
      <c r="AR307" s="1" t="s">
        <v>152</v>
      </c>
      <c r="AS307" s="2" t="s">
        <v>1298</v>
      </c>
      <c r="AT307" s="6">
        <f>IFERROR(Table11[[#This Row],['#Total Replacements]]/Table11[[#This Row],['#TreesContract]],"")</f>
        <v>0.15636363636363637</v>
      </c>
      <c r="AU307" s="4">
        <f>IF(SUM(Table11[[#This Row],['#Replace 24]:['#Replace 16]])=0,0,SUM(Table11[[#This Row],['#Replace 24]:['#Replace 16]]))</f>
        <v>172</v>
      </c>
      <c r="AV307" s="2"/>
      <c r="AW307" s="2">
        <v>25</v>
      </c>
      <c r="AX307" s="3">
        <v>147</v>
      </c>
      <c r="AY307" s="2"/>
      <c r="AZ307" s="2"/>
      <c r="BA307" s="2"/>
      <c r="BB307" s="2"/>
      <c r="BC307" s="2"/>
      <c r="BD307" s="2"/>
      <c r="BE307" s="2"/>
      <c r="BF307" s="3">
        <v>1</v>
      </c>
      <c r="BG307" s="3">
        <v>1</v>
      </c>
      <c r="BH307" s="2"/>
      <c r="BI307" s="2"/>
      <c r="BJ307" s="2"/>
      <c r="BK307" s="139">
        <f>Table11[[#This Row],[Average MHT
(Feet)]]/16</f>
        <v>0</v>
      </c>
      <c r="BL307" s="2"/>
      <c r="BM307" s="139">
        <f>Table11[[#This Row],[Average DBH
(inches)]]/18</f>
        <v>0</v>
      </c>
      <c r="BN307" s="235">
        <f>((Table11[[#This Row],[Average DBH
(inches)]]-4)^2)*(Table11[[#This Row],[Average MHT
(Feet)]]/16)</f>
        <v>0</v>
      </c>
      <c r="BO307" s="235">
        <f>Table11[[#This Row],[Average BF]]*Table11[[#This Row],[2024 '#Trees Inventory + Estimate]]</f>
        <v>0</v>
      </c>
      <c r="BP307" s="240">
        <f>(Table11[[#This Row],[Harvest Year
(10 year)]]-Table11[[#This Row],[Year of Inventory]]+1)*(Table11[[#This Row],[Average DBH
(inches)]]/(Table11[[#This Row],[Harvest Year
(10 year)]]-Table11[[#This Row],[Year of Inventory]]+1))+Table11[[#This Row],[Average DBH
(inches)]]</f>
        <v>0</v>
      </c>
      <c r="BQ307" s="235">
        <f>((Table11[[#This Row],[Projected DBH
(Extrapolated Growth/Year)]]-4)^2)*(Table11[[#This Row],[Average MHT
(Feet)]]/16)</f>
        <v>0</v>
      </c>
      <c r="BR307" s="235">
        <f>Table11[[#This Row],[Projected Average BF]]*Table11[[#This Row],[2024 '#Trees Inventory + Estimate]]</f>
        <v>0</v>
      </c>
      <c r="BS307" s="235">
        <f>196*Table11[[#This Row],[2024 '#Trees Inventory + Estimate]]</f>
        <v>215600</v>
      </c>
      <c r="BT307" s="243">
        <f>Table11[[#This Row],[ETP Offering Expected BF]]-Table11[[#This Row],[Projected Total BF]]</f>
        <v>215600</v>
      </c>
      <c r="BU307" s="235">
        <f>(18-Table11[[#This Row],[Average DBH
(inches)]])/(D307-Table11[[#This Row],[Year of Inventory]]+1)</f>
        <v>8.8582677165354329E-3</v>
      </c>
    </row>
    <row r="308" spans="1:73" x14ac:dyDescent="0.25">
      <c r="A308" s="7" t="s">
        <v>1751</v>
      </c>
      <c r="B308" s="2">
        <v>2021</v>
      </c>
      <c r="C308" s="2">
        <v>2022</v>
      </c>
      <c r="D308" s="2">
        <f>Table11[[#This Row],[Planting Year]]+9</f>
        <v>2031</v>
      </c>
      <c r="E308" t="s">
        <v>1752</v>
      </c>
      <c r="F308" s="161">
        <v>20089</v>
      </c>
      <c r="G308" t="s">
        <v>1752</v>
      </c>
      <c r="H308" s="357" t="s">
        <v>1753</v>
      </c>
      <c r="I308" t="s">
        <v>147</v>
      </c>
      <c r="J308" s="1" t="s">
        <v>1754</v>
      </c>
      <c r="K308" s="1" t="s">
        <v>1755</v>
      </c>
      <c r="L308" s="1"/>
      <c r="M308" s="1" t="s">
        <v>213</v>
      </c>
      <c r="N308" t="s">
        <v>1756</v>
      </c>
      <c r="O308">
        <v>9.1788951999999995</v>
      </c>
      <c r="P308">
        <v>-83.335206700000001</v>
      </c>
      <c r="Q308" s="2"/>
      <c r="R308" s="86"/>
      <c r="S308" s="2"/>
      <c r="T308" s="1">
        <v>1200</v>
      </c>
      <c r="U308" s="1">
        <v>1200</v>
      </c>
      <c r="V308" s="1" t="str">
        <f>IF(Table11[[#This Row],['#TreesContract]]-Table11[[#This Row],['#Planted]]=0,"",Table11[[#This Row],['#TreesContract]]-Table11[[#This Row],['#Planted]])</f>
        <v/>
      </c>
      <c r="W308" s="2"/>
      <c r="X308" s="34">
        <v>1</v>
      </c>
      <c r="Y308" s="163">
        <f>Table11[[#This Row],['#TreesContract]]*Table11[[#This Row],[USA Allocation %]]</f>
        <v>1200</v>
      </c>
      <c r="Z308" s="163">
        <f>Table11[[#This Row],['#Planted]]*Table11[[#This Row],[USA Allocation %]]</f>
        <v>1200</v>
      </c>
      <c r="AA308" s="34"/>
      <c r="AB308" s="163"/>
      <c r="AC308" s="34"/>
      <c r="AD308" s="163"/>
      <c r="AE308" s="163">
        <f>Table11[[#This Row],[Canada Allocation-tree '#''s]]+Table11[[#This Row],[Can trees/Allocation 2017]]</f>
        <v>0</v>
      </c>
      <c r="AF308" s="5">
        <v>1</v>
      </c>
      <c r="AG308" s="35">
        <v>1200</v>
      </c>
      <c r="AH308" s="35">
        <f>Table11[[#This Row],['#Trees as of 12/31/23]]*Table11[[#This Row],[USA Allocation %]]</f>
        <v>1200</v>
      </c>
      <c r="AI308" s="404">
        <f>Table11[[#This Row],['#TreesContract]]*Table11[[#This Row],[2024 Inventory Survival%-master]]</f>
        <v>0</v>
      </c>
      <c r="AJ308" s="5"/>
      <c r="AK308" s="5">
        <v>0</v>
      </c>
      <c r="AL308" s="5">
        <v>0</v>
      </c>
      <c r="AM308" s="35">
        <f>AK308*Table11[[#This Row],['#TreesContract]]</f>
        <v>0</v>
      </c>
      <c r="AN308" s="35">
        <f>Table11[[#This Row],[2024 '#Trees Inventory + Estimate]]*Table11[[#This Row],[USA Allocation %]]</f>
        <v>0</v>
      </c>
      <c r="AO308" s="35">
        <f>Table11[[#This Row],[2024 '#Trees Inventory + Estimate]]*Table11[[#This Row],[Canada Allocation %]]</f>
        <v>0</v>
      </c>
      <c r="AP308" s="35">
        <f>Table11[[#This Row],[2024 '#Trees Inventory + Estimate]]*Table11[[#This Row],[Canada Allocation2017 %]]</f>
        <v>0</v>
      </c>
      <c r="AQ308" s="35">
        <f>Table11[[#This Row],['#Trees as of 2024/estimate-Can allocation]]+Table11[[#This Row],['#Trees as of 2024/estimate-Can allocation 2017]]</f>
        <v>0</v>
      </c>
      <c r="AR308" s="1"/>
      <c r="AS308" s="2"/>
      <c r="AT308" s="6">
        <f>IFERROR(Table11[[#This Row],['#Total Replacements]]/Table11[[#This Row],['#TreesContract]],"")</f>
        <v>0.16666666666666666</v>
      </c>
      <c r="AU308" s="4">
        <f>IF(SUM(Table11[[#This Row],['#Replace 24]:['#Replace 16]])=0,0,SUM(Table11[[#This Row],['#Replace 24]:['#Replace 16]]))</f>
        <v>200</v>
      </c>
      <c r="AV308" s="2"/>
      <c r="AW308" s="2"/>
      <c r="AX308" s="3">
        <v>200</v>
      </c>
      <c r="AY308" s="2"/>
      <c r="AZ308" s="2"/>
      <c r="BA308" s="2"/>
      <c r="BB308" s="2"/>
      <c r="BC308" s="2"/>
      <c r="BD308" s="2"/>
      <c r="BE308" s="2"/>
      <c r="BF308" s="3">
        <v>1</v>
      </c>
      <c r="BG308" s="3">
        <v>1</v>
      </c>
      <c r="BH308" s="2"/>
      <c r="BI308" s="2"/>
      <c r="BJ308" s="2"/>
      <c r="BK308" s="139">
        <f>Table11[[#This Row],[Average MHT
(Feet)]]/16</f>
        <v>0</v>
      </c>
      <c r="BL308" s="2"/>
      <c r="BM308" s="139">
        <f>Table11[[#This Row],[Average DBH
(inches)]]/18</f>
        <v>0</v>
      </c>
      <c r="BN308" s="235">
        <f>((Table11[[#This Row],[Average DBH
(inches)]]-4)^2)*(Table11[[#This Row],[Average MHT
(Feet)]]/16)</f>
        <v>0</v>
      </c>
      <c r="BO308" s="235">
        <f>Table11[[#This Row],[Average BF]]*Table11[[#This Row],[2024 '#Trees Inventory + Estimate]]</f>
        <v>0</v>
      </c>
      <c r="BP308" s="240">
        <f>(Table11[[#This Row],[Harvest Year
(10 year)]]-Table11[[#This Row],[Year of Inventory]]+1)*(Table11[[#This Row],[Average DBH
(inches)]]/(Table11[[#This Row],[Harvest Year
(10 year)]]-Table11[[#This Row],[Year of Inventory]]+1))+Table11[[#This Row],[Average DBH
(inches)]]</f>
        <v>0</v>
      </c>
      <c r="BQ308" s="235">
        <f>((Table11[[#This Row],[Projected DBH
(Extrapolated Growth/Year)]]-4)^2)*(Table11[[#This Row],[Average MHT
(Feet)]]/16)</f>
        <v>0</v>
      </c>
      <c r="BR308" s="235">
        <f>Table11[[#This Row],[Projected Average BF]]*Table11[[#This Row],[2024 '#Trees Inventory + Estimate]]</f>
        <v>0</v>
      </c>
      <c r="BS308" s="235">
        <f>196*Table11[[#This Row],[2024 '#Trees Inventory + Estimate]]</f>
        <v>0</v>
      </c>
      <c r="BT308" s="235">
        <f>Table11[[#This Row],[ETP Offering Expected BF]]-Table11[[#This Row],[Projected Total BF]]</f>
        <v>0</v>
      </c>
      <c r="BU308" s="235">
        <f>(18-Table11[[#This Row],[Average DBH
(inches)]])/(D308-Table11[[#This Row],[Year of Inventory]]+1)</f>
        <v>8.8582677165354329E-3</v>
      </c>
    </row>
    <row r="309" spans="1:73" x14ac:dyDescent="0.25">
      <c r="A309" s="7" t="s">
        <v>1757</v>
      </c>
      <c r="B309" s="2">
        <v>2021</v>
      </c>
      <c r="C309" s="2">
        <v>2022</v>
      </c>
      <c r="D309" s="2">
        <f>Table11[[#This Row],[Planting Year]]+9</f>
        <v>2031</v>
      </c>
      <c r="E309" t="s">
        <v>1758</v>
      </c>
      <c r="F309" s="161">
        <v>20090</v>
      </c>
      <c r="G309" t="s">
        <v>1759</v>
      </c>
      <c r="H309" s="357" t="s">
        <v>1760</v>
      </c>
      <c r="I309" t="s">
        <v>155</v>
      </c>
      <c r="J309" s="1" t="s">
        <v>1761</v>
      </c>
      <c r="K309" s="1" t="s">
        <v>1762</v>
      </c>
      <c r="L309" s="1"/>
      <c r="M309" s="1" t="s">
        <v>213</v>
      </c>
      <c r="N309" t="s">
        <v>1763</v>
      </c>
      <c r="O309">
        <v>10.73767</v>
      </c>
      <c r="P309">
        <v>-85.045668000000006</v>
      </c>
      <c r="Q309" s="2"/>
      <c r="R309" s="86"/>
      <c r="S309" s="2"/>
      <c r="T309" s="1">
        <v>1000</v>
      </c>
      <c r="U309" s="1">
        <v>1000</v>
      </c>
      <c r="V309" s="1" t="str">
        <f>IF(Table11[[#This Row],['#TreesContract]]-Table11[[#This Row],['#Planted]]=0,"",Table11[[#This Row],['#TreesContract]]-Table11[[#This Row],['#Planted]])</f>
        <v/>
      </c>
      <c r="W309" s="2"/>
      <c r="X309" s="34">
        <v>1</v>
      </c>
      <c r="Y309" s="163">
        <f>Table11[[#This Row],['#TreesContract]]*Table11[[#This Row],[USA Allocation %]]</f>
        <v>1000</v>
      </c>
      <c r="Z309" s="163">
        <f>Table11[[#This Row],['#Planted]]*Table11[[#This Row],[USA Allocation %]]</f>
        <v>1000</v>
      </c>
      <c r="AA309" s="34"/>
      <c r="AB309" s="163"/>
      <c r="AC309" s="34"/>
      <c r="AD309" s="163"/>
      <c r="AE309" s="163">
        <f>Table11[[#This Row],[Canada Allocation-tree '#''s]]+Table11[[#This Row],[Can trees/Allocation 2017]]</f>
        <v>0</v>
      </c>
      <c r="AF309" s="5">
        <v>1</v>
      </c>
      <c r="AG309" s="35">
        <v>1000</v>
      </c>
      <c r="AH309" s="35">
        <f>Table11[[#This Row],['#Trees as of 12/31/23]]*Table11[[#This Row],[USA Allocation %]]</f>
        <v>1000</v>
      </c>
      <c r="AI309" s="437">
        <f>Table11[[#This Row],['#TreesContract]]*Table11[[#This Row],[2024 Inventory Survival%-master]]</f>
        <v>982</v>
      </c>
      <c r="AJ309" s="436">
        <v>0.98199999999999998</v>
      </c>
      <c r="AK309" s="5">
        <v>0.98</v>
      </c>
      <c r="AL309" s="5">
        <v>0.98</v>
      </c>
      <c r="AM309" s="35">
        <v>982</v>
      </c>
      <c r="AN309" s="35">
        <f>Table11[[#This Row],[2024 '#Trees Inventory + Estimate]]*Table11[[#This Row],[USA Allocation %]]</f>
        <v>982</v>
      </c>
      <c r="AO309" s="35">
        <f>Table11[[#This Row],[2024 '#Trees Inventory + Estimate]]*Table11[[#This Row],[Canada Allocation %]]</f>
        <v>0</v>
      </c>
      <c r="AP309" s="35">
        <f>Table11[[#This Row],[2024 '#Trees Inventory + Estimate]]*Table11[[#This Row],[Canada Allocation2017 %]]</f>
        <v>0</v>
      </c>
      <c r="AQ309" s="35">
        <f>Table11[[#This Row],['#Trees as of 2024/estimate-Can allocation]]+Table11[[#This Row],['#Trees as of 2024/estimate-Can allocation 2017]]</f>
        <v>0</v>
      </c>
      <c r="AR309" s="1"/>
      <c r="AS309" s="2"/>
      <c r="AT309" s="6">
        <f>IFERROR(Table11[[#This Row],['#Total Replacements]]/Table11[[#This Row],['#TreesContract]],"")</f>
        <v>0</v>
      </c>
      <c r="AU309" s="4">
        <f>IF(SUM(Table11[[#This Row],['#Replace 24]:['#Replace 16]])=0,0,SUM(Table11[[#This Row],['#Replace 24]:['#Replace 16]]))</f>
        <v>0</v>
      </c>
      <c r="AV309" s="2"/>
      <c r="AW309" s="2"/>
      <c r="AX309" s="3"/>
      <c r="AY309" s="2"/>
      <c r="AZ309" s="2"/>
      <c r="BA309" s="2"/>
      <c r="BB309" s="2"/>
      <c r="BC309" s="2"/>
      <c r="BD309" s="2"/>
      <c r="BE309" s="2"/>
      <c r="BF309" s="3">
        <v>1</v>
      </c>
      <c r="BG309" s="3">
        <v>1</v>
      </c>
      <c r="BH309" s="2">
        <v>2024</v>
      </c>
      <c r="BI309" s="158">
        <v>21.27</v>
      </c>
      <c r="BJ309" s="158">
        <v>16.559999999999999</v>
      </c>
      <c r="BK309" s="139">
        <f>Table11[[#This Row],[Average MHT
(Feet)]]/16</f>
        <v>1.0349999999999999</v>
      </c>
      <c r="BL309" s="2">
        <v>3.83</v>
      </c>
      <c r="BM309" s="139">
        <f>Table11[[#This Row],[Average DBH
(inches)]]/18</f>
        <v>0.21277777777777779</v>
      </c>
      <c r="BN309" s="235">
        <f>((Table11[[#This Row],[Average DBH
(inches)]]-4)^2)*(Table11[[#This Row],[Average MHT
(Feet)]]/16)</f>
        <v>2.9911499999999973E-2</v>
      </c>
      <c r="BO309" s="235">
        <f>Table11[[#This Row],[Average BF]]*Table11[[#This Row],[2024 '#Trees Inventory + Estimate]]</f>
        <v>29.373092999999972</v>
      </c>
      <c r="BP309" s="240">
        <f>(Table11[[#This Row],[Harvest Year
(10 year)]]-Table11[[#This Row],[Year of Inventory]]+1)*(Table11[[#This Row],[Average DBH
(inches)]]/(Table11[[#This Row],[Harvest Year
(10 year)]]-Table11[[#This Row],[Year of Inventory]]+1))+Table11[[#This Row],[Average DBH
(inches)]]</f>
        <v>7.66</v>
      </c>
      <c r="BQ309" s="235">
        <f>((Table11[[#This Row],[Projected DBH
(Extrapolated Growth/Year)]]-4)^2)*(Table11[[#This Row],[Average MHT
(Feet)]]/16)</f>
        <v>13.864446000000001</v>
      </c>
      <c r="BR309" s="235">
        <f>Table11[[#This Row],[Projected Average BF]]*Table11[[#This Row],[2024 '#Trees Inventory + Estimate]]</f>
        <v>13614.885972</v>
      </c>
      <c r="BS309" s="235">
        <f>196*Table11[[#This Row],[2024 '#Trees Inventory + Estimate]]</f>
        <v>192472</v>
      </c>
      <c r="BT309" s="243">
        <f>Table11[[#This Row],[ETP Offering Expected BF]]-Table11[[#This Row],[Projected Total BF]]</f>
        <v>178857.11402800001</v>
      </c>
      <c r="BU309" s="235">
        <f>(18-Table11[[#This Row],[Average DBH
(inches)]])/(D309-Table11[[#This Row],[Year of Inventory]]+1)</f>
        <v>1.77125</v>
      </c>
    </row>
    <row r="310" spans="1:73" x14ac:dyDescent="0.25">
      <c r="A310" s="7" t="s">
        <v>1764</v>
      </c>
      <c r="B310" s="2">
        <v>2021</v>
      </c>
      <c r="C310" s="2">
        <v>2022</v>
      </c>
      <c r="D310" s="2">
        <f>Table11[[#This Row],[Planting Year]]+9</f>
        <v>2031</v>
      </c>
      <c r="E310" t="s">
        <v>1765</v>
      </c>
      <c r="F310" s="161">
        <v>20091</v>
      </c>
      <c r="G310" t="s">
        <v>1766</v>
      </c>
      <c r="H310" s="357">
        <v>88777278</v>
      </c>
      <c r="I310" t="s">
        <v>155</v>
      </c>
      <c r="J310" s="1" t="s">
        <v>1767</v>
      </c>
      <c r="K310" s="1" t="s">
        <v>1768</v>
      </c>
      <c r="L310" s="1"/>
      <c r="M310" s="1" t="s">
        <v>213</v>
      </c>
      <c r="N310" t="s">
        <v>1769</v>
      </c>
      <c r="O310">
        <v>9.7085969999999993</v>
      </c>
      <c r="P310">
        <v>-84.486891</v>
      </c>
      <c r="Q310" s="2"/>
      <c r="R310" s="86"/>
      <c r="S310" s="2"/>
      <c r="T310" s="1">
        <v>2000</v>
      </c>
      <c r="U310" s="1">
        <v>2000</v>
      </c>
      <c r="V310" s="1" t="str">
        <f>IF(Table11[[#This Row],['#TreesContract]]-Table11[[#This Row],['#Planted]]=0,"",Table11[[#This Row],['#TreesContract]]-Table11[[#This Row],['#Planted]])</f>
        <v/>
      </c>
      <c r="W310" s="2"/>
      <c r="X310" s="34">
        <v>1</v>
      </c>
      <c r="Y310" s="163">
        <f>Table11[[#This Row],['#TreesContract]]*Table11[[#This Row],[USA Allocation %]]</f>
        <v>2000</v>
      </c>
      <c r="Z310" s="163">
        <f>Table11[[#This Row],['#Planted]]*Table11[[#This Row],[USA Allocation %]]</f>
        <v>2000</v>
      </c>
      <c r="AA310" s="34"/>
      <c r="AB310" s="163"/>
      <c r="AC310" s="34"/>
      <c r="AD310" s="163"/>
      <c r="AE310" s="163">
        <f>Table11[[#This Row],[Canada Allocation-tree '#''s]]+Table11[[#This Row],[Can trees/Allocation 2017]]</f>
        <v>0</v>
      </c>
      <c r="AF310" s="5">
        <v>1</v>
      </c>
      <c r="AG310" s="35">
        <v>2000</v>
      </c>
      <c r="AH310" s="35">
        <f>Table11[[#This Row],['#Trees as of 12/31/23]]*Table11[[#This Row],[USA Allocation %]]</f>
        <v>2000</v>
      </c>
      <c r="AI310" s="437">
        <f>Table11[[#This Row],['#TreesContract]]*Table11[[#This Row],[2024 Inventory Survival%-master]]</f>
        <v>0</v>
      </c>
      <c r="AJ310" s="436"/>
      <c r="AK310" s="5">
        <v>1</v>
      </c>
      <c r="AL310" s="5">
        <v>1</v>
      </c>
      <c r="AM310" s="35">
        <v>2000</v>
      </c>
      <c r="AN310" s="35">
        <f>Table11[[#This Row],[2024 '#Trees Inventory + Estimate]]*Table11[[#This Row],[USA Allocation %]]</f>
        <v>2000</v>
      </c>
      <c r="AO310" s="35">
        <f>Table11[[#This Row],[2024 '#Trees Inventory + Estimate]]*Table11[[#This Row],[Canada Allocation %]]</f>
        <v>0</v>
      </c>
      <c r="AP310" s="35">
        <f>Table11[[#This Row],[2024 '#Trees Inventory + Estimate]]*Table11[[#This Row],[Canada Allocation2017 %]]</f>
        <v>0</v>
      </c>
      <c r="AQ310" s="35">
        <f>Table11[[#This Row],['#Trees as of 2024/estimate-Can allocation]]+Table11[[#This Row],['#Trees as of 2024/estimate-Can allocation 2017]]</f>
        <v>0</v>
      </c>
      <c r="AR310" s="1"/>
      <c r="AS310" s="2"/>
      <c r="AT310" s="6">
        <f>IFERROR(Table11[[#This Row],['#Total Replacements]]/Table11[[#This Row],['#TreesContract]],"")</f>
        <v>0</v>
      </c>
      <c r="AU310" s="4">
        <f>IF(SUM(Table11[[#This Row],['#Replace 24]:['#Replace 16]])=0,0,SUM(Table11[[#This Row],['#Replace 24]:['#Replace 16]]))</f>
        <v>0</v>
      </c>
      <c r="AV310" s="2"/>
      <c r="AW310" s="2"/>
      <c r="AX310" s="3"/>
      <c r="AY310" s="2"/>
      <c r="AZ310" s="2"/>
      <c r="BA310" s="2"/>
      <c r="BB310" s="2"/>
      <c r="BC310" s="2"/>
      <c r="BD310" s="2"/>
      <c r="BE310" s="2"/>
      <c r="BF310" s="3">
        <v>1</v>
      </c>
      <c r="BG310" s="3">
        <v>1</v>
      </c>
      <c r="BH310" s="2"/>
      <c r="BI310" s="2"/>
      <c r="BJ310" s="2"/>
      <c r="BK310" s="139">
        <f>Table11[[#This Row],[Average MHT
(Feet)]]/16</f>
        <v>0</v>
      </c>
      <c r="BL310" s="2"/>
      <c r="BM310" s="139">
        <f>Table11[[#This Row],[Average DBH
(inches)]]/18</f>
        <v>0</v>
      </c>
      <c r="BN310" s="235">
        <f>((Table11[[#This Row],[Average DBH
(inches)]]-4)^2)*(Table11[[#This Row],[Average MHT
(Feet)]]/16)</f>
        <v>0</v>
      </c>
      <c r="BO310" s="235">
        <f>Table11[[#This Row],[Average BF]]*Table11[[#This Row],[2024 '#Trees Inventory + Estimate]]</f>
        <v>0</v>
      </c>
      <c r="BP310" s="240">
        <f>(Table11[[#This Row],[Harvest Year
(10 year)]]-Table11[[#This Row],[Year of Inventory]]+1)*(Table11[[#This Row],[Average DBH
(inches)]]/(Table11[[#This Row],[Harvest Year
(10 year)]]-Table11[[#This Row],[Year of Inventory]]+1))+Table11[[#This Row],[Average DBH
(inches)]]</f>
        <v>0</v>
      </c>
      <c r="BQ310" s="235">
        <f>((Table11[[#This Row],[Projected DBH
(Extrapolated Growth/Year)]]-4)^2)*(Table11[[#This Row],[Average MHT
(Feet)]]/16)</f>
        <v>0</v>
      </c>
      <c r="BR310" s="235">
        <f>Table11[[#This Row],[Projected Average BF]]*Table11[[#This Row],[2024 '#Trees Inventory + Estimate]]</f>
        <v>0</v>
      </c>
      <c r="BS310" s="235">
        <f>196*Table11[[#This Row],[2024 '#Trees Inventory + Estimate]]</f>
        <v>392000</v>
      </c>
      <c r="BT310" s="243">
        <f>Table11[[#This Row],[ETP Offering Expected BF]]-Table11[[#This Row],[Projected Total BF]]</f>
        <v>392000</v>
      </c>
      <c r="BU310" s="235">
        <f>(18-Table11[[#This Row],[Average DBH
(inches)]])/(D310-Table11[[#This Row],[Year of Inventory]]+1)</f>
        <v>8.8582677165354329E-3</v>
      </c>
    </row>
    <row r="311" spans="1:73" hidden="1" x14ac:dyDescent="0.25">
      <c r="A311" s="7" t="s">
        <v>1770</v>
      </c>
      <c r="B311" s="2">
        <v>2021</v>
      </c>
      <c r="C311" s="2">
        <v>2022</v>
      </c>
      <c r="D311" s="2">
        <f>Table11[[#This Row],[Planting Year]]+9</f>
        <v>2031</v>
      </c>
      <c r="E311" t="s">
        <v>1173</v>
      </c>
      <c r="F311" s="161">
        <v>30023</v>
      </c>
      <c r="G311" t="s">
        <v>1173</v>
      </c>
      <c r="H311" s="357" t="s">
        <v>1174</v>
      </c>
      <c r="I311" t="s">
        <v>155</v>
      </c>
      <c r="J311" s="1" t="s">
        <v>1175</v>
      </c>
      <c r="K311" s="1" t="s">
        <v>1176</v>
      </c>
      <c r="L311" s="1" t="s">
        <v>1177</v>
      </c>
      <c r="M311" s="1" t="s">
        <v>574</v>
      </c>
      <c r="N311" t="s">
        <v>1178</v>
      </c>
      <c r="O311">
        <v>14.696111</v>
      </c>
      <c r="P311">
        <v>-91.608056000000005</v>
      </c>
      <c r="Q311" s="2"/>
      <c r="R311" s="86"/>
      <c r="S311" s="2"/>
      <c r="T311" s="1">
        <v>4000</v>
      </c>
      <c r="U311" s="1">
        <v>4000</v>
      </c>
      <c r="V311" s="1" t="str">
        <f>IF(Table11[[#This Row],['#TreesContract]]-Table11[[#This Row],['#Planted]]=0,"",Table11[[#This Row],['#TreesContract]]-Table11[[#This Row],['#Planted]])</f>
        <v/>
      </c>
      <c r="W311" s="2"/>
      <c r="X311" s="34">
        <v>1</v>
      </c>
      <c r="Y311" s="163">
        <f>Table11[[#This Row],['#TreesContract]]*Table11[[#This Row],[USA Allocation %]]</f>
        <v>4000</v>
      </c>
      <c r="Z311" s="163">
        <f>Table11[[#This Row],['#Planted]]*Table11[[#This Row],[USA Allocation %]]</f>
        <v>4000</v>
      </c>
      <c r="AA311" s="34"/>
      <c r="AB311" s="163"/>
      <c r="AC311" s="34"/>
      <c r="AD311" s="163"/>
      <c r="AE311" s="163">
        <f>Table11[[#This Row],[Canada Allocation-tree '#''s]]+Table11[[#This Row],[Can trees/Allocation 2017]]</f>
        <v>0</v>
      </c>
      <c r="AF311" s="5">
        <v>1</v>
      </c>
      <c r="AG311" s="35">
        <v>4000</v>
      </c>
      <c r="AH311" s="35">
        <f>Table11[[#This Row],['#Trees as of 12/31/23]]*Table11[[#This Row],[USA Allocation %]]</f>
        <v>4000</v>
      </c>
      <c r="AI311" s="437">
        <f>Table11[[#This Row],['#TreesContract]]*Table11[[#This Row],[2024 Inventory Survival%-master]]</f>
        <v>3420</v>
      </c>
      <c r="AJ311" s="436">
        <v>0.85499999999999998</v>
      </c>
      <c r="AK311" s="5">
        <v>0.86</v>
      </c>
      <c r="AL311" s="5">
        <v>0.85499999999999998</v>
      </c>
      <c r="AM311" s="35">
        <f>Table11[[#This Row],['#TreesContract]]*Table11[[#This Row],[2024 Inventory Survival%-master]]</f>
        <v>3420</v>
      </c>
      <c r="AN311" s="35">
        <f>Table11[[#This Row],[2024 '#Trees Inventory + Estimate]]*Table11[[#This Row],[USA Allocation %]]</f>
        <v>3420</v>
      </c>
      <c r="AO311" s="35">
        <f>Table11[[#This Row],[2024 '#Trees Inventory + Estimate]]*Table11[[#This Row],[Canada Allocation %]]</f>
        <v>0</v>
      </c>
      <c r="AP311" s="35">
        <f>Table11[[#This Row],[2024 '#Trees Inventory + Estimate]]*Table11[[#This Row],[Canada Allocation2017 %]]</f>
        <v>0</v>
      </c>
      <c r="AQ311" s="35">
        <f>Table11[[#This Row],['#Trees as of 2024/estimate-Can allocation]]+Table11[[#This Row],['#Trees as of 2024/estimate-Can allocation 2017]]</f>
        <v>0</v>
      </c>
      <c r="AR311" s="1" t="s">
        <v>1570</v>
      </c>
      <c r="AS311" s="2"/>
      <c r="AT311" s="6">
        <f>IFERROR(Table11[[#This Row],['#Total Replacements]]/Table11[[#This Row],['#TreesContract]],"")</f>
        <v>0</v>
      </c>
      <c r="AU311" s="4">
        <f>IF(SUM(Table11[[#This Row],['#Replace 24]:['#Replace 16]])=0,0,SUM(Table11[[#This Row],['#Replace 24]:['#Replace 16]]))</f>
        <v>0</v>
      </c>
      <c r="AV311" s="2"/>
      <c r="AW311" s="2"/>
      <c r="AX311" s="3"/>
      <c r="AY311" s="2"/>
      <c r="AZ311" s="2"/>
      <c r="BA311" s="2"/>
      <c r="BB311" s="2"/>
      <c r="BC311" s="2"/>
      <c r="BD311" s="2"/>
      <c r="BE311" s="2"/>
      <c r="BF311" s="3">
        <v>1</v>
      </c>
      <c r="BG311" s="3">
        <v>1</v>
      </c>
      <c r="BH311" s="2">
        <v>2024</v>
      </c>
      <c r="BI311" s="158">
        <v>8.3699999999999992</v>
      </c>
      <c r="BJ311" s="158">
        <v>0</v>
      </c>
      <c r="BK311" s="139">
        <f>Table11[[#This Row],[Average MHT
(Feet)]]/16</f>
        <v>0</v>
      </c>
      <c r="BL311" s="2">
        <v>1.31</v>
      </c>
      <c r="BM311" s="139">
        <f>Table11[[#This Row],[Average DBH
(inches)]]/18</f>
        <v>7.2777777777777775E-2</v>
      </c>
      <c r="BN311" s="235">
        <f>((Table11[[#This Row],[Average DBH
(inches)]]-4)^2)*(Table11[[#This Row],[Average MHT
(Feet)]]/16)</f>
        <v>0</v>
      </c>
      <c r="BO311" s="235">
        <f>Table11[[#This Row],[Average BF]]*Table11[[#This Row],[2024 '#Trees Inventory + Estimate]]</f>
        <v>0</v>
      </c>
      <c r="BP311" s="240">
        <f>(Table11[[#This Row],[Harvest Year
(10 year)]]-Table11[[#This Row],[Year of Inventory]]+1)*(Table11[[#This Row],[Average DBH
(inches)]]/(Table11[[#This Row],[Harvest Year
(10 year)]]-Table11[[#This Row],[Year of Inventory]]+1))+Table11[[#This Row],[Average DBH
(inches)]]</f>
        <v>2.62</v>
      </c>
      <c r="BQ311" s="235">
        <f>((Table11[[#This Row],[Projected DBH
(Extrapolated Growth/Year)]]-4)^2)*(Table11[[#This Row],[Average MHT
(Feet)]]/16)</f>
        <v>0</v>
      </c>
      <c r="BR311" s="235">
        <f>Table11[[#This Row],[Projected Average BF]]*Table11[[#This Row],[2024 '#Trees Inventory + Estimate]]</f>
        <v>0</v>
      </c>
      <c r="BS311" s="235">
        <f>196*Table11[[#This Row],[2024 '#Trees Inventory + Estimate]]</f>
        <v>670320</v>
      </c>
      <c r="BT311" s="243">
        <f>Table11[[#This Row],[ETP Offering Expected BF]]-Table11[[#This Row],[Projected Total BF]]</f>
        <v>670320</v>
      </c>
      <c r="BU311" s="235">
        <f>(18-Table11[[#This Row],[Average DBH
(inches)]])/(D311-Table11[[#This Row],[Year of Inventory]]+1)</f>
        <v>2.0862500000000002</v>
      </c>
    </row>
    <row r="312" spans="1:73" hidden="1" x14ac:dyDescent="0.25">
      <c r="A312" s="7" t="s">
        <v>1771</v>
      </c>
      <c r="B312" s="2">
        <v>2021</v>
      </c>
      <c r="C312" s="2">
        <v>2022</v>
      </c>
      <c r="D312" s="2">
        <f>Table11[[#This Row],[Planting Year]]+9</f>
        <v>2031</v>
      </c>
      <c r="E312" t="s">
        <v>1190</v>
      </c>
      <c r="F312" s="161">
        <v>30026</v>
      </c>
      <c r="G312" t="s">
        <v>1191</v>
      </c>
      <c r="H312" s="357" t="s">
        <v>1192</v>
      </c>
      <c r="I312" t="s">
        <v>155</v>
      </c>
      <c r="J312" s="1" t="s">
        <v>1193</v>
      </c>
      <c r="K312" s="1" t="s">
        <v>1194</v>
      </c>
      <c r="L312" s="1" t="s">
        <v>1195</v>
      </c>
      <c r="M312" s="1" t="s">
        <v>574</v>
      </c>
      <c r="N312" t="s">
        <v>1196</v>
      </c>
      <c r="O312">
        <v>14.323333</v>
      </c>
      <c r="P312">
        <v>-90.434027999999998</v>
      </c>
      <c r="Q312" s="2"/>
      <c r="R312" s="86"/>
      <c r="S312" s="2"/>
      <c r="T312" s="1">
        <v>2000</v>
      </c>
      <c r="U312" s="1">
        <v>2000</v>
      </c>
      <c r="V312" s="1" t="str">
        <f>IF(Table11[[#This Row],['#TreesContract]]-Table11[[#This Row],['#Planted]]=0,"",Table11[[#This Row],['#TreesContract]]-Table11[[#This Row],['#Planted]])</f>
        <v/>
      </c>
      <c r="W312" s="2"/>
      <c r="X312" s="34">
        <v>1</v>
      </c>
      <c r="Y312" s="163">
        <f>Table11[[#This Row],['#TreesContract]]*Table11[[#This Row],[USA Allocation %]]</f>
        <v>2000</v>
      </c>
      <c r="Z312" s="163">
        <f>Table11[[#This Row],['#Planted]]*Table11[[#This Row],[USA Allocation %]]</f>
        <v>2000</v>
      </c>
      <c r="AA312" s="34"/>
      <c r="AB312" s="163"/>
      <c r="AC312" s="34"/>
      <c r="AD312" s="163"/>
      <c r="AE312" s="163">
        <f>Table11[[#This Row],[Canada Allocation-tree '#''s]]+Table11[[#This Row],[Can trees/Allocation 2017]]</f>
        <v>0</v>
      </c>
      <c r="AF312" s="5">
        <v>1</v>
      </c>
      <c r="AG312" s="35">
        <v>2000</v>
      </c>
      <c r="AH312" s="35">
        <f>Table11[[#This Row],['#Trees as of 12/31/23]]*Table11[[#This Row],[USA Allocation %]]</f>
        <v>2000</v>
      </c>
      <c r="AI312" s="437">
        <f>Table11[[#This Row],['#TreesContract]]*Table11[[#This Row],[2024 Inventory Survival%-master]]</f>
        <v>1952</v>
      </c>
      <c r="AJ312" s="436">
        <v>0.97599999999999998</v>
      </c>
      <c r="AK312" s="5">
        <v>0.98</v>
      </c>
      <c r="AL312" s="5">
        <v>0.97599999999999998</v>
      </c>
      <c r="AM312" s="35">
        <f>Table11[[#This Row],['#TreesContract]]*Table11[[#This Row],[2024 Inventory Survival%-master]]</f>
        <v>1952</v>
      </c>
      <c r="AN312" s="35">
        <f>Table11[[#This Row],[2024 '#Trees Inventory + Estimate]]*Table11[[#This Row],[USA Allocation %]]</f>
        <v>1952</v>
      </c>
      <c r="AO312" s="35">
        <f>Table11[[#This Row],[2024 '#Trees Inventory + Estimate]]*Table11[[#This Row],[Canada Allocation %]]</f>
        <v>0</v>
      </c>
      <c r="AP312" s="35">
        <f>Table11[[#This Row],[2024 '#Trees Inventory + Estimate]]*Table11[[#This Row],[Canada Allocation2017 %]]</f>
        <v>0</v>
      </c>
      <c r="AQ312" s="35">
        <f>Table11[[#This Row],['#Trees as of 2024/estimate-Can allocation]]+Table11[[#This Row],['#Trees as of 2024/estimate-Can allocation 2017]]</f>
        <v>0</v>
      </c>
      <c r="AR312" s="1" t="s">
        <v>1570</v>
      </c>
      <c r="AS312" s="2"/>
      <c r="AT312" s="6">
        <f>IFERROR(Table11[[#This Row],['#Total Replacements]]/Table11[[#This Row],['#TreesContract]],"")</f>
        <v>0.125</v>
      </c>
      <c r="AU312" s="4">
        <f>IF(SUM(Table11[[#This Row],['#Replace 24]:['#Replace 16]])=0,0,SUM(Table11[[#This Row],['#Replace 24]:['#Replace 16]]))</f>
        <v>250</v>
      </c>
      <c r="AV312" s="2"/>
      <c r="AW312" s="2"/>
      <c r="AX312" s="3">
        <v>250</v>
      </c>
      <c r="AY312" s="2"/>
      <c r="AZ312" s="2"/>
      <c r="BA312" s="2"/>
      <c r="BB312" s="2"/>
      <c r="BC312" s="2"/>
      <c r="BD312" s="2"/>
      <c r="BE312" s="2"/>
      <c r="BF312" s="3">
        <v>1</v>
      </c>
      <c r="BG312" s="3">
        <v>1</v>
      </c>
      <c r="BH312" s="2">
        <v>2024</v>
      </c>
      <c r="BI312" s="2">
        <v>10.19</v>
      </c>
      <c r="BJ312" s="2">
        <v>0</v>
      </c>
      <c r="BK312" s="139">
        <f>Table11[[#This Row],[Average MHT
(Feet)]]/16</f>
        <v>0</v>
      </c>
      <c r="BL312" s="2">
        <v>1.57</v>
      </c>
      <c r="BM312" s="139">
        <f>Table11[[#This Row],[Average DBH
(inches)]]/18</f>
        <v>8.7222222222222229E-2</v>
      </c>
      <c r="BN312" s="235">
        <f>((Table11[[#This Row],[Average DBH
(inches)]]-4)^2)*(Table11[[#This Row],[Average MHT
(Feet)]]/16)</f>
        <v>0</v>
      </c>
      <c r="BO312" s="235">
        <f>Table11[[#This Row],[Average BF]]*Table11[[#This Row],[2024 '#Trees Inventory + Estimate]]</f>
        <v>0</v>
      </c>
      <c r="BP312" s="240">
        <f>(Table11[[#This Row],[Harvest Year
(10 year)]]-Table11[[#This Row],[Year of Inventory]]+1)*(Table11[[#This Row],[Average DBH
(inches)]]/(Table11[[#This Row],[Harvest Year
(10 year)]]-Table11[[#This Row],[Year of Inventory]]+1))+Table11[[#This Row],[Average DBH
(inches)]]</f>
        <v>3.14</v>
      </c>
      <c r="BQ312" s="235">
        <f>((Table11[[#This Row],[Projected DBH
(Extrapolated Growth/Year)]]-4)^2)*(Table11[[#This Row],[Average MHT
(Feet)]]/16)</f>
        <v>0</v>
      </c>
      <c r="BR312" s="235">
        <f>Table11[[#This Row],[Projected Average BF]]*Table11[[#This Row],[2024 '#Trees Inventory + Estimate]]</f>
        <v>0</v>
      </c>
      <c r="BS312" s="235">
        <f>196*Table11[[#This Row],[2024 '#Trees Inventory + Estimate]]</f>
        <v>382592</v>
      </c>
      <c r="BT312" s="243">
        <f>Table11[[#This Row],[ETP Offering Expected BF]]-Table11[[#This Row],[Projected Total BF]]</f>
        <v>382592</v>
      </c>
      <c r="BU312" s="235">
        <f>(18-Table11[[#This Row],[Average DBH
(inches)]])/(D312-Table11[[#This Row],[Year of Inventory]]+1)</f>
        <v>2.05375</v>
      </c>
    </row>
    <row r="313" spans="1:73" hidden="1" x14ac:dyDescent="0.25">
      <c r="A313" s="7" t="s">
        <v>1772</v>
      </c>
      <c r="B313" s="2">
        <v>2021</v>
      </c>
      <c r="C313" s="2">
        <v>2022</v>
      </c>
      <c r="D313" s="2">
        <f>Table11[[#This Row],[Planting Year]]+9</f>
        <v>2031</v>
      </c>
      <c r="E313" t="s">
        <v>1582</v>
      </c>
      <c r="F313" s="161">
        <v>30028</v>
      </c>
      <c r="G313" t="s">
        <v>1583</v>
      </c>
      <c r="H313" s="357" t="s">
        <v>1584</v>
      </c>
      <c r="I313" t="s">
        <v>155</v>
      </c>
      <c r="J313" s="1" t="s">
        <v>1585</v>
      </c>
      <c r="K313" s="1" t="s">
        <v>1586</v>
      </c>
      <c r="L313" s="1" t="s">
        <v>1587</v>
      </c>
      <c r="M313" s="1" t="s">
        <v>574</v>
      </c>
      <c r="N313" t="s">
        <v>1588</v>
      </c>
      <c r="O313">
        <v>16.489999999999998</v>
      </c>
      <c r="P313">
        <v>-90.127200000000002</v>
      </c>
      <c r="Q313" s="2"/>
      <c r="R313" s="86"/>
      <c r="S313" s="2"/>
      <c r="T313" s="1">
        <v>20500</v>
      </c>
      <c r="U313" s="1">
        <v>20489</v>
      </c>
      <c r="V313" s="1">
        <f>IF(Table11[[#This Row],['#TreesContract]]-Table11[[#This Row],['#Planted]]=0,"",Table11[[#This Row],['#TreesContract]]-Table11[[#This Row],['#Planted]])</f>
        <v>11</v>
      </c>
      <c r="W313" s="2"/>
      <c r="X313" s="34">
        <v>1</v>
      </c>
      <c r="Y313" s="163">
        <f>Table11[[#This Row],['#TreesContract]]*Table11[[#This Row],[USA Allocation %]]</f>
        <v>20500</v>
      </c>
      <c r="Z313" s="163">
        <f>Table11[[#This Row],['#Planted]]*Table11[[#This Row],[USA Allocation %]]</f>
        <v>20489</v>
      </c>
      <c r="AA313" s="34"/>
      <c r="AB313" s="163"/>
      <c r="AC313" s="34"/>
      <c r="AD313" s="163"/>
      <c r="AE313" s="163">
        <f>Table11[[#This Row],[Canada Allocation-tree '#''s]]+Table11[[#This Row],[Can trees/Allocation 2017]]</f>
        <v>0</v>
      </c>
      <c r="AF313" s="5">
        <v>1</v>
      </c>
      <c r="AG313" s="35">
        <v>4751</v>
      </c>
      <c r="AH313" s="35">
        <f>Table11[[#This Row],['#Trees as of 12/31/23]]*Table11[[#This Row],[USA Allocation %]]</f>
        <v>4751</v>
      </c>
      <c r="AI313" s="437">
        <f>Table11[[#This Row],['#TreesContract]]*Table11[[#This Row],[2024 Inventory Survival%-master]]</f>
        <v>16810</v>
      </c>
      <c r="AJ313" s="436">
        <v>0.82</v>
      </c>
      <c r="AK313" s="5">
        <v>0.82</v>
      </c>
      <c r="AL313" s="5">
        <v>0.82</v>
      </c>
      <c r="AM313" s="270">
        <f>Table11[[#This Row],['#TreesContract]]*Table11[[#This Row],[2024 Inventory Survival%-master]]</f>
        <v>16810</v>
      </c>
      <c r="AN313" s="35">
        <f>Table11[[#This Row],[2024 '#Trees Inventory + Estimate]]*Table11[[#This Row],[USA Allocation %]]</f>
        <v>16810</v>
      </c>
      <c r="AO313" s="35">
        <f>Table11[[#This Row],[2024 '#Trees Inventory + Estimate]]*Table11[[#This Row],[Canada Allocation %]]</f>
        <v>0</v>
      </c>
      <c r="AP313" s="35">
        <f>Table11[[#This Row],[2024 '#Trees Inventory + Estimate]]*Table11[[#This Row],[Canada Allocation2017 %]]</f>
        <v>0</v>
      </c>
      <c r="AQ313" s="35">
        <f>Table11[[#This Row],['#Trees as of 2024/estimate-Can allocation]]+Table11[[#This Row],['#Trees as of 2024/estimate-Can allocation 2017]]</f>
        <v>0</v>
      </c>
      <c r="AR313" s="1" t="s">
        <v>1570</v>
      </c>
      <c r="AS313" s="2"/>
      <c r="AT313" s="6">
        <f>IFERROR(Table11[[#This Row],['#Total Replacements]]/Table11[[#This Row],['#TreesContract]],"")</f>
        <v>0</v>
      </c>
      <c r="AU313" s="4">
        <f>IF(SUM(Table11[[#This Row],['#Replace 24]:['#Replace 16]])=0,0,SUM(Table11[[#This Row],['#Replace 24]:['#Replace 16]]))</f>
        <v>0</v>
      </c>
      <c r="AV313" s="2"/>
      <c r="AW313" s="2"/>
      <c r="AX313" s="3"/>
      <c r="AY313" s="2"/>
      <c r="AZ313" s="2"/>
      <c r="BA313" s="2"/>
      <c r="BB313" s="2"/>
      <c r="BC313" s="2"/>
      <c r="BD313" s="2"/>
      <c r="BE313" s="2"/>
      <c r="BF313" s="3">
        <v>1</v>
      </c>
      <c r="BG313" s="3">
        <v>1</v>
      </c>
      <c r="BH313" s="2">
        <v>2024</v>
      </c>
      <c r="BI313" s="158">
        <v>7.98</v>
      </c>
      <c r="BJ313" s="158">
        <v>0</v>
      </c>
      <c r="BK313" s="139">
        <f>Table11[[#This Row],[Average MHT
(Feet)]]/16</f>
        <v>0</v>
      </c>
      <c r="BL313" s="2">
        <v>1.27</v>
      </c>
      <c r="BM313" s="139">
        <f>Table11[[#This Row],[Average DBH
(inches)]]/18</f>
        <v>7.0555555555555552E-2</v>
      </c>
      <c r="BN313" s="235">
        <f>((Table11[[#This Row],[Average DBH
(inches)]]-4)^2)*(Table11[[#This Row],[Average MHT
(Feet)]]/16)</f>
        <v>0</v>
      </c>
      <c r="BO313" s="235">
        <f>Table11[[#This Row],[Average BF]]*Table11[[#This Row],[2024 '#Trees Inventory + Estimate]]</f>
        <v>0</v>
      </c>
      <c r="BP313" s="240">
        <f>(Table11[[#This Row],[Harvest Year
(10 year)]]-Table11[[#This Row],[Year of Inventory]]+1)*(Table11[[#This Row],[Average DBH
(inches)]]/(Table11[[#This Row],[Harvest Year
(10 year)]]-Table11[[#This Row],[Year of Inventory]]+1))+Table11[[#This Row],[Average DBH
(inches)]]</f>
        <v>2.54</v>
      </c>
      <c r="BQ313" s="235">
        <f>((Table11[[#This Row],[Projected DBH
(Extrapolated Growth/Year)]]-4)^2)*(Table11[[#This Row],[Average MHT
(Feet)]]/16)</f>
        <v>0</v>
      </c>
      <c r="BR313" s="235">
        <f>Table11[[#This Row],[Projected Average BF]]*Table11[[#This Row],[2024 '#Trees Inventory + Estimate]]</f>
        <v>0</v>
      </c>
      <c r="BS313" s="235">
        <f>196*Table11[[#This Row],[2024 '#Trees Inventory + Estimate]]</f>
        <v>3294760</v>
      </c>
      <c r="BT313" s="243">
        <f>Table11[[#This Row],[ETP Offering Expected BF]]-Table11[[#This Row],[Projected Total BF]]</f>
        <v>3294760</v>
      </c>
      <c r="BU313" s="235">
        <f>(18-Table11[[#This Row],[Average DBH
(inches)]])/(D313-Table11[[#This Row],[Year of Inventory]]+1)</f>
        <v>2.0912500000000001</v>
      </c>
    </row>
    <row r="314" spans="1:73" hidden="1" x14ac:dyDescent="0.25">
      <c r="A314" s="7" t="s">
        <v>1773</v>
      </c>
      <c r="B314" s="2">
        <v>2021</v>
      </c>
      <c r="C314" s="2">
        <v>2022</v>
      </c>
      <c r="D314" s="2">
        <f>Table11[[#This Row],[Planting Year]]+9</f>
        <v>2031</v>
      </c>
      <c r="E314" t="s">
        <v>1774</v>
      </c>
      <c r="F314" s="161">
        <v>30033</v>
      </c>
      <c r="G314" t="s">
        <v>1774</v>
      </c>
      <c r="H314" s="357" t="s">
        <v>1775</v>
      </c>
      <c r="I314" t="s">
        <v>155</v>
      </c>
      <c r="J314" s="1" t="s">
        <v>1776</v>
      </c>
      <c r="K314" s="1" t="s">
        <v>1777</v>
      </c>
      <c r="L314" s="1"/>
      <c r="M314" s="1" t="s">
        <v>574</v>
      </c>
      <c r="N314" t="s">
        <v>1778</v>
      </c>
      <c r="O314">
        <v>14.355278</v>
      </c>
      <c r="P314">
        <v>-90.46</v>
      </c>
      <c r="Q314" s="2"/>
      <c r="R314" s="86"/>
      <c r="S314" s="2"/>
      <c r="T314" s="1">
        <v>1000</v>
      </c>
      <c r="U314" s="1">
        <v>1000</v>
      </c>
      <c r="V314" s="1" t="str">
        <f>IF(Table11[[#This Row],['#TreesContract]]-Table11[[#This Row],['#Planted]]=0,"",Table11[[#This Row],['#TreesContract]]-Table11[[#This Row],['#Planted]])</f>
        <v/>
      </c>
      <c r="W314" s="2"/>
      <c r="X314" s="34">
        <v>1</v>
      </c>
      <c r="Y314" s="163">
        <f>Table11[[#This Row],['#TreesContract]]*Table11[[#This Row],[USA Allocation %]]</f>
        <v>1000</v>
      </c>
      <c r="Z314" s="163">
        <f>Table11[[#This Row],['#Planted]]*Table11[[#This Row],[USA Allocation %]]</f>
        <v>1000</v>
      </c>
      <c r="AA314" s="34"/>
      <c r="AB314" s="163"/>
      <c r="AC314" s="34"/>
      <c r="AD314" s="163"/>
      <c r="AE314" s="163">
        <f>Table11[[#This Row],[Canada Allocation-tree '#''s]]+Table11[[#This Row],[Can trees/Allocation 2017]]</f>
        <v>0</v>
      </c>
      <c r="AF314" s="5">
        <v>1</v>
      </c>
      <c r="AG314" s="35">
        <v>1000</v>
      </c>
      <c r="AH314" s="35">
        <f>Table11[[#This Row],['#Trees as of 12/31/23]]*Table11[[#This Row],[USA Allocation %]]</f>
        <v>1000</v>
      </c>
      <c r="AI314" s="437">
        <f>Table11[[#This Row],['#TreesContract]]*Table11[[#This Row],[2024 Inventory Survival%-master]]</f>
        <v>935</v>
      </c>
      <c r="AJ314" s="436">
        <v>0.93500000000000005</v>
      </c>
      <c r="AK314" s="5">
        <v>0.94</v>
      </c>
      <c r="AL314" s="5">
        <v>0.93500000000000005</v>
      </c>
      <c r="AM314" s="35">
        <f>Table11[[#This Row],['#TreesContract]]*Table11[[#This Row],[2024 Inventory Survival%-master]]</f>
        <v>935</v>
      </c>
      <c r="AN314" s="35">
        <f>Table11[[#This Row],[2024 '#Trees Inventory + Estimate]]*Table11[[#This Row],[USA Allocation %]]</f>
        <v>935</v>
      </c>
      <c r="AO314" s="35">
        <f>Table11[[#This Row],[2024 '#Trees Inventory + Estimate]]*Table11[[#This Row],[Canada Allocation %]]</f>
        <v>0</v>
      </c>
      <c r="AP314" s="35">
        <f>Table11[[#This Row],[2024 '#Trees Inventory + Estimate]]*Table11[[#This Row],[Canada Allocation2017 %]]</f>
        <v>0</v>
      </c>
      <c r="AQ314" s="35">
        <f>Table11[[#This Row],['#Trees as of 2024/estimate-Can allocation]]+Table11[[#This Row],['#Trees as of 2024/estimate-Can allocation 2017]]</f>
        <v>0</v>
      </c>
      <c r="AR314" s="1" t="s">
        <v>1779</v>
      </c>
      <c r="AS314" s="2"/>
      <c r="AT314" s="6">
        <f>IFERROR(Table11[[#This Row],['#Total Replacements]]/Table11[[#This Row],['#TreesContract]],"")</f>
        <v>0.36</v>
      </c>
      <c r="AU314" s="4">
        <f>IF(SUM(Table11[[#This Row],['#Replace 24]:['#Replace 16]])=0,0,SUM(Table11[[#This Row],['#Replace 24]:['#Replace 16]]))</f>
        <v>360</v>
      </c>
      <c r="AV314" s="2"/>
      <c r="AW314" s="2"/>
      <c r="AX314" s="3">
        <v>360</v>
      </c>
      <c r="AY314" s="2"/>
      <c r="AZ314" s="2"/>
      <c r="BA314" s="2"/>
      <c r="BB314" s="2"/>
      <c r="BC314" s="2"/>
      <c r="BD314" s="2"/>
      <c r="BE314" s="2"/>
      <c r="BF314" s="3">
        <v>1</v>
      </c>
      <c r="BG314" s="3">
        <v>1</v>
      </c>
      <c r="BH314" s="2">
        <v>2024</v>
      </c>
      <c r="BI314" s="2">
        <v>9.8800000000000008</v>
      </c>
      <c r="BJ314" s="2">
        <v>0</v>
      </c>
      <c r="BK314" s="139">
        <f>Table11[[#This Row],[Average MHT
(Feet)]]/16</f>
        <v>0</v>
      </c>
      <c r="BL314" s="2">
        <v>1.88</v>
      </c>
      <c r="BM314" s="139">
        <f>Table11[[#This Row],[Average DBH
(inches)]]/18</f>
        <v>0.10444444444444444</v>
      </c>
      <c r="BN314" s="235">
        <f>((Table11[[#This Row],[Average DBH
(inches)]]-4)^2)*(Table11[[#This Row],[Average MHT
(Feet)]]/16)</f>
        <v>0</v>
      </c>
      <c r="BO314" s="235">
        <f>Table11[[#This Row],[Average BF]]*Table11[[#This Row],[2024 '#Trees Inventory + Estimate]]</f>
        <v>0</v>
      </c>
      <c r="BP314" s="240">
        <f>(Table11[[#This Row],[Harvest Year
(10 year)]]-Table11[[#This Row],[Year of Inventory]]+1)*(Table11[[#This Row],[Average DBH
(inches)]]/(Table11[[#This Row],[Harvest Year
(10 year)]]-Table11[[#This Row],[Year of Inventory]]+1))+Table11[[#This Row],[Average DBH
(inches)]]</f>
        <v>3.76</v>
      </c>
      <c r="BQ314" s="235">
        <f>((Table11[[#This Row],[Projected DBH
(Extrapolated Growth/Year)]]-4)^2)*(Table11[[#This Row],[Average MHT
(Feet)]]/16)</f>
        <v>0</v>
      </c>
      <c r="BR314" s="235">
        <f>Table11[[#This Row],[Projected Average BF]]*Table11[[#This Row],[2024 '#Trees Inventory + Estimate]]</f>
        <v>0</v>
      </c>
      <c r="BS314" s="235">
        <f>196*Table11[[#This Row],[2024 '#Trees Inventory + Estimate]]</f>
        <v>183260</v>
      </c>
      <c r="BT314" s="243">
        <f>Table11[[#This Row],[ETP Offering Expected BF]]-Table11[[#This Row],[Projected Total BF]]</f>
        <v>183260</v>
      </c>
      <c r="BU314" s="235">
        <f>(18-Table11[[#This Row],[Average DBH
(inches)]])/(D314-Table11[[#This Row],[Year of Inventory]]+1)</f>
        <v>2.0150000000000001</v>
      </c>
    </row>
    <row r="315" spans="1:73" hidden="1" x14ac:dyDescent="0.25">
      <c r="A315" s="7" t="s">
        <v>1780</v>
      </c>
      <c r="B315" s="2">
        <v>2021</v>
      </c>
      <c r="C315" s="2">
        <v>2022</v>
      </c>
      <c r="D315" s="2">
        <f>Table11[[#This Row],[Planting Year]]+9</f>
        <v>2031</v>
      </c>
      <c r="E315" t="s">
        <v>1781</v>
      </c>
      <c r="F315" s="161">
        <v>40025</v>
      </c>
      <c r="G315" t="s">
        <v>1781</v>
      </c>
      <c r="H315" s="357" t="s">
        <v>1782</v>
      </c>
      <c r="I315" t="s">
        <v>155</v>
      </c>
      <c r="J315" s="351" t="s">
        <v>1783</v>
      </c>
      <c r="K315" s="1"/>
      <c r="L315" s="1"/>
      <c r="M315" s="1" t="s">
        <v>621</v>
      </c>
      <c r="N315" t="s">
        <v>1784</v>
      </c>
      <c r="O315">
        <v>17.213206</v>
      </c>
      <c r="P315">
        <v>-94.592428999999996</v>
      </c>
      <c r="Q315" s="2"/>
      <c r="R315" s="86"/>
      <c r="S315" s="2"/>
      <c r="T315" s="1">
        <v>2750</v>
      </c>
      <c r="U315" s="1">
        <v>2750</v>
      </c>
      <c r="V315" s="1" t="str">
        <f>IF(Table11[[#This Row],['#TreesContract]]-Table11[[#This Row],['#Planted]]=0,"",Table11[[#This Row],['#TreesContract]]-Table11[[#This Row],['#Planted]])</f>
        <v/>
      </c>
      <c r="W315" s="2"/>
      <c r="X315" s="34">
        <v>1</v>
      </c>
      <c r="Y315" s="163">
        <f>Table11[[#This Row],['#TreesContract]]*Table11[[#This Row],[USA Allocation %]]</f>
        <v>2750</v>
      </c>
      <c r="Z315" s="163">
        <f>Table11[[#This Row],['#Planted]]*Table11[[#This Row],[USA Allocation %]]</f>
        <v>2750</v>
      </c>
      <c r="AA315" s="34"/>
      <c r="AB315" s="163"/>
      <c r="AC315" s="34"/>
      <c r="AD315" s="163"/>
      <c r="AE315" s="163">
        <f>Table11[[#This Row],[Canada Allocation-tree '#''s]]+Table11[[#This Row],[Can trees/Allocation 2017]]</f>
        <v>0</v>
      </c>
      <c r="AF315" s="5">
        <v>1</v>
      </c>
      <c r="AG315" s="35">
        <v>2750</v>
      </c>
      <c r="AH315" s="35">
        <f>Table11[[#This Row],['#Trees as of 12/31/23]]*Table11[[#This Row],[USA Allocation %]]</f>
        <v>2750</v>
      </c>
      <c r="AI315" s="437">
        <f>Table11[[#This Row],['#TreesContract]]*Table11[[#This Row],[2024 Inventory Survival%-master]]</f>
        <v>2593.25</v>
      </c>
      <c r="AJ315" s="436">
        <v>0.94299999999999995</v>
      </c>
      <c r="AK315" s="5">
        <v>0.94</v>
      </c>
      <c r="AL315" s="5">
        <v>0.94299999999999995</v>
      </c>
      <c r="AM315" s="35">
        <f>Table11[[#This Row],['#TreesContract]]*Table11[[#This Row],[2024 Inventory Survival%-master]]</f>
        <v>2593.25</v>
      </c>
      <c r="AN315" s="35">
        <f>Table11[[#This Row],[2024 '#Trees Inventory + Estimate]]*Table11[[#This Row],[USA Allocation %]]</f>
        <v>2593.25</v>
      </c>
      <c r="AO315" s="35">
        <f>Table11[[#This Row],[2024 '#Trees Inventory + Estimate]]*Table11[[#This Row],[Canada Allocation %]]</f>
        <v>0</v>
      </c>
      <c r="AP315" s="35">
        <f>Table11[[#This Row],[2024 '#Trees Inventory + Estimate]]*Table11[[#This Row],[Canada Allocation2017 %]]</f>
        <v>0</v>
      </c>
      <c r="AQ315" s="35">
        <f>Table11[[#This Row],['#Trees as of 2024/estimate-Can allocation]]+Table11[[#This Row],['#Trees as of 2024/estimate-Can allocation 2017]]</f>
        <v>0</v>
      </c>
      <c r="AR315" s="1"/>
      <c r="AS315" s="2"/>
      <c r="AT315" s="6">
        <f>IFERROR(Table11[[#This Row],['#Total Replacements]]/Table11[[#This Row],['#TreesContract]],"")</f>
        <v>1.1818181818181819</v>
      </c>
      <c r="AU315" s="4">
        <f>IF(SUM(Table11[[#This Row],['#Replace 24]:['#Replace 16]])=0,0,SUM(Table11[[#This Row],['#Replace 24]:['#Replace 16]]))</f>
        <v>3250</v>
      </c>
      <c r="AV315" s="2"/>
      <c r="AW315" s="2">
        <v>1750</v>
      </c>
      <c r="AX315" s="3">
        <v>1500</v>
      </c>
      <c r="AY315" s="2"/>
      <c r="AZ315" s="2"/>
      <c r="BA315" s="2"/>
      <c r="BB315" s="2"/>
      <c r="BC315" s="2"/>
      <c r="BD315" s="2"/>
      <c r="BE315" s="2"/>
      <c r="BF315" s="3">
        <v>1</v>
      </c>
      <c r="BG315" s="3">
        <v>1</v>
      </c>
      <c r="BH315" s="2">
        <v>2024</v>
      </c>
      <c r="BI315" s="158">
        <v>7.2</v>
      </c>
      <c r="BJ315" s="158">
        <v>0.45</v>
      </c>
      <c r="BK315" s="139">
        <f>Table11[[#This Row],[Average MHT
(Feet)]]/16</f>
        <v>2.8125000000000001E-2</v>
      </c>
      <c r="BL315" s="2">
        <v>0.12</v>
      </c>
      <c r="BM315" s="139">
        <f>Table11[[#This Row],[Average DBH
(inches)]]/18</f>
        <v>6.6666666666666662E-3</v>
      </c>
      <c r="BN315" s="235">
        <f>((Table11[[#This Row],[Average DBH
(inches)]]-4)^2)*(Table11[[#This Row],[Average MHT
(Feet)]]/16)</f>
        <v>0.42340499999999998</v>
      </c>
      <c r="BO315" s="235">
        <f>Table11[[#This Row],[Average BF]]*Table11[[#This Row],[2024 '#Trees Inventory + Estimate]]</f>
        <v>1097.9950162499999</v>
      </c>
      <c r="BP315" s="240">
        <f>(Table11[[#This Row],[Harvest Year
(10 year)]]-Table11[[#This Row],[Year of Inventory]]+1)*(Table11[[#This Row],[Average DBH
(inches)]]/(Table11[[#This Row],[Harvest Year
(10 year)]]-Table11[[#This Row],[Year of Inventory]]+1))+Table11[[#This Row],[Average DBH
(inches)]]</f>
        <v>0.24</v>
      </c>
      <c r="BQ315" s="235">
        <f>((Table11[[#This Row],[Projected DBH
(Extrapolated Growth/Year)]]-4)^2)*(Table11[[#This Row],[Average MHT
(Feet)]]/16)</f>
        <v>0.39761999999999997</v>
      </c>
      <c r="BR315" s="235">
        <f>Table11[[#This Row],[Projected Average BF]]*Table11[[#This Row],[2024 '#Trees Inventory + Estimate]]</f>
        <v>1031.1280649999999</v>
      </c>
      <c r="BS315" s="235">
        <f>196*Table11[[#This Row],[2024 '#Trees Inventory + Estimate]]</f>
        <v>508277</v>
      </c>
      <c r="BT315" s="243">
        <f>Table11[[#This Row],[ETP Offering Expected BF]]-Table11[[#This Row],[Projected Total BF]]</f>
        <v>507245.871935</v>
      </c>
      <c r="BU315" s="235">
        <f>(18-Table11[[#This Row],[Average DBH
(inches)]])/(D315-Table11[[#This Row],[Year of Inventory]]+1)</f>
        <v>2.2349999999999999</v>
      </c>
    </row>
    <row r="316" spans="1:73" hidden="1" x14ac:dyDescent="0.25">
      <c r="A316" s="7" t="s">
        <v>1785</v>
      </c>
      <c r="B316" s="2">
        <v>2021</v>
      </c>
      <c r="C316" s="2">
        <v>2022</v>
      </c>
      <c r="D316" s="2">
        <f>Table11[[#This Row],[Planting Year]]+9</f>
        <v>2031</v>
      </c>
      <c r="E316" t="s">
        <v>1786</v>
      </c>
      <c r="F316" s="161">
        <v>40026</v>
      </c>
      <c r="G316" t="s">
        <v>1786</v>
      </c>
      <c r="H316" s="357" t="s">
        <v>1787</v>
      </c>
      <c r="I316" t="s">
        <v>155</v>
      </c>
      <c r="J316" s="1" t="s">
        <v>1788</v>
      </c>
      <c r="K316" s="1"/>
      <c r="L316" s="1"/>
      <c r="M316" s="1" t="s">
        <v>621</v>
      </c>
      <c r="N316" t="s">
        <v>1789</v>
      </c>
      <c r="O316">
        <v>17.502880999999999</v>
      </c>
      <c r="P316">
        <v>-94.437141999999994</v>
      </c>
      <c r="Q316" s="2"/>
      <c r="R316" s="86"/>
      <c r="S316" s="2"/>
      <c r="T316" s="1">
        <v>2750</v>
      </c>
      <c r="U316" s="1">
        <v>2750</v>
      </c>
      <c r="V316" s="1" t="str">
        <f>IF(Table11[[#This Row],['#TreesContract]]-Table11[[#This Row],['#Planted]]=0,"",Table11[[#This Row],['#TreesContract]]-Table11[[#This Row],['#Planted]])</f>
        <v/>
      </c>
      <c r="W316" s="2"/>
      <c r="X316" s="34">
        <v>1</v>
      </c>
      <c r="Y316" s="163">
        <f>Table11[[#This Row],['#TreesContract]]*Table11[[#This Row],[USA Allocation %]]</f>
        <v>2750</v>
      </c>
      <c r="Z316" s="163">
        <f>Table11[[#This Row],['#Planted]]*Table11[[#This Row],[USA Allocation %]]</f>
        <v>2750</v>
      </c>
      <c r="AA316" s="34"/>
      <c r="AB316" s="163"/>
      <c r="AC316" s="34"/>
      <c r="AD316" s="163"/>
      <c r="AE316" s="163">
        <f>Table11[[#This Row],[Canada Allocation-tree '#''s]]+Table11[[#This Row],[Can trees/Allocation 2017]]</f>
        <v>0</v>
      </c>
      <c r="AF316" s="5">
        <v>1</v>
      </c>
      <c r="AG316" s="35">
        <v>2750</v>
      </c>
      <c r="AH316" s="35">
        <f>Table11[[#This Row],['#Trees as of 12/31/23]]*Table11[[#This Row],[USA Allocation %]]</f>
        <v>2750</v>
      </c>
      <c r="AI316" s="437">
        <f>Table11[[#This Row],['#TreesContract]]*Table11[[#This Row],[2024 Inventory Survival%-master]]</f>
        <v>2686.75</v>
      </c>
      <c r="AJ316" s="436">
        <v>0.97699999999999998</v>
      </c>
      <c r="AK316" s="5">
        <v>0.98</v>
      </c>
      <c r="AL316" s="5">
        <v>0.97699999999999998</v>
      </c>
      <c r="AM316" s="35">
        <f>Table11[[#This Row],['#TreesContract]]*Table11[[#This Row],[2024 Inventory Survival%-master]]</f>
        <v>2686.75</v>
      </c>
      <c r="AN316" s="35">
        <f>Table11[[#This Row],[2024 '#Trees Inventory + Estimate]]*Table11[[#This Row],[USA Allocation %]]</f>
        <v>2686.75</v>
      </c>
      <c r="AO316" s="35">
        <f>Table11[[#This Row],[2024 '#Trees Inventory + Estimate]]*Table11[[#This Row],[Canada Allocation %]]</f>
        <v>0</v>
      </c>
      <c r="AP316" s="35">
        <f>Table11[[#This Row],[2024 '#Trees Inventory + Estimate]]*Table11[[#This Row],[Canada Allocation2017 %]]</f>
        <v>0</v>
      </c>
      <c r="AQ316" s="35">
        <f>Table11[[#This Row],['#Trees as of 2024/estimate-Can allocation]]+Table11[[#This Row],['#Trees as of 2024/estimate-Can allocation 2017]]</f>
        <v>0</v>
      </c>
      <c r="AR316" s="1"/>
      <c r="AS316" s="2"/>
      <c r="AT316" s="6">
        <f>IFERROR(Table11[[#This Row],['#Total Replacements]]/Table11[[#This Row],['#TreesContract]],"")</f>
        <v>1.4363636363636363</v>
      </c>
      <c r="AU316" s="4">
        <f>IF(SUM(Table11[[#This Row],['#Replace 24]:['#Replace 16]])=0,0,SUM(Table11[[#This Row],['#Replace 24]:['#Replace 16]]))</f>
        <v>3950</v>
      </c>
      <c r="AV316" s="2"/>
      <c r="AW316" s="2">
        <v>1300</v>
      </c>
      <c r="AX316" s="3">
        <v>2050</v>
      </c>
      <c r="AY316" s="2">
        <v>600</v>
      </c>
      <c r="AZ316" s="2"/>
      <c r="BA316" s="2"/>
      <c r="BB316" s="2"/>
      <c r="BC316" s="2"/>
      <c r="BD316" s="2"/>
      <c r="BE316" s="2"/>
      <c r="BF316" s="3">
        <v>1</v>
      </c>
      <c r="BG316" s="3">
        <v>1</v>
      </c>
      <c r="BH316" s="2"/>
      <c r="BI316" s="2">
        <v>5.21</v>
      </c>
      <c r="BJ316" s="2">
        <v>0</v>
      </c>
      <c r="BK316" s="139">
        <f>Table11[[#This Row],[Average MHT
(Feet)]]/16</f>
        <v>0</v>
      </c>
      <c r="BL316" s="2">
        <v>0</v>
      </c>
      <c r="BM316" s="139">
        <f>Table11[[#This Row],[Average DBH
(inches)]]/18</f>
        <v>0</v>
      </c>
      <c r="BN316" s="235">
        <f>((Table11[[#This Row],[Average DBH
(inches)]]-4)^2)*(Table11[[#This Row],[Average MHT
(Feet)]]/16)</f>
        <v>0</v>
      </c>
      <c r="BO316" s="235">
        <f>Table11[[#This Row],[Average BF]]*Table11[[#This Row],[2024 '#Trees Inventory + Estimate]]</f>
        <v>0</v>
      </c>
      <c r="BP316" s="240">
        <f>(Table11[[#This Row],[Harvest Year
(10 year)]]-Table11[[#This Row],[Year of Inventory]]+1)*(Table11[[#This Row],[Average DBH
(inches)]]/(Table11[[#This Row],[Harvest Year
(10 year)]]-Table11[[#This Row],[Year of Inventory]]+1))+Table11[[#This Row],[Average DBH
(inches)]]</f>
        <v>0</v>
      </c>
      <c r="BQ316" s="235">
        <f>((Table11[[#This Row],[Projected DBH
(Extrapolated Growth/Year)]]-4)^2)*(Table11[[#This Row],[Average MHT
(Feet)]]/16)</f>
        <v>0</v>
      </c>
      <c r="BR316" s="235">
        <f>Table11[[#This Row],[Projected Average BF]]*Table11[[#This Row],[2024 '#Trees Inventory + Estimate]]</f>
        <v>0</v>
      </c>
      <c r="BS316" s="235">
        <f>196*Table11[[#This Row],[2024 '#Trees Inventory + Estimate]]</f>
        <v>526603</v>
      </c>
      <c r="BT316" s="243">
        <f>Table11[[#This Row],[ETP Offering Expected BF]]-Table11[[#This Row],[Projected Total BF]]</f>
        <v>526603</v>
      </c>
      <c r="BU316" s="235">
        <f>(18-Table11[[#This Row],[Average DBH
(inches)]])/(D316-Table11[[#This Row],[Year of Inventory]]+1)</f>
        <v>8.8582677165354329E-3</v>
      </c>
    </row>
    <row r="317" spans="1:73" hidden="1" x14ac:dyDescent="0.25">
      <c r="A317" s="7" t="s">
        <v>1790</v>
      </c>
      <c r="B317" s="2">
        <v>2021</v>
      </c>
      <c r="C317" s="2">
        <v>2022</v>
      </c>
      <c r="D317" s="2">
        <f>Table11[[#This Row],[Planting Year]]+9</f>
        <v>2031</v>
      </c>
      <c r="E317" t="s">
        <v>1791</v>
      </c>
      <c r="F317" s="161">
        <v>40027</v>
      </c>
      <c r="G317" t="s">
        <v>1791</v>
      </c>
      <c r="H317" s="357"/>
      <c r="I317" t="s">
        <v>155</v>
      </c>
      <c r="J317" s="350" t="s">
        <v>1792</v>
      </c>
      <c r="K317" s="1"/>
      <c r="L317" s="1"/>
      <c r="M317" s="1" t="s">
        <v>621</v>
      </c>
      <c r="N317" t="s">
        <v>1793</v>
      </c>
      <c r="O317">
        <v>17.511583000000002</v>
      </c>
      <c r="P317">
        <v>-94.450417000000002</v>
      </c>
      <c r="Q317" s="2">
        <v>17.513566999999998</v>
      </c>
      <c r="R317" s="2">
        <v>-94.419008000000005</v>
      </c>
      <c r="S317" s="2"/>
      <c r="T317" s="1">
        <v>2750</v>
      </c>
      <c r="U317" s="1">
        <v>2750</v>
      </c>
      <c r="V317" s="1" t="str">
        <f>IF(Table11[[#This Row],['#TreesContract]]-Table11[[#This Row],['#Planted]]=0,"",Table11[[#This Row],['#TreesContract]]-Table11[[#This Row],['#Planted]])</f>
        <v/>
      </c>
      <c r="W317" s="2"/>
      <c r="X317" s="34">
        <v>1</v>
      </c>
      <c r="Y317" s="163">
        <f>Table11[[#This Row],['#TreesContract]]*Table11[[#This Row],[USA Allocation %]]</f>
        <v>2750</v>
      </c>
      <c r="Z317" s="163">
        <f>Table11[[#This Row],['#Planted]]*Table11[[#This Row],[USA Allocation %]]</f>
        <v>2750</v>
      </c>
      <c r="AA317" s="34"/>
      <c r="AB317" s="163"/>
      <c r="AC317" s="34"/>
      <c r="AD317" s="163"/>
      <c r="AE317" s="163">
        <f>Table11[[#This Row],[Canada Allocation-tree '#''s]]+Table11[[#This Row],[Can trees/Allocation 2017]]</f>
        <v>0</v>
      </c>
      <c r="AF317" s="5">
        <v>1</v>
      </c>
      <c r="AG317" s="35">
        <v>2750</v>
      </c>
      <c r="AH317" s="35">
        <f>Table11[[#This Row],['#Trees as of 12/31/23]]*Table11[[#This Row],[USA Allocation %]]</f>
        <v>2750</v>
      </c>
      <c r="AI317" s="437">
        <f>Table11[[#This Row],['#TreesContract]]*Table11[[#This Row],[2024 Inventory Survival%-master]]</f>
        <v>2645.5</v>
      </c>
      <c r="AJ317" s="436">
        <v>0.96199999999999997</v>
      </c>
      <c r="AK317" s="5">
        <v>0.96</v>
      </c>
      <c r="AL317" s="5">
        <v>0.96199999999999997</v>
      </c>
      <c r="AM317" s="35">
        <f>Table11[[#This Row],['#TreesContract]]*Table11[[#This Row],[2024 Inventory Survival%-master]]</f>
        <v>2645.5</v>
      </c>
      <c r="AN317" s="35">
        <f>Table11[[#This Row],[2024 '#Trees Inventory + Estimate]]*Table11[[#This Row],[USA Allocation %]]</f>
        <v>2645.5</v>
      </c>
      <c r="AO317" s="35">
        <f>Table11[[#This Row],[2024 '#Trees Inventory + Estimate]]*Table11[[#This Row],[Canada Allocation %]]</f>
        <v>0</v>
      </c>
      <c r="AP317" s="35">
        <f>Table11[[#This Row],[2024 '#Trees Inventory + Estimate]]*Table11[[#This Row],[Canada Allocation2017 %]]</f>
        <v>0</v>
      </c>
      <c r="AQ317" s="35">
        <f>Table11[[#This Row],['#Trees as of 2024/estimate-Can allocation]]+Table11[[#This Row],['#Trees as of 2024/estimate-Can allocation 2017]]</f>
        <v>0</v>
      </c>
      <c r="AR317" s="1"/>
      <c r="AS317" s="2"/>
      <c r="AT317" s="6">
        <f>IFERROR(Table11[[#This Row],['#Total Replacements]]/Table11[[#This Row],['#TreesContract]],"")</f>
        <v>1.28</v>
      </c>
      <c r="AU317" s="4">
        <f>IF(SUM(Table11[[#This Row],['#Replace 24]:['#Replace 16]])=0,0,SUM(Table11[[#This Row],['#Replace 24]:['#Replace 16]]))</f>
        <v>3520</v>
      </c>
      <c r="AV317" s="2"/>
      <c r="AW317" s="2">
        <v>600</v>
      </c>
      <c r="AX317" s="3">
        <v>2600</v>
      </c>
      <c r="AY317" s="2">
        <v>320</v>
      </c>
      <c r="AZ317" s="2"/>
      <c r="BA317" s="2"/>
      <c r="BB317" s="2"/>
      <c r="BC317" s="2"/>
      <c r="BD317" s="2"/>
      <c r="BE317" s="2"/>
      <c r="BF317" s="3">
        <v>1</v>
      </c>
      <c r="BG317" s="3">
        <v>1</v>
      </c>
      <c r="BH317" s="2">
        <v>2024</v>
      </c>
      <c r="BI317" s="158">
        <v>4.87</v>
      </c>
      <c r="BJ317" s="158">
        <v>0</v>
      </c>
      <c r="BK317" s="139">
        <f>Table11[[#This Row],[Average MHT
(Feet)]]/16</f>
        <v>0</v>
      </c>
      <c r="BL317" s="2">
        <v>0</v>
      </c>
      <c r="BM317" s="139">
        <f>Table11[[#This Row],[Average DBH
(inches)]]/18</f>
        <v>0</v>
      </c>
      <c r="BN317" s="235">
        <f>((Table11[[#This Row],[Average DBH
(inches)]]-4)^2)*(Table11[[#This Row],[Average MHT
(Feet)]]/16)</f>
        <v>0</v>
      </c>
      <c r="BO317" s="235">
        <f>Table11[[#This Row],[Average BF]]*Table11[[#This Row],[2024 '#Trees Inventory + Estimate]]</f>
        <v>0</v>
      </c>
      <c r="BP317" s="240">
        <f>(Table11[[#This Row],[Harvest Year
(10 year)]]-Table11[[#This Row],[Year of Inventory]]+1)*(Table11[[#This Row],[Average DBH
(inches)]]/(Table11[[#This Row],[Harvest Year
(10 year)]]-Table11[[#This Row],[Year of Inventory]]+1))+Table11[[#This Row],[Average DBH
(inches)]]</f>
        <v>0</v>
      </c>
      <c r="BQ317" s="235">
        <f>((Table11[[#This Row],[Projected DBH
(Extrapolated Growth/Year)]]-4)^2)*(Table11[[#This Row],[Average MHT
(Feet)]]/16)</f>
        <v>0</v>
      </c>
      <c r="BR317" s="235">
        <f>Table11[[#This Row],[Projected Average BF]]*Table11[[#This Row],[2024 '#Trees Inventory + Estimate]]</f>
        <v>0</v>
      </c>
      <c r="BS317" s="235">
        <f>196*Table11[[#This Row],[2024 '#Trees Inventory + Estimate]]</f>
        <v>518518</v>
      </c>
      <c r="BT317" s="243">
        <f>Table11[[#This Row],[ETP Offering Expected BF]]-Table11[[#This Row],[Projected Total BF]]</f>
        <v>518518</v>
      </c>
      <c r="BU317" s="235">
        <f>(18-Table11[[#This Row],[Average DBH
(inches)]])/(D317-Table11[[#This Row],[Year of Inventory]]+1)</f>
        <v>2.25</v>
      </c>
    </row>
    <row r="318" spans="1:73" hidden="1" x14ac:dyDescent="0.25">
      <c r="A318" s="7" t="s">
        <v>1794</v>
      </c>
      <c r="B318" s="2">
        <v>2021</v>
      </c>
      <c r="C318" s="2">
        <v>2022</v>
      </c>
      <c r="D318" s="2">
        <f>Table11[[#This Row],[Planting Year]]+9</f>
        <v>2031</v>
      </c>
      <c r="E318" t="s">
        <v>1795</v>
      </c>
      <c r="F318" s="161">
        <v>40028</v>
      </c>
      <c r="G318" t="s">
        <v>1795</v>
      </c>
      <c r="H318" s="357" t="s">
        <v>1796</v>
      </c>
      <c r="I318" t="s">
        <v>155</v>
      </c>
      <c r="J318" s="351" t="s">
        <v>1797</v>
      </c>
      <c r="K318" s="1"/>
      <c r="L318" s="1"/>
      <c r="M318" s="1" t="s">
        <v>621</v>
      </c>
      <c r="N318" t="s">
        <v>1798</v>
      </c>
      <c r="O318">
        <v>17.547283</v>
      </c>
      <c r="P318">
        <v>-93.072147000000001</v>
      </c>
      <c r="Q318" s="2"/>
      <c r="R318" s="86"/>
      <c r="S318" s="2"/>
      <c r="T318" s="1">
        <v>5600</v>
      </c>
      <c r="U318" s="1">
        <v>5600</v>
      </c>
      <c r="V318" s="1" t="str">
        <f>IF(Table11[[#This Row],['#TreesContract]]-Table11[[#This Row],['#Planted]]=0,"",Table11[[#This Row],['#TreesContract]]-Table11[[#This Row],['#Planted]])</f>
        <v/>
      </c>
      <c r="W318" s="2"/>
      <c r="X318" s="34">
        <v>1</v>
      </c>
      <c r="Y318" s="163">
        <f>Table11[[#This Row],['#TreesContract]]*Table11[[#This Row],[USA Allocation %]]</f>
        <v>5600</v>
      </c>
      <c r="Z318" s="163">
        <f>Table11[[#This Row],['#Planted]]*Table11[[#This Row],[USA Allocation %]]</f>
        <v>5600</v>
      </c>
      <c r="AA318" s="34"/>
      <c r="AB318" s="163"/>
      <c r="AC318" s="34"/>
      <c r="AD318" s="163"/>
      <c r="AE318" s="163">
        <f>Table11[[#This Row],[Canada Allocation-tree '#''s]]+Table11[[#This Row],[Can trees/Allocation 2017]]</f>
        <v>0</v>
      </c>
      <c r="AF318" s="5">
        <v>1</v>
      </c>
      <c r="AG318" s="35">
        <v>5600</v>
      </c>
      <c r="AH318" s="35">
        <f>Table11[[#This Row],['#Trees as of 12/31/23]]*Table11[[#This Row],[USA Allocation %]]</f>
        <v>5600</v>
      </c>
      <c r="AI318" s="437">
        <f>Table11[[#This Row],['#TreesContract]]*Table11[[#This Row],[2024 Inventory Survival%-master]]</f>
        <v>4524.8</v>
      </c>
      <c r="AJ318" s="436">
        <v>0.80800000000000005</v>
      </c>
      <c r="AK318" s="5">
        <v>0.81</v>
      </c>
      <c r="AL318" s="5">
        <v>0.80800000000000005</v>
      </c>
      <c r="AM318" s="35">
        <f>Table11[[#This Row],['#TreesContract]]*Table11[[#This Row],[2024 Inventory Survival%-master]]</f>
        <v>4524.8</v>
      </c>
      <c r="AN318" s="35">
        <f>Table11[[#This Row],[2024 '#Trees Inventory + Estimate]]*Table11[[#This Row],[USA Allocation %]]</f>
        <v>4524.8</v>
      </c>
      <c r="AO318" s="35">
        <f>Table11[[#This Row],[2024 '#Trees Inventory + Estimate]]*Table11[[#This Row],[Canada Allocation %]]</f>
        <v>0</v>
      </c>
      <c r="AP318" s="35">
        <f>Table11[[#This Row],[2024 '#Trees Inventory + Estimate]]*Table11[[#This Row],[Canada Allocation2017 %]]</f>
        <v>0</v>
      </c>
      <c r="AQ318" s="35">
        <f>Table11[[#This Row],['#Trees as of 2024/estimate-Can allocation]]+Table11[[#This Row],['#Trees as of 2024/estimate-Can allocation 2017]]</f>
        <v>0</v>
      </c>
      <c r="AR318" s="1"/>
      <c r="AS318" s="2"/>
      <c r="AT318" s="6">
        <f>IFERROR(Table11[[#This Row],['#Total Replacements]]/Table11[[#This Row],['#TreesContract]],"")</f>
        <v>0</v>
      </c>
      <c r="AU318" s="4">
        <f>IF(SUM(Table11[[#This Row],['#Replace 24]:['#Replace 16]])=0,0,SUM(Table11[[#This Row],['#Replace 24]:['#Replace 16]]))</f>
        <v>0</v>
      </c>
      <c r="AV318" s="2"/>
      <c r="AW318" s="2"/>
      <c r="AX318" s="3"/>
      <c r="AY318" s="2"/>
      <c r="AZ318" s="2"/>
      <c r="BA318" s="2"/>
      <c r="BB318" s="2"/>
      <c r="BC318" s="2"/>
      <c r="BD318" s="2"/>
      <c r="BE318" s="2"/>
      <c r="BF318" s="3">
        <v>1</v>
      </c>
      <c r="BG318" s="3">
        <v>1</v>
      </c>
      <c r="BH318" s="2">
        <v>2024</v>
      </c>
      <c r="BI318" s="2">
        <v>7.17</v>
      </c>
      <c r="BJ318" s="2">
        <v>0.03</v>
      </c>
      <c r="BK318" s="139">
        <f>Table11[[#This Row],[Average MHT
(Feet)]]/16</f>
        <v>1.8749999999999999E-3</v>
      </c>
      <c r="BL318" s="2">
        <v>0.01</v>
      </c>
      <c r="BM318" s="139">
        <f>Table11[[#This Row],[Average DBH
(inches)]]/18</f>
        <v>5.5555555555555556E-4</v>
      </c>
      <c r="BN318" s="235">
        <f>((Table11[[#This Row],[Average DBH
(inches)]]-4)^2)*(Table11[[#This Row],[Average MHT
(Feet)]]/16)</f>
        <v>2.98501875E-2</v>
      </c>
      <c r="BO318" s="235">
        <f>Table11[[#This Row],[Average BF]]*Table11[[#This Row],[2024 '#Trees Inventory + Estimate]]</f>
        <v>135.0661284</v>
      </c>
      <c r="BP318" s="240">
        <f>(Table11[[#This Row],[Harvest Year
(10 year)]]-Table11[[#This Row],[Year of Inventory]]+1)*(Table11[[#This Row],[Average DBH
(inches)]]/(Table11[[#This Row],[Harvest Year
(10 year)]]-Table11[[#This Row],[Year of Inventory]]+1))+Table11[[#This Row],[Average DBH
(inches)]]</f>
        <v>0.02</v>
      </c>
      <c r="BQ318" s="235">
        <f>((Table11[[#This Row],[Projected DBH
(Extrapolated Growth/Year)]]-4)^2)*(Table11[[#This Row],[Average MHT
(Feet)]]/16)</f>
        <v>2.9700750000000001E-2</v>
      </c>
      <c r="BR318" s="235">
        <f>Table11[[#This Row],[Projected Average BF]]*Table11[[#This Row],[2024 '#Trees Inventory + Estimate]]</f>
        <v>134.38995360000001</v>
      </c>
      <c r="BS318" s="235">
        <f>196*Table11[[#This Row],[2024 '#Trees Inventory + Estimate]]</f>
        <v>886860.80000000005</v>
      </c>
      <c r="BT318" s="243">
        <f>Table11[[#This Row],[ETP Offering Expected BF]]-Table11[[#This Row],[Projected Total BF]]</f>
        <v>886726.41004640004</v>
      </c>
      <c r="BU318" s="235">
        <f>(18-Table11[[#This Row],[Average DBH
(inches)]])/(D318-Table11[[#This Row],[Year of Inventory]]+1)</f>
        <v>2.2487499999999998</v>
      </c>
    </row>
    <row r="319" spans="1:73" hidden="1" x14ac:dyDescent="0.25">
      <c r="A319" s="7" t="s">
        <v>1799</v>
      </c>
      <c r="B319" s="2">
        <v>2021</v>
      </c>
      <c r="C319" s="2">
        <v>2022</v>
      </c>
      <c r="D319" s="2">
        <f>Table11[[#This Row],[Planting Year]]+9</f>
        <v>2031</v>
      </c>
      <c r="E319" t="s">
        <v>1800</v>
      </c>
      <c r="F319" s="161">
        <v>40029</v>
      </c>
      <c r="G319" t="s">
        <v>1801</v>
      </c>
      <c r="H319" s="357"/>
      <c r="I319" t="s">
        <v>155</v>
      </c>
      <c r="J319" s="154" t="s">
        <v>1802</v>
      </c>
      <c r="K319" s="1" t="s">
        <v>1803</v>
      </c>
      <c r="L319" s="1"/>
      <c r="M319" s="1" t="s">
        <v>621</v>
      </c>
      <c r="N319" t="s">
        <v>1804</v>
      </c>
      <c r="O319">
        <v>17.359914</v>
      </c>
      <c r="P319">
        <v>-93.325035999999997</v>
      </c>
      <c r="Q319" s="2"/>
      <c r="R319" s="86"/>
      <c r="S319" s="2"/>
      <c r="T319" s="1">
        <v>2200</v>
      </c>
      <c r="U319" s="1">
        <v>2200</v>
      </c>
      <c r="V319" s="1" t="str">
        <f>IF(Table11[[#This Row],['#TreesContract]]-Table11[[#This Row],['#Planted]]=0,"",Table11[[#This Row],['#TreesContract]]-Table11[[#This Row],['#Planted]])</f>
        <v/>
      </c>
      <c r="W319" s="2"/>
      <c r="X319" s="34">
        <v>1</v>
      </c>
      <c r="Y319" s="163">
        <f>Table11[[#This Row],['#TreesContract]]*Table11[[#This Row],[USA Allocation %]]</f>
        <v>2200</v>
      </c>
      <c r="Z319" s="163">
        <f>Table11[[#This Row],['#Planted]]*Table11[[#This Row],[USA Allocation %]]</f>
        <v>2200</v>
      </c>
      <c r="AA319" s="34"/>
      <c r="AB319" s="163"/>
      <c r="AC319" s="34"/>
      <c r="AD319" s="163"/>
      <c r="AE319" s="163">
        <f>Table11[[#This Row],[Canada Allocation-tree '#''s]]+Table11[[#This Row],[Can trees/Allocation 2017]]</f>
        <v>0</v>
      </c>
      <c r="AF319" s="5">
        <v>1</v>
      </c>
      <c r="AG319" s="35">
        <v>2200</v>
      </c>
      <c r="AH319" s="35">
        <f>Table11[[#This Row],['#Trees as of 12/31/23]]*Table11[[#This Row],[USA Allocation %]]</f>
        <v>2200</v>
      </c>
      <c r="AI319" s="437">
        <f>Table11[[#This Row],['#TreesContract]]*Table11[[#This Row],[2024 Inventory Survival%-master]]</f>
        <v>541.20000000000005</v>
      </c>
      <c r="AJ319" s="436">
        <v>0.246</v>
      </c>
      <c r="AK319" s="5">
        <v>0.25</v>
      </c>
      <c r="AL319" s="5">
        <v>0.246</v>
      </c>
      <c r="AM319" s="35">
        <f>Table11[[#This Row],['#TreesContract]]*Table11[[#This Row],[2024 Inventory Survival%-master]]</f>
        <v>541.20000000000005</v>
      </c>
      <c r="AN319" s="35">
        <f>Table11[[#This Row],[2024 '#Trees Inventory + Estimate]]*Table11[[#This Row],[USA Allocation %]]</f>
        <v>541.20000000000005</v>
      </c>
      <c r="AO319" s="35">
        <f>Table11[[#This Row],[2024 '#Trees Inventory + Estimate]]*Table11[[#This Row],[Canada Allocation %]]</f>
        <v>0</v>
      </c>
      <c r="AP319" s="35">
        <f>Table11[[#This Row],[2024 '#Trees Inventory + Estimate]]*Table11[[#This Row],[Canada Allocation2017 %]]</f>
        <v>0</v>
      </c>
      <c r="AQ319" s="35">
        <f>Table11[[#This Row],['#Trees as of 2024/estimate-Can allocation]]+Table11[[#This Row],['#Trees as of 2024/estimate-Can allocation 2017]]</f>
        <v>0</v>
      </c>
      <c r="AR319" s="1"/>
      <c r="AS319" s="2"/>
      <c r="AT319" s="6">
        <f>IFERROR(Table11[[#This Row],['#Total Replacements]]/Table11[[#This Row],['#TreesContract]],"")</f>
        <v>0.18181818181818182</v>
      </c>
      <c r="AU319" s="4">
        <f>IF(SUM(Table11[[#This Row],['#Replace 24]:['#Replace 16]])=0,0,SUM(Table11[[#This Row],['#Replace 24]:['#Replace 16]]))</f>
        <v>400</v>
      </c>
      <c r="AV319" s="2"/>
      <c r="AW319" s="2"/>
      <c r="AX319" s="3">
        <v>400</v>
      </c>
      <c r="AY319" s="2"/>
      <c r="AZ319" s="2"/>
      <c r="BA319" s="2"/>
      <c r="BB319" s="2"/>
      <c r="BC319" s="2"/>
      <c r="BD319" s="2"/>
      <c r="BE319" s="2"/>
      <c r="BF319" s="3">
        <v>1</v>
      </c>
      <c r="BG319" s="3">
        <v>1</v>
      </c>
      <c r="BH319" s="2">
        <v>2024</v>
      </c>
      <c r="BI319" s="158">
        <v>0.51</v>
      </c>
      <c r="BJ319" s="158">
        <v>0</v>
      </c>
      <c r="BK319" s="139">
        <f>Table11[[#This Row],[Average MHT
(Feet)]]/16</f>
        <v>0</v>
      </c>
      <c r="BL319" s="2">
        <v>0</v>
      </c>
      <c r="BM319" s="139">
        <f>Table11[[#This Row],[Average DBH
(inches)]]/18</f>
        <v>0</v>
      </c>
      <c r="BN319" s="235">
        <f>((Table11[[#This Row],[Average DBH
(inches)]]-4)^2)*(Table11[[#This Row],[Average MHT
(Feet)]]/16)</f>
        <v>0</v>
      </c>
      <c r="BO319" s="235">
        <f>Table11[[#This Row],[Average BF]]*Table11[[#This Row],[2024 '#Trees Inventory + Estimate]]</f>
        <v>0</v>
      </c>
      <c r="BP319" s="240">
        <f>(Table11[[#This Row],[Harvest Year
(10 year)]]-Table11[[#This Row],[Year of Inventory]]+1)*(Table11[[#This Row],[Average DBH
(inches)]]/(Table11[[#This Row],[Harvest Year
(10 year)]]-Table11[[#This Row],[Year of Inventory]]+1))+Table11[[#This Row],[Average DBH
(inches)]]</f>
        <v>0</v>
      </c>
      <c r="BQ319" s="235">
        <f>((Table11[[#This Row],[Projected DBH
(Extrapolated Growth/Year)]]-4)^2)*(Table11[[#This Row],[Average MHT
(Feet)]]/16)</f>
        <v>0</v>
      </c>
      <c r="BR319" s="235">
        <f>Table11[[#This Row],[Projected Average BF]]*Table11[[#This Row],[2024 '#Trees Inventory + Estimate]]</f>
        <v>0</v>
      </c>
      <c r="BS319" s="235">
        <f>196*Table11[[#This Row],[2024 '#Trees Inventory + Estimate]]</f>
        <v>106075.20000000001</v>
      </c>
      <c r="BT319" s="243">
        <f>Table11[[#This Row],[ETP Offering Expected BF]]-Table11[[#This Row],[Projected Total BF]]</f>
        <v>106075.20000000001</v>
      </c>
      <c r="BU319" s="235">
        <f>(18-Table11[[#This Row],[Average DBH
(inches)]])/(D319-Table11[[#This Row],[Year of Inventory]]+1)</f>
        <v>2.25</v>
      </c>
    </row>
    <row r="320" spans="1:73" hidden="1" x14ac:dyDescent="0.25">
      <c r="A320" s="7" t="s">
        <v>1805</v>
      </c>
      <c r="B320" s="2">
        <v>2021</v>
      </c>
      <c r="C320" s="2">
        <v>2022</v>
      </c>
      <c r="D320" s="2">
        <f>Table11[[#This Row],[Planting Year]]+9</f>
        <v>2031</v>
      </c>
      <c r="E320" t="s">
        <v>1806</v>
      </c>
      <c r="F320" s="161">
        <v>40030</v>
      </c>
      <c r="G320" t="s">
        <v>1806</v>
      </c>
      <c r="H320" s="357" t="s">
        <v>1807</v>
      </c>
      <c r="I320" t="s">
        <v>155</v>
      </c>
      <c r="J320" s="154" t="s">
        <v>1808</v>
      </c>
      <c r="K320" s="1" t="s">
        <v>1809</v>
      </c>
      <c r="L320" s="1"/>
      <c r="M320" s="1" t="s">
        <v>621</v>
      </c>
      <c r="N320" t="s">
        <v>1810</v>
      </c>
      <c r="O320">
        <v>17.547844000000001</v>
      </c>
      <c r="P320">
        <v>-94.467956000000001</v>
      </c>
      <c r="Q320" s="2"/>
      <c r="R320" s="86"/>
      <c r="S320" s="2"/>
      <c r="T320" s="1">
        <v>2750</v>
      </c>
      <c r="U320" s="1">
        <v>2750</v>
      </c>
      <c r="V320" s="1" t="str">
        <f>IF(Table11[[#This Row],['#TreesContract]]-Table11[[#This Row],['#Planted]]=0,"",Table11[[#This Row],['#TreesContract]]-Table11[[#This Row],['#Planted]])</f>
        <v/>
      </c>
      <c r="W320" s="2"/>
      <c r="X320" s="34">
        <v>1</v>
      </c>
      <c r="Y320" s="163">
        <f>Table11[[#This Row],['#TreesContract]]*Table11[[#This Row],[USA Allocation %]]</f>
        <v>2750</v>
      </c>
      <c r="Z320" s="163">
        <f>Table11[[#This Row],['#Planted]]*Table11[[#This Row],[USA Allocation %]]</f>
        <v>2750</v>
      </c>
      <c r="AA320" s="34"/>
      <c r="AB320" s="163"/>
      <c r="AC320" s="34"/>
      <c r="AD320" s="163"/>
      <c r="AE320" s="163">
        <f>Table11[[#This Row],[Canada Allocation-tree '#''s]]+Table11[[#This Row],[Can trees/Allocation 2017]]</f>
        <v>0</v>
      </c>
      <c r="AF320" s="5">
        <v>1</v>
      </c>
      <c r="AG320" s="35">
        <v>2750</v>
      </c>
      <c r="AH320" s="35">
        <f>Table11[[#This Row],['#Trees as of 12/31/23]]*Table11[[#This Row],[USA Allocation %]]</f>
        <v>2750</v>
      </c>
      <c r="AI320" s="437">
        <f>Table11[[#This Row],['#TreesContract]]*Table11[[#This Row],[2024 Inventory Survival%-master]]</f>
        <v>2673</v>
      </c>
      <c r="AJ320" s="436">
        <v>0.97199999999999998</v>
      </c>
      <c r="AK320" s="5">
        <v>0.97</v>
      </c>
      <c r="AL320" s="5">
        <v>0.97199999999999998</v>
      </c>
      <c r="AM320" s="35">
        <f>Table11[[#This Row],['#TreesContract]]*Table11[[#This Row],[2024 Inventory Survival%-master]]</f>
        <v>2673</v>
      </c>
      <c r="AN320" s="35">
        <f>Table11[[#This Row],[2024 '#Trees Inventory + Estimate]]*Table11[[#This Row],[USA Allocation %]]</f>
        <v>2673</v>
      </c>
      <c r="AO320" s="35">
        <f>Table11[[#This Row],[2024 '#Trees Inventory + Estimate]]*Table11[[#This Row],[Canada Allocation %]]</f>
        <v>0</v>
      </c>
      <c r="AP320" s="35">
        <f>Table11[[#This Row],[2024 '#Trees Inventory + Estimate]]*Table11[[#This Row],[Canada Allocation2017 %]]</f>
        <v>0</v>
      </c>
      <c r="AQ320" s="35">
        <f>Table11[[#This Row],['#Trees as of 2024/estimate-Can allocation]]+Table11[[#This Row],['#Trees as of 2024/estimate-Can allocation 2017]]</f>
        <v>0</v>
      </c>
      <c r="AR320" s="1"/>
      <c r="AS320" s="2"/>
      <c r="AT320" s="6">
        <f>IFERROR(Table11[[#This Row],['#Total Replacements]]/Table11[[#This Row],['#TreesContract]],"")</f>
        <v>1.0363636363636364</v>
      </c>
      <c r="AU320" s="4">
        <f>IF(SUM(Table11[[#This Row],['#Replace 24]:['#Replace 16]])=0,0,SUM(Table11[[#This Row],['#Replace 24]:['#Replace 16]]))</f>
        <v>2850</v>
      </c>
      <c r="AV320" s="2"/>
      <c r="AW320" s="2">
        <v>800</v>
      </c>
      <c r="AX320" s="3">
        <v>1900</v>
      </c>
      <c r="AY320" s="2">
        <v>150</v>
      </c>
      <c r="AZ320" s="2"/>
      <c r="BA320" s="2"/>
      <c r="BB320" s="2"/>
      <c r="BC320" s="2"/>
      <c r="BD320" s="2"/>
      <c r="BE320" s="2"/>
      <c r="BF320" s="3">
        <v>1</v>
      </c>
      <c r="BG320" s="3">
        <v>1</v>
      </c>
      <c r="BH320" s="2">
        <v>2024</v>
      </c>
      <c r="BI320" s="2">
        <v>4.72</v>
      </c>
      <c r="BJ320" s="2">
        <v>0</v>
      </c>
      <c r="BK320" s="139">
        <f>Table11[[#This Row],[Average MHT
(Feet)]]/16</f>
        <v>0</v>
      </c>
      <c r="BL320" s="2">
        <v>0.04</v>
      </c>
      <c r="BM320" s="139">
        <f>Table11[[#This Row],[Average DBH
(inches)]]/18</f>
        <v>2.2222222222222222E-3</v>
      </c>
      <c r="BN320" s="235">
        <f>((Table11[[#This Row],[Average DBH
(inches)]]-4)^2)*(Table11[[#This Row],[Average MHT
(Feet)]]/16)</f>
        <v>0</v>
      </c>
      <c r="BO320" s="235">
        <f>Table11[[#This Row],[Average BF]]*Table11[[#This Row],[2024 '#Trees Inventory + Estimate]]</f>
        <v>0</v>
      </c>
      <c r="BP320" s="240">
        <f>(Table11[[#This Row],[Harvest Year
(10 year)]]-Table11[[#This Row],[Year of Inventory]]+1)*(Table11[[#This Row],[Average DBH
(inches)]]/(Table11[[#This Row],[Harvest Year
(10 year)]]-Table11[[#This Row],[Year of Inventory]]+1))+Table11[[#This Row],[Average DBH
(inches)]]</f>
        <v>0.08</v>
      </c>
      <c r="BQ320" s="235">
        <f>((Table11[[#This Row],[Projected DBH
(Extrapolated Growth/Year)]]-4)^2)*(Table11[[#This Row],[Average MHT
(Feet)]]/16)</f>
        <v>0</v>
      </c>
      <c r="BR320" s="235">
        <f>Table11[[#This Row],[Projected Average BF]]*Table11[[#This Row],[2024 '#Trees Inventory + Estimate]]</f>
        <v>0</v>
      </c>
      <c r="BS320" s="235">
        <f>196*Table11[[#This Row],[2024 '#Trees Inventory + Estimate]]</f>
        <v>523908</v>
      </c>
      <c r="BT320" s="243">
        <f>Table11[[#This Row],[ETP Offering Expected BF]]-Table11[[#This Row],[Projected Total BF]]</f>
        <v>523908</v>
      </c>
      <c r="BU320" s="235">
        <f>(18-Table11[[#This Row],[Average DBH
(inches)]])/(D320-Table11[[#This Row],[Year of Inventory]]+1)</f>
        <v>2.2450000000000001</v>
      </c>
    </row>
    <row r="321" spans="1:73" hidden="1" x14ac:dyDescent="0.25">
      <c r="A321" s="7" t="s">
        <v>1811</v>
      </c>
      <c r="B321" s="2">
        <v>2021</v>
      </c>
      <c r="C321" s="2">
        <v>2022</v>
      </c>
      <c r="D321" s="2">
        <f>Table11[[#This Row],[Planting Year]]+9</f>
        <v>2031</v>
      </c>
      <c r="E321" t="s">
        <v>1812</v>
      </c>
      <c r="F321" s="161">
        <v>40031</v>
      </c>
      <c r="G321" t="s">
        <v>1812</v>
      </c>
      <c r="H321" s="357" t="s">
        <v>1813</v>
      </c>
      <c r="I321" t="s">
        <v>155</v>
      </c>
      <c r="J321" s="1" t="s">
        <v>1814</v>
      </c>
      <c r="K321" s="1"/>
      <c r="L321" s="1"/>
      <c r="M321" s="1" t="s">
        <v>621</v>
      </c>
      <c r="N321" t="s">
        <v>1815</v>
      </c>
      <c r="O321">
        <v>17.515256000000001</v>
      </c>
      <c r="P321">
        <v>-94.456917000000004</v>
      </c>
      <c r="Q321" s="2"/>
      <c r="R321" s="86"/>
      <c r="S321" s="2"/>
      <c r="T321" s="1">
        <v>2750</v>
      </c>
      <c r="U321" s="1">
        <v>2750</v>
      </c>
      <c r="V321" s="1" t="str">
        <f>IF(Table11[[#This Row],['#TreesContract]]-Table11[[#This Row],['#Planted]]=0,"",Table11[[#This Row],['#TreesContract]]-Table11[[#This Row],['#Planted]])</f>
        <v/>
      </c>
      <c r="W321" s="2"/>
      <c r="X321" s="34">
        <v>1</v>
      </c>
      <c r="Y321" s="163">
        <f>Table11[[#This Row],['#TreesContract]]*Table11[[#This Row],[USA Allocation %]]</f>
        <v>2750</v>
      </c>
      <c r="Z321" s="163">
        <f>Table11[[#This Row],['#Planted]]*Table11[[#This Row],[USA Allocation %]]</f>
        <v>2750</v>
      </c>
      <c r="AA321" s="34"/>
      <c r="AB321" s="163"/>
      <c r="AC321" s="34"/>
      <c r="AD321" s="163"/>
      <c r="AE321" s="163">
        <f>Table11[[#This Row],[Canada Allocation-tree '#''s]]+Table11[[#This Row],[Can trees/Allocation 2017]]</f>
        <v>0</v>
      </c>
      <c r="AF321" s="5">
        <v>1</v>
      </c>
      <c r="AG321" s="35">
        <v>2750</v>
      </c>
      <c r="AH321" s="35">
        <f>Table11[[#This Row],['#Trees as of 12/31/23]]*Table11[[#This Row],[USA Allocation %]]</f>
        <v>2750</v>
      </c>
      <c r="AI321" s="437">
        <f>Table11[[#This Row],['#TreesContract]]*Table11[[#This Row],[2024 Inventory Survival%-master]]</f>
        <v>2425.5</v>
      </c>
      <c r="AJ321" s="436">
        <v>0.88200000000000001</v>
      </c>
      <c r="AK321" s="5">
        <v>0.88</v>
      </c>
      <c r="AL321" s="5">
        <v>0.88200000000000001</v>
      </c>
      <c r="AM321" s="35">
        <f>Table11[[#This Row],['#TreesContract]]*Table11[[#This Row],[2024 Inventory Survival%-master]]</f>
        <v>2425.5</v>
      </c>
      <c r="AN321" s="35">
        <f>Table11[[#This Row],[2024 '#Trees Inventory + Estimate]]*Table11[[#This Row],[USA Allocation %]]</f>
        <v>2425.5</v>
      </c>
      <c r="AO321" s="35">
        <f>Table11[[#This Row],[2024 '#Trees Inventory + Estimate]]*Table11[[#This Row],[Canada Allocation %]]</f>
        <v>0</v>
      </c>
      <c r="AP321" s="35">
        <f>Table11[[#This Row],[2024 '#Trees Inventory + Estimate]]*Table11[[#This Row],[Canada Allocation2017 %]]</f>
        <v>0</v>
      </c>
      <c r="AQ321" s="35">
        <f>Table11[[#This Row],['#Trees as of 2024/estimate-Can allocation]]+Table11[[#This Row],['#Trees as of 2024/estimate-Can allocation 2017]]</f>
        <v>0</v>
      </c>
      <c r="AR321" s="1"/>
      <c r="AS321" s="2"/>
      <c r="AT321" s="6">
        <f>IFERROR(Table11[[#This Row],['#Total Replacements]]/Table11[[#This Row],['#TreesContract]],"")</f>
        <v>1.1090909090909091</v>
      </c>
      <c r="AU321" s="4">
        <f>IF(SUM(Table11[[#This Row],['#Replace 24]:['#Replace 16]])=0,0,SUM(Table11[[#This Row],['#Replace 24]:['#Replace 16]]))</f>
        <v>3050</v>
      </c>
      <c r="AV321" s="2"/>
      <c r="AW321" s="2"/>
      <c r="AX321" s="3">
        <v>2300</v>
      </c>
      <c r="AY321" s="2">
        <v>750</v>
      </c>
      <c r="AZ321" s="2"/>
      <c r="BA321" s="2"/>
      <c r="BB321" s="2"/>
      <c r="BC321" s="2"/>
      <c r="BD321" s="2"/>
      <c r="BE321" s="2"/>
      <c r="BF321" s="3">
        <v>1</v>
      </c>
      <c r="BG321" s="3">
        <v>1</v>
      </c>
      <c r="BH321" s="2">
        <v>2024</v>
      </c>
      <c r="BI321" s="158">
        <v>9.2799999999999994</v>
      </c>
      <c r="BJ321" s="158">
        <v>2.33</v>
      </c>
      <c r="BK321" s="139">
        <f>Table11[[#This Row],[Average MHT
(Feet)]]/16</f>
        <v>0.145625</v>
      </c>
      <c r="BL321" s="2">
        <v>1.1000000000000001</v>
      </c>
      <c r="BM321" s="139">
        <f>Table11[[#This Row],[Average DBH
(inches)]]/18</f>
        <v>6.1111111111111116E-2</v>
      </c>
      <c r="BN321" s="235">
        <f>((Table11[[#This Row],[Average DBH
(inches)]]-4)^2)*(Table11[[#This Row],[Average MHT
(Feet)]]/16)</f>
        <v>1.2247062500000001</v>
      </c>
      <c r="BO321" s="235">
        <f>Table11[[#This Row],[Average BF]]*Table11[[#This Row],[2024 '#Trees Inventory + Estimate]]</f>
        <v>2970.5250093750001</v>
      </c>
      <c r="BP321" s="240">
        <f>(Table11[[#This Row],[Harvest Year
(10 year)]]-Table11[[#This Row],[Year of Inventory]]+1)*(Table11[[#This Row],[Average DBH
(inches)]]/(Table11[[#This Row],[Harvest Year
(10 year)]]-Table11[[#This Row],[Year of Inventory]]+1))+Table11[[#This Row],[Average DBH
(inches)]]</f>
        <v>2.2000000000000002</v>
      </c>
      <c r="BQ321" s="235">
        <f>((Table11[[#This Row],[Projected DBH
(Extrapolated Growth/Year)]]-4)^2)*(Table11[[#This Row],[Average MHT
(Feet)]]/16)</f>
        <v>0.47182499999999994</v>
      </c>
      <c r="BR321" s="235">
        <f>Table11[[#This Row],[Projected Average BF]]*Table11[[#This Row],[2024 '#Trees Inventory + Estimate]]</f>
        <v>1144.4115374999999</v>
      </c>
      <c r="BS321" s="235">
        <f>196*Table11[[#This Row],[2024 '#Trees Inventory + Estimate]]</f>
        <v>475398</v>
      </c>
      <c r="BT321" s="243">
        <f>Table11[[#This Row],[ETP Offering Expected BF]]-Table11[[#This Row],[Projected Total BF]]</f>
        <v>474253.58846250002</v>
      </c>
      <c r="BU321" s="235">
        <f>(18-Table11[[#This Row],[Average DBH
(inches)]])/(D321-Table11[[#This Row],[Year of Inventory]]+1)</f>
        <v>2.1124999999999998</v>
      </c>
    </row>
    <row r="322" spans="1:73" hidden="1" x14ac:dyDescent="0.25">
      <c r="A322" s="7" t="s">
        <v>1816</v>
      </c>
      <c r="B322" s="2">
        <v>2021</v>
      </c>
      <c r="C322" s="2">
        <v>2022</v>
      </c>
      <c r="D322" s="2">
        <f>Table11[[#This Row],[Planting Year]]+9</f>
        <v>2031</v>
      </c>
      <c r="E322" t="s">
        <v>1817</v>
      </c>
      <c r="F322" s="161">
        <v>40032</v>
      </c>
      <c r="G322" t="s">
        <v>1817</v>
      </c>
      <c r="H322" s="357"/>
      <c r="I322" t="s">
        <v>155</v>
      </c>
      <c r="J322" s="350" t="s">
        <v>1818</v>
      </c>
      <c r="K322" s="1"/>
      <c r="L322" s="1"/>
      <c r="M322" s="1" t="s">
        <v>621</v>
      </c>
      <c r="N322" t="s">
        <v>1819</v>
      </c>
      <c r="O322">
        <v>17.567</v>
      </c>
      <c r="P322">
        <v>-94.448318999999998</v>
      </c>
      <c r="Q322" s="2"/>
      <c r="R322" s="86"/>
      <c r="S322" s="2"/>
      <c r="T322" s="1">
        <v>4716</v>
      </c>
      <c r="U322" s="1">
        <v>4716</v>
      </c>
      <c r="V322" s="1" t="str">
        <f>IF(Table11[[#This Row],['#TreesContract]]-Table11[[#This Row],['#Planted]]=0,"",Table11[[#This Row],['#TreesContract]]-Table11[[#This Row],['#Planted]])</f>
        <v/>
      </c>
      <c r="W322" s="2"/>
      <c r="X322" s="34">
        <v>1</v>
      </c>
      <c r="Y322" s="163">
        <f>Table11[[#This Row],['#TreesContract]]*Table11[[#This Row],[USA Allocation %]]</f>
        <v>4716</v>
      </c>
      <c r="Z322" s="163">
        <f>Table11[[#This Row],['#Planted]]*Table11[[#This Row],[USA Allocation %]]</f>
        <v>4716</v>
      </c>
      <c r="AA322" s="34"/>
      <c r="AB322" s="163"/>
      <c r="AC322" s="34"/>
      <c r="AD322" s="163"/>
      <c r="AE322" s="163">
        <f>Table11[[#This Row],[Canada Allocation-tree '#''s]]+Table11[[#This Row],[Can trees/Allocation 2017]]</f>
        <v>0</v>
      </c>
      <c r="AF322" s="5">
        <v>1</v>
      </c>
      <c r="AG322" s="35">
        <v>4716</v>
      </c>
      <c r="AH322" s="35">
        <f>Table11[[#This Row],['#Trees as of 12/31/23]]*Table11[[#This Row],[USA Allocation %]]</f>
        <v>4716</v>
      </c>
      <c r="AI322" s="437">
        <f>Table11[[#This Row],['#TreesContract]]*Table11[[#This Row],[2024 Inventory Survival%-master]]</f>
        <v>4428.3239999999996</v>
      </c>
      <c r="AJ322" s="436">
        <v>0.93899999999999995</v>
      </c>
      <c r="AK322" s="5">
        <v>0.94</v>
      </c>
      <c r="AL322" s="5">
        <v>0.93899999999999995</v>
      </c>
      <c r="AM322" s="35">
        <f>Table11[[#This Row],['#TreesContract]]*Table11[[#This Row],[2024 Inventory Survival%-master]]</f>
        <v>4428.3239999999996</v>
      </c>
      <c r="AN322" s="35">
        <f>Table11[[#This Row],[2024 '#Trees Inventory + Estimate]]*Table11[[#This Row],[USA Allocation %]]</f>
        <v>4428.3239999999996</v>
      </c>
      <c r="AO322" s="35">
        <f>Table11[[#This Row],[2024 '#Trees Inventory + Estimate]]*Table11[[#This Row],[Canada Allocation %]]</f>
        <v>0</v>
      </c>
      <c r="AP322" s="35">
        <f>Table11[[#This Row],[2024 '#Trees Inventory + Estimate]]*Table11[[#This Row],[Canada Allocation2017 %]]</f>
        <v>0</v>
      </c>
      <c r="AQ322" s="35">
        <f>Table11[[#This Row],['#Trees as of 2024/estimate-Can allocation]]+Table11[[#This Row],['#Trees as of 2024/estimate-Can allocation 2017]]</f>
        <v>0</v>
      </c>
      <c r="AR322" s="1"/>
      <c r="AS322" s="2"/>
      <c r="AT322" s="6">
        <f>IFERROR(Table11[[#This Row],['#Total Replacements]]/Table11[[#This Row],['#TreesContract]],"")</f>
        <v>0.79325699745547074</v>
      </c>
      <c r="AU322" s="4">
        <f>IF(SUM(Table11[[#This Row],['#Replace 24]:['#Replace 16]])=0,0,SUM(Table11[[#This Row],['#Replace 24]:['#Replace 16]]))</f>
        <v>3741</v>
      </c>
      <c r="AV322" s="2"/>
      <c r="AW322" s="2"/>
      <c r="AX322" s="3">
        <v>3600</v>
      </c>
      <c r="AY322" s="2">
        <v>141</v>
      </c>
      <c r="AZ322" s="2"/>
      <c r="BA322" s="2"/>
      <c r="BB322" s="2"/>
      <c r="BC322" s="2"/>
      <c r="BD322" s="2"/>
      <c r="BE322" s="2"/>
      <c r="BF322" s="3">
        <v>1</v>
      </c>
      <c r="BG322" s="3">
        <v>1</v>
      </c>
      <c r="BH322" s="2">
        <v>2024</v>
      </c>
      <c r="BI322" s="2">
        <v>9.31</v>
      </c>
      <c r="BJ322" s="2">
        <v>0</v>
      </c>
      <c r="BK322" s="139">
        <f>Table11[[#This Row],[Average MHT
(Feet)]]/16</f>
        <v>0</v>
      </c>
      <c r="BL322" s="2">
        <v>0</v>
      </c>
      <c r="BM322" s="139">
        <f>Table11[[#This Row],[Average DBH
(inches)]]/18</f>
        <v>0</v>
      </c>
      <c r="BN322" s="235">
        <f>((Table11[[#This Row],[Average DBH
(inches)]]-4)^2)*(Table11[[#This Row],[Average MHT
(Feet)]]/16)</f>
        <v>0</v>
      </c>
      <c r="BO322" s="235">
        <f>Table11[[#This Row],[Average BF]]*Table11[[#This Row],[2024 '#Trees Inventory + Estimate]]</f>
        <v>0</v>
      </c>
      <c r="BP322" s="240">
        <f>(Table11[[#This Row],[Harvest Year
(10 year)]]-Table11[[#This Row],[Year of Inventory]]+1)*(Table11[[#This Row],[Average DBH
(inches)]]/(Table11[[#This Row],[Harvest Year
(10 year)]]-Table11[[#This Row],[Year of Inventory]]+1))+Table11[[#This Row],[Average DBH
(inches)]]</f>
        <v>0</v>
      </c>
      <c r="BQ322" s="235">
        <f>((Table11[[#This Row],[Projected DBH
(Extrapolated Growth/Year)]]-4)^2)*(Table11[[#This Row],[Average MHT
(Feet)]]/16)</f>
        <v>0</v>
      </c>
      <c r="BR322" s="235">
        <f>Table11[[#This Row],[Projected Average BF]]*Table11[[#This Row],[2024 '#Trees Inventory + Estimate]]</f>
        <v>0</v>
      </c>
      <c r="BS322" s="235">
        <f>196*Table11[[#This Row],[2024 '#Trees Inventory + Estimate]]</f>
        <v>867951.50399999996</v>
      </c>
      <c r="BT322" s="243">
        <f>Table11[[#This Row],[ETP Offering Expected BF]]-Table11[[#This Row],[Projected Total BF]]</f>
        <v>867951.50399999996</v>
      </c>
      <c r="BU322" s="235">
        <f>(18-Table11[[#This Row],[Average DBH
(inches)]])/(D322-Table11[[#This Row],[Year of Inventory]]+1)</f>
        <v>2.25</v>
      </c>
    </row>
    <row r="323" spans="1:73" hidden="1" x14ac:dyDescent="0.25">
      <c r="A323" s="7" t="s">
        <v>1820</v>
      </c>
      <c r="B323" s="2">
        <v>2021</v>
      </c>
      <c r="C323" s="2">
        <v>2022</v>
      </c>
      <c r="D323" s="2">
        <f>Table11[[#This Row],[Planting Year]]+9</f>
        <v>2031</v>
      </c>
      <c r="E323" t="s">
        <v>1821</v>
      </c>
      <c r="F323" s="161">
        <v>40033</v>
      </c>
      <c r="G323" t="s">
        <v>1821</v>
      </c>
      <c r="H323" s="357"/>
      <c r="I323" t="s">
        <v>155</v>
      </c>
      <c r="J323" s="154" t="s">
        <v>1783</v>
      </c>
      <c r="K323" s="1"/>
      <c r="L323" s="1"/>
      <c r="M323" s="1" t="s">
        <v>621</v>
      </c>
      <c r="N323" t="s">
        <v>1822</v>
      </c>
      <c r="O323">
        <v>17.242739</v>
      </c>
      <c r="P323">
        <v>-94.827502999999993</v>
      </c>
      <c r="Q323" s="2"/>
      <c r="R323" s="86"/>
      <c r="S323" s="2"/>
      <c r="T323" s="1">
        <v>4400</v>
      </c>
      <c r="U323" s="1">
        <v>4400</v>
      </c>
      <c r="V323" s="1" t="str">
        <f>IF(Table11[[#This Row],['#TreesContract]]-Table11[[#This Row],['#Planted]]=0,"",Table11[[#This Row],['#TreesContract]]-Table11[[#This Row],['#Planted]])</f>
        <v/>
      </c>
      <c r="W323" s="2"/>
      <c r="X323" s="34">
        <v>1</v>
      </c>
      <c r="Y323" s="163">
        <f>Table11[[#This Row],['#TreesContract]]*Table11[[#This Row],[USA Allocation %]]</f>
        <v>4400</v>
      </c>
      <c r="Z323" s="163">
        <f>Table11[[#This Row],['#Planted]]*Table11[[#This Row],[USA Allocation %]]</f>
        <v>4400</v>
      </c>
      <c r="AA323" s="34"/>
      <c r="AB323" s="163"/>
      <c r="AC323" s="34"/>
      <c r="AD323" s="163"/>
      <c r="AE323" s="163">
        <f>Table11[[#This Row],[Canada Allocation-tree '#''s]]+Table11[[#This Row],[Can trees/Allocation 2017]]</f>
        <v>0</v>
      </c>
      <c r="AF323" s="5">
        <v>1</v>
      </c>
      <c r="AG323" s="35">
        <v>4400</v>
      </c>
      <c r="AH323" s="35">
        <f>Table11[[#This Row],['#Trees as of 12/31/23]]*Table11[[#This Row],[USA Allocation %]]</f>
        <v>4400</v>
      </c>
      <c r="AI323" s="437">
        <f>Table11[[#This Row],['#TreesContract]]*Table11[[#This Row],[2024 Inventory Survival%-master]]</f>
        <v>0</v>
      </c>
      <c r="AJ323" s="436">
        <v>0</v>
      </c>
      <c r="AK323" s="5">
        <v>0</v>
      </c>
      <c r="AL323" s="5">
        <v>0</v>
      </c>
      <c r="AM323" s="35">
        <f>Table11[[#This Row],['#TreesContract]]*Table11[[#This Row],[2024 Inventory Survival%-master]]</f>
        <v>0</v>
      </c>
      <c r="AN323" s="35">
        <f>Table11[[#This Row],[2024 '#Trees Inventory + Estimate]]*Table11[[#This Row],[USA Allocation %]]</f>
        <v>0</v>
      </c>
      <c r="AO323" s="35">
        <f>Table11[[#This Row],[2024 '#Trees Inventory + Estimate]]*Table11[[#This Row],[Canada Allocation %]]</f>
        <v>0</v>
      </c>
      <c r="AP323" s="35">
        <f>Table11[[#This Row],[2024 '#Trees Inventory + Estimate]]*Table11[[#This Row],[Canada Allocation2017 %]]</f>
        <v>0</v>
      </c>
      <c r="AQ323" s="35">
        <f>Table11[[#This Row],['#Trees as of 2024/estimate-Can allocation]]+Table11[[#This Row],['#Trees as of 2024/estimate-Can allocation 2017]]</f>
        <v>0</v>
      </c>
      <c r="AR323" s="1"/>
      <c r="AS323" s="2"/>
      <c r="AT323" s="6">
        <f>IFERROR(Table11[[#This Row],['#Total Replacements]]/Table11[[#This Row],['#TreesContract]],"")</f>
        <v>3.4090909090909088E-2</v>
      </c>
      <c r="AU323" s="4">
        <f>IF(SUM(Table11[[#This Row],['#Replace 24]:['#Replace 16]])=0,0,SUM(Table11[[#This Row],['#Replace 24]:['#Replace 16]]))</f>
        <v>150</v>
      </c>
      <c r="AV323" s="2"/>
      <c r="AW323" s="2"/>
      <c r="AX323" s="3">
        <v>150</v>
      </c>
      <c r="AY323" s="2"/>
      <c r="AZ323" s="2"/>
      <c r="BA323" s="2"/>
      <c r="BB323" s="2"/>
      <c r="BC323" s="2"/>
      <c r="BD323" s="2"/>
      <c r="BE323" s="2"/>
      <c r="BF323" s="3">
        <v>1</v>
      </c>
      <c r="BG323" s="3">
        <v>1</v>
      </c>
      <c r="BH323" s="2">
        <v>2024</v>
      </c>
      <c r="BI323" s="158">
        <v>0</v>
      </c>
      <c r="BJ323" s="158">
        <v>0</v>
      </c>
      <c r="BK323" s="139">
        <f>Table11[[#This Row],[Average MHT
(Feet)]]/16</f>
        <v>0</v>
      </c>
      <c r="BL323" s="2">
        <v>0</v>
      </c>
      <c r="BM323" s="139">
        <f>Table11[[#This Row],[Average DBH
(inches)]]/18</f>
        <v>0</v>
      </c>
      <c r="BN323" s="235">
        <f>((Table11[[#This Row],[Average DBH
(inches)]]-4)^2)*(Table11[[#This Row],[Average MHT
(Feet)]]/16)</f>
        <v>0</v>
      </c>
      <c r="BO323" s="235">
        <f>Table11[[#This Row],[Average BF]]*Table11[[#This Row],[2024 '#Trees Inventory + Estimate]]</f>
        <v>0</v>
      </c>
      <c r="BP323" s="240">
        <f>(Table11[[#This Row],[Harvest Year
(10 year)]]-Table11[[#This Row],[Year of Inventory]]+1)*(Table11[[#This Row],[Average DBH
(inches)]]/(Table11[[#This Row],[Harvest Year
(10 year)]]-Table11[[#This Row],[Year of Inventory]]+1))+Table11[[#This Row],[Average DBH
(inches)]]</f>
        <v>0</v>
      </c>
      <c r="BQ323" s="235">
        <f>((Table11[[#This Row],[Projected DBH
(Extrapolated Growth/Year)]]-4)^2)*(Table11[[#This Row],[Average MHT
(Feet)]]/16)</f>
        <v>0</v>
      </c>
      <c r="BR323" s="235">
        <f>Table11[[#This Row],[Projected Average BF]]*Table11[[#This Row],[2024 '#Trees Inventory + Estimate]]</f>
        <v>0</v>
      </c>
      <c r="BS323" s="235">
        <f>196*Table11[[#This Row],[2024 '#Trees Inventory + Estimate]]</f>
        <v>0</v>
      </c>
      <c r="BT323" s="243">
        <f>Table11[[#This Row],[ETP Offering Expected BF]]-Table11[[#This Row],[Projected Total BF]]</f>
        <v>0</v>
      </c>
      <c r="BU323" s="235">
        <f>(18-Table11[[#This Row],[Average DBH
(inches)]])/(D323-Table11[[#This Row],[Year of Inventory]]+1)</f>
        <v>2.25</v>
      </c>
    </row>
    <row r="324" spans="1:73" hidden="1" x14ac:dyDescent="0.25">
      <c r="A324" s="7" t="s">
        <v>1823</v>
      </c>
      <c r="B324" s="2">
        <v>2021</v>
      </c>
      <c r="C324" s="2">
        <v>2022</v>
      </c>
      <c r="D324" s="2">
        <f>Table11[[#This Row],[Planting Year]]+9</f>
        <v>2031</v>
      </c>
      <c r="E324" t="s">
        <v>1824</v>
      </c>
      <c r="F324" s="161">
        <v>40034</v>
      </c>
      <c r="G324" t="s">
        <v>1824</v>
      </c>
      <c r="H324" s="357" t="s">
        <v>1825</v>
      </c>
      <c r="I324" t="s">
        <v>155</v>
      </c>
      <c r="J324" s="352" t="s">
        <v>1826</v>
      </c>
      <c r="K324" s="1"/>
      <c r="L324" s="1"/>
      <c r="M324" s="1" t="s">
        <v>621</v>
      </c>
      <c r="N324" t="s">
        <v>1827</v>
      </c>
      <c r="O324">
        <v>17.519216199999999</v>
      </c>
      <c r="P324">
        <v>-94.458238199999997</v>
      </c>
      <c r="Q324" s="2"/>
      <c r="R324" s="86"/>
      <c r="S324" s="2"/>
      <c r="T324" s="1">
        <v>2200</v>
      </c>
      <c r="U324" s="1">
        <v>2200</v>
      </c>
      <c r="V324" s="1" t="str">
        <f>IF(Table11[[#This Row],['#TreesContract]]-Table11[[#This Row],['#Planted]]=0,"",Table11[[#This Row],['#TreesContract]]-Table11[[#This Row],['#Planted]])</f>
        <v/>
      </c>
      <c r="W324" s="2"/>
      <c r="X324" s="34">
        <v>1</v>
      </c>
      <c r="Y324" s="163">
        <f>Table11[[#This Row],['#TreesContract]]*Table11[[#This Row],[USA Allocation %]]</f>
        <v>2200</v>
      </c>
      <c r="Z324" s="163">
        <f>Table11[[#This Row],['#Planted]]*Table11[[#This Row],[USA Allocation %]]</f>
        <v>2200</v>
      </c>
      <c r="AA324" s="34"/>
      <c r="AB324" s="163"/>
      <c r="AC324" s="34"/>
      <c r="AD324" s="163"/>
      <c r="AE324" s="163">
        <f>Table11[[#This Row],[Canada Allocation-tree '#''s]]+Table11[[#This Row],[Can trees/Allocation 2017]]</f>
        <v>0</v>
      </c>
      <c r="AF324" s="5">
        <v>1</v>
      </c>
      <c r="AG324" s="35">
        <v>2200</v>
      </c>
      <c r="AH324" s="35">
        <f>Table11[[#This Row],['#Trees as of 12/31/23]]*Table11[[#This Row],[USA Allocation %]]</f>
        <v>2200</v>
      </c>
      <c r="AI324" s="437">
        <f>Table11[[#This Row],['#TreesContract]]*Table11[[#This Row],[2024 Inventory Survival%-master]]</f>
        <v>2046</v>
      </c>
      <c r="AJ324" s="436">
        <v>0.93</v>
      </c>
      <c r="AK324" s="5">
        <v>0.93</v>
      </c>
      <c r="AL324" s="5">
        <v>0.93</v>
      </c>
      <c r="AM324" s="35">
        <f>Table11[[#This Row],['#TreesContract]]*Table11[[#This Row],[2024 Inventory Survival%-master]]</f>
        <v>2046</v>
      </c>
      <c r="AN324" s="35">
        <f>Table11[[#This Row],[2024 '#Trees Inventory + Estimate]]*Table11[[#This Row],[USA Allocation %]]</f>
        <v>2046</v>
      </c>
      <c r="AO324" s="35">
        <f>Table11[[#This Row],[2024 '#Trees Inventory + Estimate]]*Table11[[#This Row],[Canada Allocation %]]</f>
        <v>0</v>
      </c>
      <c r="AP324" s="35">
        <f>Table11[[#This Row],[2024 '#Trees Inventory + Estimate]]*Table11[[#This Row],[Canada Allocation2017 %]]</f>
        <v>0</v>
      </c>
      <c r="AQ324" s="35">
        <f>Table11[[#This Row],['#Trees as of 2024/estimate-Can allocation]]+Table11[[#This Row],['#Trees as of 2024/estimate-Can allocation 2017]]</f>
        <v>0</v>
      </c>
      <c r="AR324" s="1"/>
      <c r="AS324" s="2"/>
      <c r="AT324" s="6">
        <f>IFERROR(Table11[[#This Row],['#Total Replacements]]/Table11[[#This Row],['#TreesContract]],"")</f>
        <v>1.6777272727272727</v>
      </c>
      <c r="AU324" s="4">
        <f>IF(SUM(Table11[[#This Row],['#Replace 24]:['#Replace 16]])=0,0,SUM(Table11[[#This Row],['#Replace 24]:['#Replace 16]]))</f>
        <v>3691</v>
      </c>
      <c r="AV324" s="2"/>
      <c r="AW324" s="2">
        <v>1500</v>
      </c>
      <c r="AX324" s="3">
        <v>1500</v>
      </c>
      <c r="AY324" s="2">
        <v>691</v>
      </c>
      <c r="AZ324" s="2"/>
      <c r="BA324" s="2"/>
      <c r="BB324" s="2"/>
      <c r="BC324" s="2"/>
      <c r="BD324" s="2"/>
      <c r="BE324" s="2"/>
      <c r="BF324" s="3">
        <v>1</v>
      </c>
      <c r="BG324" s="3">
        <v>1</v>
      </c>
      <c r="BH324" s="2">
        <v>2024</v>
      </c>
      <c r="BI324" s="2">
        <v>6.15</v>
      </c>
      <c r="BJ324" s="2">
        <v>0.47</v>
      </c>
      <c r="BK324" s="139">
        <f>Table11[[#This Row],[Average MHT
(Feet)]]/16</f>
        <v>2.9374999999999998E-2</v>
      </c>
      <c r="BL324" s="2">
        <v>0.19</v>
      </c>
      <c r="BM324" s="139">
        <f>Table11[[#This Row],[Average DBH
(inches)]]/18</f>
        <v>1.0555555555555556E-2</v>
      </c>
      <c r="BN324" s="235">
        <f>((Table11[[#This Row],[Average DBH
(inches)]]-4)^2)*(Table11[[#This Row],[Average MHT
(Feet)]]/16)</f>
        <v>0.42641043749999996</v>
      </c>
      <c r="BO324" s="235">
        <f>Table11[[#This Row],[Average BF]]*Table11[[#This Row],[2024 '#Trees Inventory + Estimate]]</f>
        <v>872.4357551249999</v>
      </c>
      <c r="BP324" s="240">
        <f>(Table11[[#This Row],[Harvest Year
(10 year)]]-Table11[[#This Row],[Year of Inventory]]+1)*(Table11[[#This Row],[Average DBH
(inches)]]/(Table11[[#This Row],[Harvest Year
(10 year)]]-Table11[[#This Row],[Year of Inventory]]+1))+Table11[[#This Row],[Average DBH
(inches)]]</f>
        <v>0.38</v>
      </c>
      <c r="BQ324" s="235">
        <f>((Table11[[#This Row],[Projected DBH
(Extrapolated Growth/Year)]]-4)^2)*(Table11[[#This Row],[Average MHT
(Feet)]]/16)</f>
        <v>0.38494174999999997</v>
      </c>
      <c r="BR324" s="235">
        <f>Table11[[#This Row],[Projected Average BF]]*Table11[[#This Row],[2024 '#Trees Inventory + Estimate]]</f>
        <v>787.59082049999995</v>
      </c>
      <c r="BS324" s="235">
        <f>196*Table11[[#This Row],[2024 '#Trees Inventory + Estimate]]</f>
        <v>401016</v>
      </c>
      <c r="BT324" s="243">
        <f>Table11[[#This Row],[ETP Offering Expected BF]]-Table11[[#This Row],[Projected Total BF]]</f>
        <v>400228.40917950001</v>
      </c>
      <c r="BU324" s="235">
        <f>(18-Table11[[#This Row],[Average DBH
(inches)]])/(D324-Table11[[#This Row],[Year of Inventory]]+1)</f>
        <v>2.2262499999999998</v>
      </c>
    </row>
    <row r="325" spans="1:73" hidden="1" x14ac:dyDescent="0.25">
      <c r="A325" s="7" t="s">
        <v>1828</v>
      </c>
      <c r="B325" s="2">
        <v>2021</v>
      </c>
      <c r="C325" s="2">
        <v>2022</v>
      </c>
      <c r="D325" s="2">
        <f>Table11[[#This Row],[Planting Year]]+9</f>
        <v>2031</v>
      </c>
      <c r="E325" t="s">
        <v>1829</v>
      </c>
      <c r="F325" s="161">
        <v>40035</v>
      </c>
      <c r="G325" t="s">
        <v>1829</v>
      </c>
      <c r="H325" s="357"/>
      <c r="I325" t="s">
        <v>155</v>
      </c>
      <c r="J325" s="351" t="s">
        <v>1830</v>
      </c>
      <c r="K325" s="1"/>
      <c r="L325" s="1"/>
      <c r="M325" s="1" t="s">
        <v>621</v>
      </c>
      <c r="N325" t="s">
        <v>1831</v>
      </c>
      <c r="O325">
        <v>17.796071999999999</v>
      </c>
      <c r="P325">
        <v>-93.463639000000001</v>
      </c>
      <c r="Q325" s="2"/>
      <c r="R325" s="86"/>
      <c r="S325" s="2"/>
      <c r="T325" s="1">
        <v>2750</v>
      </c>
      <c r="U325" s="1">
        <v>2750</v>
      </c>
      <c r="V325" s="1" t="str">
        <f>IF(Table11[[#This Row],['#TreesContract]]-Table11[[#This Row],['#Planted]]=0,"",Table11[[#This Row],['#TreesContract]]-Table11[[#This Row],['#Planted]])</f>
        <v/>
      </c>
      <c r="W325" s="2"/>
      <c r="X325" s="34">
        <v>1</v>
      </c>
      <c r="Y325" s="163">
        <f>Table11[[#This Row],['#TreesContract]]*Table11[[#This Row],[USA Allocation %]]</f>
        <v>2750</v>
      </c>
      <c r="Z325" s="163">
        <f>Table11[[#This Row],['#Planted]]*Table11[[#This Row],[USA Allocation %]]</f>
        <v>2750</v>
      </c>
      <c r="AA325" s="34"/>
      <c r="AB325" s="163"/>
      <c r="AC325" s="34"/>
      <c r="AD325" s="163"/>
      <c r="AE325" s="163">
        <f>Table11[[#This Row],[Canada Allocation-tree '#''s]]+Table11[[#This Row],[Can trees/Allocation 2017]]</f>
        <v>0</v>
      </c>
      <c r="AF325" s="5">
        <v>1</v>
      </c>
      <c r="AG325" s="35">
        <v>2750</v>
      </c>
      <c r="AH325" s="35">
        <f>Table11[[#This Row],['#Trees as of 12/31/23]]*Table11[[#This Row],[USA Allocation %]]</f>
        <v>2750</v>
      </c>
      <c r="AI325" s="437">
        <f>Table11[[#This Row],['#TreesContract]]*Table11[[#This Row],[2024 Inventory Survival%-master]]</f>
        <v>1815</v>
      </c>
      <c r="AJ325" s="436">
        <v>0.66</v>
      </c>
      <c r="AK325" s="5">
        <v>0.66</v>
      </c>
      <c r="AL325" s="5">
        <v>0.66</v>
      </c>
      <c r="AM325" s="35">
        <f>Table11[[#This Row],['#TreesContract]]*Table11[[#This Row],[2024 Inventory Survival%-master]]</f>
        <v>1815</v>
      </c>
      <c r="AN325" s="35">
        <f>Table11[[#This Row],[2024 '#Trees Inventory + Estimate]]*Table11[[#This Row],[USA Allocation %]]</f>
        <v>1815</v>
      </c>
      <c r="AO325" s="35">
        <f>Table11[[#This Row],[2024 '#Trees Inventory + Estimate]]*Table11[[#This Row],[Canada Allocation %]]</f>
        <v>0</v>
      </c>
      <c r="AP325" s="35">
        <f>Table11[[#This Row],[2024 '#Trees Inventory + Estimate]]*Table11[[#This Row],[Canada Allocation2017 %]]</f>
        <v>0</v>
      </c>
      <c r="AQ325" s="35">
        <f>Table11[[#This Row],['#Trees as of 2024/estimate-Can allocation]]+Table11[[#This Row],['#Trees as of 2024/estimate-Can allocation 2017]]</f>
        <v>0</v>
      </c>
      <c r="AR325" s="1"/>
      <c r="AS325" s="2"/>
      <c r="AT325" s="6">
        <f>IFERROR(Table11[[#This Row],['#Total Replacements]]/Table11[[#This Row],['#TreesContract]],"")</f>
        <v>0.13454545454545455</v>
      </c>
      <c r="AU325" s="4">
        <f>IF(SUM(Table11[[#This Row],['#Replace 24]:['#Replace 16]])=0,0,SUM(Table11[[#This Row],['#Replace 24]:['#Replace 16]]))</f>
        <v>370</v>
      </c>
      <c r="AV325" s="2"/>
      <c r="AW325" s="2"/>
      <c r="AX325" s="3"/>
      <c r="AY325" s="2">
        <v>370</v>
      </c>
      <c r="AZ325" s="2"/>
      <c r="BA325" s="2"/>
      <c r="BB325" s="2"/>
      <c r="BC325" s="2"/>
      <c r="BD325" s="2"/>
      <c r="BE325" s="2"/>
      <c r="BF325" s="3">
        <v>1</v>
      </c>
      <c r="BG325" s="3">
        <v>1</v>
      </c>
      <c r="BH325" s="2">
        <v>2024</v>
      </c>
      <c r="BI325" s="158">
        <v>0.9</v>
      </c>
      <c r="BJ325" s="158">
        <v>0</v>
      </c>
      <c r="BK325" s="139">
        <f>Table11[[#This Row],[Average MHT
(Feet)]]/16</f>
        <v>0</v>
      </c>
      <c r="BL325" s="2">
        <v>0</v>
      </c>
      <c r="BM325" s="139">
        <f>Table11[[#This Row],[Average DBH
(inches)]]/18</f>
        <v>0</v>
      </c>
      <c r="BN325" s="235">
        <f>((Table11[[#This Row],[Average DBH
(inches)]]-4)^2)*(Table11[[#This Row],[Average MHT
(Feet)]]/16)</f>
        <v>0</v>
      </c>
      <c r="BO325" s="235">
        <f>Table11[[#This Row],[Average BF]]*Table11[[#This Row],[2024 '#Trees Inventory + Estimate]]</f>
        <v>0</v>
      </c>
      <c r="BP325" s="240">
        <f>(Table11[[#This Row],[Harvest Year
(10 year)]]-Table11[[#This Row],[Year of Inventory]]+1)*(Table11[[#This Row],[Average DBH
(inches)]]/(Table11[[#This Row],[Harvest Year
(10 year)]]-Table11[[#This Row],[Year of Inventory]]+1))+Table11[[#This Row],[Average DBH
(inches)]]</f>
        <v>0</v>
      </c>
      <c r="BQ325" s="235">
        <f>((Table11[[#This Row],[Projected DBH
(Extrapolated Growth/Year)]]-4)^2)*(Table11[[#This Row],[Average MHT
(Feet)]]/16)</f>
        <v>0</v>
      </c>
      <c r="BR325" s="235">
        <f>Table11[[#This Row],[Projected Average BF]]*Table11[[#This Row],[2024 '#Trees Inventory + Estimate]]</f>
        <v>0</v>
      </c>
      <c r="BS325" s="235">
        <f>196*Table11[[#This Row],[2024 '#Trees Inventory + Estimate]]</f>
        <v>355740</v>
      </c>
      <c r="BT325" s="243">
        <f>Table11[[#This Row],[ETP Offering Expected BF]]-Table11[[#This Row],[Projected Total BF]]</f>
        <v>355740</v>
      </c>
      <c r="BU325" s="235">
        <f>(18-Table11[[#This Row],[Average DBH
(inches)]])/(D325-Table11[[#This Row],[Year of Inventory]]+1)</f>
        <v>2.25</v>
      </c>
    </row>
    <row r="326" spans="1:73" hidden="1" x14ac:dyDescent="0.25">
      <c r="A326" s="7" t="s">
        <v>1832</v>
      </c>
      <c r="B326" s="2">
        <v>2021</v>
      </c>
      <c r="C326" s="2">
        <v>2022</v>
      </c>
      <c r="D326" s="2">
        <f>Table11[[#This Row],[Planting Year]]+9</f>
        <v>2031</v>
      </c>
      <c r="E326" t="s">
        <v>1833</v>
      </c>
      <c r="F326" s="161">
        <v>40036</v>
      </c>
      <c r="G326" t="s">
        <v>1833</v>
      </c>
      <c r="H326" s="357" t="s">
        <v>1834</v>
      </c>
      <c r="I326" t="s">
        <v>155</v>
      </c>
      <c r="J326" s="352" t="s">
        <v>1835</v>
      </c>
      <c r="K326" s="1"/>
      <c r="L326" s="1"/>
      <c r="M326" s="1" t="s">
        <v>621</v>
      </c>
      <c r="N326" t="s">
        <v>1836</v>
      </c>
      <c r="O326">
        <v>17.489816999999999</v>
      </c>
      <c r="P326">
        <v>-92.894724999999994</v>
      </c>
      <c r="Q326" s="2"/>
      <c r="R326" s="86"/>
      <c r="S326" s="2"/>
      <c r="T326" s="1">
        <v>2750</v>
      </c>
      <c r="U326" s="1">
        <v>2750</v>
      </c>
      <c r="V326" s="1" t="str">
        <f>IF(Table11[[#This Row],['#TreesContract]]-Table11[[#This Row],['#Planted]]=0,"",Table11[[#This Row],['#TreesContract]]-Table11[[#This Row],['#Planted]])</f>
        <v/>
      </c>
      <c r="W326" s="2"/>
      <c r="X326" s="34">
        <v>1</v>
      </c>
      <c r="Y326" s="163">
        <f>Table11[[#This Row],['#TreesContract]]*Table11[[#This Row],[USA Allocation %]]</f>
        <v>2750</v>
      </c>
      <c r="Z326" s="163">
        <f>Table11[[#This Row],['#Planted]]*Table11[[#This Row],[USA Allocation %]]</f>
        <v>2750</v>
      </c>
      <c r="AA326" s="34"/>
      <c r="AB326" s="163"/>
      <c r="AC326" s="34"/>
      <c r="AD326" s="163"/>
      <c r="AE326" s="163">
        <f>Table11[[#This Row],[Canada Allocation-tree '#''s]]+Table11[[#This Row],[Can trees/Allocation 2017]]</f>
        <v>0</v>
      </c>
      <c r="AF326" s="5">
        <v>1</v>
      </c>
      <c r="AG326" s="35">
        <v>2750</v>
      </c>
      <c r="AH326" s="35">
        <f>Table11[[#This Row],['#Trees as of 12/31/23]]*Table11[[#This Row],[USA Allocation %]]</f>
        <v>2750</v>
      </c>
      <c r="AI326" s="437">
        <f>Table11[[#This Row],['#TreesContract]]*Table11[[#This Row],[2024 Inventory Survival%-master]]</f>
        <v>330</v>
      </c>
      <c r="AJ326" s="436">
        <v>0.12</v>
      </c>
      <c r="AK326" s="5">
        <v>0.12</v>
      </c>
      <c r="AL326" s="5">
        <v>0.12</v>
      </c>
      <c r="AM326" s="35">
        <f>Table11[[#This Row],['#TreesContract]]*Table11[[#This Row],[2024 Inventory Survival%-master]]</f>
        <v>330</v>
      </c>
      <c r="AN326" s="35">
        <f>Table11[[#This Row],[2024 '#Trees Inventory + Estimate]]*Table11[[#This Row],[USA Allocation %]]</f>
        <v>330</v>
      </c>
      <c r="AO326" s="35">
        <f>Table11[[#This Row],[2024 '#Trees Inventory + Estimate]]*Table11[[#This Row],[Canada Allocation %]]</f>
        <v>0</v>
      </c>
      <c r="AP326" s="35">
        <f>Table11[[#This Row],[2024 '#Trees Inventory + Estimate]]*Table11[[#This Row],[Canada Allocation2017 %]]</f>
        <v>0</v>
      </c>
      <c r="AQ326" s="35">
        <f>Table11[[#This Row],['#Trees as of 2024/estimate-Can allocation]]+Table11[[#This Row],['#Trees as of 2024/estimate-Can allocation 2017]]</f>
        <v>0</v>
      </c>
      <c r="AR326" s="1"/>
      <c r="AS326" s="2"/>
      <c r="AT326" s="6">
        <f>IFERROR(Table11[[#This Row],['#Total Replacements]]/Table11[[#This Row],['#TreesContract]],"")</f>
        <v>0</v>
      </c>
      <c r="AU326" s="4">
        <f>IF(SUM(Table11[[#This Row],['#Replace 24]:['#Replace 16]])=0,0,SUM(Table11[[#This Row],['#Replace 24]:['#Replace 16]]))</f>
        <v>0</v>
      </c>
      <c r="AV326" s="2"/>
      <c r="AW326" s="2"/>
      <c r="AX326" s="3"/>
      <c r="AY326" s="2"/>
      <c r="AZ326" s="2"/>
      <c r="BA326" s="2"/>
      <c r="BB326" s="2"/>
      <c r="BC326" s="2"/>
      <c r="BD326" s="2"/>
      <c r="BE326" s="2"/>
      <c r="BF326" s="3">
        <v>1</v>
      </c>
      <c r="BG326" s="3">
        <v>1</v>
      </c>
      <c r="BH326" s="2">
        <v>2024</v>
      </c>
      <c r="BI326" s="2">
        <v>0.32</v>
      </c>
      <c r="BJ326" s="2">
        <v>0</v>
      </c>
      <c r="BK326" s="139">
        <f>Table11[[#This Row],[Average MHT
(Feet)]]/16</f>
        <v>0</v>
      </c>
      <c r="BL326" s="2">
        <v>0</v>
      </c>
      <c r="BM326" s="139">
        <f>Table11[[#This Row],[Average DBH
(inches)]]/18</f>
        <v>0</v>
      </c>
      <c r="BN326" s="235">
        <f>((Table11[[#This Row],[Average DBH
(inches)]]-4)^2)*(Table11[[#This Row],[Average MHT
(Feet)]]/16)</f>
        <v>0</v>
      </c>
      <c r="BO326" s="235">
        <f>Table11[[#This Row],[Average BF]]*Table11[[#This Row],[2024 '#Trees Inventory + Estimate]]</f>
        <v>0</v>
      </c>
      <c r="BP326" s="240">
        <f>(Table11[[#This Row],[Harvest Year
(10 year)]]-Table11[[#This Row],[Year of Inventory]]+1)*(Table11[[#This Row],[Average DBH
(inches)]]/(Table11[[#This Row],[Harvest Year
(10 year)]]-Table11[[#This Row],[Year of Inventory]]+1))+Table11[[#This Row],[Average DBH
(inches)]]</f>
        <v>0</v>
      </c>
      <c r="BQ326" s="235">
        <f>((Table11[[#This Row],[Projected DBH
(Extrapolated Growth/Year)]]-4)^2)*(Table11[[#This Row],[Average MHT
(Feet)]]/16)</f>
        <v>0</v>
      </c>
      <c r="BR326" s="235">
        <f>Table11[[#This Row],[Projected Average BF]]*Table11[[#This Row],[2024 '#Trees Inventory + Estimate]]</f>
        <v>0</v>
      </c>
      <c r="BS326" s="235">
        <f>196*Table11[[#This Row],[2024 '#Trees Inventory + Estimate]]</f>
        <v>64680</v>
      </c>
      <c r="BT326" s="243">
        <f>Table11[[#This Row],[ETP Offering Expected BF]]-Table11[[#This Row],[Projected Total BF]]</f>
        <v>64680</v>
      </c>
      <c r="BU326" s="235">
        <f>(18-Table11[[#This Row],[Average DBH
(inches)]])/(D326-Table11[[#This Row],[Year of Inventory]]+1)</f>
        <v>2.25</v>
      </c>
    </row>
    <row r="327" spans="1:73" hidden="1" x14ac:dyDescent="0.25">
      <c r="A327" s="7" t="s">
        <v>1837</v>
      </c>
      <c r="B327" s="2">
        <v>2021</v>
      </c>
      <c r="C327" s="2">
        <v>2023</v>
      </c>
      <c r="D327" s="2">
        <f>Table11[[#This Row],[Planting Year]]+9</f>
        <v>2032</v>
      </c>
      <c r="E327" s="97" t="s">
        <v>751</v>
      </c>
      <c r="F327" s="161">
        <v>10061</v>
      </c>
      <c r="G327" t="s">
        <v>751</v>
      </c>
      <c r="H327" s="357" t="s">
        <v>752</v>
      </c>
      <c r="I327" t="s">
        <v>155</v>
      </c>
      <c r="J327" s="1" t="s">
        <v>753</v>
      </c>
      <c r="K327" s="1" t="s">
        <v>755</v>
      </c>
      <c r="L327" s="1" t="s">
        <v>755</v>
      </c>
      <c r="M327" s="1" t="s">
        <v>150</v>
      </c>
      <c r="N327" t="s">
        <v>1838</v>
      </c>
      <c r="O327">
        <v>34.7043556</v>
      </c>
      <c r="P327">
        <v>-83.659508299999999</v>
      </c>
      <c r="Q327" s="2"/>
      <c r="R327" s="86"/>
      <c r="S327" s="2"/>
      <c r="T327" s="1">
        <v>1100</v>
      </c>
      <c r="U327" s="1">
        <v>1100</v>
      </c>
      <c r="V327" s="1" t="str">
        <f>IF(Table11[[#This Row],['#TreesContract]]-Table11[[#This Row],['#Planted]]=0,"",Table11[[#This Row],['#TreesContract]]-Table11[[#This Row],['#Planted]])</f>
        <v/>
      </c>
      <c r="W327" s="2"/>
      <c r="X327" s="34">
        <v>1</v>
      </c>
      <c r="Y327" s="163">
        <f>Table11[[#This Row],['#TreesContract]]*Table11[[#This Row],[USA Allocation %]]</f>
        <v>1100</v>
      </c>
      <c r="Z327" s="163">
        <f>Table11[[#This Row],['#Planted]]*Table11[[#This Row],[USA Allocation %]]</f>
        <v>1100</v>
      </c>
      <c r="AA327" s="34"/>
      <c r="AB327" s="163"/>
      <c r="AC327" s="34"/>
      <c r="AD327" s="163"/>
      <c r="AE327" s="163">
        <f>Table11[[#This Row],[Canada Allocation-tree '#''s]]+Table11[[#This Row],[Can trees/Allocation 2017]]</f>
        <v>0</v>
      </c>
      <c r="AF327" s="5">
        <v>1</v>
      </c>
      <c r="AG327" s="2">
        <v>1100</v>
      </c>
      <c r="AH327" s="270">
        <f>Table11[[#This Row],['#Trees as of 12/31/23]]*Table11[[#This Row],[USA Allocation %]]</f>
        <v>1100</v>
      </c>
      <c r="AI327" s="437">
        <f>Table11[[#This Row],['#TreesContract]]*Table11[[#This Row],[2024 Inventory Survival%-master]]</f>
        <v>0</v>
      </c>
      <c r="AJ327" s="436"/>
      <c r="AK327" s="5">
        <v>1</v>
      </c>
      <c r="AL327" s="5">
        <v>1</v>
      </c>
      <c r="AM327" s="2">
        <v>1100</v>
      </c>
      <c r="AN327" s="35">
        <f>Table11[[#This Row],[2024 '#Trees Inventory + Estimate]]*Table11[[#This Row],[USA Allocation %]]</f>
        <v>1100</v>
      </c>
      <c r="AO327" s="35">
        <f>Table11[[#This Row],[2024 '#Trees Inventory + Estimate]]*Table11[[#This Row],[Canada Allocation %]]</f>
        <v>0</v>
      </c>
      <c r="AP327" s="35">
        <f>Table11[[#This Row],[2024 '#Trees Inventory + Estimate]]*Table11[[#This Row],[Canada Allocation2017 %]]</f>
        <v>0</v>
      </c>
      <c r="AQ327" s="35">
        <f>Table11[[#This Row],['#Trees as of 2024/estimate-Can allocation]]+Table11[[#This Row],['#Trees as of 2024/estimate-Can allocation 2017]]</f>
        <v>0</v>
      </c>
      <c r="AR327" s="1" t="s">
        <v>152</v>
      </c>
      <c r="AS327" s="2"/>
      <c r="AT327" s="6">
        <f>IFERROR(Table11[[#This Row],['#Total Replacements]]/Table11[[#This Row],['#TreesContract]],"")</f>
        <v>8.1818181818181818E-2</v>
      </c>
      <c r="AU327" s="4">
        <f>IF(SUM(Table11[[#This Row],['#Replace 24]:['#Replace 16]])=0,0,SUM(Table11[[#This Row],['#Replace 24]:['#Replace 16]]))</f>
        <v>90</v>
      </c>
      <c r="AV327" s="2"/>
      <c r="AW327" s="2">
        <v>90</v>
      </c>
      <c r="AX327" s="3"/>
      <c r="AY327" s="2"/>
      <c r="AZ327" s="2"/>
      <c r="BA327" s="2"/>
      <c r="BB327" s="2"/>
      <c r="BC327" s="2"/>
      <c r="BD327" s="2"/>
      <c r="BE327" s="2"/>
      <c r="BF327" s="3">
        <v>1</v>
      </c>
      <c r="BG327" s="3">
        <v>1</v>
      </c>
      <c r="BH327" s="2"/>
      <c r="BI327" s="2"/>
      <c r="BJ327" s="2"/>
      <c r="BK327" s="139">
        <f>Table11[[#This Row],[Average MHT
(Feet)]]/16</f>
        <v>0</v>
      </c>
      <c r="BL327" s="2"/>
      <c r="BM327" s="139">
        <f>Table11[[#This Row],[Average DBH
(inches)]]/18</f>
        <v>0</v>
      </c>
      <c r="BN327" s="235">
        <f>((Table11[[#This Row],[Average DBH
(inches)]]-4)^2)*(Table11[[#This Row],[Average MHT
(Feet)]]/16)</f>
        <v>0</v>
      </c>
      <c r="BO327" s="235">
        <f>Table11[[#This Row],[Average BF]]*Table11[[#This Row],[2024 '#Trees Inventory + Estimate]]</f>
        <v>0</v>
      </c>
      <c r="BP327" s="240">
        <f>(Table11[[#This Row],[Harvest Year
(10 year)]]-Table11[[#This Row],[Year of Inventory]]+1)*(Table11[[#This Row],[Average DBH
(inches)]]/(Table11[[#This Row],[Harvest Year
(10 year)]]-Table11[[#This Row],[Year of Inventory]]+1))+Table11[[#This Row],[Average DBH
(inches)]]</f>
        <v>0</v>
      </c>
      <c r="BQ327" s="235">
        <f>((Table11[[#This Row],[Projected DBH
(Extrapolated Growth/Year)]]-4)^2)*(Table11[[#This Row],[Average MHT
(Feet)]]/16)</f>
        <v>0</v>
      </c>
      <c r="BR327" s="235">
        <f>Table11[[#This Row],[Projected Average BF]]*Table11[[#This Row],[2024 '#Trees Inventory + Estimate]]</f>
        <v>0</v>
      </c>
      <c r="BS327" s="235">
        <f>196*Table11[[#This Row],[2024 '#Trees Inventory + Estimate]]</f>
        <v>215600</v>
      </c>
      <c r="BT327" s="243">
        <f>Table11[[#This Row],[ETP Offering Expected BF]]-Table11[[#This Row],[Projected Total BF]]</f>
        <v>215600</v>
      </c>
      <c r="BU327" s="235">
        <f>(18-Table11[[#This Row],[Average DBH
(inches)]])/(D327-Table11[[#This Row],[Year of Inventory]]+1)</f>
        <v>8.8539104771273979E-3</v>
      </c>
    </row>
    <row r="328" spans="1:73" hidden="1" x14ac:dyDescent="0.25">
      <c r="A328" s="7" t="s">
        <v>1839</v>
      </c>
      <c r="B328" s="2">
        <v>2021</v>
      </c>
      <c r="C328" s="2">
        <v>2023</v>
      </c>
      <c r="D328" s="2">
        <f>Table11[[#This Row],[Planting Year]]+9</f>
        <v>2032</v>
      </c>
      <c r="E328" s="97" t="s">
        <v>1404</v>
      </c>
      <c r="F328" s="161">
        <v>10094</v>
      </c>
      <c r="G328" t="s">
        <v>1404</v>
      </c>
      <c r="H328" s="357" t="s">
        <v>1406</v>
      </c>
      <c r="I328" t="s">
        <v>155</v>
      </c>
      <c r="J328" s="1" t="s">
        <v>1407</v>
      </c>
      <c r="K328" s="1" t="s">
        <v>1408</v>
      </c>
      <c r="L328" s="1" t="s">
        <v>1840</v>
      </c>
      <c r="M328" s="1" t="s">
        <v>150</v>
      </c>
      <c r="N328" t="s">
        <v>1841</v>
      </c>
      <c r="O328">
        <v>35.023721999999999</v>
      </c>
      <c r="P328">
        <v>-97.734499999999997</v>
      </c>
      <c r="Q328" s="2"/>
      <c r="R328" s="86"/>
      <c r="S328" s="2"/>
      <c r="T328" s="1">
        <v>1100</v>
      </c>
      <c r="U328" s="1">
        <v>1100</v>
      </c>
      <c r="V328" s="1" t="str">
        <f>IF(Table11[[#This Row],['#TreesContract]]-Table11[[#This Row],['#Planted]]=0,"",Table11[[#This Row],['#TreesContract]]-Table11[[#This Row],['#Planted]])</f>
        <v/>
      </c>
      <c r="W328" s="2"/>
      <c r="X328" s="34">
        <v>1</v>
      </c>
      <c r="Y328" s="163">
        <f>Table11[[#This Row],['#TreesContract]]*Table11[[#This Row],[USA Allocation %]]</f>
        <v>1100</v>
      </c>
      <c r="Z328" s="163">
        <f>Table11[[#This Row],['#Planted]]*Table11[[#This Row],[USA Allocation %]]</f>
        <v>1100</v>
      </c>
      <c r="AA328" s="34"/>
      <c r="AB328" s="163"/>
      <c r="AC328" s="34"/>
      <c r="AD328" s="163"/>
      <c r="AE328" s="163">
        <f>Table11[[#This Row],[Canada Allocation-tree '#''s]]+Table11[[#This Row],[Can trees/Allocation 2017]]</f>
        <v>0</v>
      </c>
      <c r="AF328" s="5">
        <v>1</v>
      </c>
      <c r="AG328" s="2">
        <v>1100</v>
      </c>
      <c r="AH328" s="270">
        <f>Table11[[#This Row],['#Trees as of 12/31/23]]*Table11[[#This Row],[USA Allocation %]]</f>
        <v>1100</v>
      </c>
      <c r="AI328" s="437">
        <f>Table11[[#This Row],['#TreesContract]]*Table11[[#This Row],[2024 Inventory Survival%-master]]</f>
        <v>0</v>
      </c>
      <c r="AJ328" s="436"/>
      <c r="AK328" s="5">
        <v>1</v>
      </c>
      <c r="AL328" s="5">
        <v>0.5</v>
      </c>
      <c r="AM328" s="2">
        <v>550</v>
      </c>
      <c r="AN328" s="35">
        <f>Table11[[#This Row],[2024 '#Trees Inventory + Estimate]]*Table11[[#This Row],[USA Allocation %]]</f>
        <v>550</v>
      </c>
      <c r="AO328" s="35">
        <f>Table11[[#This Row],[2024 '#Trees Inventory + Estimate]]*Table11[[#This Row],[Canada Allocation %]]</f>
        <v>0</v>
      </c>
      <c r="AP328" s="35">
        <f>Table11[[#This Row],[2024 '#Trees Inventory + Estimate]]*Table11[[#This Row],[Canada Allocation2017 %]]</f>
        <v>0</v>
      </c>
      <c r="AQ328" s="35">
        <f>Table11[[#This Row],['#Trees as of 2024/estimate-Can allocation]]+Table11[[#This Row],['#Trees as of 2024/estimate-Can allocation 2017]]</f>
        <v>0</v>
      </c>
      <c r="AR328" s="1" t="s">
        <v>152</v>
      </c>
      <c r="AS328" s="2"/>
      <c r="AT328" s="6">
        <f>IFERROR(Table11[[#This Row],['#Total Replacements]]/Table11[[#This Row],['#TreesContract]],"")</f>
        <v>0</v>
      </c>
      <c r="AU328" s="4">
        <f>IF(SUM(Table11[[#This Row],['#Replace 24]:['#Replace 16]])=0,0,SUM(Table11[[#This Row],['#Replace 24]:['#Replace 16]]))</f>
        <v>0</v>
      </c>
      <c r="AV328" s="2"/>
      <c r="AW328" s="2"/>
      <c r="AX328" s="3"/>
      <c r="AY328" s="2"/>
      <c r="AZ328" s="2"/>
      <c r="BA328" s="2"/>
      <c r="BB328" s="2"/>
      <c r="BC328" s="2"/>
      <c r="BD328" s="2"/>
      <c r="BE328" s="2"/>
      <c r="BF328" s="3">
        <v>1</v>
      </c>
      <c r="BG328" s="3">
        <v>1</v>
      </c>
      <c r="BH328" s="2"/>
      <c r="BI328" s="158"/>
      <c r="BJ328" s="158"/>
      <c r="BK328" s="139">
        <f>Table11[[#This Row],[Average MHT
(Feet)]]/16</f>
        <v>0</v>
      </c>
      <c r="BL328" s="2"/>
      <c r="BM328" s="139">
        <f>Table11[[#This Row],[Average DBH
(inches)]]/18</f>
        <v>0</v>
      </c>
      <c r="BN328" s="235">
        <f>((Table11[[#This Row],[Average DBH
(inches)]]-4)^2)*(Table11[[#This Row],[Average MHT
(Feet)]]/16)</f>
        <v>0</v>
      </c>
      <c r="BO328" s="235">
        <f>Table11[[#This Row],[Average BF]]*Table11[[#This Row],[2024 '#Trees Inventory + Estimate]]</f>
        <v>0</v>
      </c>
      <c r="BP328" s="240">
        <f>(Table11[[#This Row],[Harvest Year
(10 year)]]-Table11[[#This Row],[Year of Inventory]]+1)*(Table11[[#This Row],[Average DBH
(inches)]]/(Table11[[#This Row],[Harvest Year
(10 year)]]-Table11[[#This Row],[Year of Inventory]]+1))+Table11[[#This Row],[Average DBH
(inches)]]</f>
        <v>0</v>
      </c>
      <c r="BQ328" s="235">
        <f>((Table11[[#This Row],[Projected DBH
(Extrapolated Growth/Year)]]-4)^2)*(Table11[[#This Row],[Average MHT
(Feet)]]/16)</f>
        <v>0</v>
      </c>
      <c r="BR328" s="235">
        <f>Table11[[#This Row],[Projected Average BF]]*Table11[[#This Row],[2024 '#Trees Inventory + Estimate]]</f>
        <v>0</v>
      </c>
      <c r="BS328" s="235">
        <f>196*Table11[[#This Row],[2024 '#Trees Inventory + Estimate]]</f>
        <v>107800</v>
      </c>
      <c r="BT328" s="243">
        <f>Table11[[#This Row],[ETP Offering Expected BF]]-Table11[[#This Row],[Projected Total BF]]</f>
        <v>107800</v>
      </c>
      <c r="BU328" s="235">
        <f>(18-Table11[[#This Row],[Average DBH
(inches)]])/(D328-Table11[[#This Row],[Year of Inventory]]+1)</f>
        <v>8.8539104771273979E-3</v>
      </c>
    </row>
    <row r="329" spans="1:73" hidden="1" x14ac:dyDescent="0.25">
      <c r="A329" s="7" t="s">
        <v>1842</v>
      </c>
      <c r="B329" s="2">
        <v>2021</v>
      </c>
      <c r="C329" s="2">
        <v>2023</v>
      </c>
      <c r="D329" s="2">
        <f>Table11[[#This Row],[Planting Year]]+9</f>
        <v>2032</v>
      </c>
      <c r="E329" s="97" t="s">
        <v>1686</v>
      </c>
      <c r="F329" s="161">
        <v>10110</v>
      </c>
      <c r="G329" t="s">
        <v>1686</v>
      </c>
      <c r="H329" s="357" t="s">
        <v>1687</v>
      </c>
      <c r="I329" t="s">
        <v>155</v>
      </c>
      <c r="J329" s="1" t="s">
        <v>1688</v>
      </c>
      <c r="K329" s="1" t="s">
        <v>1689</v>
      </c>
      <c r="L329" s="1" t="s">
        <v>1689</v>
      </c>
      <c r="M329" s="1" t="s">
        <v>150</v>
      </c>
      <c r="N329" t="s">
        <v>1690</v>
      </c>
      <c r="O329">
        <v>30.959731999999999</v>
      </c>
      <c r="P329">
        <v>-84.864058999999997</v>
      </c>
      <c r="Q329" s="2"/>
      <c r="R329" s="86"/>
      <c r="S329" s="2"/>
      <c r="T329" s="1">
        <v>1100</v>
      </c>
      <c r="U329" s="1">
        <v>1100</v>
      </c>
      <c r="V329" s="1" t="str">
        <f>IF(Table11[[#This Row],['#TreesContract]]-Table11[[#This Row],['#Planted]]=0,"",Table11[[#This Row],['#TreesContract]]-Table11[[#This Row],['#Planted]])</f>
        <v/>
      </c>
      <c r="W329" s="2"/>
      <c r="X329" s="34">
        <v>1</v>
      </c>
      <c r="Y329" s="163">
        <f>Table11[[#This Row],['#TreesContract]]*Table11[[#This Row],[USA Allocation %]]</f>
        <v>1100</v>
      </c>
      <c r="Z329" s="163">
        <f>Table11[[#This Row],['#Planted]]*Table11[[#This Row],[USA Allocation %]]</f>
        <v>1100</v>
      </c>
      <c r="AA329" s="34"/>
      <c r="AB329" s="163"/>
      <c r="AC329" s="34"/>
      <c r="AD329" s="163"/>
      <c r="AE329" s="163">
        <f>Table11[[#This Row],[Canada Allocation-tree '#''s]]+Table11[[#This Row],[Can trees/Allocation 2017]]</f>
        <v>0</v>
      </c>
      <c r="AF329" s="5">
        <v>1</v>
      </c>
      <c r="AG329" s="2">
        <v>1100</v>
      </c>
      <c r="AH329" s="270">
        <f>Table11[[#This Row],['#Trees as of 12/31/23]]*Table11[[#This Row],[USA Allocation %]]</f>
        <v>1100</v>
      </c>
      <c r="AI329" s="437">
        <f>Table11[[#This Row],['#TreesContract]]*Table11[[#This Row],[2024 Inventory Survival%-master]]</f>
        <v>0</v>
      </c>
      <c r="AJ329" s="436"/>
      <c r="AK329" s="5">
        <v>1</v>
      </c>
      <c r="AL329" s="5">
        <v>1</v>
      </c>
      <c r="AM329" s="2">
        <v>1100</v>
      </c>
      <c r="AN329" s="35">
        <f>Table11[[#This Row],[2024 '#Trees Inventory + Estimate]]*Table11[[#This Row],[USA Allocation %]]</f>
        <v>1100</v>
      </c>
      <c r="AO329" s="35">
        <f>Table11[[#This Row],[2024 '#Trees Inventory + Estimate]]*Table11[[#This Row],[Canada Allocation %]]</f>
        <v>0</v>
      </c>
      <c r="AP329" s="35">
        <f>Table11[[#This Row],[2024 '#Trees Inventory + Estimate]]*Table11[[#This Row],[Canada Allocation2017 %]]</f>
        <v>0</v>
      </c>
      <c r="AQ329" s="35">
        <f>Table11[[#This Row],['#Trees as of 2024/estimate-Can allocation]]+Table11[[#This Row],['#Trees as of 2024/estimate-Can allocation 2017]]</f>
        <v>0</v>
      </c>
      <c r="AR329" s="1" t="s">
        <v>152</v>
      </c>
      <c r="AS329" s="2"/>
      <c r="AT329" s="6">
        <f>IFERROR(Table11[[#This Row],['#Total Replacements]]/Table11[[#This Row],['#TreesContract]],"")</f>
        <v>3.090909090909091E-2</v>
      </c>
      <c r="AU329" s="4">
        <f>IF(SUM(Table11[[#This Row],['#Replace 24]:['#Replace 16]])=0,0,SUM(Table11[[#This Row],['#Replace 24]:['#Replace 16]]))</f>
        <v>34</v>
      </c>
      <c r="AV329" s="2"/>
      <c r="AW329" s="2"/>
      <c r="AX329" s="3">
        <v>34</v>
      </c>
      <c r="AY329" s="2"/>
      <c r="AZ329" s="2"/>
      <c r="BA329" s="2"/>
      <c r="BB329" s="2"/>
      <c r="BC329" s="2"/>
      <c r="BD329" s="2"/>
      <c r="BE329" s="2"/>
      <c r="BF329" s="3">
        <v>1</v>
      </c>
      <c r="BG329" s="3">
        <v>1</v>
      </c>
      <c r="BH329" s="2"/>
      <c r="BI329" s="158"/>
      <c r="BJ329" s="158"/>
      <c r="BK329" s="139">
        <f>Table11[[#This Row],[Average MHT
(Feet)]]/16</f>
        <v>0</v>
      </c>
      <c r="BL329" s="2"/>
      <c r="BM329" s="139">
        <f>Table11[[#This Row],[Average DBH
(inches)]]/18</f>
        <v>0</v>
      </c>
      <c r="BN329" s="235">
        <f>((Table11[[#This Row],[Average DBH
(inches)]]-4)^2)*(Table11[[#This Row],[Average MHT
(Feet)]]/16)</f>
        <v>0</v>
      </c>
      <c r="BO329" s="235">
        <f>Table11[[#This Row],[Average BF]]*Table11[[#This Row],[2024 '#Trees Inventory + Estimate]]</f>
        <v>0</v>
      </c>
      <c r="BP329" s="240">
        <f>(Table11[[#This Row],[Harvest Year
(10 year)]]-Table11[[#This Row],[Year of Inventory]]+1)*(Table11[[#This Row],[Average DBH
(inches)]]/(Table11[[#This Row],[Harvest Year
(10 year)]]-Table11[[#This Row],[Year of Inventory]]+1))+Table11[[#This Row],[Average DBH
(inches)]]</f>
        <v>0</v>
      </c>
      <c r="BQ329" s="235">
        <f>((Table11[[#This Row],[Projected DBH
(Extrapolated Growth/Year)]]-4)^2)*(Table11[[#This Row],[Average MHT
(Feet)]]/16)</f>
        <v>0</v>
      </c>
      <c r="BR329" s="235">
        <f>Table11[[#This Row],[Projected Average BF]]*Table11[[#This Row],[2024 '#Trees Inventory + Estimate]]</f>
        <v>0</v>
      </c>
      <c r="BS329" s="235">
        <f>196*Table11[[#This Row],[2024 '#Trees Inventory + Estimate]]</f>
        <v>215600</v>
      </c>
      <c r="BT329" s="243">
        <f>Table11[[#This Row],[ETP Offering Expected BF]]-Table11[[#This Row],[Projected Total BF]]</f>
        <v>215600</v>
      </c>
      <c r="BU329" s="235">
        <f>(18-Table11[[#This Row],[Average DBH
(inches)]])/(D329-Table11[[#This Row],[Year of Inventory]]+1)</f>
        <v>8.8539104771273979E-3</v>
      </c>
    </row>
    <row r="330" spans="1:73" hidden="1" x14ac:dyDescent="0.25">
      <c r="A330" s="7" t="s">
        <v>1843</v>
      </c>
      <c r="B330" s="2">
        <v>2022</v>
      </c>
      <c r="C330" s="2">
        <v>2023</v>
      </c>
      <c r="D330" s="2">
        <f>Table11[[#This Row],[Planting Year]]+9</f>
        <v>2032</v>
      </c>
      <c r="E330" s="97" t="s">
        <v>1727</v>
      </c>
      <c r="F330" s="161">
        <v>10116</v>
      </c>
      <c r="G330" t="s">
        <v>1727</v>
      </c>
      <c r="H330" s="357" t="s">
        <v>1728</v>
      </c>
      <c r="I330" t="s">
        <v>155</v>
      </c>
      <c r="J330" s="1" t="s">
        <v>1729</v>
      </c>
      <c r="K330" s="1" t="s">
        <v>1730</v>
      </c>
      <c r="L330" s="1" t="s">
        <v>1730</v>
      </c>
      <c r="M330" s="1" t="s">
        <v>150</v>
      </c>
      <c r="N330" t="s">
        <v>1731</v>
      </c>
      <c r="O330">
        <v>30.047118000000001</v>
      </c>
      <c r="P330">
        <v>-82.259403000000006</v>
      </c>
      <c r="Q330" s="2"/>
      <c r="R330" s="86"/>
      <c r="S330" s="2"/>
      <c r="T330" s="1">
        <v>1430</v>
      </c>
      <c r="U330" s="1">
        <v>1430</v>
      </c>
      <c r="V330" s="1" t="str">
        <f>IF(Table11[[#This Row],['#TreesContract]]-Table11[[#This Row],['#Planted]]=0,"",Table11[[#This Row],['#TreesContract]]-Table11[[#This Row],['#Planted]])</f>
        <v/>
      </c>
      <c r="W330" s="2"/>
      <c r="X330" s="34">
        <v>1</v>
      </c>
      <c r="Y330" s="163">
        <f>Table11[[#This Row],['#TreesContract]]*Table11[[#This Row],[USA Allocation %]]</f>
        <v>1430</v>
      </c>
      <c r="Z330" s="163">
        <f>Table11[[#This Row],['#Planted]]*Table11[[#This Row],[USA Allocation %]]</f>
        <v>1430</v>
      </c>
      <c r="AA330" s="34"/>
      <c r="AB330" s="163"/>
      <c r="AC330" s="34"/>
      <c r="AD330" s="163"/>
      <c r="AE330" s="163">
        <f>Table11[[#This Row],[Canada Allocation-tree '#''s]]+Table11[[#This Row],[Can trees/Allocation 2017]]</f>
        <v>0</v>
      </c>
      <c r="AF330" s="5">
        <v>1</v>
      </c>
      <c r="AG330" s="2">
        <v>1430</v>
      </c>
      <c r="AH330" s="270">
        <f>Table11[[#This Row],['#Trees as of 12/31/23]]*Table11[[#This Row],[USA Allocation %]]</f>
        <v>1430</v>
      </c>
      <c r="AI330" s="437">
        <f>Table11[[#This Row],['#TreesContract]]*Table11[[#This Row],[2024 Inventory Survival%-master]]</f>
        <v>0</v>
      </c>
      <c r="AJ330" s="436"/>
      <c r="AK330" s="5">
        <v>1</v>
      </c>
      <c r="AL330" s="5">
        <v>1</v>
      </c>
      <c r="AM330" s="2">
        <v>1430</v>
      </c>
      <c r="AN330" s="35">
        <f>Table11[[#This Row],[2024 '#Trees Inventory + Estimate]]*Table11[[#This Row],[USA Allocation %]]</f>
        <v>1430</v>
      </c>
      <c r="AO330" s="35">
        <f>Table11[[#This Row],[2024 '#Trees Inventory + Estimate]]*Table11[[#This Row],[Canada Allocation %]]</f>
        <v>0</v>
      </c>
      <c r="AP330" s="35">
        <f>Table11[[#This Row],[2024 '#Trees Inventory + Estimate]]*Table11[[#This Row],[Canada Allocation2017 %]]</f>
        <v>0</v>
      </c>
      <c r="AQ330" s="35">
        <f>Table11[[#This Row],['#Trees as of 2024/estimate-Can allocation]]+Table11[[#This Row],['#Trees as of 2024/estimate-Can allocation 2017]]</f>
        <v>0</v>
      </c>
      <c r="AR330" s="1" t="s">
        <v>152</v>
      </c>
      <c r="AS330" s="2"/>
      <c r="AT330" s="6">
        <f>IFERROR(Table11[[#This Row],['#Total Replacements]]/Table11[[#This Row],['#TreesContract]],"")</f>
        <v>1.3286713286713287E-2</v>
      </c>
      <c r="AU330" s="4">
        <f>IF(SUM(Table11[[#This Row],['#Replace 24]:['#Replace 16]])=0,0,SUM(Table11[[#This Row],['#Replace 24]:['#Replace 16]]))</f>
        <v>19</v>
      </c>
      <c r="AV330" s="2"/>
      <c r="AW330" s="2"/>
      <c r="AX330" s="3">
        <v>19</v>
      </c>
      <c r="AY330" s="2"/>
      <c r="AZ330" s="2"/>
      <c r="BA330" s="2"/>
      <c r="BB330" s="2"/>
      <c r="BC330" s="2"/>
      <c r="BD330" s="2"/>
      <c r="BE330" s="2"/>
      <c r="BF330" s="3">
        <v>1</v>
      </c>
      <c r="BG330" s="3">
        <v>1</v>
      </c>
      <c r="BH330" s="2"/>
      <c r="BI330" s="2"/>
      <c r="BJ330" s="2"/>
      <c r="BK330" s="139">
        <f>Table11[[#This Row],[Average MHT
(Feet)]]/16</f>
        <v>0</v>
      </c>
      <c r="BL330" s="2"/>
      <c r="BM330" s="139">
        <f>Table11[[#This Row],[Average DBH
(inches)]]/18</f>
        <v>0</v>
      </c>
      <c r="BN330" s="235">
        <f>((Table11[[#This Row],[Average DBH
(inches)]]-4)^2)*(Table11[[#This Row],[Average MHT
(Feet)]]/16)</f>
        <v>0</v>
      </c>
      <c r="BO330" s="235">
        <f>Table11[[#This Row],[Average BF]]*Table11[[#This Row],[2024 '#Trees Inventory + Estimate]]</f>
        <v>0</v>
      </c>
      <c r="BP330" s="240">
        <f>(Table11[[#This Row],[Harvest Year
(10 year)]]-Table11[[#This Row],[Year of Inventory]]+1)*(Table11[[#This Row],[Average DBH
(inches)]]/(Table11[[#This Row],[Harvest Year
(10 year)]]-Table11[[#This Row],[Year of Inventory]]+1))+Table11[[#This Row],[Average DBH
(inches)]]</f>
        <v>0</v>
      </c>
      <c r="BQ330" s="235">
        <f>((Table11[[#This Row],[Projected DBH
(Extrapolated Growth/Year)]]-4)^2)*(Table11[[#This Row],[Average MHT
(Feet)]]/16)</f>
        <v>0</v>
      </c>
      <c r="BR330" s="235">
        <f>Table11[[#This Row],[Projected Average BF]]*Table11[[#This Row],[2024 '#Trees Inventory + Estimate]]</f>
        <v>0</v>
      </c>
      <c r="BS330" s="235">
        <f>196*Table11[[#This Row],[2024 '#Trees Inventory + Estimate]]</f>
        <v>280280</v>
      </c>
      <c r="BT330" s="243">
        <f>Table11[[#This Row],[ETP Offering Expected BF]]-Table11[[#This Row],[Projected Total BF]]</f>
        <v>280280</v>
      </c>
      <c r="BU330" s="235">
        <f>(18-Table11[[#This Row],[Average DBH
(inches)]])/(D330-Table11[[#This Row],[Year of Inventory]]+1)</f>
        <v>8.8539104771273979E-3</v>
      </c>
    </row>
    <row r="331" spans="1:73" hidden="1" x14ac:dyDescent="0.25">
      <c r="A331" s="7" t="s">
        <v>1844</v>
      </c>
      <c r="B331" s="2">
        <v>2021</v>
      </c>
      <c r="C331" s="2">
        <v>2023</v>
      </c>
      <c r="D331" s="2">
        <f>Table11[[#This Row],[Planting Year]]+9</f>
        <v>2032</v>
      </c>
      <c r="E331" s="97" t="s">
        <v>1845</v>
      </c>
      <c r="F331" s="161">
        <v>10120</v>
      </c>
      <c r="G331" t="s">
        <v>1845</v>
      </c>
      <c r="H331" s="357" t="s">
        <v>1846</v>
      </c>
      <c r="I331" t="s">
        <v>155</v>
      </c>
      <c r="J331" s="1" t="s">
        <v>1847</v>
      </c>
      <c r="K331" s="1" t="s">
        <v>1848</v>
      </c>
      <c r="L331" s="1" t="s">
        <v>1848</v>
      </c>
      <c r="M331" s="1" t="s">
        <v>150</v>
      </c>
      <c r="N331" t="s">
        <v>1849</v>
      </c>
      <c r="O331">
        <v>33.544381000000001</v>
      </c>
      <c r="P331">
        <v>-85.638127999999995</v>
      </c>
      <c r="Q331" s="2"/>
      <c r="R331" s="86"/>
      <c r="S331" s="2"/>
      <c r="T331" s="1">
        <v>1650</v>
      </c>
      <c r="U331" s="1">
        <v>1650</v>
      </c>
      <c r="V331" s="1" t="str">
        <f>IF(Table11[[#This Row],['#TreesContract]]-Table11[[#This Row],['#Planted]]=0,"",Table11[[#This Row],['#TreesContract]]-Table11[[#This Row],['#Planted]])</f>
        <v/>
      </c>
      <c r="W331" s="2"/>
      <c r="X331" s="34">
        <v>1</v>
      </c>
      <c r="Y331" s="163">
        <f>Table11[[#This Row],['#TreesContract]]*Table11[[#This Row],[USA Allocation %]]</f>
        <v>1650</v>
      </c>
      <c r="Z331" s="163">
        <f>Table11[[#This Row],['#Planted]]*Table11[[#This Row],[USA Allocation %]]</f>
        <v>1650</v>
      </c>
      <c r="AA331" s="34"/>
      <c r="AB331" s="163"/>
      <c r="AC331" s="34"/>
      <c r="AD331" s="163"/>
      <c r="AE331" s="163">
        <f>Table11[[#This Row],[Canada Allocation-tree '#''s]]+Table11[[#This Row],[Can trees/Allocation 2017]]</f>
        <v>0</v>
      </c>
      <c r="AF331" s="5">
        <v>1</v>
      </c>
      <c r="AG331" s="2">
        <v>1650</v>
      </c>
      <c r="AH331" s="270">
        <f>Table11[[#This Row],['#Trees as of 12/31/23]]*Table11[[#This Row],[USA Allocation %]]</f>
        <v>1650</v>
      </c>
      <c r="AI331" s="437">
        <f>Table11[[#This Row],['#TreesContract]]*Table11[[#This Row],[2024 Inventory Survival%-master]]</f>
        <v>0</v>
      </c>
      <c r="AJ331" s="436"/>
      <c r="AK331" s="5">
        <v>1</v>
      </c>
      <c r="AL331" s="5">
        <v>1</v>
      </c>
      <c r="AM331" s="2">
        <v>1650</v>
      </c>
      <c r="AN331" s="35">
        <f>Table11[[#This Row],[2024 '#Trees Inventory + Estimate]]*Table11[[#This Row],[USA Allocation %]]</f>
        <v>1650</v>
      </c>
      <c r="AO331" s="35">
        <f>Table11[[#This Row],[2024 '#Trees Inventory + Estimate]]*Table11[[#This Row],[Canada Allocation %]]</f>
        <v>0</v>
      </c>
      <c r="AP331" s="35">
        <f>Table11[[#This Row],[2024 '#Trees Inventory + Estimate]]*Table11[[#This Row],[Canada Allocation2017 %]]</f>
        <v>0</v>
      </c>
      <c r="AQ331" s="35">
        <f>Table11[[#This Row],['#Trees as of 2024/estimate-Can allocation]]+Table11[[#This Row],['#Trees as of 2024/estimate-Can allocation 2017]]</f>
        <v>0</v>
      </c>
      <c r="AR331" s="1" t="s">
        <v>152</v>
      </c>
      <c r="AS331" s="2"/>
      <c r="AT331" s="6">
        <f>IFERROR(Table11[[#This Row],['#Total Replacements]]/Table11[[#This Row],['#TreesContract]],"")</f>
        <v>0.12121212121212122</v>
      </c>
      <c r="AU331" s="4">
        <f>IF(SUM(Table11[[#This Row],['#Replace 24]:['#Replace 16]])=0,0,SUM(Table11[[#This Row],['#Replace 24]:['#Replace 16]]))</f>
        <v>200</v>
      </c>
      <c r="AV331" s="2"/>
      <c r="AW331" s="2">
        <v>200</v>
      </c>
      <c r="AX331" s="3"/>
      <c r="AY331" s="2"/>
      <c r="AZ331" s="2"/>
      <c r="BA331" s="2"/>
      <c r="BB331" s="2"/>
      <c r="BC331" s="2"/>
      <c r="BD331" s="2"/>
      <c r="BE331" s="2"/>
      <c r="BF331" s="3">
        <v>1</v>
      </c>
      <c r="BG331" s="3">
        <v>1</v>
      </c>
      <c r="BH331" s="2"/>
      <c r="BI331" s="2"/>
      <c r="BJ331" s="2"/>
      <c r="BK331" s="139">
        <f>Table11[[#This Row],[Average MHT
(Feet)]]/16</f>
        <v>0</v>
      </c>
      <c r="BL331" s="2"/>
      <c r="BM331" s="139">
        <f>Table11[[#This Row],[Average DBH
(inches)]]/18</f>
        <v>0</v>
      </c>
      <c r="BN331" s="235">
        <f>((Table11[[#This Row],[Average DBH
(inches)]]-4)^2)*(Table11[[#This Row],[Average MHT
(Feet)]]/16)</f>
        <v>0</v>
      </c>
      <c r="BO331" s="235">
        <f>Table11[[#This Row],[Average BF]]*Table11[[#This Row],[2024 '#Trees Inventory + Estimate]]</f>
        <v>0</v>
      </c>
      <c r="BP331" s="240">
        <f>(Table11[[#This Row],[Harvest Year
(10 year)]]-Table11[[#This Row],[Year of Inventory]]+1)*(Table11[[#This Row],[Average DBH
(inches)]]/(Table11[[#This Row],[Harvest Year
(10 year)]]-Table11[[#This Row],[Year of Inventory]]+1))+Table11[[#This Row],[Average DBH
(inches)]]</f>
        <v>0</v>
      </c>
      <c r="BQ331" s="235">
        <f>((Table11[[#This Row],[Projected DBH
(Extrapolated Growth/Year)]]-4)^2)*(Table11[[#This Row],[Average MHT
(Feet)]]/16)</f>
        <v>0</v>
      </c>
      <c r="BR331" s="235">
        <f>Table11[[#This Row],[Projected Average BF]]*Table11[[#This Row],[2024 '#Trees Inventory + Estimate]]</f>
        <v>0</v>
      </c>
      <c r="BS331" s="235">
        <f>196*Table11[[#This Row],[2024 '#Trees Inventory + Estimate]]</f>
        <v>323400</v>
      </c>
      <c r="BT331" s="243">
        <f>Table11[[#This Row],[ETP Offering Expected BF]]-Table11[[#This Row],[Projected Total BF]]</f>
        <v>323400</v>
      </c>
      <c r="BU331" s="235">
        <f>(18-Table11[[#This Row],[Average DBH
(inches)]])/(D331-Table11[[#This Row],[Year of Inventory]]+1)</f>
        <v>8.8539104771273979E-3</v>
      </c>
    </row>
    <row r="332" spans="1:73" hidden="1" x14ac:dyDescent="0.25">
      <c r="A332" s="7" t="s">
        <v>1850</v>
      </c>
      <c r="B332" s="2">
        <v>2021</v>
      </c>
      <c r="C332" s="2">
        <v>2023</v>
      </c>
      <c r="D332" s="2">
        <f>Table11[[#This Row],[Planting Year]]+9</f>
        <v>2032</v>
      </c>
      <c r="E332" s="97" t="s">
        <v>1851</v>
      </c>
      <c r="F332" s="161">
        <v>10121</v>
      </c>
      <c r="G332" t="s">
        <v>1852</v>
      </c>
      <c r="H332" s="357" t="s">
        <v>1853</v>
      </c>
      <c r="I332" t="s">
        <v>155</v>
      </c>
      <c r="J332" s="1" t="s">
        <v>1854</v>
      </c>
      <c r="K332" s="1" t="s">
        <v>1855</v>
      </c>
      <c r="L332" s="1" t="s">
        <v>1856</v>
      </c>
      <c r="M332" s="1" t="s">
        <v>150</v>
      </c>
      <c r="N332" t="s">
        <v>1857</v>
      </c>
      <c r="O332">
        <v>32.915900000000001</v>
      </c>
      <c r="P332">
        <v>-83.291600000000003</v>
      </c>
      <c r="Q332" s="2"/>
      <c r="R332" s="86"/>
      <c r="S332" s="2"/>
      <c r="T332" s="1">
        <v>2800</v>
      </c>
      <c r="U332" s="1">
        <v>2800</v>
      </c>
      <c r="V332" s="1"/>
      <c r="W332" s="2"/>
      <c r="X332" s="34">
        <v>1</v>
      </c>
      <c r="Y332" s="163">
        <f>Table11[[#This Row],['#TreesContract]]*Table11[[#This Row],[USA Allocation %]]</f>
        <v>2800</v>
      </c>
      <c r="Z332" s="163">
        <f>Table11[[#This Row],['#Planted]]*Table11[[#This Row],[USA Allocation %]]</f>
        <v>2800</v>
      </c>
      <c r="AA332" s="34"/>
      <c r="AB332" s="163"/>
      <c r="AC332" s="34"/>
      <c r="AD332" s="163"/>
      <c r="AE332" s="163">
        <f>Table11[[#This Row],[Canada Allocation-tree '#''s]]+Table11[[#This Row],[Can trees/Allocation 2017]]</f>
        <v>0</v>
      </c>
      <c r="AF332" s="5">
        <v>1</v>
      </c>
      <c r="AG332" s="2">
        <v>2800</v>
      </c>
      <c r="AH332" s="270">
        <f>Table11[[#This Row],['#Trees as of 12/31/23]]*Table11[[#This Row],[USA Allocation %]]</f>
        <v>2800</v>
      </c>
      <c r="AI332" s="437">
        <f>Table11[[#This Row],['#TreesContract]]*Table11[[#This Row],[2024 Inventory Survival%-master]]</f>
        <v>0</v>
      </c>
      <c r="AJ332" s="436"/>
      <c r="AK332" s="5">
        <v>1</v>
      </c>
      <c r="AL332" s="5">
        <v>1</v>
      </c>
      <c r="AM332" s="2">
        <v>2800</v>
      </c>
      <c r="AN332" s="35">
        <f>Table11[[#This Row],[2024 '#Trees Inventory + Estimate]]*Table11[[#This Row],[USA Allocation %]]</f>
        <v>2800</v>
      </c>
      <c r="AO332" s="35">
        <f>Table11[[#This Row],[2024 '#Trees Inventory + Estimate]]*Table11[[#This Row],[Canada Allocation %]]</f>
        <v>0</v>
      </c>
      <c r="AP332" s="35">
        <f>Table11[[#This Row],[2024 '#Trees Inventory + Estimate]]*Table11[[#This Row],[Canada Allocation2017 %]]</f>
        <v>0</v>
      </c>
      <c r="AQ332" s="35">
        <f>Table11[[#This Row],['#Trees as of 2024/estimate-Can allocation]]+Table11[[#This Row],['#Trees as of 2024/estimate-Can allocation 2017]]</f>
        <v>0</v>
      </c>
      <c r="AR332" s="1" t="s">
        <v>152</v>
      </c>
      <c r="AS332" s="2"/>
      <c r="AT332" s="6">
        <f>IFERROR(Table11[[#This Row],['#Total Replacements]]/Table11[[#This Row],['#TreesContract]],"")</f>
        <v>0.27214285714285713</v>
      </c>
      <c r="AU332" s="4">
        <f>IF(SUM(Table11[[#This Row],['#Replace 24]:['#Replace 16]])=0,0,SUM(Table11[[#This Row],['#Replace 24]:['#Replace 16]]))</f>
        <v>762</v>
      </c>
      <c r="AV332" s="2"/>
      <c r="AW332" s="2">
        <v>475</v>
      </c>
      <c r="AX332" s="3">
        <v>287</v>
      </c>
      <c r="AY332" s="2"/>
      <c r="AZ332" s="2"/>
      <c r="BA332" s="2"/>
      <c r="BB332" s="2"/>
      <c r="BC332" s="2"/>
      <c r="BD332" s="2"/>
      <c r="BE332" s="2"/>
      <c r="BF332" s="3">
        <v>1</v>
      </c>
      <c r="BG332" s="3">
        <v>1</v>
      </c>
      <c r="BH332" s="2"/>
      <c r="BI332" s="158"/>
      <c r="BJ332" s="158"/>
      <c r="BK332" s="139">
        <f>Table11[[#This Row],[Average MHT
(Feet)]]/16</f>
        <v>0</v>
      </c>
      <c r="BL332" s="2"/>
      <c r="BM332" s="139">
        <f>Table11[[#This Row],[Average DBH
(inches)]]/18</f>
        <v>0</v>
      </c>
      <c r="BN332" s="235">
        <f>((Table11[[#This Row],[Average DBH
(inches)]]-4)^2)*(Table11[[#This Row],[Average MHT
(Feet)]]/16)</f>
        <v>0</v>
      </c>
      <c r="BO332" s="235">
        <f>Table11[[#This Row],[Average BF]]*Table11[[#This Row],[2024 '#Trees Inventory + Estimate]]</f>
        <v>0</v>
      </c>
      <c r="BP332" s="240">
        <f>(Table11[[#This Row],[Harvest Year
(10 year)]]-Table11[[#This Row],[Year of Inventory]]+1)*(Table11[[#This Row],[Average DBH
(inches)]]/(Table11[[#This Row],[Harvest Year
(10 year)]]-Table11[[#This Row],[Year of Inventory]]+1))+Table11[[#This Row],[Average DBH
(inches)]]</f>
        <v>0</v>
      </c>
      <c r="BQ332" s="235">
        <f>((Table11[[#This Row],[Projected DBH
(Extrapolated Growth/Year)]]-4)^2)*(Table11[[#This Row],[Average MHT
(Feet)]]/16)</f>
        <v>0</v>
      </c>
      <c r="BR332" s="235">
        <f>Table11[[#This Row],[Projected Average BF]]*Table11[[#This Row],[2024 '#Trees Inventory + Estimate]]</f>
        <v>0</v>
      </c>
      <c r="BS332" s="235">
        <f>196*Table11[[#This Row],[2024 '#Trees Inventory + Estimate]]</f>
        <v>548800</v>
      </c>
      <c r="BT332" s="243">
        <f>Table11[[#This Row],[ETP Offering Expected BF]]-Table11[[#This Row],[Projected Total BF]]</f>
        <v>548800</v>
      </c>
      <c r="BU332" s="235">
        <f>(18-Table11[[#This Row],[Average DBH
(inches)]])/(D332-Table11[[#This Row],[Year of Inventory]]+1)</f>
        <v>8.8539104771273979E-3</v>
      </c>
    </row>
    <row r="333" spans="1:73" hidden="1" x14ac:dyDescent="0.25">
      <c r="A333" s="7" t="s">
        <v>1858</v>
      </c>
      <c r="B333" s="120">
        <v>2021</v>
      </c>
      <c r="C333" s="2">
        <v>2023</v>
      </c>
      <c r="D333" s="2">
        <f>Table11[[#This Row],[Planting Year]]+9</f>
        <v>2032</v>
      </c>
      <c r="E333" s="97" t="s">
        <v>1859</v>
      </c>
      <c r="F333" s="161">
        <v>10122</v>
      </c>
      <c r="G333" t="s">
        <v>1859</v>
      </c>
      <c r="H333" s="357" t="s">
        <v>1860</v>
      </c>
      <c r="I333" t="s">
        <v>155</v>
      </c>
      <c r="J333" s="1" t="s">
        <v>1861</v>
      </c>
      <c r="K333" s="1" t="s">
        <v>1862</v>
      </c>
      <c r="L333" s="1" t="s">
        <v>1862</v>
      </c>
      <c r="M333" s="1" t="s">
        <v>150</v>
      </c>
      <c r="N333" t="s">
        <v>1863</v>
      </c>
      <c r="O333">
        <v>32.950704000000002</v>
      </c>
      <c r="P333">
        <v>-83.201976000000002</v>
      </c>
      <c r="Q333" s="2"/>
      <c r="R333" s="86"/>
      <c r="S333" s="2"/>
      <c r="T333" s="1">
        <v>1320</v>
      </c>
      <c r="U333" s="1">
        <v>1320</v>
      </c>
      <c r="V333" s="1"/>
      <c r="W333" s="2"/>
      <c r="X333" s="34">
        <v>1</v>
      </c>
      <c r="Y333" s="163">
        <f>Table11[[#This Row],['#TreesContract]]*Table11[[#This Row],[USA Allocation %]]</f>
        <v>1320</v>
      </c>
      <c r="Z333" s="163">
        <f>Table11[[#This Row],['#Planted]]*Table11[[#This Row],[USA Allocation %]]</f>
        <v>1320</v>
      </c>
      <c r="AA333" s="34"/>
      <c r="AB333" s="163"/>
      <c r="AC333" s="34"/>
      <c r="AD333" s="163"/>
      <c r="AE333" s="163">
        <f>Table11[[#This Row],[Canada Allocation-tree '#''s]]+Table11[[#This Row],[Can trees/Allocation 2017]]</f>
        <v>0</v>
      </c>
      <c r="AF333" s="5">
        <v>1</v>
      </c>
      <c r="AG333" s="2">
        <v>1320</v>
      </c>
      <c r="AH333" s="270">
        <f>Table11[[#This Row],['#Trees as of 12/31/23]]*Table11[[#This Row],[USA Allocation %]]</f>
        <v>1320</v>
      </c>
      <c r="AI333" s="437">
        <f>Table11[[#This Row],['#TreesContract]]*Table11[[#This Row],[2024 Inventory Survival%-master]]</f>
        <v>0</v>
      </c>
      <c r="AJ333" s="436"/>
      <c r="AK333" s="5">
        <v>1</v>
      </c>
      <c r="AL333" s="5">
        <v>1</v>
      </c>
      <c r="AM333" s="2">
        <v>1320</v>
      </c>
      <c r="AN333" s="35">
        <f>Table11[[#This Row],[2024 '#Trees Inventory + Estimate]]*Table11[[#This Row],[USA Allocation %]]</f>
        <v>1320</v>
      </c>
      <c r="AO333" s="35">
        <f>Table11[[#This Row],[2024 '#Trees Inventory + Estimate]]*Table11[[#This Row],[Canada Allocation %]]</f>
        <v>0</v>
      </c>
      <c r="AP333" s="35">
        <f>Table11[[#This Row],[2024 '#Trees Inventory + Estimate]]*Table11[[#This Row],[Canada Allocation2017 %]]</f>
        <v>0</v>
      </c>
      <c r="AQ333" s="35">
        <f>Table11[[#This Row],['#Trees as of 2024/estimate-Can allocation]]+Table11[[#This Row],['#Trees as of 2024/estimate-Can allocation 2017]]</f>
        <v>0</v>
      </c>
      <c r="AR333" s="1" t="s">
        <v>152</v>
      </c>
      <c r="AS333" s="2"/>
      <c r="AT333" s="6">
        <f>IFERROR(Table11[[#This Row],['#Total Replacements]]/Table11[[#This Row],['#TreesContract]],"")</f>
        <v>0.12272727272727273</v>
      </c>
      <c r="AU333" s="4">
        <f>IF(SUM(Table11[[#This Row],['#Replace 24]:['#Replace 16]])=0,0,SUM(Table11[[#This Row],['#Replace 24]:['#Replace 16]]))</f>
        <v>162</v>
      </c>
      <c r="AV333" s="2"/>
      <c r="AW333" s="2">
        <v>75</v>
      </c>
      <c r="AX333" s="3">
        <v>87</v>
      </c>
      <c r="AY333" s="2"/>
      <c r="AZ333" s="2"/>
      <c r="BA333" s="2"/>
      <c r="BB333" s="2"/>
      <c r="BC333" s="2"/>
      <c r="BD333" s="2"/>
      <c r="BE333" s="2"/>
      <c r="BF333" s="3">
        <v>1</v>
      </c>
      <c r="BG333" s="3">
        <v>1</v>
      </c>
      <c r="BH333" s="2"/>
      <c r="BI333" s="2"/>
      <c r="BJ333" s="2"/>
      <c r="BK333" s="139">
        <f>Table11[[#This Row],[Average MHT
(Feet)]]/16</f>
        <v>0</v>
      </c>
      <c r="BL333" s="2"/>
      <c r="BM333" s="139">
        <f>Table11[[#This Row],[Average DBH
(inches)]]/18</f>
        <v>0</v>
      </c>
      <c r="BN333" s="235">
        <f>((Table11[[#This Row],[Average DBH
(inches)]]-4)^2)*(Table11[[#This Row],[Average MHT
(Feet)]]/16)</f>
        <v>0</v>
      </c>
      <c r="BO333" s="235">
        <f>Table11[[#This Row],[Average BF]]*Table11[[#This Row],[2024 '#Trees Inventory + Estimate]]</f>
        <v>0</v>
      </c>
      <c r="BP333" s="240">
        <f>(Table11[[#This Row],[Harvest Year
(10 year)]]-Table11[[#This Row],[Year of Inventory]]+1)*(Table11[[#This Row],[Average DBH
(inches)]]/(Table11[[#This Row],[Harvest Year
(10 year)]]-Table11[[#This Row],[Year of Inventory]]+1))+Table11[[#This Row],[Average DBH
(inches)]]</f>
        <v>0</v>
      </c>
      <c r="BQ333" s="235">
        <f>((Table11[[#This Row],[Projected DBH
(Extrapolated Growth/Year)]]-4)^2)*(Table11[[#This Row],[Average MHT
(Feet)]]/16)</f>
        <v>0</v>
      </c>
      <c r="BR333" s="235">
        <f>Table11[[#This Row],[Projected Average BF]]*Table11[[#This Row],[2024 '#Trees Inventory + Estimate]]</f>
        <v>0</v>
      </c>
      <c r="BS333" s="235">
        <f>196*Table11[[#This Row],[2024 '#Trees Inventory + Estimate]]</f>
        <v>258720</v>
      </c>
      <c r="BT333" s="243">
        <f>Table11[[#This Row],[ETP Offering Expected BF]]-Table11[[#This Row],[Projected Total BF]]</f>
        <v>258720</v>
      </c>
      <c r="BU333" s="235">
        <f>(18-Table11[[#This Row],[Average DBH
(inches)]])/(D333-Table11[[#This Row],[Year of Inventory]]+1)</f>
        <v>8.8539104771273979E-3</v>
      </c>
    </row>
    <row r="334" spans="1:73" hidden="1" x14ac:dyDescent="0.25">
      <c r="A334" s="7" t="s">
        <v>1864</v>
      </c>
      <c r="B334" s="2">
        <v>2021</v>
      </c>
      <c r="C334" s="2">
        <v>2023</v>
      </c>
      <c r="D334" s="2">
        <f>Table11[[#This Row],[Planting Year]]+9</f>
        <v>2032</v>
      </c>
      <c r="E334" s="97" t="s">
        <v>1865</v>
      </c>
      <c r="F334" s="161">
        <v>10123</v>
      </c>
      <c r="G334" t="s">
        <v>1866</v>
      </c>
      <c r="H334" s="357" t="s">
        <v>1867</v>
      </c>
      <c r="I334" t="s">
        <v>155</v>
      </c>
      <c r="J334" s="1" t="s">
        <v>1868</v>
      </c>
      <c r="K334" s="1" t="s">
        <v>1869</v>
      </c>
      <c r="L334" s="1" t="s">
        <v>1869</v>
      </c>
      <c r="M334" s="1" t="s">
        <v>150</v>
      </c>
      <c r="N334" t="s">
        <v>1870</v>
      </c>
      <c r="O334">
        <v>31.647688899999999</v>
      </c>
      <c r="P334">
        <v>-84.832852700000004</v>
      </c>
      <c r="Q334">
        <v>31.647688899999999</v>
      </c>
      <c r="R334" s="2">
        <v>-84.811121999999997</v>
      </c>
      <c r="S334" s="2"/>
      <c r="T334" s="1">
        <v>2096</v>
      </c>
      <c r="U334" s="1">
        <v>2096</v>
      </c>
      <c r="V334" s="1" t="str">
        <f>IF(Table11[[#This Row],['#TreesContract]]-Table11[[#This Row],['#Planted]]=0,"",Table11[[#This Row],['#TreesContract]]-Table11[[#This Row],['#Planted]])</f>
        <v/>
      </c>
      <c r="W334" s="2"/>
      <c r="X334" s="34">
        <v>1</v>
      </c>
      <c r="Y334" s="163">
        <f>Table11[[#This Row],['#TreesContract]]*Table11[[#This Row],[USA Allocation %]]</f>
        <v>2096</v>
      </c>
      <c r="Z334" s="163">
        <f>Table11[[#This Row],['#Planted]]*Table11[[#This Row],[USA Allocation %]]</f>
        <v>2096</v>
      </c>
      <c r="AA334" s="34"/>
      <c r="AB334" s="163"/>
      <c r="AC334" s="34"/>
      <c r="AD334" s="163"/>
      <c r="AE334" s="163">
        <f>Table11[[#This Row],[Canada Allocation-tree '#''s]]+Table11[[#This Row],[Can trees/Allocation 2017]]</f>
        <v>0</v>
      </c>
      <c r="AF334" s="5">
        <v>1</v>
      </c>
      <c r="AG334" s="2">
        <v>1760</v>
      </c>
      <c r="AH334" s="270">
        <f>Table11[[#This Row],['#Trees as of 12/31/23]]*Table11[[#This Row],[USA Allocation %]]</f>
        <v>1760</v>
      </c>
      <c r="AI334" s="437">
        <f>Table11[[#This Row],['#TreesContract]]*Table11[[#This Row],[2024 Inventory Survival%-master]]</f>
        <v>0</v>
      </c>
      <c r="AJ334" s="436"/>
      <c r="AK334" s="5">
        <v>1</v>
      </c>
      <c r="AL334" s="5">
        <v>1</v>
      </c>
      <c r="AM334" s="2">
        <v>1760</v>
      </c>
      <c r="AN334" s="35">
        <f>Table11[[#This Row],[2024 '#Trees Inventory + Estimate]]*Table11[[#This Row],[USA Allocation %]]</f>
        <v>1760</v>
      </c>
      <c r="AO334" s="35">
        <f>Table11[[#This Row],[2024 '#Trees Inventory + Estimate]]*Table11[[#This Row],[Canada Allocation %]]</f>
        <v>0</v>
      </c>
      <c r="AP334" s="35">
        <f>Table11[[#This Row],[2024 '#Trees Inventory + Estimate]]*Table11[[#This Row],[Canada Allocation2017 %]]</f>
        <v>0</v>
      </c>
      <c r="AQ334" s="35">
        <f>Table11[[#This Row],['#Trees as of 2024/estimate-Can allocation]]+Table11[[#This Row],['#Trees as of 2024/estimate-Can allocation 2017]]</f>
        <v>0</v>
      </c>
      <c r="AR334" s="1" t="s">
        <v>152</v>
      </c>
      <c r="AS334" s="2"/>
      <c r="AT334" s="6">
        <f>IFERROR(Table11[[#This Row],['#Total Replacements]]/Table11[[#This Row],['#TreesContract]],"")</f>
        <v>0</v>
      </c>
      <c r="AU334" s="4">
        <f>IF(SUM(Table11[[#This Row],['#Replace 24]:['#Replace 16]])=0,0,SUM(Table11[[#This Row],['#Replace 24]:['#Replace 16]]))</f>
        <v>0</v>
      </c>
      <c r="AV334" s="2"/>
      <c r="AW334" s="2"/>
      <c r="AX334" s="3"/>
      <c r="AY334" s="2"/>
      <c r="AZ334" s="2"/>
      <c r="BA334" s="2"/>
      <c r="BB334" s="2"/>
      <c r="BC334" s="2"/>
      <c r="BD334" s="2"/>
      <c r="BE334" s="2"/>
      <c r="BF334" s="3">
        <v>1</v>
      </c>
      <c r="BG334" s="3">
        <v>1</v>
      </c>
      <c r="BH334" s="2"/>
      <c r="BI334" s="2"/>
      <c r="BJ334" s="2"/>
      <c r="BK334" s="139">
        <f>Table11[[#This Row],[Average MHT
(Feet)]]/16</f>
        <v>0</v>
      </c>
      <c r="BL334" s="2"/>
      <c r="BM334" s="139">
        <f>Table11[[#This Row],[Average DBH
(inches)]]/18</f>
        <v>0</v>
      </c>
      <c r="BN334" s="235">
        <f>((Table11[[#This Row],[Average DBH
(inches)]]-4)^2)*(Table11[[#This Row],[Average MHT
(Feet)]]/16)</f>
        <v>0</v>
      </c>
      <c r="BO334" s="235">
        <f>Table11[[#This Row],[Average BF]]*Table11[[#This Row],[2024 '#Trees Inventory + Estimate]]</f>
        <v>0</v>
      </c>
      <c r="BP334" s="240">
        <f>(Table11[[#This Row],[Harvest Year
(10 year)]]-Table11[[#This Row],[Year of Inventory]]+1)*(Table11[[#This Row],[Average DBH
(inches)]]/(Table11[[#This Row],[Harvest Year
(10 year)]]-Table11[[#This Row],[Year of Inventory]]+1))+Table11[[#This Row],[Average DBH
(inches)]]</f>
        <v>0</v>
      </c>
      <c r="BQ334" s="235">
        <f>((Table11[[#This Row],[Projected DBH
(Extrapolated Growth/Year)]]-4)^2)*(Table11[[#This Row],[Average MHT
(Feet)]]/16)</f>
        <v>0</v>
      </c>
      <c r="BR334" s="235">
        <f>Table11[[#This Row],[Projected Average BF]]*Table11[[#This Row],[2024 '#Trees Inventory + Estimate]]</f>
        <v>0</v>
      </c>
      <c r="BS334" s="235">
        <f>196*Table11[[#This Row],[2024 '#Trees Inventory + Estimate]]</f>
        <v>344960</v>
      </c>
      <c r="BT334" s="243">
        <f>Table11[[#This Row],[ETP Offering Expected BF]]-Table11[[#This Row],[Projected Total BF]]</f>
        <v>344960</v>
      </c>
      <c r="BU334" s="235">
        <f>(18-Table11[[#This Row],[Average DBH
(inches)]])/(D334-Table11[[#This Row],[Year of Inventory]]+1)</f>
        <v>8.8539104771273979E-3</v>
      </c>
    </row>
    <row r="335" spans="1:73" hidden="1" x14ac:dyDescent="0.25">
      <c r="A335" s="7" t="s">
        <v>1871</v>
      </c>
      <c r="B335" s="2">
        <v>2021</v>
      </c>
      <c r="C335" s="2">
        <v>2023</v>
      </c>
      <c r="D335" s="2">
        <f>Table11[[#This Row],[Planting Year]]+9</f>
        <v>2032</v>
      </c>
      <c r="E335" s="97" t="s">
        <v>1872</v>
      </c>
      <c r="F335" s="161">
        <v>10124</v>
      </c>
      <c r="G335" t="s">
        <v>1873</v>
      </c>
      <c r="H335" s="357" t="s">
        <v>1874</v>
      </c>
      <c r="I335" t="s">
        <v>155</v>
      </c>
      <c r="J335" s="1" t="s">
        <v>1875</v>
      </c>
      <c r="K335" s="1" t="s">
        <v>1876</v>
      </c>
      <c r="L335" s="1" t="s">
        <v>1876</v>
      </c>
      <c r="M335" s="1" t="s">
        <v>150</v>
      </c>
      <c r="N335" t="s">
        <v>1877</v>
      </c>
      <c r="O335">
        <v>36.546999999999997</v>
      </c>
      <c r="P335">
        <v>-86.579800000000006</v>
      </c>
      <c r="Q335" s="2"/>
      <c r="R335" s="86"/>
      <c r="S335" s="2"/>
      <c r="T335" s="1">
        <v>2200</v>
      </c>
      <c r="U335" s="1">
        <v>2200</v>
      </c>
      <c r="V335" s="1" t="str">
        <f>IF(Table11[[#This Row],['#TreesContract]]-Table11[[#This Row],['#Planted]]=0,"",Table11[[#This Row],['#TreesContract]]-Table11[[#This Row],['#Planted]])</f>
        <v/>
      </c>
      <c r="W335" s="2"/>
      <c r="X335" s="34">
        <v>1</v>
      </c>
      <c r="Y335" s="163">
        <f>Table11[[#This Row],['#TreesContract]]*Table11[[#This Row],[USA Allocation %]]</f>
        <v>2200</v>
      </c>
      <c r="Z335" s="163">
        <f>Table11[[#This Row],['#Planted]]*Table11[[#This Row],[USA Allocation %]]</f>
        <v>2200</v>
      </c>
      <c r="AA335" s="34"/>
      <c r="AB335" s="163"/>
      <c r="AC335" s="34"/>
      <c r="AD335" s="163"/>
      <c r="AE335" s="163">
        <f>Table11[[#This Row],[Canada Allocation-tree '#''s]]+Table11[[#This Row],[Can trees/Allocation 2017]]</f>
        <v>0</v>
      </c>
      <c r="AF335" s="5">
        <v>1</v>
      </c>
      <c r="AG335" s="2">
        <v>2200</v>
      </c>
      <c r="AH335" s="270">
        <f>Table11[[#This Row],['#Trees as of 12/31/23]]*Table11[[#This Row],[USA Allocation %]]</f>
        <v>2200</v>
      </c>
      <c r="AI335" s="437">
        <f>Table11[[#This Row],['#TreesContract]]*Table11[[#This Row],[2024 Inventory Survival%-master]]</f>
        <v>0</v>
      </c>
      <c r="AJ335" s="436"/>
      <c r="AK335" s="5">
        <v>1</v>
      </c>
      <c r="AL335" s="5">
        <v>1</v>
      </c>
      <c r="AM335" s="2">
        <v>2200</v>
      </c>
      <c r="AN335" s="35">
        <f>Table11[[#This Row],[2024 '#Trees Inventory + Estimate]]*Table11[[#This Row],[USA Allocation %]]</f>
        <v>2200</v>
      </c>
      <c r="AO335" s="35">
        <f>Table11[[#This Row],[2024 '#Trees Inventory + Estimate]]*Table11[[#This Row],[Canada Allocation %]]</f>
        <v>0</v>
      </c>
      <c r="AP335" s="35">
        <f>Table11[[#This Row],[2024 '#Trees Inventory + Estimate]]*Table11[[#This Row],[Canada Allocation2017 %]]</f>
        <v>0</v>
      </c>
      <c r="AQ335" s="35">
        <f>Table11[[#This Row],['#Trees as of 2024/estimate-Can allocation]]+Table11[[#This Row],['#Trees as of 2024/estimate-Can allocation 2017]]</f>
        <v>0</v>
      </c>
      <c r="AR335" s="1" t="s">
        <v>152</v>
      </c>
      <c r="AS335" s="2"/>
      <c r="AT335" s="6">
        <f>IFERROR(Table11[[#This Row],['#Total Replacements]]/Table11[[#This Row],['#TreesContract]],"")</f>
        <v>9.0909090909090912E-2</v>
      </c>
      <c r="AU335" s="4">
        <f>IF(SUM(Table11[[#This Row],['#Replace 24]:['#Replace 16]])=0,0,SUM(Table11[[#This Row],['#Replace 24]:['#Replace 16]]))</f>
        <v>200</v>
      </c>
      <c r="AV335" s="2"/>
      <c r="AW335" s="2">
        <v>200</v>
      </c>
      <c r="AX335" s="3"/>
      <c r="AY335" s="2"/>
      <c r="AZ335" s="2"/>
      <c r="BA335" s="2"/>
      <c r="BB335" s="2"/>
      <c r="BC335" s="2"/>
      <c r="BD335" s="2"/>
      <c r="BE335" s="2"/>
      <c r="BF335" s="3">
        <v>1</v>
      </c>
      <c r="BG335" s="3">
        <v>1</v>
      </c>
      <c r="BH335" s="2"/>
      <c r="BI335" s="158"/>
      <c r="BJ335" s="158"/>
      <c r="BK335" s="139">
        <f>Table11[[#This Row],[Average MHT
(Feet)]]/16</f>
        <v>0</v>
      </c>
      <c r="BL335" s="2"/>
      <c r="BM335" s="139">
        <f>Table11[[#This Row],[Average DBH
(inches)]]/18</f>
        <v>0</v>
      </c>
      <c r="BN335" s="235">
        <f>((Table11[[#This Row],[Average DBH
(inches)]]-4)^2)*(Table11[[#This Row],[Average MHT
(Feet)]]/16)</f>
        <v>0</v>
      </c>
      <c r="BO335" s="235">
        <f>Table11[[#This Row],[Average BF]]*Table11[[#This Row],[2024 '#Trees Inventory + Estimate]]</f>
        <v>0</v>
      </c>
      <c r="BP335" s="240">
        <f>(Table11[[#This Row],[Harvest Year
(10 year)]]-Table11[[#This Row],[Year of Inventory]]+1)*(Table11[[#This Row],[Average DBH
(inches)]]/(Table11[[#This Row],[Harvest Year
(10 year)]]-Table11[[#This Row],[Year of Inventory]]+1))+Table11[[#This Row],[Average DBH
(inches)]]</f>
        <v>0</v>
      </c>
      <c r="BQ335" s="235">
        <f>((Table11[[#This Row],[Projected DBH
(Extrapolated Growth/Year)]]-4)^2)*(Table11[[#This Row],[Average MHT
(Feet)]]/16)</f>
        <v>0</v>
      </c>
      <c r="BR335" s="235">
        <f>Table11[[#This Row],[Projected Average BF]]*Table11[[#This Row],[2024 '#Trees Inventory + Estimate]]</f>
        <v>0</v>
      </c>
      <c r="BS335" s="235">
        <f>196*Table11[[#This Row],[2024 '#Trees Inventory + Estimate]]</f>
        <v>431200</v>
      </c>
      <c r="BT335" s="243">
        <f>Table11[[#This Row],[ETP Offering Expected BF]]-Table11[[#This Row],[Projected Total BF]]</f>
        <v>431200</v>
      </c>
      <c r="BU335" s="235">
        <f>(18-Table11[[#This Row],[Average DBH
(inches)]])/(D335-Table11[[#This Row],[Year of Inventory]]+1)</f>
        <v>8.8539104771273979E-3</v>
      </c>
    </row>
    <row r="336" spans="1:73" hidden="1" x14ac:dyDescent="0.25">
      <c r="A336" s="7" t="s">
        <v>1878</v>
      </c>
      <c r="B336" s="2">
        <v>2022</v>
      </c>
      <c r="C336" s="2">
        <v>2023</v>
      </c>
      <c r="D336" s="2">
        <f>Table11[[#This Row],[Planting Year]]+9</f>
        <v>2032</v>
      </c>
      <c r="E336" s="97" t="s">
        <v>1879</v>
      </c>
      <c r="F336" s="161">
        <v>10125</v>
      </c>
      <c r="G336" t="s">
        <v>1879</v>
      </c>
      <c r="H336" s="357" t="s">
        <v>1880</v>
      </c>
      <c r="I336" t="s">
        <v>155</v>
      </c>
      <c r="J336" s="1" t="s">
        <v>1881</v>
      </c>
      <c r="K336" s="1" t="s">
        <v>1882</v>
      </c>
      <c r="L336" s="1" t="s">
        <v>1883</v>
      </c>
      <c r="M336" s="1" t="s">
        <v>150</v>
      </c>
      <c r="N336" t="s">
        <v>1884</v>
      </c>
      <c r="O336">
        <v>31.002013000000002</v>
      </c>
      <c r="P336">
        <v>-84.443413000000007</v>
      </c>
      <c r="Q336" s="2"/>
      <c r="R336" s="86"/>
      <c r="S336" s="2"/>
      <c r="T336" s="1">
        <v>2750</v>
      </c>
      <c r="U336" s="1">
        <v>2750</v>
      </c>
      <c r="V336" s="1" t="str">
        <f>IF(Table11[[#This Row],['#TreesContract]]-Table11[[#This Row],['#Planted]]=0,"",Table11[[#This Row],['#TreesContract]]-Table11[[#This Row],['#Planted]])</f>
        <v/>
      </c>
      <c r="W336" s="2"/>
      <c r="X336" s="34">
        <v>1</v>
      </c>
      <c r="Y336" s="163">
        <f>Table11[[#This Row],['#TreesContract]]*Table11[[#This Row],[USA Allocation %]]</f>
        <v>2750</v>
      </c>
      <c r="Z336" s="163">
        <f>Table11[[#This Row],['#Planted]]*Table11[[#This Row],[USA Allocation %]]</f>
        <v>2750</v>
      </c>
      <c r="AA336" s="34"/>
      <c r="AB336" s="163"/>
      <c r="AC336" s="34"/>
      <c r="AD336" s="163"/>
      <c r="AE336" s="163">
        <f>Table11[[#This Row],[Canada Allocation-tree '#''s]]+Table11[[#This Row],[Can trees/Allocation 2017]]</f>
        <v>0</v>
      </c>
      <c r="AF336" s="5">
        <v>1</v>
      </c>
      <c r="AG336" s="2">
        <v>2750</v>
      </c>
      <c r="AH336" s="270">
        <f>Table11[[#This Row],['#Trees as of 12/31/23]]*Table11[[#This Row],[USA Allocation %]]</f>
        <v>2750</v>
      </c>
      <c r="AI336" s="437">
        <f>Table11[[#This Row],['#TreesContract]]*Table11[[#This Row],[2024 Inventory Survival%-master]]</f>
        <v>0</v>
      </c>
      <c r="AJ336" s="436"/>
      <c r="AK336" s="5">
        <v>1</v>
      </c>
      <c r="AL336" s="5">
        <v>1</v>
      </c>
      <c r="AM336" s="2">
        <v>2750</v>
      </c>
      <c r="AN336" s="35">
        <f>Table11[[#This Row],[2024 '#Trees Inventory + Estimate]]*Table11[[#This Row],[USA Allocation %]]</f>
        <v>2750</v>
      </c>
      <c r="AO336" s="35">
        <f>Table11[[#This Row],[2024 '#Trees Inventory + Estimate]]*Table11[[#This Row],[Canada Allocation %]]</f>
        <v>0</v>
      </c>
      <c r="AP336" s="35">
        <f>Table11[[#This Row],[2024 '#Trees Inventory + Estimate]]*Table11[[#This Row],[Canada Allocation2017 %]]</f>
        <v>0</v>
      </c>
      <c r="AQ336" s="35">
        <f>Table11[[#This Row],['#Trees as of 2024/estimate-Can allocation]]+Table11[[#This Row],['#Trees as of 2024/estimate-Can allocation 2017]]</f>
        <v>0</v>
      </c>
      <c r="AR336" s="1" t="s">
        <v>152</v>
      </c>
      <c r="AS336" s="2" t="s">
        <v>1885</v>
      </c>
      <c r="AT336" s="6">
        <f>IFERROR(Table11[[#This Row],['#Total Replacements]]/Table11[[#This Row],['#TreesContract]],"")</f>
        <v>0.2</v>
      </c>
      <c r="AU336" s="4">
        <f>IF(SUM(Table11[[#This Row],['#Replace 24]:['#Replace 16]])=0,0,SUM(Table11[[#This Row],['#Replace 24]:['#Replace 16]]))</f>
        <v>550</v>
      </c>
      <c r="AV336" s="2"/>
      <c r="AW336" s="2">
        <v>550</v>
      </c>
      <c r="AX336" s="3"/>
      <c r="AY336" s="2"/>
      <c r="AZ336" s="2"/>
      <c r="BA336" s="2"/>
      <c r="BB336" s="2"/>
      <c r="BC336" s="2"/>
      <c r="BD336" s="2"/>
      <c r="BE336" s="2"/>
      <c r="BF336" s="3">
        <v>1</v>
      </c>
      <c r="BG336" s="3">
        <v>1</v>
      </c>
      <c r="BH336" s="2"/>
      <c r="BI336" s="158"/>
      <c r="BJ336" s="158"/>
      <c r="BK336" s="139">
        <f>Table11[[#This Row],[Average MHT
(Feet)]]/16</f>
        <v>0</v>
      </c>
      <c r="BL336" s="2"/>
      <c r="BM336" s="139">
        <f>Table11[[#This Row],[Average DBH
(inches)]]/18</f>
        <v>0</v>
      </c>
      <c r="BN336" s="235">
        <f>((Table11[[#This Row],[Average DBH
(inches)]]-4)^2)*(Table11[[#This Row],[Average MHT
(Feet)]]/16)</f>
        <v>0</v>
      </c>
      <c r="BO336" s="235">
        <f>Table11[[#This Row],[Average BF]]*Table11[[#This Row],[2024 '#Trees Inventory + Estimate]]</f>
        <v>0</v>
      </c>
      <c r="BP336" s="240">
        <f>(Table11[[#This Row],[Harvest Year
(10 year)]]-Table11[[#This Row],[Year of Inventory]]+1)*(Table11[[#This Row],[Average DBH
(inches)]]/(Table11[[#This Row],[Harvest Year
(10 year)]]-Table11[[#This Row],[Year of Inventory]]+1))+Table11[[#This Row],[Average DBH
(inches)]]</f>
        <v>0</v>
      </c>
      <c r="BQ336" s="235">
        <f>((Table11[[#This Row],[Projected DBH
(Extrapolated Growth/Year)]]-4)^2)*(Table11[[#This Row],[Average MHT
(Feet)]]/16)</f>
        <v>0</v>
      </c>
      <c r="BR336" s="235">
        <f>Table11[[#This Row],[Projected Average BF]]*Table11[[#This Row],[2024 '#Trees Inventory + Estimate]]</f>
        <v>0</v>
      </c>
      <c r="BS336" s="235">
        <f>196*Table11[[#This Row],[2024 '#Trees Inventory + Estimate]]</f>
        <v>539000</v>
      </c>
      <c r="BT336" s="243">
        <f>Table11[[#This Row],[ETP Offering Expected BF]]-Table11[[#This Row],[Projected Total BF]]</f>
        <v>539000</v>
      </c>
      <c r="BU336" s="235">
        <f>(18-Table11[[#This Row],[Average DBH
(inches)]])/(D336-Table11[[#This Row],[Year of Inventory]]+1)</f>
        <v>8.8539104771273979E-3</v>
      </c>
    </row>
    <row r="337" spans="1:73" x14ac:dyDescent="0.25">
      <c r="A337" s="7" t="s">
        <v>1886</v>
      </c>
      <c r="B337" s="2">
        <v>2021</v>
      </c>
      <c r="C337" s="2">
        <v>2023</v>
      </c>
      <c r="D337" s="2">
        <f>Table11[[#This Row],[Planting Year]]+9</f>
        <v>2032</v>
      </c>
      <c r="E337" t="s">
        <v>1887</v>
      </c>
      <c r="F337" s="161">
        <v>20092</v>
      </c>
      <c r="G337" t="s">
        <v>1888</v>
      </c>
      <c r="H337" s="357" t="s">
        <v>1889</v>
      </c>
      <c r="I337" t="s">
        <v>155</v>
      </c>
      <c r="J337" s="1" t="s">
        <v>1890</v>
      </c>
      <c r="K337" s="1" t="s">
        <v>1891</v>
      </c>
      <c r="L337" s="1"/>
      <c r="M337" s="1" t="s">
        <v>213</v>
      </c>
      <c r="N337" t="s">
        <v>1892</v>
      </c>
      <c r="O337">
        <v>10.106916</v>
      </c>
      <c r="P337">
        <v>-83.469905999999995</v>
      </c>
      <c r="Q337" s="2"/>
      <c r="R337" s="86"/>
      <c r="S337" s="2"/>
      <c r="T337" s="1">
        <v>1000</v>
      </c>
      <c r="U337" s="1">
        <v>1000</v>
      </c>
      <c r="V337" s="1" t="str">
        <f>IF(Table11[[#This Row],['#TreesContract]]-Table11[[#This Row],['#Planted]]=0,"",Table11[[#This Row],['#TreesContract]]-Table11[[#This Row],['#Planted]])</f>
        <v/>
      </c>
      <c r="W337" s="2"/>
      <c r="X337" s="34">
        <v>1</v>
      </c>
      <c r="Y337" s="163">
        <f>Table11[[#This Row],['#TreesContract]]*Table11[[#This Row],[USA Allocation %]]</f>
        <v>1000</v>
      </c>
      <c r="Z337" s="163">
        <f>Table11[[#This Row],['#Planted]]*Table11[[#This Row],[USA Allocation %]]</f>
        <v>1000</v>
      </c>
      <c r="AA337" s="34"/>
      <c r="AB337" s="163"/>
      <c r="AC337" s="34"/>
      <c r="AD337" s="163"/>
      <c r="AE337" s="163">
        <f>Table11[[#This Row],[Canada Allocation-tree '#''s]]+Table11[[#This Row],[Can trees/Allocation 2017]]</f>
        <v>0</v>
      </c>
      <c r="AF337" s="5">
        <v>1</v>
      </c>
      <c r="AG337" s="2">
        <v>1000</v>
      </c>
      <c r="AH337" s="270">
        <f>Table11[[#This Row],['#Trees as of 12/31/23]]*Table11[[#This Row],[USA Allocation %]]</f>
        <v>1000</v>
      </c>
      <c r="AI337" s="437">
        <f>Table11[[#This Row],['#TreesContract]]*Table11[[#This Row],[2024 Inventory Survival%-master]]</f>
        <v>0</v>
      </c>
      <c r="AJ337" s="436"/>
      <c r="AK337" s="5">
        <v>1</v>
      </c>
      <c r="AL337" s="5">
        <v>1</v>
      </c>
      <c r="AM337" s="2">
        <v>1000</v>
      </c>
      <c r="AN337" s="35">
        <f>Table11[[#This Row],[2024 '#Trees Inventory + Estimate]]*Table11[[#This Row],[USA Allocation %]]</f>
        <v>1000</v>
      </c>
      <c r="AO337" s="35">
        <f>Table11[[#This Row],[2024 '#Trees Inventory + Estimate]]*Table11[[#This Row],[Canada Allocation %]]</f>
        <v>0</v>
      </c>
      <c r="AP337" s="35">
        <f>Table11[[#This Row],[2024 '#Trees Inventory + Estimate]]*Table11[[#This Row],[Canada Allocation2017 %]]</f>
        <v>0</v>
      </c>
      <c r="AQ337" s="35">
        <f>Table11[[#This Row],['#Trees as of 2024/estimate-Can allocation]]+Table11[[#This Row],['#Trees as of 2024/estimate-Can allocation 2017]]</f>
        <v>0</v>
      </c>
      <c r="AR337" s="1"/>
      <c r="AS337" s="2"/>
      <c r="AT337" s="6">
        <f>IFERROR(Table11[[#This Row],['#Total Replacements]]/Table11[[#This Row],['#TreesContract]],"")</f>
        <v>0.312</v>
      </c>
      <c r="AU337" s="4">
        <f>IF(SUM(Table11[[#This Row],['#Replace 24]:['#Replace 16]])=0,0,SUM(Table11[[#This Row],['#Replace 24]:['#Replace 16]]))</f>
        <v>312</v>
      </c>
      <c r="AV337" s="2"/>
      <c r="AW337" s="2">
        <v>62</v>
      </c>
      <c r="AX337" s="3">
        <v>250</v>
      </c>
      <c r="AY337" s="2"/>
      <c r="AZ337" s="2"/>
      <c r="BA337" s="2"/>
      <c r="BB337" s="2"/>
      <c r="BC337" s="2"/>
      <c r="BD337" s="2"/>
      <c r="BE337" s="2"/>
      <c r="BF337" s="3">
        <v>1</v>
      </c>
      <c r="BG337" s="3">
        <v>1</v>
      </c>
      <c r="BH337" s="2"/>
      <c r="BI337" s="2"/>
      <c r="BJ337" s="2"/>
      <c r="BK337" s="139">
        <f>Table11[[#This Row],[Average MHT
(Feet)]]/16</f>
        <v>0</v>
      </c>
      <c r="BL337" s="2"/>
      <c r="BM337" s="139">
        <f>Table11[[#This Row],[Average DBH
(inches)]]/18</f>
        <v>0</v>
      </c>
      <c r="BN337" s="235">
        <f>((Table11[[#This Row],[Average DBH
(inches)]]-4)^2)*(Table11[[#This Row],[Average MHT
(Feet)]]/16)</f>
        <v>0</v>
      </c>
      <c r="BO337" s="235">
        <f>Table11[[#This Row],[Average BF]]*Table11[[#This Row],[2024 '#Trees Inventory + Estimate]]</f>
        <v>0</v>
      </c>
      <c r="BP337" s="240">
        <f>(Table11[[#This Row],[Harvest Year
(10 year)]]-Table11[[#This Row],[Year of Inventory]]+1)*(Table11[[#This Row],[Average DBH
(inches)]]/(Table11[[#This Row],[Harvest Year
(10 year)]]-Table11[[#This Row],[Year of Inventory]]+1))+Table11[[#This Row],[Average DBH
(inches)]]</f>
        <v>0</v>
      </c>
      <c r="BQ337" s="235">
        <f>((Table11[[#This Row],[Projected DBH
(Extrapolated Growth/Year)]]-4)^2)*(Table11[[#This Row],[Average MHT
(Feet)]]/16)</f>
        <v>0</v>
      </c>
      <c r="BR337" s="235">
        <f>Table11[[#This Row],[Projected Average BF]]*Table11[[#This Row],[2024 '#Trees Inventory + Estimate]]</f>
        <v>0</v>
      </c>
      <c r="BS337" s="235">
        <f>196*Table11[[#This Row],[2024 '#Trees Inventory + Estimate]]</f>
        <v>196000</v>
      </c>
      <c r="BT337" s="243">
        <f>Table11[[#This Row],[ETP Offering Expected BF]]-Table11[[#This Row],[Projected Total BF]]</f>
        <v>196000</v>
      </c>
      <c r="BU337" s="235">
        <f>(18-Table11[[#This Row],[Average DBH
(inches)]])/(D337-Table11[[#This Row],[Year of Inventory]]+1)</f>
        <v>8.8539104771273979E-3</v>
      </c>
    </row>
    <row r="338" spans="1:73" x14ac:dyDescent="0.25">
      <c r="A338" s="7" t="s">
        <v>1893</v>
      </c>
      <c r="B338" s="2">
        <v>2021</v>
      </c>
      <c r="C338" s="2">
        <v>2023</v>
      </c>
      <c r="D338" s="2">
        <f>Table11[[#This Row],[Planting Year]]+9</f>
        <v>2032</v>
      </c>
      <c r="E338" t="s">
        <v>1894</v>
      </c>
      <c r="F338" s="161">
        <v>20093</v>
      </c>
      <c r="G338" t="s">
        <v>1895</v>
      </c>
      <c r="H338" s="357" t="s">
        <v>1896</v>
      </c>
      <c r="I338" t="s">
        <v>155</v>
      </c>
      <c r="J338" s="1" t="s">
        <v>1897</v>
      </c>
      <c r="K338" s="1" t="s">
        <v>1898</v>
      </c>
      <c r="L338" s="1"/>
      <c r="M338" s="1" t="s">
        <v>213</v>
      </c>
      <c r="N338" t="s">
        <v>1899</v>
      </c>
      <c r="O338">
        <v>9.9405555999999997</v>
      </c>
      <c r="P338">
        <v>-84.461111099999997</v>
      </c>
      <c r="Q338" s="2"/>
      <c r="R338" s="86"/>
      <c r="S338" s="2"/>
      <c r="T338" s="1">
        <v>1700</v>
      </c>
      <c r="U338" s="1">
        <v>1700</v>
      </c>
      <c r="V338" s="1" t="str">
        <f>IF(Table11[[#This Row],['#TreesContract]]-Table11[[#This Row],['#Planted]]=0,"",Table11[[#This Row],['#TreesContract]]-Table11[[#This Row],['#Planted]])</f>
        <v/>
      </c>
      <c r="W338" s="2"/>
      <c r="X338" s="34">
        <v>1</v>
      </c>
      <c r="Y338" s="163">
        <f>Table11[[#This Row],['#TreesContract]]*Table11[[#This Row],[USA Allocation %]]</f>
        <v>1700</v>
      </c>
      <c r="Z338" s="163">
        <f>Table11[[#This Row],['#Planted]]*Table11[[#This Row],[USA Allocation %]]</f>
        <v>1700</v>
      </c>
      <c r="AA338" s="34"/>
      <c r="AB338" s="163"/>
      <c r="AC338" s="34"/>
      <c r="AD338" s="163"/>
      <c r="AE338" s="163">
        <f>Table11[[#This Row],[Canada Allocation-tree '#''s]]+Table11[[#This Row],[Can trees/Allocation 2017]]</f>
        <v>0</v>
      </c>
      <c r="AF338" s="5">
        <v>1</v>
      </c>
      <c r="AG338" s="2">
        <v>1700</v>
      </c>
      <c r="AH338" s="270">
        <f>Table11[[#This Row],['#Trees as of 12/31/23]]*Table11[[#This Row],[USA Allocation %]]</f>
        <v>1700</v>
      </c>
      <c r="AI338" s="437">
        <f>Table11[[#This Row],['#TreesContract]]*Table11[[#This Row],[2024 Inventory Survival%-master]]</f>
        <v>0</v>
      </c>
      <c r="AJ338" s="436"/>
      <c r="AK338" s="5">
        <v>1</v>
      </c>
      <c r="AL338" s="5">
        <v>1</v>
      </c>
      <c r="AM338" s="2">
        <v>1700</v>
      </c>
      <c r="AN338" s="35">
        <f>Table11[[#This Row],[2024 '#Trees Inventory + Estimate]]*Table11[[#This Row],[USA Allocation %]]</f>
        <v>1700</v>
      </c>
      <c r="AO338" s="35">
        <f>Table11[[#This Row],[2024 '#Trees Inventory + Estimate]]*Table11[[#This Row],[Canada Allocation %]]</f>
        <v>0</v>
      </c>
      <c r="AP338" s="35">
        <f>Table11[[#This Row],[2024 '#Trees Inventory + Estimate]]*Table11[[#This Row],[Canada Allocation2017 %]]</f>
        <v>0</v>
      </c>
      <c r="AQ338" s="35">
        <f>Table11[[#This Row],['#Trees as of 2024/estimate-Can allocation]]+Table11[[#This Row],['#Trees as of 2024/estimate-Can allocation 2017]]</f>
        <v>0</v>
      </c>
      <c r="AR338" s="1"/>
      <c r="AS338" s="2"/>
      <c r="AT338" s="6">
        <f>IFERROR(Table11[[#This Row],['#Total Replacements]]/Table11[[#This Row],['#TreesContract]],"")</f>
        <v>0.20882352941176471</v>
      </c>
      <c r="AU338" s="4">
        <f>IF(SUM(Table11[[#This Row],['#Replace 24]:['#Replace 16]])=0,0,SUM(Table11[[#This Row],['#Replace 24]:['#Replace 16]]))</f>
        <v>355</v>
      </c>
      <c r="AV338" s="2"/>
      <c r="AW338" s="2">
        <v>355</v>
      </c>
      <c r="AX338" s="3"/>
      <c r="AY338" s="2"/>
      <c r="AZ338" s="2"/>
      <c r="BA338" s="2"/>
      <c r="BB338" s="2"/>
      <c r="BC338" s="2"/>
      <c r="BD338" s="2"/>
      <c r="BE338" s="2"/>
      <c r="BF338" s="3">
        <v>1</v>
      </c>
      <c r="BG338" s="3">
        <v>1</v>
      </c>
      <c r="BH338" s="2"/>
      <c r="BI338" s="158"/>
      <c r="BJ338" s="158"/>
      <c r="BK338" s="139">
        <f>Table11[[#This Row],[Average MHT
(Feet)]]/16</f>
        <v>0</v>
      </c>
      <c r="BL338" s="2"/>
      <c r="BM338" s="139">
        <f>Table11[[#This Row],[Average DBH
(inches)]]/18</f>
        <v>0</v>
      </c>
      <c r="BN338" s="235">
        <f>((Table11[[#This Row],[Average DBH
(inches)]]-4)^2)*(Table11[[#This Row],[Average MHT
(Feet)]]/16)</f>
        <v>0</v>
      </c>
      <c r="BO338" s="235">
        <f>Table11[[#This Row],[Average BF]]*Table11[[#This Row],[2024 '#Trees Inventory + Estimate]]</f>
        <v>0</v>
      </c>
      <c r="BP338" s="240">
        <f>(Table11[[#This Row],[Harvest Year
(10 year)]]-Table11[[#This Row],[Year of Inventory]]+1)*(Table11[[#This Row],[Average DBH
(inches)]]/(Table11[[#This Row],[Harvest Year
(10 year)]]-Table11[[#This Row],[Year of Inventory]]+1))+Table11[[#This Row],[Average DBH
(inches)]]</f>
        <v>0</v>
      </c>
      <c r="BQ338" s="235">
        <f>((Table11[[#This Row],[Projected DBH
(Extrapolated Growth/Year)]]-4)^2)*(Table11[[#This Row],[Average MHT
(Feet)]]/16)</f>
        <v>0</v>
      </c>
      <c r="BR338" s="235">
        <f>Table11[[#This Row],[Projected Average BF]]*Table11[[#This Row],[2024 '#Trees Inventory + Estimate]]</f>
        <v>0</v>
      </c>
      <c r="BS338" s="235">
        <f>196*Table11[[#This Row],[2024 '#Trees Inventory + Estimate]]</f>
        <v>333200</v>
      </c>
      <c r="BT338" s="243">
        <f>Table11[[#This Row],[ETP Offering Expected BF]]-Table11[[#This Row],[Projected Total BF]]</f>
        <v>333200</v>
      </c>
      <c r="BU338" s="235">
        <f>(18-Table11[[#This Row],[Average DBH
(inches)]])/(D338-Table11[[#This Row],[Year of Inventory]]+1)</f>
        <v>8.8539104771273979E-3</v>
      </c>
    </row>
    <row r="339" spans="1:73" x14ac:dyDescent="0.25">
      <c r="A339" s="7" t="s">
        <v>1900</v>
      </c>
      <c r="B339" s="2">
        <v>2022</v>
      </c>
      <c r="C339" s="2">
        <v>2023</v>
      </c>
      <c r="D339" s="2">
        <f>Table11[[#This Row],[Planting Year]]+9</f>
        <v>2032</v>
      </c>
      <c r="E339" t="s">
        <v>1901</v>
      </c>
      <c r="F339" s="161">
        <v>20094</v>
      </c>
      <c r="G339" t="s">
        <v>1902</v>
      </c>
      <c r="H339" s="357" t="s">
        <v>1903</v>
      </c>
      <c r="I339" t="s">
        <v>155</v>
      </c>
      <c r="J339" s="1" t="s">
        <v>1904</v>
      </c>
      <c r="K339" s="1" t="s">
        <v>1905</v>
      </c>
      <c r="L339" s="1"/>
      <c r="M339" s="1" t="s">
        <v>213</v>
      </c>
      <c r="N339" t="s">
        <v>1906</v>
      </c>
      <c r="O339">
        <v>10.311762999999999</v>
      </c>
      <c r="P339">
        <v>-85.032073999999994</v>
      </c>
      <c r="Q339" s="2"/>
      <c r="R339" s="86"/>
      <c r="S339" s="2"/>
      <c r="T339" s="1">
        <v>1200</v>
      </c>
      <c r="U339" s="1">
        <v>1200</v>
      </c>
      <c r="V339" s="1" t="str">
        <f>IF(Table11[[#This Row],['#TreesContract]]-Table11[[#This Row],['#Planted]]=0,"",Table11[[#This Row],['#TreesContract]]-Table11[[#This Row],['#Planted]])</f>
        <v/>
      </c>
      <c r="W339" s="2"/>
      <c r="X339" s="34">
        <v>1</v>
      </c>
      <c r="Y339" s="163">
        <f>Table11[[#This Row],['#TreesContract]]*Table11[[#This Row],[USA Allocation %]]</f>
        <v>1200</v>
      </c>
      <c r="Z339" s="163">
        <f>Table11[[#This Row],['#Planted]]*Table11[[#This Row],[USA Allocation %]]</f>
        <v>1200</v>
      </c>
      <c r="AA339" s="34"/>
      <c r="AB339" s="163"/>
      <c r="AC339" s="34"/>
      <c r="AD339" s="163"/>
      <c r="AE339" s="163">
        <f>Table11[[#This Row],[Canada Allocation-tree '#''s]]+Table11[[#This Row],[Can trees/Allocation 2017]]</f>
        <v>0</v>
      </c>
      <c r="AF339" s="5">
        <v>1</v>
      </c>
      <c r="AG339" s="2">
        <v>1200</v>
      </c>
      <c r="AH339" s="270">
        <f>Table11[[#This Row],['#Trees as of 12/31/23]]*Table11[[#This Row],[USA Allocation %]]</f>
        <v>1200</v>
      </c>
      <c r="AI339" s="437">
        <f>Table11[[#This Row],['#TreesContract]]*Table11[[#This Row],[2024 Inventory Survival%-master]]</f>
        <v>1143.5999999999999</v>
      </c>
      <c r="AJ339" s="436">
        <v>0.95299999999999996</v>
      </c>
      <c r="AK339" s="5">
        <v>0.95</v>
      </c>
      <c r="AL339" s="5">
        <v>0.95</v>
      </c>
      <c r="AM339" s="2">
        <v>1144</v>
      </c>
      <c r="AN339" s="35">
        <f>Table11[[#This Row],[2024 '#Trees Inventory + Estimate]]*Table11[[#This Row],[USA Allocation %]]</f>
        <v>1144</v>
      </c>
      <c r="AO339" s="35">
        <f>Table11[[#This Row],[2024 '#Trees Inventory + Estimate]]*Table11[[#This Row],[Canada Allocation %]]</f>
        <v>0</v>
      </c>
      <c r="AP339" s="35">
        <f>Table11[[#This Row],[2024 '#Trees Inventory + Estimate]]*Table11[[#This Row],[Canada Allocation2017 %]]</f>
        <v>0</v>
      </c>
      <c r="AQ339" s="35">
        <f>Table11[[#This Row],['#Trees as of 2024/estimate-Can allocation]]+Table11[[#This Row],['#Trees as of 2024/estimate-Can allocation 2017]]</f>
        <v>0</v>
      </c>
      <c r="AR339" s="1"/>
      <c r="AS339" s="2"/>
      <c r="AT339" s="6">
        <f>IFERROR(Table11[[#This Row],['#Total Replacements]]/Table11[[#This Row],['#TreesContract]],"")</f>
        <v>8.3333333333333329E-2</v>
      </c>
      <c r="AU339" s="4">
        <f>IF(SUM(Table11[[#This Row],['#Replace 24]:['#Replace 16]])=0,0,SUM(Table11[[#This Row],['#Replace 24]:['#Replace 16]]))</f>
        <v>100</v>
      </c>
      <c r="AV339" s="2"/>
      <c r="AW339" s="2"/>
      <c r="AX339" s="3">
        <v>100</v>
      </c>
      <c r="AY339" s="2"/>
      <c r="AZ339" s="2"/>
      <c r="BA339" s="2"/>
      <c r="BB339" s="2"/>
      <c r="BC339" s="2"/>
      <c r="BD339" s="2"/>
      <c r="BE339" s="2"/>
      <c r="BF339" s="3">
        <v>1</v>
      </c>
      <c r="BG339" s="3">
        <v>1</v>
      </c>
      <c r="BH339" s="2">
        <v>2024</v>
      </c>
      <c r="BI339" s="2">
        <v>11.22</v>
      </c>
      <c r="BJ339" s="2">
        <v>8.91</v>
      </c>
      <c r="BK339" s="139">
        <f>Table11[[#This Row],[Average MHT
(Feet)]]/16</f>
        <v>0.55687500000000001</v>
      </c>
      <c r="BL339" s="2">
        <v>3.12</v>
      </c>
      <c r="BM339" s="139">
        <f>Table11[[#This Row],[Average DBH
(inches)]]/18</f>
        <v>0.17333333333333334</v>
      </c>
      <c r="BN339" s="235">
        <f>((Table11[[#This Row],[Average DBH
(inches)]]-4)^2)*(Table11[[#This Row],[Average MHT
(Feet)]]/16)</f>
        <v>0.43124399999999991</v>
      </c>
      <c r="BO339" s="235">
        <f>Table11[[#This Row],[Average BF]]*Table11[[#This Row],[2024 '#Trees Inventory + Estimate]]</f>
        <v>493.3431359999999</v>
      </c>
      <c r="BP339" s="240">
        <f>(Table11[[#This Row],[Harvest Year
(10 year)]]-Table11[[#This Row],[Year of Inventory]]+1)*(Table11[[#This Row],[Average DBH
(inches)]]/(Table11[[#This Row],[Harvest Year
(10 year)]]-Table11[[#This Row],[Year of Inventory]]+1))+Table11[[#This Row],[Average DBH
(inches)]]</f>
        <v>6.24</v>
      </c>
      <c r="BQ339" s="235">
        <f>((Table11[[#This Row],[Projected DBH
(Extrapolated Growth/Year)]]-4)^2)*(Table11[[#This Row],[Average MHT
(Feet)]]/16)</f>
        <v>2.7941760000000007</v>
      </c>
      <c r="BR339" s="235">
        <f>Table11[[#This Row],[Projected Average BF]]*Table11[[#This Row],[2024 '#Trees Inventory + Estimate]]</f>
        <v>3196.5373440000008</v>
      </c>
      <c r="BS339" s="235">
        <f>196*Table11[[#This Row],[2024 '#Trees Inventory + Estimate]]</f>
        <v>224224</v>
      </c>
      <c r="BT339" s="243">
        <f>Table11[[#This Row],[ETP Offering Expected BF]]-Table11[[#This Row],[Projected Total BF]]</f>
        <v>221027.46265599999</v>
      </c>
      <c r="BU339" s="235">
        <f>(18-Table11[[#This Row],[Average DBH
(inches)]])/(D339-Table11[[#This Row],[Year of Inventory]]+1)</f>
        <v>1.6533333333333333</v>
      </c>
    </row>
    <row r="340" spans="1:73" x14ac:dyDescent="0.25">
      <c r="A340" s="7" t="s">
        <v>1907</v>
      </c>
      <c r="B340" s="2">
        <v>2022</v>
      </c>
      <c r="C340" s="2">
        <v>2023</v>
      </c>
      <c r="D340" s="2">
        <f>Table11[[#This Row],[Planting Year]]+9</f>
        <v>2032</v>
      </c>
      <c r="E340" t="s">
        <v>1908</v>
      </c>
      <c r="F340" s="161">
        <v>20095</v>
      </c>
      <c r="G340" t="s">
        <v>1909</v>
      </c>
      <c r="H340" s="357" t="s">
        <v>1910</v>
      </c>
      <c r="I340" t="s">
        <v>155</v>
      </c>
      <c r="J340" s="1" t="s">
        <v>1911</v>
      </c>
      <c r="K340" s="1" t="s">
        <v>1912</v>
      </c>
      <c r="L340" s="1"/>
      <c r="M340" s="1" t="s">
        <v>213</v>
      </c>
      <c r="N340" t="s">
        <v>1913</v>
      </c>
      <c r="O340">
        <v>8.9489619999999999</v>
      </c>
      <c r="P340">
        <v>-83.454375999999996</v>
      </c>
      <c r="Q340" s="2"/>
      <c r="R340" s="86"/>
      <c r="S340" s="2"/>
      <c r="T340" s="1">
        <v>2000</v>
      </c>
      <c r="U340" s="1">
        <v>2000</v>
      </c>
      <c r="V340" s="1" t="str">
        <f>IF(Table11[[#This Row],['#TreesContract]]-Table11[[#This Row],['#Planted]]=0,"",Table11[[#This Row],['#TreesContract]]-Table11[[#This Row],['#Planted]])</f>
        <v/>
      </c>
      <c r="W340" s="2"/>
      <c r="X340" s="34">
        <v>1</v>
      </c>
      <c r="Y340" s="163">
        <f>Table11[[#This Row],['#TreesContract]]*Table11[[#This Row],[USA Allocation %]]</f>
        <v>2000</v>
      </c>
      <c r="Z340" s="163">
        <f>Table11[[#This Row],['#Planted]]*Table11[[#This Row],[USA Allocation %]]</f>
        <v>2000</v>
      </c>
      <c r="AA340" s="34"/>
      <c r="AB340" s="163"/>
      <c r="AC340" s="34"/>
      <c r="AD340" s="163"/>
      <c r="AE340" s="163">
        <f>Table11[[#This Row],[Canada Allocation-tree '#''s]]+Table11[[#This Row],[Can trees/Allocation 2017]]</f>
        <v>0</v>
      </c>
      <c r="AF340" s="5">
        <v>1</v>
      </c>
      <c r="AG340" s="2">
        <v>2000</v>
      </c>
      <c r="AH340" s="270">
        <f>Table11[[#This Row],['#Trees as of 12/31/23]]*Table11[[#This Row],[USA Allocation %]]</f>
        <v>2000</v>
      </c>
      <c r="AI340" s="437">
        <f>Table11[[#This Row],['#TreesContract]]*Table11[[#This Row],[2024 Inventory Survival%-master]]</f>
        <v>0</v>
      </c>
      <c r="AJ340" s="436"/>
      <c r="AK340" s="5">
        <v>1</v>
      </c>
      <c r="AL340" s="5">
        <v>1</v>
      </c>
      <c r="AM340" s="2">
        <v>2000</v>
      </c>
      <c r="AN340" s="35">
        <f>Table11[[#This Row],[2024 '#Trees Inventory + Estimate]]*Table11[[#This Row],[USA Allocation %]]</f>
        <v>2000</v>
      </c>
      <c r="AO340" s="35">
        <f>Table11[[#This Row],[2024 '#Trees Inventory + Estimate]]*Table11[[#This Row],[Canada Allocation %]]</f>
        <v>0</v>
      </c>
      <c r="AP340" s="35">
        <f>Table11[[#This Row],[2024 '#Trees Inventory + Estimate]]*Table11[[#This Row],[Canada Allocation2017 %]]</f>
        <v>0</v>
      </c>
      <c r="AQ340" s="35">
        <f>Table11[[#This Row],['#Trees as of 2024/estimate-Can allocation]]+Table11[[#This Row],['#Trees as of 2024/estimate-Can allocation 2017]]</f>
        <v>0</v>
      </c>
      <c r="AR340" s="1"/>
      <c r="AS340" s="2"/>
      <c r="AT340" s="6">
        <f>IFERROR(Table11[[#This Row],['#Total Replacements]]/Table11[[#This Row],['#TreesContract]],"")</f>
        <v>0.09</v>
      </c>
      <c r="AU340" s="4">
        <f>IF(SUM(Table11[[#This Row],['#Replace 24]:['#Replace 16]])=0,0,SUM(Table11[[#This Row],['#Replace 24]:['#Replace 16]]))</f>
        <v>180</v>
      </c>
      <c r="AV340" s="2"/>
      <c r="AW340" s="2">
        <v>180</v>
      </c>
      <c r="AX340" s="3"/>
      <c r="AY340" s="2"/>
      <c r="AZ340" s="2"/>
      <c r="BA340" s="2"/>
      <c r="BB340" s="2"/>
      <c r="BC340" s="2"/>
      <c r="BD340" s="2"/>
      <c r="BE340" s="2"/>
      <c r="BF340" s="3">
        <v>1</v>
      </c>
      <c r="BG340" s="3">
        <v>1</v>
      </c>
      <c r="BH340" s="2"/>
      <c r="BI340" s="158"/>
      <c r="BJ340" s="158"/>
      <c r="BK340" s="139">
        <f>Table11[[#This Row],[Average MHT
(Feet)]]/16</f>
        <v>0</v>
      </c>
      <c r="BL340" s="2"/>
      <c r="BM340" s="139">
        <f>Table11[[#This Row],[Average DBH
(inches)]]/18</f>
        <v>0</v>
      </c>
      <c r="BN340" s="235">
        <f>((Table11[[#This Row],[Average DBH
(inches)]]-4)^2)*(Table11[[#This Row],[Average MHT
(Feet)]]/16)</f>
        <v>0</v>
      </c>
      <c r="BO340" s="235">
        <f>Table11[[#This Row],[Average BF]]*Table11[[#This Row],[2024 '#Trees Inventory + Estimate]]</f>
        <v>0</v>
      </c>
      <c r="BP340" s="240">
        <f>(Table11[[#This Row],[Harvest Year
(10 year)]]-Table11[[#This Row],[Year of Inventory]]+1)*(Table11[[#This Row],[Average DBH
(inches)]]/(Table11[[#This Row],[Harvest Year
(10 year)]]-Table11[[#This Row],[Year of Inventory]]+1))+Table11[[#This Row],[Average DBH
(inches)]]</f>
        <v>0</v>
      </c>
      <c r="BQ340" s="235">
        <f>((Table11[[#This Row],[Projected DBH
(Extrapolated Growth/Year)]]-4)^2)*(Table11[[#This Row],[Average MHT
(Feet)]]/16)</f>
        <v>0</v>
      </c>
      <c r="BR340" s="235">
        <f>Table11[[#This Row],[Projected Average BF]]*Table11[[#This Row],[2024 '#Trees Inventory + Estimate]]</f>
        <v>0</v>
      </c>
      <c r="BS340" s="235">
        <f>196*Table11[[#This Row],[2024 '#Trees Inventory + Estimate]]</f>
        <v>392000</v>
      </c>
      <c r="BT340" s="243">
        <f>Table11[[#This Row],[ETP Offering Expected BF]]-Table11[[#This Row],[Projected Total BF]]</f>
        <v>392000</v>
      </c>
      <c r="BU340" s="235">
        <f>(18-Table11[[#This Row],[Average DBH
(inches)]])/(D340-Table11[[#This Row],[Year of Inventory]]+1)</f>
        <v>8.8539104771273979E-3</v>
      </c>
    </row>
    <row r="341" spans="1:73" x14ac:dyDescent="0.25">
      <c r="A341" s="7" t="s">
        <v>1914</v>
      </c>
      <c r="B341" s="2">
        <v>2022</v>
      </c>
      <c r="C341" s="2">
        <v>2023</v>
      </c>
      <c r="D341" s="2">
        <f>Table11[[#This Row],[Planting Year]]+9</f>
        <v>2032</v>
      </c>
      <c r="E341" t="s">
        <v>1915</v>
      </c>
      <c r="F341" s="161">
        <v>20096</v>
      </c>
      <c r="G341" t="s">
        <v>1916</v>
      </c>
      <c r="H341" s="357" t="s">
        <v>1917</v>
      </c>
      <c r="I341" t="s">
        <v>155</v>
      </c>
      <c r="J341" s="1" t="s">
        <v>1918</v>
      </c>
      <c r="K341" s="1" t="s">
        <v>1919</v>
      </c>
      <c r="L341" s="1"/>
      <c r="M341" s="1" t="s">
        <v>213</v>
      </c>
      <c r="N341" t="s">
        <v>1920</v>
      </c>
      <c r="O341">
        <v>10.357575000000001</v>
      </c>
      <c r="P341">
        <v>-84.067108000000005</v>
      </c>
      <c r="Q341" s="2"/>
      <c r="R341" s="86"/>
      <c r="S341" s="2"/>
      <c r="T341" s="1">
        <v>2000</v>
      </c>
      <c r="U341" s="1">
        <v>2000</v>
      </c>
      <c r="V341" s="1" t="str">
        <f>IF(Table11[[#This Row],['#TreesContract]]-Table11[[#This Row],['#Planted]]=0,"",Table11[[#This Row],['#TreesContract]]-Table11[[#This Row],['#Planted]])</f>
        <v/>
      </c>
      <c r="W341" s="2"/>
      <c r="X341" s="34">
        <v>1</v>
      </c>
      <c r="Y341" s="163">
        <f>Table11[[#This Row],['#TreesContract]]*Table11[[#This Row],[USA Allocation %]]</f>
        <v>2000</v>
      </c>
      <c r="Z341" s="163">
        <f>Table11[[#This Row],['#Planted]]*Table11[[#This Row],[USA Allocation %]]</f>
        <v>2000</v>
      </c>
      <c r="AA341" s="34"/>
      <c r="AB341" s="163"/>
      <c r="AC341" s="34"/>
      <c r="AD341" s="163"/>
      <c r="AE341" s="163">
        <f>Table11[[#This Row],[Canada Allocation-tree '#''s]]+Table11[[#This Row],[Can trees/Allocation 2017]]</f>
        <v>0</v>
      </c>
      <c r="AF341" s="5">
        <v>1</v>
      </c>
      <c r="AG341" s="2">
        <v>2000</v>
      </c>
      <c r="AH341" s="270">
        <f>Table11[[#This Row],['#Trees as of 12/31/23]]*Table11[[#This Row],[USA Allocation %]]</f>
        <v>2000</v>
      </c>
      <c r="AI341" s="437">
        <f>Table11[[#This Row],['#TreesContract]]*Table11[[#This Row],[2024 Inventory Survival%-master]]</f>
        <v>1862</v>
      </c>
      <c r="AJ341" s="436">
        <v>0.93100000000000005</v>
      </c>
      <c r="AK341" s="5">
        <v>0.93</v>
      </c>
      <c r="AL341" s="5">
        <v>0.93</v>
      </c>
      <c r="AM341" s="2">
        <v>1862</v>
      </c>
      <c r="AN341" s="35">
        <f>Table11[[#This Row],[2024 '#Trees Inventory + Estimate]]*Table11[[#This Row],[USA Allocation %]]</f>
        <v>1862</v>
      </c>
      <c r="AO341" s="35">
        <f>Table11[[#This Row],[2024 '#Trees Inventory + Estimate]]*Table11[[#This Row],[Canada Allocation %]]</f>
        <v>0</v>
      </c>
      <c r="AP341" s="35">
        <f>Table11[[#This Row],[2024 '#Trees Inventory + Estimate]]*Table11[[#This Row],[Canada Allocation2017 %]]</f>
        <v>0</v>
      </c>
      <c r="AQ341" s="35">
        <f>Table11[[#This Row],['#Trees as of 2024/estimate-Can allocation]]+Table11[[#This Row],['#Trees as of 2024/estimate-Can allocation 2017]]</f>
        <v>0</v>
      </c>
      <c r="AR341" s="1"/>
      <c r="AS341" s="2"/>
      <c r="AT341" s="6">
        <f>IFERROR(Table11[[#This Row],['#Total Replacements]]/Table11[[#This Row],['#TreesContract]],"")</f>
        <v>7.0000000000000007E-2</v>
      </c>
      <c r="AU341" s="4">
        <f>IF(SUM(Table11[[#This Row],['#Replace 24]:['#Replace 16]])=0,0,SUM(Table11[[#This Row],['#Replace 24]:['#Replace 16]]))</f>
        <v>140</v>
      </c>
      <c r="AV341" s="2"/>
      <c r="AW341" s="2">
        <v>140</v>
      </c>
      <c r="AX341" s="3"/>
      <c r="AY341" s="2"/>
      <c r="AZ341" s="2"/>
      <c r="BA341" s="2"/>
      <c r="BB341" s="2"/>
      <c r="BC341" s="2"/>
      <c r="BD341" s="2"/>
      <c r="BE341" s="2"/>
      <c r="BF341" s="3">
        <v>1</v>
      </c>
      <c r="BG341" s="3">
        <v>1</v>
      </c>
      <c r="BH341" s="2">
        <v>2024</v>
      </c>
      <c r="BI341" s="2">
        <v>0</v>
      </c>
      <c r="BJ341" s="2">
        <v>0</v>
      </c>
      <c r="BK341" s="139">
        <f>Table11[[#This Row],[Average MHT
(Feet)]]/16</f>
        <v>0</v>
      </c>
      <c r="BL341" s="2">
        <v>0</v>
      </c>
      <c r="BM341" s="139">
        <f>Table11[[#This Row],[Average DBH
(inches)]]/18</f>
        <v>0</v>
      </c>
      <c r="BN341" s="235">
        <f>((Table11[[#This Row],[Average DBH
(inches)]]-4)^2)*(Table11[[#This Row],[Average MHT
(Feet)]]/16)</f>
        <v>0</v>
      </c>
      <c r="BO341" s="235">
        <f>Table11[[#This Row],[Average BF]]*Table11[[#This Row],[2024 '#Trees Inventory + Estimate]]</f>
        <v>0</v>
      </c>
      <c r="BP341" s="240">
        <f>(Table11[[#This Row],[Harvest Year
(10 year)]]-Table11[[#This Row],[Year of Inventory]]+1)*(Table11[[#This Row],[Average DBH
(inches)]]/(Table11[[#This Row],[Harvest Year
(10 year)]]-Table11[[#This Row],[Year of Inventory]]+1))+Table11[[#This Row],[Average DBH
(inches)]]</f>
        <v>0</v>
      </c>
      <c r="BQ341" s="235">
        <f>((Table11[[#This Row],[Projected DBH
(Extrapolated Growth/Year)]]-4)^2)*(Table11[[#This Row],[Average MHT
(Feet)]]/16)</f>
        <v>0</v>
      </c>
      <c r="BR341" s="235">
        <f>Table11[[#This Row],[Projected Average BF]]*Table11[[#This Row],[2024 '#Trees Inventory + Estimate]]</f>
        <v>0</v>
      </c>
      <c r="BS341" s="235">
        <f>196*Table11[[#This Row],[2024 '#Trees Inventory + Estimate]]</f>
        <v>364952</v>
      </c>
      <c r="BT341" s="243">
        <f>Table11[[#This Row],[ETP Offering Expected BF]]-Table11[[#This Row],[Projected Total BF]]</f>
        <v>364952</v>
      </c>
      <c r="BU341" s="235">
        <f>(18-Table11[[#This Row],[Average DBH
(inches)]])/(D341-Table11[[#This Row],[Year of Inventory]]+1)</f>
        <v>2</v>
      </c>
    </row>
    <row r="342" spans="1:73" x14ac:dyDescent="0.25">
      <c r="A342" s="7" t="s">
        <v>1921</v>
      </c>
      <c r="B342" s="2">
        <v>2021</v>
      </c>
      <c r="C342" s="2">
        <v>2023</v>
      </c>
      <c r="D342" s="2">
        <f>Table11[[#This Row],[Planting Year]]+9</f>
        <v>2032</v>
      </c>
      <c r="E342" t="s">
        <v>1922</v>
      </c>
      <c r="F342" s="161">
        <v>20097</v>
      </c>
      <c r="G342" t="s">
        <v>1922</v>
      </c>
      <c r="H342" s="357" t="s">
        <v>1923</v>
      </c>
      <c r="I342" t="s">
        <v>155</v>
      </c>
      <c r="J342" s="1" t="s">
        <v>1924</v>
      </c>
      <c r="K342" s="1" t="s">
        <v>1925</v>
      </c>
      <c r="L342" s="1"/>
      <c r="M342" s="1" t="s">
        <v>213</v>
      </c>
      <c r="N342" t="s">
        <v>1926</v>
      </c>
      <c r="O342">
        <v>9.6813889999999994</v>
      </c>
      <c r="P342">
        <v>-82.927466999999993</v>
      </c>
      <c r="Q342" s="2"/>
      <c r="R342" s="86"/>
      <c r="S342" s="2"/>
      <c r="T342" s="1">
        <v>2400</v>
      </c>
      <c r="U342" s="1">
        <v>2400</v>
      </c>
      <c r="V342" s="1" t="str">
        <f>IF(Table11[[#This Row],['#TreesContract]]-Table11[[#This Row],['#Planted]]=0,"",Table11[[#This Row],['#TreesContract]]-Table11[[#This Row],['#Planted]])</f>
        <v/>
      </c>
      <c r="W342" s="2"/>
      <c r="X342" s="34">
        <v>1</v>
      </c>
      <c r="Y342" s="163">
        <f>Table11[[#This Row],['#TreesContract]]*Table11[[#This Row],[USA Allocation %]]</f>
        <v>2400</v>
      </c>
      <c r="Z342" s="163">
        <f>Table11[[#This Row],['#Planted]]*Table11[[#This Row],[USA Allocation %]]</f>
        <v>2400</v>
      </c>
      <c r="AA342" s="34"/>
      <c r="AB342" s="163"/>
      <c r="AC342" s="34"/>
      <c r="AD342" s="163"/>
      <c r="AE342" s="163">
        <f>Table11[[#This Row],[Canada Allocation-tree '#''s]]+Table11[[#This Row],[Can trees/Allocation 2017]]</f>
        <v>0</v>
      </c>
      <c r="AF342" s="5">
        <v>1</v>
      </c>
      <c r="AG342" s="2">
        <v>2400</v>
      </c>
      <c r="AH342" s="270">
        <f>Table11[[#This Row],['#Trees as of 12/31/23]]*Table11[[#This Row],[USA Allocation %]]</f>
        <v>2400</v>
      </c>
      <c r="AI342" s="437">
        <f>Table11[[#This Row],['#TreesContract]]*Table11[[#This Row],[2024 Inventory Survival%-master]]</f>
        <v>0</v>
      </c>
      <c r="AJ342" s="436"/>
      <c r="AK342" s="5">
        <v>1</v>
      </c>
      <c r="AL342" s="5">
        <v>1</v>
      </c>
      <c r="AM342" s="2">
        <v>2400</v>
      </c>
      <c r="AN342" s="35">
        <f>Table11[[#This Row],[2024 '#Trees Inventory + Estimate]]*Table11[[#This Row],[USA Allocation %]]</f>
        <v>2400</v>
      </c>
      <c r="AO342" s="35">
        <f>Table11[[#This Row],[2024 '#Trees Inventory + Estimate]]*Table11[[#This Row],[Canada Allocation %]]</f>
        <v>0</v>
      </c>
      <c r="AP342" s="35">
        <f>Table11[[#This Row],[2024 '#Trees Inventory + Estimate]]*Table11[[#This Row],[Canada Allocation2017 %]]</f>
        <v>0</v>
      </c>
      <c r="AQ342" s="35">
        <f>Table11[[#This Row],['#Trees as of 2024/estimate-Can allocation]]+Table11[[#This Row],['#Trees as of 2024/estimate-Can allocation 2017]]</f>
        <v>0</v>
      </c>
      <c r="AR342" s="1"/>
      <c r="AS342" s="2"/>
      <c r="AT342" s="6">
        <f>IFERROR(Table11[[#This Row],['#Total Replacements]]/Table11[[#This Row],['#TreesContract]],"")</f>
        <v>0</v>
      </c>
      <c r="AU342" s="4">
        <f>IF(SUM(Table11[[#This Row],['#Replace 24]:['#Replace 16]])=0,0,SUM(Table11[[#This Row],['#Replace 24]:['#Replace 16]]))</f>
        <v>0</v>
      </c>
      <c r="AV342" s="2"/>
      <c r="AW342" s="2"/>
      <c r="AX342" s="3"/>
      <c r="AY342" s="2"/>
      <c r="AZ342" s="2"/>
      <c r="BA342" s="2"/>
      <c r="BB342" s="2"/>
      <c r="BC342" s="2"/>
      <c r="BD342" s="2"/>
      <c r="BE342" s="2"/>
      <c r="BF342" s="3">
        <v>1</v>
      </c>
      <c r="BG342" s="3">
        <v>1</v>
      </c>
      <c r="BH342" s="2"/>
      <c r="BI342" s="158"/>
      <c r="BJ342" s="158"/>
      <c r="BK342" s="139">
        <f>Table11[[#This Row],[Average MHT
(Feet)]]/16</f>
        <v>0</v>
      </c>
      <c r="BL342" s="2"/>
      <c r="BM342" s="139">
        <f>Table11[[#This Row],[Average DBH
(inches)]]/18</f>
        <v>0</v>
      </c>
      <c r="BN342" s="235">
        <f>((Table11[[#This Row],[Average DBH
(inches)]]-4)^2)*(Table11[[#This Row],[Average MHT
(Feet)]]/16)</f>
        <v>0</v>
      </c>
      <c r="BO342" s="235">
        <f>Table11[[#This Row],[Average BF]]*Table11[[#This Row],[2024 '#Trees Inventory + Estimate]]</f>
        <v>0</v>
      </c>
      <c r="BP342" s="240">
        <f>(Table11[[#This Row],[Harvest Year
(10 year)]]-Table11[[#This Row],[Year of Inventory]]+1)*(Table11[[#This Row],[Average DBH
(inches)]]/(Table11[[#This Row],[Harvest Year
(10 year)]]-Table11[[#This Row],[Year of Inventory]]+1))+Table11[[#This Row],[Average DBH
(inches)]]</f>
        <v>0</v>
      </c>
      <c r="BQ342" s="235">
        <f>((Table11[[#This Row],[Projected DBH
(Extrapolated Growth/Year)]]-4)^2)*(Table11[[#This Row],[Average MHT
(Feet)]]/16)</f>
        <v>0</v>
      </c>
      <c r="BR342" s="235">
        <f>Table11[[#This Row],[Projected Average BF]]*Table11[[#This Row],[2024 '#Trees Inventory + Estimate]]</f>
        <v>0</v>
      </c>
      <c r="BS342" s="235">
        <f>196*Table11[[#This Row],[2024 '#Trees Inventory + Estimate]]</f>
        <v>470400</v>
      </c>
      <c r="BT342" s="243">
        <f>Table11[[#This Row],[ETP Offering Expected BF]]-Table11[[#This Row],[Projected Total BF]]</f>
        <v>470400</v>
      </c>
      <c r="BU342" s="235">
        <f>(18-Table11[[#This Row],[Average DBH
(inches)]])/(D342-Table11[[#This Row],[Year of Inventory]]+1)</f>
        <v>8.8539104771273979E-3</v>
      </c>
    </row>
    <row r="343" spans="1:73" hidden="1" x14ac:dyDescent="0.25">
      <c r="A343" s="7" t="s">
        <v>1927</v>
      </c>
      <c r="B343" s="2">
        <v>2022</v>
      </c>
      <c r="C343" s="2">
        <v>2023</v>
      </c>
      <c r="D343" s="2">
        <f>Table11[[#This Row],[Planting Year]]+9</f>
        <v>2032</v>
      </c>
      <c r="E343" t="s">
        <v>1928</v>
      </c>
      <c r="F343" s="161">
        <v>30017</v>
      </c>
      <c r="G343" t="s">
        <v>1928</v>
      </c>
      <c r="H343" s="357" t="s">
        <v>1142</v>
      </c>
      <c r="I343" t="s">
        <v>155</v>
      </c>
      <c r="J343" s="1" t="s">
        <v>1143</v>
      </c>
      <c r="K343" s="1" t="s">
        <v>1144</v>
      </c>
      <c r="L343" s="1" t="s">
        <v>1145</v>
      </c>
      <c r="M343" s="1" t="s">
        <v>574</v>
      </c>
      <c r="N343" t="s">
        <v>1929</v>
      </c>
      <c r="O343">
        <v>14.131221999999999</v>
      </c>
      <c r="P343">
        <v>-90.386278000000004</v>
      </c>
      <c r="Q343" s="2"/>
      <c r="R343" s="86"/>
      <c r="S343" s="2"/>
      <c r="T343" s="1">
        <v>1000</v>
      </c>
      <c r="U343" s="1">
        <v>1000</v>
      </c>
      <c r="V343" s="1" t="str">
        <f>IF(Table11[[#This Row],['#TreesContract]]-Table11[[#This Row],['#Planted]]=0,"",Table11[[#This Row],['#TreesContract]]-Table11[[#This Row],['#Planted]])</f>
        <v/>
      </c>
      <c r="W343" s="2"/>
      <c r="X343" s="34">
        <v>1</v>
      </c>
      <c r="Y343" s="163">
        <f>Table11[[#This Row],['#TreesContract]]*Table11[[#This Row],[USA Allocation %]]</f>
        <v>1000</v>
      </c>
      <c r="Z343" s="163">
        <f>Table11[[#This Row],['#Planted]]*Table11[[#This Row],[USA Allocation %]]</f>
        <v>1000</v>
      </c>
      <c r="AA343" s="34"/>
      <c r="AB343" s="163"/>
      <c r="AC343" s="34"/>
      <c r="AD343" s="163"/>
      <c r="AE343" s="163">
        <f>Table11[[#This Row],[Canada Allocation-tree '#''s]]+Table11[[#This Row],[Can trees/Allocation 2017]]</f>
        <v>0</v>
      </c>
      <c r="AF343" s="5">
        <v>1</v>
      </c>
      <c r="AG343" s="35">
        <v>1000</v>
      </c>
      <c r="AH343" s="35">
        <f>Table11[[#This Row],['#Trees as of 12/31/23]]*Table11[[#This Row],[USA Allocation %]]</f>
        <v>1000</v>
      </c>
      <c r="AI343" s="437">
        <f>Table11[[#This Row],['#TreesContract]]*Table11[[#This Row],[2024 Inventory Survival%-master]]</f>
        <v>855</v>
      </c>
      <c r="AJ343" s="436">
        <v>0.85499999999999998</v>
      </c>
      <c r="AK343" s="5">
        <v>0.86</v>
      </c>
      <c r="AL343" s="5">
        <v>0.86</v>
      </c>
      <c r="AM343" s="35">
        <v>855</v>
      </c>
      <c r="AN343" s="35">
        <f>Table11[[#This Row],[2024 '#Trees Inventory + Estimate]]*Table11[[#This Row],[USA Allocation %]]</f>
        <v>855</v>
      </c>
      <c r="AO343" s="35">
        <f>Table11[[#This Row],[2024 '#Trees Inventory + Estimate]]*Table11[[#This Row],[Canada Allocation %]]</f>
        <v>0</v>
      </c>
      <c r="AP343" s="35">
        <f>Table11[[#This Row],[2024 '#Trees Inventory + Estimate]]*Table11[[#This Row],[Canada Allocation2017 %]]</f>
        <v>0</v>
      </c>
      <c r="AQ343" s="35">
        <f>Table11[[#This Row],['#Trees as of 2024/estimate-Can allocation]]+Table11[[#This Row],['#Trees as of 2024/estimate-Can allocation 2017]]</f>
        <v>0</v>
      </c>
      <c r="AR343" s="1"/>
      <c r="AS343" s="2"/>
      <c r="AT343" s="6">
        <f>IFERROR(Table11[[#This Row],['#Total Replacements]]/Table11[[#This Row],['#TreesContract]],"")</f>
        <v>0</v>
      </c>
      <c r="AU343" s="4">
        <f>IF(SUM(Table11[[#This Row],['#Replace 24]:['#Replace 16]])=0,0,SUM(Table11[[#This Row],['#Replace 24]:['#Replace 16]]))</f>
        <v>0</v>
      </c>
      <c r="AV343" s="2"/>
      <c r="AW343" s="2"/>
      <c r="AX343" s="3"/>
      <c r="AY343" s="2"/>
      <c r="AZ343" s="2"/>
      <c r="BA343" s="2"/>
      <c r="BB343" s="2"/>
      <c r="BC343" s="2"/>
      <c r="BD343" s="2"/>
      <c r="BE343" s="2"/>
      <c r="BF343" s="3">
        <v>1</v>
      </c>
      <c r="BG343" s="3">
        <v>1</v>
      </c>
      <c r="BH343" s="2">
        <v>2024</v>
      </c>
      <c r="BI343" s="158">
        <v>5.41</v>
      </c>
      <c r="BJ343" s="158">
        <v>0</v>
      </c>
      <c r="BK343" s="139">
        <f>Table11[[#This Row],[Average MHT
(Feet)]]/16</f>
        <v>0</v>
      </c>
      <c r="BL343" s="2">
        <v>0</v>
      </c>
      <c r="BM343" s="139">
        <f>Table11[[#This Row],[Average DBH
(inches)]]/18</f>
        <v>0</v>
      </c>
      <c r="BN343" s="235">
        <f>((Table11[[#This Row],[Average DBH
(inches)]]-4)^2)*(Table11[[#This Row],[Average MHT
(Feet)]]/16)</f>
        <v>0</v>
      </c>
      <c r="BO343" s="235">
        <f>Table11[[#This Row],[Average BF]]*Table11[[#This Row],[2024 '#Trees Inventory + Estimate]]</f>
        <v>0</v>
      </c>
      <c r="BP343" s="240">
        <f>(Table11[[#This Row],[Harvest Year
(10 year)]]-Table11[[#This Row],[Year of Inventory]]+1)*(Table11[[#This Row],[Average DBH
(inches)]]/(Table11[[#This Row],[Harvest Year
(10 year)]]-Table11[[#This Row],[Year of Inventory]]+1))+Table11[[#This Row],[Average DBH
(inches)]]</f>
        <v>0</v>
      </c>
      <c r="BQ343" s="235">
        <f>((Table11[[#This Row],[Projected DBH
(Extrapolated Growth/Year)]]-4)^2)*(Table11[[#This Row],[Average MHT
(Feet)]]/16)</f>
        <v>0</v>
      </c>
      <c r="BR343" s="235">
        <f>Table11[[#This Row],[Projected Average BF]]*Table11[[#This Row],[2024 '#Trees Inventory + Estimate]]</f>
        <v>0</v>
      </c>
      <c r="BS343" s="235">
        <f>196*Table11[[#This Row],[2024 '#Trees Inventory + Estimate]]</f>
        <v>167580</v>
      </c>
      <c r="BT343" s="243">
        <f>Table11[[#This Row],[ETP Offering Expected BF]]-Table11[[#This Row],[Projected Total BF]]</f>
        <v>167580</v>
      </c>
      <c r="BU343" s="235">
        <f>(18-Table11[[#This Row],[Average DBH
(inches)]])/(D343-Table11[[#This Row],[Year of Inventory]]+1)</f>
        <v>2</v>
      </c>
    </row>
    <row r="344" spans="1:73" hidden="1" x14ac:dyDescent="0.25">
      <c r="A344" s="7" t="s">
        <v>1930</v>
      </c>
      <c r="B344" s="137">
        <v>2022</v>
      </c>
      <c r="C344" s="2">
        <v>2023</v>
      </c>
      <c r="D344" s="2">
        <f>Table11[[#This Row],[Planting Year]]+9</f>
        <v>2032</v>
      </c>
      <c r="E344" t="s">
        <v>1582</v>
      </c>
      <c r="F344" s="161">
        <v>30028</v>
      </c>
      <c r="G344" t="s">
        <v>1583</v>
      </c>
      <c r="H344" s="357" t="s">
        <v>1584</v>
      </c>
      <c r="I344" t="s">
        <v>155</v>
      </c>
      <c r="J344" s="1" t="s">
        <v>1585</v>
      </c>
      <c r="K344" s="1" t="s">
        <v>1586</v>
      </c>
      <c r="L344" s="1" t="s">
        <v>1587</v>
      </c>
      <c r="M344" s="1" t="s">
        <v>574</v>
      </c>
      <c r="N344" t="s">
        <v>1588</v>
      </c>
      <c r="O344">
        <v>16.489999999999998</v>
      </c>
      <c r="P344">
        <v>-90.127200000000002</v>
      </c>
      <c r="Q344" s="2"/>
      <c r="R344" s="86"/>
      <c r="S344" s="2"/>
      <c r="T344" s="1">
        <v>9420</v>
      </c>
      <c r="U344" s="1">
        <v>9420</v>
      </c>
      <c r="V344" s="1" t="str">
        <f>IF(Table11[[#This Row],['#TreesContract]]-Table11[[#This Row],['#Planted]]=0,"",Table11[[#This Row],['#TreesContract]]-Table11[[#This Row],['#Planted]])</f>
        <v/>
      </c>
      <c r="W344" s="2"/>
      <c r="X344" s="34">
        <v>1</v>
      </c>
      <c r="Y344" s="163">
        <f>Table11[[#This Row],['#TreesContract]]*Table11[[#This Row],[USA Allocation %]]</f>
        <v>9420</v>
      </c>
      <c r="Z344" s="163">
        <f>Table11[[#This Row],['#Planted]]*Table11[[#This Row],[USA Allocation %]]</f>
        <v>9420</v>
      </c>
      <c r="AA344" s="34"/>
      <c r="AB344" s="163"/>
      <c r="AC344" s="34"/>
      <c r="AD344" s="163"/>
      <c r="AE344" s="163">
        <f>Table11[[#This Row],[Canada Allocation-tree '#''s]]+Table11[[#This Row],[Can trees/Allocation 2017]]</f>
        <v>0</v>
      </c>
      <c r="AF344" s="5">
        <v>1</v>
      </c>
      <c r="AG344" s="35">
        <v>0</v>
      </c>
      <c r="AH344" s="35">
        <f>Table11[[#This Row],['#Trees as of 12/31/23]]*Table11[[#This Row],[USA Allocation %]]</f>
        <v>0</v>
      </c>
      <c r="AI344" s="437">
        <v>9420</v>
      </c>
      <c r="AJ344" s="436">
        <v>1</v>
      </c>
      <c r="AK344" s="5">
        <v>1</v>
      </c>
      <c r="AL344" s="5">
        <v>1</v>
      </c>
      <c r="AM344" s="2">
        <f>Table11[[#This Row],['#Planted]]*Table11[[#This Row],[2024 Survival% Inventory + Estimate]]</f>
        <v>9420</v>
      </c>
      <c r="AN344" s="35">
        <f>Table11[[#This Row],[2024 '#Trees Inventory + Estimate]]*Table11[[#This Row],[USA Allocation %]]</f>
        <v>9420</v>
      </c>
      <c r="AO344" s="35">
        <f>Table11[[#This Row],[2024 '#Trees Inventory + Estimate]]*Table11[[#This Row],[Canada Allocation %]]</f>
        <v>0</v>
      </c>
      <c r="AP344" s="35">
        <f>Table11[[#This Row],[2024 '#Trees Inventory + Estimate]]*Table11[[#This Row],[Canada Allocation2017 %]]</f>
        <v>0</v>
      </c>
      <c r="AQ344" s="35">
        <f>Table11[[#This Row],['#Trees as of 2024/estimate-Can allocation]]+Table11[[#This Row],['#Trees as of 2024/estimate-Can allocation 2017]]</f>
        <v>0</v>
      </c>
      <c r="AR344" s="1"/>
      <c r="AS344" s="2"/>
      <c r="AT344" s="6">
        <f>IFERROR(Table11[[#This Row],['#Total Replacements]]/Table11[[#This Row],['#TreesContract]],"")</f>
        <v>0</v>
      </c>
      <c r="AU344" s="4">
        <f>IF(SUM(Table11[[#This Row],['#Replace 24]:['#Replace 16]])=0,0,SUM(Table11[[#This Row],['#Replace 24]:['#Replace 16]]))</f>
        <v>0</v>
      </c>
      <c r="AV344" s="2"/>
      <c r="AW344" s="2"/>
      <c r="AX344" s="3"/>
      <c r="AY344" s="2"/>
      <c r="AZ344" s="2"/>
      <c r="BA344" s="2"/>
      <c r="BB344" s="2"/>
      <c r="BC344" s="2"/>
      <c r="BD344" s="2"/>
      <c r="BE344" s="2"/>
      <c r="BF344" s="3">
        <v>1</v>
      </c>
      <c r="BG344" s="3">
        <v>1</v>
      </c>
      <c r="BH344" s="2"/>
      <c r="BI344" s="2"/>
      <c r="BJ344" s="2"/>
      <c r="BK344" s="139">
        <f>Table11[[#This Row],[Average MHT
(Feet)]]/16</f>
        <v>0</v>
      </c>
      <c r="BL344" s="2"/>
      <c r="BM344" s="139">
        <f>Table11[[#This Row],[Average DBH
(inches)]]/18</f>
        <v>0</v>
      </c>
      <c r="BN344" s="235">
        <f>((Table11[[#This Row],[Average DBH
(inches)]]-4)^2)*(Table11[[#This Row],[Average MHT
(Feet)]]/16)</f>
        <v>0</v>
      </c>
      <c r="BO344" s="235">
        <f>Table11[[#This Row],[Average BF]]*Table11[[#This Row],[2024 '#Trees Inventory + Estimate]]</f>
        <v>0</v>
      </c>
      <c r="BP344" s="240">
        <f>(Table11[[#This Row],[Harvest Year
(10 year)]]-Table11[[#This Row],[Year of Inventory]]+1)*(Table11[[#This Row],[Average DBH
(inches)]]/(Table11[[#This Row],[Harvest Year
(10 year)]]-Table11[[#This Row],[Year of Inventory]]+1))+Table11[[#This Row],[Average DBH
(inches)]]</f>
        <v>0</v>
      </c>
      <c r="BQ344" s="235">
        <f>((Table11[[#This Row],[Projected DBH
(Extrapolated Growth/Year)]]-4)^2)*(Table11[[#This Row],[Average MHT
(Feet)]]/16)</f>
        <v>0</v>
      </c>
      <c r="BR344" s="235">
        <f>Table11[[#This Row],[Projected Average BF]]*Table11[[#This Row],[2024 '#Trees Inventory + Estimate]]</f>
        <v>0</v>
      </c>
      <c r="BS344" s="235">
        <f>196*Table11[[#This Row],[2024 '#Trees Inventory + Estimate]]</f>
        <v>1846320</v>
      </c>
      <c r="BT344" s="243">
        <f>Table11[[#This Row],[ETP Offering Expected BF]]-Table11[[#This Row],[Projected Total BF]]</f>
        <v>1846320</v>
      </c>
      <c r="BU344" s="235">
        <f>(18-Table11[[#This Row],[Average DBH
(inches)]])/(D344-Table11[[#This Row],[Year of Inventory]]+1)</f>
        <v>8.8539104771273979E-3</v>
      </c>
    </row>
    <row r="345" spans="1:73" hidden="1" x14ac:dyDescent="0.25">
      <c r="A345" s="7" t="s">
        <v>1931</v>
      </c>
      <c r="B345" s="2">
        <v>2022</v>
      </c>
      <c r="C345" s="2">
        <v>2023</v>
      </c>
      <c r="D345" s="2">
        <f>Table11[[#This Row],[Planting Year]]+9</f>
        <v>2032</v>
      </c>
      <c r="E345" t="s">
        <v>1774</v>
      </c>
      <c r="F345" s="161">
        <v>30033</v>
      </c>
      <c r="G345" t="s">
        <v>1932</v>
      </c>
      <c r="H345" s="357" t="s">
        <v>1775</v>
      </c>
      <c r="I345" t="s">
        <v>155</v>
      </c>
      <c r="J345" s="1" t="s">
        <v>1776</v>
      </c>
      <c r="K345" s="1" t="s">
        <v>1777</v>
      </c>
      <c r="L345" s="1"/>
      <c r="M345" s="1" t="s">
        <v>574</v>
      </c>
      <c r="N345" t="s">
        <v>1778</v>
      </c>
      <c r="O345">
        <v>14.355278</v>
      </c>
      <c r="P345">
        <v>-90.46</v>
      </c>
      <c r="Q345" s="2"/>
      <c r="R345" s="86"/>
      <c r="S345" s="2"/>
      <c r="T345" s="1">
        <v>1640</v>
      </c>
      <c r="U345" s="1">
        <v>1640</v>
      </c>
      <c r="V345" s="1" t="str">
        <f>IF(Table11[[#This Row],['#TreesContract]]-Table11[[#This Row],['#Planted]]=0,"",Table11[[#This Row],['#TreesContract]]-Table11[[#This Row],['#Planted]])</f>
        <v/>
      </c>
      <c r="W345" s="2"/>
      <c r="X345" s="34">
        <v>1</v>
      </c>
      <c r="Y345" s="163">
        <f>Table11[[#This Row],['#TreesContract]]*Table11[[#This Row],[USA Allocation %]]</f>
        <v>1640</v>
      </c>
      <c r="Z345" s="163">
        <f>Table11[[#This Row],['#Planted]]*Table11[[#This Row],[USA Allocation %]]</f>
        <v>1640</v>
      </c>
      <c r="AA345" s="34"/>
      <c r="AB345" s="163"/>
      <c r="AC345" s="34"/>
      <c r="AD345" s="163"/>
      <c r="AE345" s="163">
        <f>Table11[[#This Row],[Canada Allocation-tree '#''s]]+Table11[[#This Row],[Can trees/Allocation 2017]]</f>
        <v>0</v>
      </c>
      <c r="AF345" s="5">
        <v>1</v>
      </c>
      <c r="AG345" s="35">
        <v>1640</v>
      </c>
      <c r="AH345" s="35">
        <f>Table11[[#This Row],['#Trees as of 12/31/23]]*Table11[[#This Row],[USA Allocation %]]</f>
        <v>1640</v>
      </c>
      <c r="AI345" s="437">
        <f>Table11[[#This Row],['#TreesContract]]*Table11[[#This Row],[2024 Inventory Survival%-master]]</f>
        <v>1193.92</v>
      </c>
      <c r="AJ345" s="436">
        <v>0.72799999999999998</v>
      </c>
      <c r="AK345" s="5">
        <v>0.73</v>
      </c>
      <c r="AL345" s="5">
        <v>0.73</v>
      </c>
      <c r="AM345" s="35">
        <v>1194</v>
      </c>
      <c r="AN345" s="35">
        <f>Table11[[#This Row],[2024 '#Trees Inventory + Estimate]]*Table11[[#This Row],[USA Allocation %]]</f>
        <v>1194</v>
      </c>
      <c r="AO345" s="35">
        <f>Table11[[#This Row],[2024 '#Trees Inventory + Estimate]]*Table11[[#This Row],[Canada Allocation %]]</f>
        <v>0</v>
      </c>
      <c r="AP345" s="35">
        <f>Table11[[#This Row],[2024 '#Trees Inventory + Estimate]]*Table11[[#This Row],[Canada Allocation2017 %]]</f>
        <v>0</v>
      </c>
      <c r="AQ345" s="35">
        <f>Table11[[#This Row],['#Trees as of 2024/estimate-Can allocation]]+Table11[[#This Row],['#Trees as of 2024/estimate-Can allocation 2017]]</f>
        <v>0</v>
      </c>
      <c r="AR345" s="1"/>
      <c r="AS345" s="2"/>
      <c r="AT345" s="6">
        <f>IFERROR(Table11[[#This Row],['#Total Replacements]]/Table11[[#This Row],['#TreesContract]],"")</f>
        <v>0</v>
      </c>
      <c r="AU345" s="4">
        <f>IF(SUM(Table11[[#This Row],['#Replace 24]:['#Replace 16]])=0,0,SUM(Table11[[#This Row],['#Replace 24]:['#Replace 16]]))</f>
        <v>0</v>
      </c>
      <c r="AV345" s="2"/>
      <c r="AW345" s="2"/>
      <c r="AX345" s="3"/>
      <c r="AY345" s="2"/>
      <c r="AZ345" s="2"/>
      <c r="BA345" s="2"/>
      <c r="BB345" s="2"/>
      <c r="BC345" s="2"/>
      <c r="BD345" s="2"/>
      <c r="BE345" s="2"/>
      <c r="BF345" s="3">
        <v>1</v>
      </c>
      <c r="BG345" s="3">
        <v>1</v>
      </c>
      <c r="BH345" s="2">
        <v>2024</v>
      </c>
      <c r="BI345" s="2">
        <v>5.26</v>
      </c>
      <c r="BJ345" s="2">
        <v>0</v>
      </c>
      <c r="BK345" s="139">
        <f>Table11[[#This Row],[Average MHT
(Feet)]]/16</f>
        <v>0</v>
      </c>
      <c r="BL345" s="2">
        <v>0.66</v>
      </c>
      <c r="BM345" s="139">
        <f>Table11[[#This Row],[Average DBH
(inches)]]/18</f>
        <v>3.6666666666666667E-2</v>
      </c>
      <c r="BN345" s="235">
        <f>((Table11[[#This Row],[Average DBH
(inches)]]-4)^2)*(Table11[[#This Row],[Average MHT
(Feet)]]/16)</f>
        <v>0</v>
      </c>
      <c r="BO345" s="235">
        <f>Table11[[#This Row],[Average BF]]*Table11[[#This Row],[2024 '#Trees Inventory + Estimate]]</f>
        <v>0</v>
      </c>
      <c r="BP345" s="240">
        <f>(Table11[[#This Row],[Harvest Year
(10 year)]]-Table11[[#This Row],[Year of Inventory]]+1)*(Table11[[#This Row],[Average DBH
(inches)]]/(Table11[[#This Row],[Harvest Year
(10 year)]]-Table11[[#This Row],[Year of Inventory]]+1))+Table11[[#This Row],[Average DBH
(inches)]]</f>
        <v>1.32</v>
      </c>
      <c r="BQ345" s="235">
        <f>((Table11[[#This Row],[Projected DBH
(Extrapolated Growth/Year)]]-4)^2)*(Table11[[#This Row],[Average MHT
(Feet)]]/16)</f>
        <v>0</v>
      </c>
      <c r="BR345" s="235">
        <f>Table11[[#This Row],[Projected Average BF]]*Table11[[#This Row],[2024 '#Trees Inventory + Estimate]]</f>
        <v>0</v>
      </c>
      <c r="BS345" s="235">
        <f>196*Table11[[#This Row],[2024 '#Trees Inventory + Estimate]]</f>
        <v>234024</v>
      </c>
      <c r="BT345" s="243">
        <f>Table11[[#This Row],[ETP Offering Expected BF]]-Table11[[#This Row],[Projected Total BF]]</f>
        <v>234024</v>
      </c>
      <c r="BU345" s="235">
        <f>(18-Table11[[#This Row],[Average DBH
(inches)]])/(D345-Table11[[#This Row],[Year of Inventory]]+1)</f>
        <v>1.9266666666666667</v>
      </c>
    </row>
    <row r="346" spans="1:73" hidden="1" x14ac:dyDescent="0.25">
      <c r="A346" s="7" t="s">
        <v>1933</v>
      </c>
      <c r="B346" s="2">
        <v>2022</v>
      </c>
      <c r="C346" s="2">
        <v>2023</v>
      </c>
      <c r="D346" s="2">
        <f>Table11[[#This Row],[Planting Year]]+9</f>
        <v>2032</v>
      </c>
      <c r="E346" t="s">
        <v>1781</v>
      </c>
      <c r="F346" s="161">
        <v>40025</v>
      </c>
      <c r="G346" t="s">
        <v>1781</v>
      </c>
      <c r="H346" s="357"/>
      <c r="I346" t="s">
        <v>155</v>
      </c>
      <c r="J346" s="1" t="s">
        <v>1783</v>
      </c>
      <c r="K346" s="1"/>
      <c r="L346" s="1"/>
      <c r="M346" s="1" t="s">
        <v>621</v>
      </c>
      <c r="N346" t="s">
        <v>1934</v>
      </c>
      <c r="O346">
        <v>17.211378</v>
      </c>
      <c r="P346">
        <v>-94.592932000000005</v>
      </c>
      <c r="Q346" s="2"/>
      <c r="R346" s="86"/>
      <c r="S346" s="2"/>
      <c r="T346" s="1">
        <v>1100</v>
      </c>
      <c r="U346" s="1">
        <v>1100</v>
      </c>
      <c r="V346" s="1" t="str">
        <f>IF(Table11[[#This Row],['#TreesContract]]-Table11[[#This Row],['#Planted]]=0,"",Table11[[#This Row],['#TreesContract]]-Table11[[#This Row],['#Planted]])</f>
        <v/>
      </c>
      <c r="W346" s="2"/>
      <c r="X346" s="34">
        <v>1</v>
      </c>
      <c r="Y346" s="163">
        <f>Table11[[#This Row],['#TreesContract]]*Table11[[#This Row],[USA Allocation %]]</f>
        <v>1100</v>
      </c>
      <c r="Z346" s="163">
        <f>Table11[[#This Row],['#Planted]]*Table11[[#This Row],[USA Allocation %]]</f>
        <v>1100</v>
      </c>
      <c r="AA346" s="34"/>
      <c r="AB346" s="163"/>
      <c r="AC346" s="34"/>
      <c r="AD346" s="163"/>
      <c r="AE346" s="163">
        <f>Table11[[#This Row],[Canada Allocation-tree '#''s]]+Table11[[#This Row],[Can trees/Allocation 2017]]</f>
        <v>0</v>
      </c>
      <c r="AF346" s="5">
        <v>1</v>
      </c>
      <c r="AG346" s="2">
        <v>1100</v>
      </c>
      <c r="AH346" s="270">
        <f>Table11[[#This Row],['#Trees as of 12/31/23]]*Table11[[#This Row],[USA Allocation %]]</f>
        <v>1100</v>
      </c>
      <c r="AI346" s="437">
        <f>Table11[[#This Row],['#TreesContract]]*Table11[[#This Row],[2024 Inventory Survival%-master]]</f>
        <v>0</v>
      </c>
      <c r="AJ346" s="436"/>
      <c r="AK346" s="5">
        <v>1</v>
      </c>
      <c r="AL346" s="5">
        <v>1</v>
      </c>
      <c r="AM346" s="2">
        <v>1100</v>
      </c>
      <c r="AN346" s="35">
        <f>Table11[[#This Row],[2024 '#Trees Inventory + Estimate]]*Table11[[#This Row],[USA Allocation %]]</f>
        <v>1100</v>
      </c>
      <c r="AO346" s="35">
        <f>Table11[[#This Row],[2024 '#Trees Inventory + Estimate]]*Table11[[#This Row],[Canada Allocation %]]</f>
        <v>0</v>
      </c>
      <c r="AP346" s="35">
        <f>Table11[[#This Row],[2024 '#Trees Inventory + Estimate]]*Table11[[#This Row],[Canada Allocation2017 %]]</f>
        <v>0</v>
      </c>
      <c r="AQ346" s="35">
        <f>Table11[[#This Row],['#Trees as of 2024/estimate-Can allocation]]+Table11[[#This Row],['#Trees as of 2024/estimate-Can allocation 2017]]</f>
        <v>0</v>
      </c>
      <c r="AR346" s="1"/>
      <c r="AS346" s="2"/>
      <c r="AT346" s="6">
        <f>IFERROR(Table11[[#This Row],['#Total Replacements]]/Table11[[#This Row],['#TreesContract]],"")</f>
        <v>0</v>
      </c>
      <c r="AU346" s="4">
        <f>IF(SUM(Table11[[#This Row],['#Replace 24]:['#Replace 16]])=0,0,SUM(Table11[[#This Row],['#Replace 24]:['#Replace 16]]))</f>
        <v>0</v>
      </c>
      <c r="AV346" s="2"/>
      <c r="AW346" s="2"/>
      <c r="AX346" s="3"/>
      <c r="AY346" s="2"/>
      <c r="AZ346" s="2"/>
      <c r="BA346" s="2"/>
      <c r="BB346" s="2"/>
      <c r="BC346" s="2"/>
      <c r="BD346" s="2"/>
      <c r="BE346" s="2"/>
      <c r="BF346" s="73">
        <v>1</v>
      </c>
      <c r="BG346" s="2">
        <v>1</v>
      </c>
      <c r="BH346" s="2"/>
      <c r="BI346" s="2"/>
      <c r="BJ346" s="2"/>
      <c r="BK346" s="139">
        <f>Table11[[#This Row],[Average MHT
(Feet)]]/16</f>
        <v>0</v>
      </c>
      <c r="BL346" s="2"/>
      <c r="BM346" s="139">
        <f>Table11[[#This Row],[Average DBH
(inches)]]/18</f>
        <v>0</v>
      </c>
      <c r="BN346" s="235">
        <f>((Table11[[#This Row],[Average DBH
(inches)]]-4)^2)*(Table11[[#This Row],[Average MHT
(Feet)]]/16)</f>
        <v>0</v>
      </c>
      <c r="BO346" s="235">
        <f>Table11[[#This Row],[Average BF]]*Table11[[#This Row],[2024 '#Trees Inventory + Estimate]]</f>
        <v>0</v>
      </c>
      <c r="BP346" s="240">
        <f>(Table11[[#This Row],[Harvest Year
(10 year)]]-Table11[[#This Row],[Year of Inventory]]+1)*(Table11[[#This Row],[Average DBH
(inches)]]/(Table11[[#This Row],[Harvest Year
(10 year)]]-Table11[[#This Row],[Year of Inventory]]+1))+Table11[[#This Row],[Average DBH
(inches)]]</f>
        <v>0</v>
      </c>
      <c r="BQ346" s="235">
        <f>((Table11[[#This Row],[Projected DBH
(Extrapolated Growth/Year)]]-4)^2)*(Table11[[#This Row],[Average MHT
(Feet)]]/16)</f>
        <v>0</v>
      </c>
      <c r="BR346" s="235">
        <f>Table11[[#This Row],[Projected Average BF]]*Table11[[#This Row],[2024 '#Trees Inventory + Estimate]]</f>
        <v>0</v>
      </c>
      <c r="BS346" s="235">
        <f>196*Table11[[#This Row],[2024 '#Trees Inventory + Estimate]]</f>
        <v>215600</v>
      </c>
      <c r="BT346" s="243">
        <f>Table11[[#This Row],[ETP Offering Expected BF]]-Table11[[#This Row],[Projected Total BF]]</f>
        <v>215600</v>
      </c>
      <c r="BU346" s="235">
        <f>(18-Table11[[#This Row],[Average DBH
(inches)]])/(D346-Table11[[#This Row],[Year of Inventory]]+1)</f>
        <v>8.8539104771273979E-3</v>
      </c>
    </row>
    <row r="347" spans="1:73" hidden="1" x14ac:dyDescent="0.25">
      <c r="A347" s="7" t="s">
        <v>1935</v>
      </c>
      <c r="B347" s="2">
        <v>2022</v>
      </c>
      <c r="C347" s="2">
        <v>2023</v>
      </c>
      <c r="D347" s="2">
        <f>Table11[[#This Row],[Planting Year]]+9</f>
        <v>2032</v>
      </c>
      <c r="E347" t="s">
        <v>1936</v>
      </c>
      <c r="F347" s="161">
        <v>40026</v>
      </c>
      <c r="G347" t="s">
        <v>1936</v>
      </c>
      <c r="H347" s="357"/>
      <c r="I347" t="s">
        <v>155</v>
      </c>
      <c r="J347" s="1" t="s">
        <v>1937</v>
      </c>
      <c r="K347" s="1"/>
      <c r="L347" s="1"/>
      <c r="M347" s="1" t="s">
        <v>621</v>
      </c>
      <c r="N347" t="s">
        <v>1938</v>
      </c>
      <c r="O347">
        <v>17.502994000000001</v>
      </c>
      <c r="P347">
        <v>-94.439859999999996</v>
      </c>
      <c r="Q347" s="2"/>
      <c r="R347" s="86"/>
      <c r="S347" s="2"/>
      <c r="T347" s="1">
        <v>1100</v>
      </c>
      <c r="U347" s="1">
        <v>1100</v>
      </c>
      <c r="V347" s="1" t="str">
        <f>IF(Table11[[#This Row],['#TreesContract]]-Table11[[#This Row],['#Planted]]=0,"",Table11[[#This Row],['#TreesContract]]-Table11[[#This Row],['#Planted]])</f>
        <v/>
      </c>
      <c r="W347" s="2"/>
      <c r="X347" s="34">
        <v>1</v>
      </c>
      <c r="Y347" s="163">
        <f>Table11[[#This Row],['#TreesContract]]*Table11[[#This Row],[USA Allocation %]]</f>
        <v>1100</v>
      </c>
      <c r="Z347" s="163">
        <f>Table11[[#This Row],['#Planted]]*Table11[[#This Row],[USA Allocation %]]</f>
        <v>1100</v>
      </c>
      <c r="AA347" s="34"/>
      <c r="AB347" s="163"/>
      <c r="AC347" s="34"/>
      <c r="AD347" s="163"/>
      <c r="AE347" s="163">
        <f>Table11[[#This Row],[Canada Allocation-tree '#''s]]+Table11[[#This Row],[Can trees/Allocation 2017]]</f>
        <v>0</v>
      </c>
      <c r="AF347" s="5">
        <v>1</v>
      </c>
      <c r="AG347" s="2">
        <v>1100</v>
      </c>
      <c r="AH347" s="270">
        <f>Table11[[#This Row],['#Trees as of 12/31/23]]*Table11[[#This Row],[USA Allocation %]]</f>
        <v>1100</v>
      </c>
      <c r="AI347" s="437">
        <f>Table11[[#This Row],['#TreesContract]]*Table11[[#This Row],[2024 Inventory Survival%-master]]</f>
        <v>0</v>
      </c>
      <c r="AJ347" s="436"/>
      <c r="AK347" s="5">
        <v>1</v>
      </c>
      <c r="AL347" s="5">
        <v>1</v>
      </c>
      <c r="AM347" s="2">
        <v>1100</v>
      </c>
      <c r="AN347" s="35">
        <f>Table11[[#This Row],[2024 '#Trees Inventory + Estimate]]*Table11[[#This Row],[USA Allocation %]]</f>
        <v>1100</v>
      </c>
      <c r="AO347" s="35">
        <f>Table11[[#This Row],[2024 '#Trees Inventory + Estimate]]*Table11[[#This Row],[Canada Allocation %]]</f>
        <v>0</v>
      </c>
      <c r="AP347" s="35">
        <f>Table11[[#This Row],[2024 '#Trees Inventory + Estimate]]*Table11[[#This Row],[Canada Allocation2017 %]]</f>
        <v>0</v>
      </c>
      <c r="AQ347" s="35">
        <f>Table11[[#This Row],['#Trees as of 2024/estimate-Can allocation]]+Table11[[#This Row],['#Trees as of 2024/estimate-Can allocation 2017]]</f>
        <v>0</v>
      </c>
      <c r="AR347" s="1"/>
      <c r="AS347" s="2"/>
      <c r="AT347" s="6">
        <f>IFERROR(Table11[[#This Row],['#Total Replacements]]/Table11[[#This Row],['#TreesContract]],"")</f>
        <v>0</v>
      </c>
      <c r="AU347" s="4">
        <f>IF(SUM(Table11[[#This Row],['#Replace 24]:['#Replace 16]])=0,0,SUM(Table11[[#This Row],['#Replace 24]:['#Replace 16]]))</f>
        <v>0</v>
      </c>
      <c r="AV347" s="2"/>
      <c r="AW347" s="2"/>
      <c r="AX347" s="3"/>
      <c r="AY347" s="2"/>
      <c r="AZ347" s="2"/>
      <c r="BA347" s="2"/>
      <c r="BB347" s="2"/>
      <c r="BC347" s="2"/>
      <c r="BD347" s="2"/>
      <c r="BE347" s="2"/>
      <c r="BF347" s="73">
        <v>1</v>
      </c>
      <c r="BG347" s="2">
        <v>1</v>
      </c>
      <c r="BH347" s="2"/>
      <c r="BI347" s="158"/>
      <c r="BJ347" s="158"/>
      <c r="BK347" s="139">
        <f>Table11[[#This Row],[Average MHT
(Feet)]]/16</f>
        <v>0</v>
      </c>
      <c r="BL347" s="2"/>
      <c r="BM347" s="139">
        <f>Table11[[#This Row],[Average DBH
(inches)]]/18</f>
        <v>0</v>
      </c>
      <c r="BN347" s="235">
        <f>((Table11[[#This Row],[Average DBH
(inches)]]-4)^2)*(Table11[[#This Row],[Average MHT
(Feet)]]/16)</f>
        <v>0</v>
      </c>
      <c r="BO347" s="235">
        <f>Table11[[#This Row],[Average BF]]*Table11[[#This Row],[2024 '#Trees Inventory + Estimate]]</f>
        <v>0</v>
      </c>
      <c r="BP347" s="240">
        <f>(Table11[[#This Row],[Harvest Year
(10 year)]]-Table11[[#This Row],[Year of Inventory]]+1)*(Table11[[#This Row],[Average DBH
(inches)]]/(Table11[[#This Row],[Harvest Year
(10 year)]]-Table11[[#This Row],[Year of Inventory]]+1))+Table11[[#This Row],[Average DBH
(inches)]]</f>
        <v>0</v>
      </c>
      <c r="BQ347" s="235">
        <f>((Table11[[#This Row],[Projected DBH
(Extrapolated Growth/Year)]]-4)^2)*(Table11[[#This Row],[Average MHT
(Feet)]]/16)</f>
        <v>0</v>
      </c>
      <c r="BR347" s="235">
        <f>Table11[[#This Row],[Projected Average BF]]*Table11[[#This Row],[2024 '#Trees Inventory + Estimate]]</f>
        <v>0</v>
      </c>
      <c r="BS347" s="235">
        <f>196*Table11[[#This Row],[2024 '#Trees Inventory + Estimate]]</f>
        <v>215600</v>
      </c>
      <c r="BT347" s="243">
        <f>Table11[[#This Row],[ETP Offering Expected BF]]-Table11[[#This Row],[Projected Total BF]]</f>
        <v>215600</v>
      </c>
      <c r="BU347" s="235">
        <f>(18-Table11[[#This Row],[Average DBH
(inches)]])/(D347-Table11[[#This Row],[Year of Inventory]]+1)</f>
        <v>8.8539104771273979E-3</v>
      </c>
    </row>
    <row r="348" spans="1:73" hidden="1" x14ac:dyDescent="0.25">
      <c r="A348" s="7" t="s">
        <v>1939</v>
      </c>
      <c r="B348" s="2">
        <v>2022</v>
      </c>
      <c r="C348" s="2">
        <v>2023</v>
      </c>
      <c r="D348" s="2">
        <f>Table11[[#This Row],[Planting Year]]+9</f>
        <v>2032</v>
      </c>
      <c r="E348" t="s">
        <v>1940</v>
      </c>
      <c r="F348" s="161">
        <v>40033</v>
      </c>
      <c r="G348" t="s">
        <v>1940</v>
      </c>
      <c r="H348" s="357"/>
      <c r="I348" t="s">
        <v>155</v>
      </c>
      <c r="J348" s="1" t="s">
        <v>1941</v>
      </c>
      <c r="K348" s="1"/>
      <c r="L348" s="1"/>
      <c r="M348" s="1" t="s">
        <v>621</v>
      </c>
      <c r="N348" t="s">
        <v>1942</v>
      </c>
      <c r="O348">
        <v>17.242757000000001</v>
      </c>
      <c r="P348">
        <v>-94.827848000000003</v>
      </c>
      <c r="Q348" s="2"/>
      <c r="R348" s="86"/>
      <c r="S348" s="2"/>
      <c r="T348" s="1">
        <v>1650</v>
      </c>
      <c r="U348" s="1">
        <v>1650</v>
      </c>
      <c r="V348" s="1" t="str">
        <f>IF(Table11[[#This Row],['#TreesContract]]-Table11[[#This Row],['#Planted]]=0,"",Table11[[#This Row],['#TreesContract]]-Table11[[#This Row],['#Planted]])</f>
        <v/>
      </c>
      <c r="W348" s="2"/>
      <c r="X348" s="34">
        <v>1</v>
      </c>
      <c r="Y348" s="163">
        <f>Table11[[#This Row],['#TreesContract]]*Table11[[#This Row],[USA Allocation %]]</f>
        <v>1650</v>
      </c>
      <c r="Z348" s="163">
        <f>Table11[[#This Row],['#Planted]]*Table11[[#This Row],[USA Allocation %]]</f>
        <v>1650</v>
      </c>
      <c r="AA348" s="34"/>
      <c r="AB348" s="163"/>
      <c r="AC348" s="34"/>
      <c r="AD348" s="163"/>
      <c r="AE348" s="163">
        <f>Table11[[#This Row],[Canada Allocation-tree '#''s]]+Table11[[#This Row],[Can trees/Allocation 2017]]</f>
        <v>0</v>
      </c>
      <c r="AF348" s="5">
        <v>1</v>
      </c>
      <c r="AG348" s="2">
        <v>1650</v>
      </c>
      <c r="AH348" s="270">
        <f>Table11[[#This Row],['#Trees as of 12/31/23]]*Table11[[#This Row],[USA Allocation %]]</f>
        <v>1650</v>
      </c>
      <c r="AI348" s="437">
        <f>Table11[[#This Row],['#TreesContract]]*Table11[[#This Row],[2024 Inventory Survival%-master]]</f>
        <v>0</v>
      </c>
      <c r="AJ348" s="436"/>
      <c r="AK348" s="5">
        <v>1</v>
      </c>
      <c r="AL348" s="5">
        <v>1</v>
      </c>
      <c r="AM348" s="2">
        <v>1650</v>
      </c>
      <c r="AN348" s="35">
        <f>Table11[[#This Row],[2024 '#Trees Inventory + Estimate]]*Table11[[#This Row],[USA Allocation %]]</f>
        <v>1650</v>
      </c>
      <c r="AO348" s="35">
        <f>Table11[[#This Row],[2024 '#Trees Inventory + Estimate]]*Table11[[#This Row],[Canada Allocation %]]</f>
        <v>0</v>
      </c>
      <c r="AP348" s="35">
        <f>Table11[[#This Row],[2024 '#Trees Inventory + Estimate]]*Table11[[#This Row],[Canada Allocation2017 %]]</f>
        <v>0</v>
      </c>
      <c r="AQ348" s="35">
        <f>Table11[[#This Row],['#Trees as of 2024/estimate-Can allocation]]+Table11[[#This Row],['#Trees as of 2024/estimate-Can allocation 2017]]</f>
        <v>0</v>
      </c>
      <c r="AR348" s="1"/>
      <c r="AS348" s="2"/>
      <c r="AT348" s="6">
        <f>IFERROR(Table11[[#This Row],['#Total Replacements]]/Table11[[#This Row],['#TreesContract]],"")</f>
        <v>0</v>
      </c>
      <c r="AU348" s="4">
        <f>IF(SUM(Table11[[#This Row],['#Replace 24]:['#Replace 16]])=0,0,SUM(Table11[[#This Row],['#Replace 24]:['#Replace 16]]))</f>
        <v>0</v>
      </c>
      <c r="AV348" s="2"/>
      <c r="AW348" s="2"/>
      <c r="AX348" s="3"/>
      <c r="AY348" s="2"/>
      <c r="AZ348" s="2"/>
      <c r="BA348" s="2"/>
      <c r="BB348" s="2"/>
      <c r="BC348" s="2"/>
      <c r="BD348" s="2"/>
      <c r="BE348" s="2"/>
      <c r="BF348" s="73">
        <v>1</v>
      </c>
      <c r="BG348" s="2">
        <v>1</v>
      </c>
      <c r="BH348" s="2"/>
      <c r="BI348" s="158"/>
      <c r="BJ348" s="158"/>
      <c r="BK348" s="139">
        <f>Table11[[#This Row],[Average MHT
(Feet)]]/16</f>
        <v>0</v>
      </c>
      <c r="BL348" s="2"/>
      <c r="BM348" s="139">
        <f>Table11[[#This Row],[Average DBH
(inches)]]/18</f>
        <v>0</v>
      </c>
      <c r="BN348" s="235">
        <f>((Table11[[#This Row],[Average DBH
(inches)]]-4)^2)*(Table11[[#This Row],[Average MHT
(Feet)]]/16)</f>
        <v>0</v>
      </c>
      <c r="BO348" s="235">
        <f>Table11[[#This Row],[Average BF]]*Table11[[#This Row],[2024 '#Trees Inventory + Estimate]]</f>
        <v>0</v>
      </c>
      <c r="BP348" s="240">
        <f>(Table11[[#This Row],[Harvest Year
(10 year)]]-Table11[[#This Row],[Year of Inventory]]+1)*(Table11[[#This Row],[Average DBH
(inches)]]/(Table11[[#This Row],[Harvest Year
(10 year)]]-Table11[[#This Row],[Year of Inventory]]+1))+Table11[[#This Row],[Average DBH
(inches)]]</f>
        <v>0</v>
      </c>
      <c r="BQ348" s="235">
        <f>((Table11[[#This Row],[Projected DBH
(Extrapolated Growth/Year)]]-4)^2)*(Table11[[#This Row],[Average MHT
(Feet)]]/16)</f>
        <v>0</v>
      </c>
      <c r="BR348" s="235">
        <f>Table11[[#This Row],[Projected Average BF]]*Table11[[#This Row],[2024 '#Trees Inventory + Estimate]]</f>
        <v>0</v>
      </c>
      <c r="BS348" s="235">
        <f>196*Table11[[#This Row],[2024 '#Trees Inventory + Estimate]]</f>
        <v>323400</v>
      </c>
      <c r="BT348" s="243">
        <f>Table11[[#This Row],[ETP Offering Expected BF]]-Table11[[#This Row],[Projected Total BF]]</f>
        <v>323400</v>
      </c>
      <c r="BU348" s="235">
        <f>(18-Table11[[#This Row],[Average DBH
(inches)]])/(D348-Table11[[#This Row],[Year of Inventory]]+1)</f>
        <v>8.8539104771273979E-3</v>
      </c>
    </row>
    <row r="349" spans="1:73" hidden="1" x14ac:dyDescent="0.25">
      <c r="A349" s="7" t="s">
        <v>1943</v>
      </c>
      <c r="B349" s="2">
        <v>2022</v>
      </c>
      <c r="C349" s="2">
        <v>2023</v>
      </c>
      <c r="D349" s="2">
        <f>Table11[[#This Row],[Planting Year]]+9</f>
        <v>2032</v>
      </c>
      <c r="E349" t="s">
        <v>1944</v>
      </c>
      <c r="F349" s="161">
        <v>40035</v>
      </c>
      <c r="G349" t="s">
        <v>1944</v>
      </c>
      <c r="H349" s="357"/>
      <c r="I349" t="s">
        <v>155</v>
      </c>
      <c r="J349" s="1" t="s">
        <v>1945</v>
      </c>
      <c r="K349" s="1"/>
      <c r="L349" s="1"/>
      <c r="M349" s="1" t="s">
        <v>621</v>
      </c>
      <c r="N349" t="s">
        <v>1946</v>
      </c>
      <c r="O349">
        <v>17.799281000000001</v>
      </c>
      <c r="P349">
        <v>-93.462602000000004</v>
      </c>
      <c r="Q349" s="2"/>
      <c r="R349" s="86"/>
      <c r="S349" s="2"/>
      <c r="T349" s="1">
        <v>11000</v>
      </c>
      <c r="U349" s="1">
        <v>11000</v>
      </c>
      <c r="V349" s="1" t="str">
        <f>IF(Table11[[#This Row],['#TreesContract]]-Table11[[#This Row],['#Planted]]=0,"",Table11[[#This Row],['#TreesContract]]-Table11[[#This Row],['#Planted]])</f>
        <v/>
      </c>
      <c r="W349" s="2"/>
      <c r="X349" s="34">
        <v>1</v>
      </c>
      <c r="Y349" s="163">
        <f>Table11[[#This Row],['#TreesContract]]*Table11[[#This Row],[USA Allocation %]]</f>
        <v>11000</v>
      </c>
      <c r="Z349" s="163">
        <f>Table11[[#This Row],['#Planted]]*Table11[[#This Row],[USA Allocation %]]</f>
        <v>11000</v>
      </c>
      <c r="AA349" s="34"/>
      <c r="AB349" s="163"/>
      <c r="AC349" s="34"/>
      <c r="AD349" s="163"/>
      <c r="AE349" s="163">
        <f>Table11[[#This Row],[Canada Allocation-tree '#''s]]+Table11[[#This Row],[Can trees/Allocation 2017]]</f>
        <v>0</v>
      </c>
      <c r="AF349" s="5">
        <v>1</v>
      </c>
      <c r="AG349" s="2">
        <f>Table11[[#This Row],['#Planted]]*Table11[[#This Row],[2024 Survival% Inventory + Estimate]]</f>
        <v>11000</v>
      </c>
      <c r="AH349" s="270">
        <f>Table11[[#This Row],['#Trees as of 12/31/23]]*Table11[[#This Row],[USA Allocation %]]</f>
        <v>11000</v>
      </c>
      <c r="AI349" s="437">
        <f>Table11[[#This Row],['#TreesContract]]*Table11[[#This Row],[2024 Inventory Survival%-master]]</f>
        <v>0</v>
      </c>
      <c r="AJ349" s="436"/>
      <c r="AK349" s="5">
        <v>1</v>
      </c>
      <c r="AL349" s="5">
        <v>1</v>
      </c>
      <c r="AM349" s="2">
        <f>Table11[[#This Row],['#Planted]]*Table11[[#This Row],[2024 Survival% Inventory + Estimate]]</f>
        <v>11000</v>
      </c>
      <c r="AN349" s="35">
        <f>Table11[[#This Row],[2024 '#Trees Inventory + Estimate]]*Table11[[#This Row],[USA Allocation %]]</f>
        <v>11000</v>
      </c>
      <c r="AO349" s="35">
        <f>Table11[[#This Row],[2024 '#Trees Inventory + Estimate]]*Table11[[#This Row],[Canada Allocation %]]</f>
        <v>0</v>
      </c>
      <c r="AP349" s="35">
        <f>Table11[[#This Row],[2024 '#Trees Inventory + Estimate]]*Table11[[#This Row],[Canada Allocation2017 %]]</f>
        <v>0</v>
      </c>
      <c r="AQ349" s="35">
        <f>Table11[[#This Row],['#Trees as of 2024/estimate-Can allocation]]+Table11[[#This Row],['#Trees as of 2024/estimate-Can allocation 2017]]</f>
        <v>0</v>
      </c>
      <c r="AR349" s="1"/>
      <c r="AS349" s="2"/>
      <c r="AT349" s="6">
        <f>IFERROR(Table11[[#This Row],['#Total Replacements]]/Table11[[#This Row],['#TreesContract]],"")</f>
        <v>9.0909090909090912E-2</v>
      </c>
      <c r="AU349" s="4">
        <f>IF(SUM(Table11[[#This Row],['#Replace 24]:['#Replace 16]])=0,0,SUM(Table11[[#This Row],['#Replace 24]:['#Replace 16]]))</f>
        <v>1000</v>
      </c>
      <c r="AV349" s="2"/>
      <c r="AW349" s="2">
        <v>1000</v>
      </c>
      <c r="AX349" s="3"/>
      <c r="AY349" s="2"/>
      <c r="AZ349" s="2"/>
      <c r="BA349" s="2"/>
      <c r="BB349" s="2"/>
      <c r="BC349" s="2"/>
      <c r="BD349" s="2"/>
      <c r="BE349" s="2"/>
      <c r="BF349" s="73">
        <v>1</v>
      </c>
      <c r="BG349" s="2">
        <v>1</v>
      </c>
      <c r="BH349" s="2"/>
      <c r="BI349" s="2"/>
      <c r="BJ349" s="2"/>
      <c r="BK349" s="139">
        <f>Table11[[#This Row],[Average MHT
(Feet)]]/16</f>
        <v>0</v>
      </c>
      <c r="BL349" s="2"/>
      <c r="BM349" s="139">
        <f>Table11[[#This Row],[Average DBH
(inches)]]/18</f>
        <v>0</v>
      </c>
      <c r="BN349" s="235">
        <f>((Table11[[#This Row],[Average DBH
(inches)]]-4)^2)*(Table11[[#This Row],[Average MHT
(Feet)]]/16)</f>
        <v>0</v>
      </c>
      <c r="BO349" s="235">
        <f>Table11[[#This Row],[Average BF]]*Table11[[#This Row],[2024 '#Trees Inventory + Estimate]]</f>
        <v>0</v>
      </c>
      <c r="BP349" s="240">
        <f>(Table11[[#This Row],[Harvest Year
(10 year)]]-Table11[[#This Row],[Year of Inventory]]+1)*(Table11[[#This Row],[Average DBH
(inches)]]/(Table11[[#This Row],[Harvest Year
(10 year)]]-Table11[[#This Row],[Year of Inventory]]+1))+Table11[[#This Row],[Average DBH
(inches)]]</f>
        <v>0</v>
      </c>
      <c r="BQ349" s="235">
        <f>((Table11[[#This Row],[Projected DBH
(Extrapolated Growth/Year)]]-4)^2)*(Table11[[#This Row],[Average MHT
(Feet)]]/16)</f>
        <v>0</v>
      </c>
      <c r="BR349" s="235">
        <f>Table11[[#This Row],[Projected Average BF]]*Table11[[#This Row],[2024 '#Trees Inventory + Estimate]]</f>
        <v>0</v>
      </c>
      <c r="BS349" s="235">
        <f>196*Table11[[#This Row],[2024 '#Trees Inventory + Estimate]]</f>
        <v>2156000</v>
      </c>
      <c r="BT349" s="243">
        <f>Table11[[#This Row],[ETP Offering Expected BF]]-Table11[[#This Row],[Projected Total BF]]</f>
        <v>2156000</v>
      </c>
      <c r="BU349" s="235">
        <f>(18-Table11[[#This Row],[Average DBH
(inches)]])/(D349-Table11[[#This Row],[Year of Inventory]]+1)</f>
        <v>8.8539104771273979E-3</v>
      </c>
    </row>
    <row r="350" spans="1:73" hidden="1" x14ac:dyDescent="0.25">
      <c r="A350" s="7" t="s">
        <v>1947</v>
      </c>
      <c r="B350" s="2">
        <v>2021</v>
      </c>
      <c r="C350" s="2">
        <v>2023</v>
      </c>
      <c r="D350" s="2">
        <f>Table11[[#This Row],[Planting Year]]+9</f>
        <v>2032</v>
      </c>
      <c r="E350" t="s">
        <v>1948</v>
      </c>
      <c r="F350" s="161">
        <v>40037</v>
      </c>
      <c r="G350" t="s">
        <v>1948</v>
      </c>
      <c r="H350" s="357" t="s">
        <v>1949</v>
      </c>
      <c r="I350" t="s">
        <v>155</v>
      </c>
      <c r="J350" s="1" t="s">
        <v>1950</v>
      </c>
      <c r="K350" s="1"/>
      <c r="L350" s="1"/>
      <c r="M350" s="1" t="s">
        <v>621</v>
      </c>
      <c r="N350" t="s">
        <v>1951</v>
      </c>
      <c r="O350">
        <v>17.600709699999999</v>
      </c>
      <c r="P350">
        <v>-94.551598900000002</v>
      </c>
      <c r="Q350" s="2"/>
      <c r="R350" s="86"/>
      <c r="S350" s="2"/>
      <c r="T350" s="1">
        <v>2750</v>
      </c>
      <c r="U350" s="1">
        <v>2750</v>
      </c>
      <c r="V350" s="1" t="str">
        <f>IF(Table11[[#This Row],['#TreesContract]]-Table11[[#This Row],['#Planted]]=0,"",Table11[[#This Row],['#TreesContract]]-Table11[[#This Row],['#Planted]])</f>
        <v/>
      </c>
      <c r="W350" s="2"/>
      <c r="X350" s="34">
        <v>1</v>
      </c>
      <c r="Y350" s="163">
        <f>Table11[[#This Row],['#TreesContract]]*Table11[[#This Row],[USA Allocation %]]</f>
        <v>2750</v>
      </c>
      <c r="Z350" s="163">
        <f>Table11[[#This Row],['#Planted]]*Table11[[#This Row],[USA Allocation %]]</f>
        <v>2750</v>
      </c>
      <c r="AA350" s="34"/>
      <c r="AB350" s="163"/>
      <c r="AC350" s="34"/>
      <c r="AD350" s="163"/>
      <c r="AE350" s="163">
        <f>Table11[[#This Row],[Canada Allocation-tree '#''s]]+Table11[[#This Row],[Can trees/Allocation 2017]]</f>
        <v>0</v>
      </c>
      <c r="AF350" s="5">
        <v>1</v>
      </c>
      <c r="AG350" s="2">
        <v>2750</v>
      </c>
      <c r="AH350" s="270">
        <f>Table11[[#This Row],['#Trees as of 12/31/23]]*Table11[[#This Row],[USA Allocation %]]</f>
        <v>2750</v>
      </c>
      <c r="AI350" s="437">
        <f>Table11[[#This Row],['#TreesContract]]*Table11[[#This Row],[2024 Inventory Survival%-master]]</f>
        <v>0</v>
      </c>
      <c r="AJ350" s="436"/>
      <c r="AK350" s="5">
        <v>1</v>
      </c>
      <c r="AL350" s="5">
        <v>1</v>
      </c>
      <c r="AM350" s="2">
        <v>2750</v>
      </c>
      <c r="AN350" s="35">
        <f>Table11[[#This Row],[2024 '#Trees Inventory + Estimate]]*Table11[[#This Row],[USA Allocation %]]</f>
        <v>2750</v>
      </c>
      <c r="AO350" s="35">
        <f>Table11[[#This Row],[2024 '#Trees Inventory + Estimate]]*Table11[[#This Row],[Canada Allocation %]]</f>
        <v>0</v>
      </c>
      <c r="AP350" s="35">
        <f>Table11[[#This Row],[2024 '#Trees Inventory + Estimate]]*Table11[[#This Row],[Canada Allocation2017 %]]</f>
        <v>0</v>
      </c>
      <c r="AQ350" s="35">
        <f>Table11[[#This Row],['#Trees as of 2024/estimate-Can allocation]]+Table11[[#This Row],['#Trees as of 2024/estimate-Can allocation 2017]]</f>
        <v>0</v>
      </c>
      <c r="AR350" s="1"/>
      <c r="AS350" s="2"/>
      <c r="AT350" s="6">
        <f>IFERROR(Table11[[#This Row],['#Total Replacements]]/Table11[[#This Row],['#TreesContract]],"")</f>
        <v>0.30909090909090908</v>
      </c>
      <c r="AU350" s="4">
        <f>IF(SUM(Table11[[#This Row],['#Replace 24]:['#Replace 16]])=0,0,SUM(Table11[[#This Row],['#Replace 24]:['#Replace 16]]))</f>
        <v>850</v>
      </c>
      <c r="AV350" s="2"/>
      <c r="AW350" s="2">
        <v>50</v>
      </c>
      <c r="AX350" s="3">
        <v>800</v>
      </c>
      <c r="AY350" s="2"/>
      <c r="AZ350" s="2"/>
      <c r="BA350" s="2"/>
      <c r="BB350" s="2"/>
      <c r="BC350" s="2"/>
      <c r="BD350" s="2"/>
      <c r="BE350" s="2"/>
      <c r="BF350" s="73">
        <v>1</v>
      </c>
      <c r="BG350" s="2">
        <v>1</v>
      </c>
      <c r="BH350" s="2"/>
      <c r="BI350" s="158"/>
      <c r="BJ350" s="158"/>
      <c r="BK350" s="139">
        <f>Table11[[#This Row],[Average MHT
(Feet)]]/16</f>
        <v>0</v>
      </c>
      <c r="BL350" s="2"/>
      <c r="BM350" s="139">
        <f>Table11[[#This Row],[Average DBH
(inches)]]/18</f>
        <v>0</v>
      </c>
      <c r="BN350" s="235">
        <f>((Table11[[#This Row],[Average DBH
(inches)]]-4)^2)*(Table11[[#This Row],[Average MHT
(Feet)]]/16)</f>
        <v>0</v>
      </c>
      <c r="BO350" s="235">
        <f>Table11[[#This Row],[Average BF]]*Table11[[#This Row],[2024 '#Trees Inventory + Estimate]]</f>
        <v>0</v>
      </c>
      <c r="BP350" s="240">
        <f>(Table11[[#This Row],[Harvest Year
(10 year)]]-Table11[[#This Row],[Year of Inventory]]+1)*(Table11[[#This Row],[Average DBH
(inches)]]/(Table11[[#This Row],[Harvest Year
(10 year)]]-Table11[[#This Row],[Year of Inventory]]+1))+Table11[[#This Row],[Average DBH
(inches)]]</f>
        <v>0</v>
      </c>
      <c r="BQ350" s="235">
        <f>((Table11[[#This Row],[Projected DBH
(Extrapolated Growth/Year)]]-4)^2)*(Table11[[#This Row],[Average MHT
(Feet)]]/16)</f>
        <v>0</v>
      </c>
      <c r="BR350" s="235">
        <f>Table11[[#This Row],[Projected Average BF]]*Table11[[#This Row],[2024 '#Trees Inventory + Estimate]]</f>
        <v>0</v>
      </c>
      <c r="BS350" s="235">
        <f>196*Table11[[#This Row],[2024 '#Trees Inventory + Estimate]]</f>
        <v>539000</v>
      </c>
      <c r="BT350" s="243">
        <f>Table11[[#This Row],[ETP Offering Expected BF]]-Table11[[#This Row],[Projected Total BF]]</f>
        <v>539000</v>
      </c>
      <c r="BU350" s="235">
        <f>(18-Table11[[#This Row],[Average DBH
(inches)]])/(D350-Table11[[#This Row],[Year of Inventory]]+1)</f>
        <v>8.8539104771273979E-3</v>
      </c>
    </row>
    <row r="351" spans="1:73" hidden="1" x14ac:dyDescent="0.25">
      <c r="A351" s="7" t="s">
        <v>1952</v>
      </c>
      <c r="B351" s="2">
        <v>2022</v>
      </c>
      <c r="C351" s="2">
        <v>2023</v>
      </c>
      <c r="D351" s="2">
        <f>Table11[[#This Row],[Planting Year]]+9</f>
        <v>2032</v>
      </c>
      <c r="E351" t="s">
        <v>1953</v>
      </c>
      <c r="F351" s="161">
        <v>40038</v>
      </c>
      <c r="G351" t="s">
        <v>1953</v>
      </c>
      <c r="H351" s="357"/>
      <c r="I351" t="s">
        <v>155</v>
      </c>
      <c r="J351" s="1" t="s">
        <v>1954</v>
      </c>
      <c r="K351" s="1"/>
      <c r="L351" s="1"/>
      <c r="M351" s="1" t="s">
        <v>621</v>
      </c>
      <c r="N351" t="s">
        <v>1955</v>
      </c>
      <c r="O351">
        <v>17.516263500000001</v>
      </c>
      <c r="P351">
        <v>-94.433863500000001</v>
      </c>
      <c r="Q351" s="2"/>
      <c r="R351" s="86"/>
      <c r="S351" s="2"/>
      <c r="T351" s="1">
        <v>3542</v>
      </c>
      <c r="U351" s="1">
        <v>2800</v>
      </c>
      <c r="V351" s="1">
        <f>IF(Table11[[#This Row],['#TreesContract]]-Table11[[#This Row],['#Planted]]=0,"",Table11[[#This Row],['#TreesContract]]-Table11[[#This Row],['#Planted]])</f>
        <v>742</v>
      </c>
      <c r="W351" s="2"/>
      <c r="X351" s="34">
        <v>1</v>
      </c>
      <c r="Y351" s="163">
        <f>Table11[[#This Row],['#TreesContract]]*Table11[[#This Row],[USA Allocation %]]</f>
        <v>3542</v>
      </c>
      <c r="Z351" s="163">
        <f>Table11[[#This Row],['#Planted]]*Table11[[#This Row],[USA Allocation %]]</f>
        <v>2800</v>
      </c>
      <c r="AA351" s="34"/>
      <c r="AB351" s="163"/>
      <c r="AC351" s="34"/>
      <c r="AD351" s="163"/>
      <c r="AE351" s="163">
        <f>Table11[[#This Row],[Canada Allocation-tree '#''s]]+Table11[[#This Row],[Can trees/Allocation 2017]]</f>
        <v>0</v>
      </c>
      <c r="AF351" s="5">
        <v>1</v>
      </c>
      <c r="AG351" s="2">
        <f>Table11[[#This Row],['#Planted]]*Table11[[#This Row],[2024 Survival% Inventory + Estimate]]</f>
        <v>2800</v>
      </c>
      <c r="AH351" s="270">
        <f>Table11[[#This Row],['#Trees as of 12/31/23]]*Table11[[#This Row],[USA Allocation %]]</f>
        <v>2800</v>
      </c>
      <c r="AI351" s="437">
        <f>Table11[[#This Row],['#TreesContract]]*Table11[[#This Row],[2024 Inventory Survival%-master]]</f>
        <v>0</v>
      </c>
      <c r="AJ351" s="436"/>
      <c r="AK351" s="5">
        <v>1</v>
      </c>
      <c r="AL351" s="5">
        <v>1</v>
      </c>
      <c r="AM351" s="2">
        <f>Table11[[#This Row],['#Planted]]*Table11[[#This Row],[2024 Survival% Inventory + Estimate]]</f>
        <v>2800</v>
      </c>
      <c r="AN351" s="35">
        <f>Table11[[#This Row],[2024 '#Trees Inventory + Estimate]]*Table11[[#This Row],[USA Allocation %]]</f>
        <v>2800</v>
      </c>
      <c r="AO351" s="35">
        <f>Table11[[#This Row],[2024 '#Trees Inventory + Estimate]]*Table11[[#This Row],[Canada Allocation %]]</f>
        <v>0</v>
      </c>
      <c r="AP351" s="35">
        <f>Table11[[#This Row],[2024 '#Trees Inventory + Estimate]]*Table11[[#This Row],[Canada Allocation2017 %]]</f>
        <v>0</v>
      </c>
      <c r="AQ351" s="35">
        <f>Table11[[#This Row],['#Trees as of 2024/estimate-Can allocation]]+Table11[[#This Row],['#Trees as of 2024/estimate-Can allocation 2017]]</f>
        <v>0</v>
      </c>
      <c r="AR351" s="1"/>
      <c r="AS351" s="2"/>
      <c r="AT351" s="6">
        <f>IFERROR(Table11[[#This Row],['#Total Replacements]]/Table11[[#This Row],['#TreesContract]],"")</f>
        <v>0</v>
      </c>
      <c r="AU351" s="4">
        <f>IF(SUM(Table11[[#This Row],['#Replace 24]:['#Replace 16]])=0,0,SUM(Table11[[#This Row],['#Replace 24]:['#Replace 16]]))</f>
        <v>0</v>
      </c>
      <c r="AV351" s="2"/>
      <c r="AW351" s="2"/>
      <c r="AX351" s="3"/>
      <c r="AY351" s="2"/>
      <c r="AZ351" s="2"/>
      <c r="BA351" s="2"/>
      <c r="BB351" s="2"/>
      <c r="BC351" s="2"/>
      <c r="BD351" s="2"/>
      <c r="BE351" s="2"/>
      <c r="BF351" s="73">
        <v>1</v>
      </c>
      <c r="BG351" s="2">
        <v>1</v>
      </c>
      <c r="BH351" s="2"/>
      <c r="BI351" s="2"/>
      <c r="BJ351" s="2"/>
      <c r="BK351" s="139">
        <f>Table11[[#This Row],[Average MHT
(Feet)]]/16</f>
        <v>0</v>
      </c>
      <c r="BL351" s="2"/>
      <c r="BM351" s="139">
        <f>Table11[[#This Row],[Average DBH
(inches)]]/18</f>
        <v>0</v>
      </c>
      <c r="BN351" s="235">
        <f>((Table11[[#This Row],[Average DBH
(inches)]]-4)^2)*(Table11[[#This Row],[Average MHT
(Feet)]]/16)</f>
        <v>0</v>
      </c>
      <c r="BO351" s="235">
        <f>Table11[[#This Row],[Average BF]]*Table11[[#This Row],[2024 '#Trees Inventory + Estimate]]</f>
        <v>0</v>
      </c>
      <c r="BP351" s="240">
        <f>(Table11[[#This Row],[Harvest Year
(10 year)]]-Table11[[#This Row],[Year of Inventory]]+1)*(Table11[[#This Row],[Average DBH
(inches)]]/(Table11[[#This Row],[Harvest Year
(10 year)]]-Table11[[#This Row],[Year of Inventory]]+1))+Table11[[#This Row],[Average DBH
(inches)]]</f>
        <v>0</v>
      </c>
      <c r="BQ351" s="235">
        <f>((Table11[[#This Row],[Projected DBH
(Extrapolated Growth/Year)]]-4)^2)*(Table11[[#This Row],[Average MHT
(Feet)]]/16)</f>
        <v>0</v>
      </c>
      <c r="BR351" s="235">
        <f>Table11[[#This Row],[Projected Average BF]]*Table11[[#This Row],[2024 '#Trees Inventory + Estimate]]</f>
        <v>0</v>
      </c>
      <c r="BS351" s="235">
        <f>196*Table11[[#This Row],[2024 '#Trees Inventory + Estimate]]</f>
        <v>548800</v>
      </c>
      <c r="BT351" s="243">
        <f>Table11[[#This Row],[ETP Offering Expected BF]]-Table11[[#This Row],[Projected Total BF]]</f>
        <v>548800</v>
      </c>
      <c r="BU351" s="235">
        <f>(18-Table11[[#This Row],[Average DBH
(inches)]])/(D351-Table11[[#This Row],[Year of Inventory]]+1)</f>
        <v>8.8539104771273979E-3</v>
      </c>
    </row>
    <row r="352" spans="1:73" hidden="1" x14ac:dyDescent="0.25">
      <c r="A352" s="7" t="s">
        <v>1956</v>
      </c>
      <c r="B352" s="2">
        <v>2021</v>
      </c>
      <c r="C352" s="2">
        <v>2023</v>
      </c>
      <c r="D352" s="2">
        <f>Table11[[#This Row],[Planting Year]]+9</f>
        <v>2032</v>
      </c>
      <c r="E352" t="s">
        <v>1957</v>
      </c>
      <c r="F352" s="161">
        <v>40039</v>
      </c>
      <c r="G352" t="s">
        <v>1957</v>
      </c>
      <c r="H352" s="357"/>
      <c r="I352" t="s">
        <v>155</v>
      </c>
      <c r="J352" s="1" t="s">
        <v>1958</v>
      </c>
      <c r="K352" s="1"/>
      <c r="L352" s="1"/>
      <c r="M352" s="1" t="s">
        <v>621</v>
      </c>
      <c r="N352" t="s">
        <v>1959</v>
      </c>
      <c r="O352">
        <v>17.491061999999999</v>
      </c>
      <c r="P352">
        <v>-94.436408</v>
      </c>
      <c r="Q352" s="2"/>
      <c r="R352" s="86"/>
      <c r="S352" s="2"/>
      <c r="T352" s="1">
        <v>2750</v>
      </c>
      <c r="U352" s="1">
        <v>2750</v>
      </c>
      <c r="V352" s="1" t="str">
        <f>IF(Table11[[#This Row],['#TreesContract]]-Table11[[#This Row],['#Planted]]=0,"",Table11[[#This Row],['#TreesContract]]-Table11[[#This Row],['#Planted]])</f>
        <v/>
      </c>
      <c r="W352" s="2"/>
      <c r="X352" s="34">
        <v>1</v>
      </c>
      <c r="Y352" s="163">
        <f>Table11[[#This Row],['#TreesContract]]*Table11[[#This Row],[USA Allocation %]]</f>
        <v>2750</v>
      </c>
      <c r="Z352" s="163">
        <f>Table11[[#This Row],['#Planted]]*Table11[[#This Row],[USA Allocation %]]</f>
        <v>2750</v>
      </c>
      <c r="AA352" s="34"/>
      <c r="AB352" s="163"/>
      <c r="AC352" s="34"/>
      <c r="AD352" s="163"/>
      <c r="AE352" s="163">
        <f>Table11[[#This Row],[Canada Allocation-tree '#''s]]+Table11[[#This Row],[Can trees/Allocation 2017]]</f>
        <v>0</v>
      </c>
      <c r="AF352" s="5">
        <v>1</v>
      </c>
      <c r="AG352" s="35">
        <v>2750</v>
      </c>
      <c r="AH352" s="35">
        <f>Table11[[#This Row],['#Trees as of 12/31/23]]*Table11[[#This Row],[USA Allocation %]]</f>
        <v>2750</v>
      </c>
      <c r="AI352" s="437">
        <f>Table11[[#This Row],['#TreesContract]]*Table11[[#This Row],[2024 Inventory Survival%-master]]</f>
        <v>0</v>
      </c>
      <c r="AJ352" s="436"/>
      <c r="AK352" s="5">
        <v>1</v>
      </c>
      <c r="AL352" s="5">
        <v>1</v>
      </c>
      <c r="AM352" s="35">
        <v>2750</v>
      </c>
      <c r="AN352" s="35">
        <f>Table11[[#This Row],[2024 '#Trees Inventory + Estimate]]*Table11[[#This Row],[USA Allocation %]]</f>
        <v>2750</v>
      </c>
      <c r="AO352" s="35">
        <f>Table11[[#This Row],[2024 '#Trees Inventory + Estimate]]*Table11[[#This Row],[Canada Allocation %]]</f>
        <v>0</v>
      </c>
      <c r="AP352" s="35">
        <f>Table11[[#This Row],[2024 '#Trees Inventory + Estimate]]*Table11[[#This Row],[Canada Allocation2017 %]]</f>
        <v>0</v>
      </c>
      <c r="AQ352" s="35">
        <f>Table11[[#This Row],['#Trees as of 2024/estimate-Can allocation]]+Table11[[#This Row],['#Trees as of 2024/estimate-Can allocation 2017]]</f>
        <v>0</v>
      </c>
      <c r="AR352" s="1"/>
      <c r="AS352" s="2"/>
      <c r="AT352" s="6">
        <f>IFERROR(Table11[[#This Row],['#Total Replacements]]/Table11[[#This Row],['#TreesContract]],"")</f>
        <v>0.50872727272727269</v>
      </c>
      <c r="AU352" s="4">
        <f>IF(SUM(Table11[[#This Row],['#Replace 24]:['#Replace 16]])=0,0,SUM(Table11[[#This Row],['#Replace 24]:['#Replace 16]]))</f>
        <v>1399</v>
      </c>
      <c r="AV352" s="2"/>
      <c r="AW352" s="2">
        <v>749</v>
      </c>
      <c r="AX352" s="3">
        <v>650</v>
      </c>
      <c r="AY352" s="2"/>
      <c r="AZ352" s="2"/>
      <c r="BA352" s="2"/>
      <c r="BB352" s="2"/>
      <c r="BC352" s="2"/>
      <c r="BD352" s="2"/>
      <c r="BE352" s="2"/>
      <c r="BF352" s="73">
        <v>1</v>
      </c>
      <c r="BG352" s="2">
        <v>1</v>
      </c>
      <c r="BH352" s="2"/>
      <c r="BI352" s="158"/>
      <c r="BJ352" s="158"/>
      <c r="BK352" s="139">
        <f>Table11[[#This Row],[Average MHT
(Feet)]]/16</f>
        <v>0</v>
      </c>
      <c r="BL352" s="2"/>
      <c r="BM352" s="139">
        <f>Table11[[#This Row],[Average DBH
(inches)]]/18</f>
        <v>0</v>
      </c>
      <c r="BN352" s="235">
        <f>((Table11[[#This Row],[Average DBH
(inches)]]-4)^2)*(Table11[[#This Row],[Average MHT
(Feet)]]/16)</f>
        <v>0</v>
      </c>
      <c r="BO352" s="235">
        <f>Table11[[#This Row],[Average BF]]*Table11[[#This Row],[2024 '#Trees Inventory + Estimate]]</f>
        <v>0</v>
      </c>
      <c r="BP352" s="240">
        <f>(Table11[[#This Row],[Harvest Year
(10 year)]]-Table11[[#This Row],[Year of Inventory]]+1)*(Table11[[#This Row],[Average DBH
(inches)]]/(Table11[[#This Row],[Harvest Year
(10 year)]]-Table11[[#This Row],[Year of Inventory]]+1))+Table11[[#This Row],[Average DBH
(inches)]]</f>
        <v>0</v>
      </c>
      <c r="BQ352" s="235">
        <f>((Table11[[#This Row],[Projected DBH
(Extrapolated Growth/Year)]]-4)^2)*(Table11[[#This Row],[Average MHT
(Feet)]]/16)</f>
        <v>0</v>
      </c>
      <c r="BR352" s="235">
        <f>Table11[[#This Row],[Projected Average BF]]*Table11[[#This Row],[2024 '#Trees Inventory + Estimate]]</f>
        <v>0</v>
      </c>
      <c r="BS352" s="235">
        <f>196*Table11[[#This Row],[2024 '#Trees Inventory + Estimate]]</f>
        <v>539000</v>
      </c>
      <c r="BT352" s="243">
        <f>Table11[[#This Row],[ETP Offering Expected BF]]-Table11[[#This Row],[Projected Total BF]]</f>
        <v>539000</v>
      </c>
      <c r="BU352" s="235">
        <f>(18-Table11[[#This Row],[Average DBH
(inches)]])/(D352-Table11[[#This Row],[Year of Inventory]]+1)</f>
        <v>8.8539104771273979E-3</v>
      </c>
    </row>
    <row r="353" spans="1:73" hidden="1" x14ac:dyDescent="0.25">
      <c r="A353" s="7" t="s">
        <v>1960</v>
      </c>
      <c r="B353" s="2">
        <v>2022</v>
      </c>
      <c r="C353" s="2">
        <v>2023</v>
      </c>
      <c r="D353" s="2">
        <v>0</v>
      </c>
      <c r="E353" t="s">
        <v>1961</v>
      </c>
      <c r="F353" s="161">
        <v>40040</v>
      </c>
      <c r="G353" t="s">
        <v>1961</v>
      </c>
      <c r="H353" s="357"/>
      <c r="I353" t="s">
        <v>160</v>
      </c>
      <c r="J353" s="1"/>
      <c r="K353" s="1"/>
      <c r="L353" s="1"/>
      <c r="M353" s="1" t="s">
        <v>621</v>
      </c>
      <c r="N353" t="s">
        <v>1962</v>
      </c>
      <c r="O353">
        <v>17.680468999999999</v>
      </c>
      <c r="P353">
        <v>-94.024182999999994</v>
      </c>
      <c r="Q353" s="2"/>
      <c r="R353" s="86"/>
      <c r="S353" s="2"/>
      <c r="T353" s="1">
        <v>2750</v>
      </c>
      <c r="U353" s="1">
        <v>420</v>
      </c>
      <c r="V353" s="1">
        <f>IF(Table11[[#This Row],['#TreesContract]]-Table11[[#This Row],['#Planted]]=0,"",Table11[[#This Row],['#TreesContract]]-Table11[[#This Row],['#Planted]])</f>
        <v>2330</v>
      </c>
      <c r="W353" s="2"/>
      <c r="X353" s="34">
        <v>1</v>
      </c>
      <c r="Y353" s="163">
        <f>Table11[[#This Row],['#TreesContract]]*Table11[[#This Row],[USA Allocation %]]</f>
        <v>2750</v>
      </c>
      <c r="Z353" s="163">
        <f>Table11[[#This Row],['#Planted]]*Table11[[#This Row],[USA Allocation %]]</f>
        <v>420</v>
      </c>
      <c r="AA353" s="34"/>
      <c r="AB353" s="163"/>
      <c r="AC353" s="34"/>
      <c r="AD353" s="163"/>
      <c r="AE353" s="163">
        <f>Table11[[#This Row],[Canada Allocation-tree '#''s]]+Table11[[#This Row],[Can trees/Allocation 2017]]</f>
        <v>0</v>
      </c>
      <c r="AF353" s="5"/>
      <c r="AG353" s="2"/>
      <c r="AH353" s="270">
        <f>Table11[[#This Row],['#Trees as of 12/31/23]]*Table11[[#This Row],[USA Allocation %]]</f>
        <v>0</v>
      </c>
      <c r="AI353" s="404">
        <f>Table11[[#This Row],['#TreesContract]]*Table11[[#This Row],[2024 Inventory Survival%-master]]</f>
        <v>0</v>
      </c>
      <c r="AJ353" s="5">
        <v>0</v>
      </c>
      <c r="AK353" s="5">
        <v>0</v>
      </c>
      <c r="AL353" s="5">
        <v>0</v>
      </c>
      <c r="AM353" s="2">
        <v>0</v>
      </c>
      <c r="AN353" s="35">
        <f>Table11[[#This Row],[2024 '#Trees Inventory + Estimate]]*Table11[[#This Row],[USA Allocation %]]</f>
        <v>0</v>
      </c>
      <c r="AO353" s="35">
        <f>Table11[[#This Row],[2024 '#Trees Inventory + Estimate]]*Table11[[#This Row],[Canada Allocation %]]</f>
        <v>0</v>
      </c>
      <c r="AP353" s="35">
        <f>Table11[[#This Row],[2024 '#Trees Inventory + Estimate]]*Table11[[#This Row],[Canada Allocation2017 %]]</f>
        <v>0</v>
      </c>
      <c r="AQ353" s="35">
        <f>Table11[[#This Row],['#Trees as of 2024/estimate-Can allocation]]+Table11[[#This Row],['#Trees as of 2024/estimate-Can allocation 2017]]</f>
        <v>0</v>
      </c>
      <c r="AR353" s="1"/>
      <c r="AS353" s="2"/>
      <c r="AT353" s="6">
        <f>IFERROR(Table11[[#This Row],['#Total Replacements]]/Table11[[#This Row],['#TreesContract]],"")</f>
        <v>0</v>
      </c>
      <c r="AU353" s="4">
        <f>IF(SUM(Table11[[#This Row],['#Replace 24]:['#Replace 16]])=0,0,SUM(Table11[[#This Row],['#Replace 24]:['#Replace 16]]))</f>
        <v>0</v>
      </c>
      <c r="AV353" s="2"/>
      <c r="AW353" s="2"/>
      <c r="AX353" s="3"/>
      <c r="AY353" s="2"/>
      <c r="AZ353" s="2"/>
      <c r="BA353" s="2"/>
      <c r="BB353" s="2"/>
      <c r="BC353" s="2"/>
      <c r="BD353" s="2"/>
      <c r="BE353" s="2"/>
      <c r="BF353" s="73"/>
      <c r="BG353" s="2">
        <v>1</v>
      </c>
      <c r="BH353" s="2"/>
      <c r="BI353" s="2"/>
      <c r="BJ353" s="2"/>
      <c r="BK353" s="139">
        <f>Table11[[#This Row],[Average MHT
(Feet)]]/16</f>
        <v>0</v>
      </c>
      <c r="BL353" s="2"/>
      <c r="BM353" s="139">
        <f>Table11[[#This Row],[Average DBH
(inches)]]/18</f>
        <v>0</v>
      </c>
      <c r="BN353" s="235">
        <f>((Table11[[#This Row],[Average DBH
(inches)]]-4)^2)*(Table11[[#This Row],[Average MHT
(Feet)]]/16)</f>
        <v>0</v>
      </c>
      <c r="BO353" s="235">
        <f>Table11[[#This Row],[Average BF]]*Table11[[#This Row],[2024 '#Trees Inventory + Estimate]]</f>
        <v>0</v>
      </c>
      <c r="BP353" s="240">
        <f>(Table11[[#This Row],[Harvest Year
(10 year)]]-Table11[[#This Row],[Year of Inventory]]+1)*(Table11[[#This Row],[Average DBH
(inches)]]/(Table11[[#This Row],[Harvest Year
(10 year)]]-Table11[[#This Row],[Year of Inventory]]+1))+Table11[[#This Row],[Average DBH
(inches)]]</f>
        <v>0</v>
      </c>
      <c r="BQ353" s="235">
        <f>((Table11[[#This Row],[Projected DBH
(Extrapolated Growth/Year)]]-4)^2)*(Table11[[#This Row],[Average MHT
(Feet)]]/16)</f>
        <v>0</v>
      </c>
      <c r="BR353" s="235">
        <f>Table11[[#This Row],[Projected Average BF]]*Table11[[#This Row],[2024 '#Trees Inventory + Estimate]]</f>
        <v>0</v>
      </c>
      <c r="BS353" s="235">
        <f>196*Table11[[#This Row],[2024 '#Trees Inventory + Estimate]]</f>
        <v>0</v>
      </c>
      <c r="BT353" s="235">
        <f>Table11[[#This Row],[ETP Offering Expected BF]]-Table11[[#This Row],[Projected Total BF]]</f>
        <v>0</v>
      </c>
      <c r="BU353" s="235">
        <f>(18-Table11[[#This Row],[Average DBH
(inches)]])/(D353-Table11[[#This Row],[Year of Inventory]]+1)</f>
        <v>18</v>
      </c>
    </row>
    <row r="354" spans="1:73" hidden="1" x14ac:dyDescent="0.25">
      <c r="A354" s="7" t="s">
        <v>1963</v>
      </c>
      <c r="B354" s="2">
        <v>2021</v>
      </c>
      <c r="C354" s="2">
        <v>2023</v>
      </c>
      <c r="D354" s="2">
        <f>Table11[[#This Row],[Planting Year]]+9</f>
        <v>2032</v>
      </c>
      <c r="E354" t="s">
        <v>1964</v>
      </c>
      <c r="F354" s="161">
        <v>40041</v>
      </c>
      <c r="G354" t="s">
        <v>1964</v>
      </c>
      <c r="H354" s="358"/>
      <c r="I354" t="s">
        <v>155</v>
      </c>
      <c r="J354" s="1"/>
      <c r="K354" s="1"/>
      <c r="L354" s="1"/>
      <c r="M354" s="1" t="s">
        <v>621</v>
      </c>
      <c r="N354" t="s">
        <v>1965</v>
      </c>
      <c r="O354">
        <v>17.6514457</v>
      </c>
      <c r="P354">
        <v>-93.700453300000007</v>
      </c>
      <c r="Q354" s="2"/>
      <c r="R354" s="86"/>
      <c r="S354" s="2"/>
      <c r="T354" s="1">
        <v>2750</v>
      </c>
      <c r="U354" s="1">
        <v>2750</v>
      </c>
      <c r="V354" s="1" t="str">
        <f>IF(Table11[[#This Row],['#TreesContract]]-Table11[[#This Row],['#Planted]]=0,"",Table11[[#This Row],['#TreesContract]]-Table11[[#This Row],['#Planted]])</f>
        <v/>
      </c>
      <c r="W354" s="2"/>
      <c r="X354" s="34">
        <v>1</v>
      </c>
      <c r="Y354" s="163">
        <f>Table11[[#This Row],['#TreesContract]]*Table11[[#This Row],[USA Allocation %]]</f>
        <v>2750</v>
      </c>
      <c r="Z354" s="163">
        <f>Table11[[#This Row],['#Planted]]*Table11[[#This Row],[USA Allocation %]]</f>
        <v>2750</v>
      </c>
      <c r="AA354" s="34"/>
      <c r="AB354" s="163"/>
      <c r="AC354" s="34"/>
      <c r="AD354" s="163"/>
      <c r="AE354" s="163">
        <f>Table11[[#This Row],[Canada Allocation-tree '#''s]]+Table11[[#This Row],[Can trees/Allocation 2017]]</f>
        <v>0</v>
      </c>
      <c r="AF354" s="5">
        <v>1</v>
      </c>
      <c r="AG354" s="2">
        <v>2750</v>
      </c>
      <c r="AH354" s="270">
        <f>Table11[[#This Row],['#Trees as of 12/31/23]]*Table11[[#This Row],[USA Allocation %]]</f>
        <v>2750</v>
      </c>
      <c r="AI354" s="437">
        <f>Table11[[#This Row],['#TreesContract]]*Table11[[#This Row],[2024 Inventory Survival%-master]]</f>
        <v>0</v>
      </c>
      <c r="AJ354" s="436"/>
      <c r="AK354" s="5">
        <v>1</v>
      </c>
      <c r="AL354" s="5">
        <v>1</v>
      </c>
      <c r="AM354" s="2">
        <v>2750</v>
      </c>
      <c r="AN354" s="35">
        <f>Table11[[#This Row],[2024 '#Trees Inventory + Estimate]]*Table11[[#This Row],[USA Allocation %]]</f>
        <v>2750</v>
      </c>
      <c r="AO354" s="35">
        <f>Table11[[#This Row],[2024 '#Trees Inventory + Estimate]]*Table11[[#This Row],[Canada Allocation %]]</f>
        <v>0</v>
      </c>
      <c r="AP354" s="35">
        <f>Table11[[#This Row],[2024 '#Trees Inventory + Estimate]]*Table11[[#This Row],[Canada Allocation2017 %]]</f>
        <v>0</v>
      </c>
      <c r="AQ354" s="35">
        <f>Table11[[#This Row],['#Trees as of 2024/estimate-Can allocation]]+Table11[[#This Row],['#Trees as of 2024/estimate-Can allocation 2017]]</f>
        <v>0</v>
      </c>
      <c r="AR354" s="1"/>
      <c r="AS354" s="2"/>
      <c r="AT354" s="6">
        <f>IFERROR(Table11[[#This Row],['#Total Replacements]]/Table11[[#This Row],['#TreesContract]],"")</f>
        <v>0.1690909090909091</v>
      </c>
      <c r="AU354" s="4">
        <f>IF(SUM(Table11[[#This Row],['#Replace 24]:['#Replace 16]])=0,0,SUM(Table11[[#This Row],['#Replace 24]:['#Replace 16]]))</f>
        <v>465</v>
      </c>
      <c r="AV354" s="2"/>
      <c r="AW354" s="2"/>
      <c r="AX354" s="3">
        <v>465</v>
      </c>
      <c r="AY354" s="2"/>
      <c r="AZ354" s="2"/>
      <c r="BA354" s="2"/>
      <c r="BB354" s="2"/>
      <c r="BC354" s="2"/>
      <c r="BD354" s="2"/>
      <c r="BE354" s="2"/>
      <c r="BF354" s="73">
        <v>1</v>
      </c>
      <c r="BG354" s="2">
        <v>1</v>
      </c>
      <c r="BH354" s="2"/>
      <c r="BI354" s="2"/>
      <c r="BJ354" s="2"/>
      <c r="BK354" s="139">
        <f>Table11[[#This Row],[Average MHT
(Feet)]]/16</f>
        <v>0</v>
      </c>
      <c r="BL354" s="2"/>
      <c r="BM354" s="139">
        <f>Table11[[#This Row],[Average DBH
(inches)]]/18</f>
        <v>0</v>
      </c>
      <c r="BN354" s="235">
        <f>((Table11[[#This Row],[Average DBH
(inches)]]-4)^2)*(Table11[[#This Row],[Average MHT
(Feet)]]/16)</f>
        <v>0</v>
      </c>
      <c r="BO354" s="235">
        <f>Table11[[#This Row],[Average BF]]*Table11[[#This Row],[2024 '#Trees Inventory + Estimate]]</f>
        <v>0</v>
      </c>
      <c r="BP354" s="240">
        <f>(Table11[[#This Row],[Harvest Year
(10 year)]]-Table11[[#This Row],[Year of Inventory]]+1)*(Table11[[#This Row],[Average DBH
(inches)]]/(Table11[[#This Row],[Harvest Year
(10 year)]]-Table11[[#This Row],[Year of Inventory]]+1))+Table11[[#This Row],[Average DBH
(inches)]]</f>
        <v>0</v>
      </c>
      <c r="BQ354" s="235">
        <f>((Table11[[#This Row],[Projected DBH
(Extrapolated Growth/Year)]]-4)^2)*(Table11[[#This Row],[Average MHT
(Feet)]]/16)</f>
        <v>0</v>
      </c>
      <c r="BR354" s="235">
        <f>Table11[[#This Row],[Projected Average BF]]*Table11[[#This Row],[2024 '#Trees Inventory + Estimate]]</f>
        <v>0</v>
      </c>
      <c r="BS354" s="235">
        <f>196*Table11[[#This Row],[2024 '#Trees Inventory + Estimate]]</f>
        <v>539000</v>
      </c>
      <c r="BT354" s="243">
        <f>Table11[[#This Row],[ETP Offering Expected BF]]-Table11[[#This Row],[Projected Total BF]]</f>
        <v>539000</v>
      </c>
      <c r="BU354" s="235">
        <f>(18-Table11[[#This Row],[Average DBH
(inches)]])/(D354-Table11[[#This Row],[Year of Inventory]]+1)</f>
        <v>8.8539104771273979E-3</v>
      </c>
    </row>
    <row r="355" spans="1:73" hidden="1" x14ac:dyDescent="0.25">
      <c r="A355" s="7" t="s">
        <v>1966</v>
      </c>
      <c r="B355" s="2">
        <v>2022</v>
      </c>
      <c r="C355" s="2">
        <v>2023</v>
      </c>
      <c r="D355" s="2">
        <v>0</v>
      </c>
      <c r="E355" t="s">
        <v>1967</v>
      </c>
      <c r="F355" s="161">
        <v>40042</v>
      </c>
      <c r="G355" t="s">
        <v>1967</v>
      </c>
      <c r="H355" s="357"/>
      <c r="I355" t="s">
        <v>160</v>
      </c>
      <c r="J355" s="1"/>
      <c r="K355" s="1"/>
      <c r="L355" s="1"/>
      <c r="M355" s="1" t="s">
        <v>621</v>
      </c>
      <c r="Q355" s="2"/>
      <c r="R355" s="86"/>
      <c r="S355" s="2"/>
      <c r="T355" s="1">
        <v>550</v>
      </c>
      <c r="U355" s="1">
        <v>200</v>
      </c>
      <c r="V355" s="1">
        <f>IF(Table11[[#This Row],['#TreesContract]]-Table11[[#This Row],['#Planted]]=0,"",Table11[[#This Row],['#TreesContract]]-Table11[[#This Row],['#Planted]])</f>
        <v>350</v>
      </c>
      <c r="W355" s="2"/>
      <c r="X355" s="34">
        <v>1</v>
      </c>
      <c r="Y355" s="163">
        <f>Table11[[#This Row],['#TreesContract]]*Table11[[#This Row],[USA Allocation %]]</f>
        <v>550</v>
      </c>
      <c r="Z355" s="163">
        <f>Table11[[#This Row],['#Planted]]*Table11[[#This Row],[USA Allocation %]]</f>
        <v>200</v>
      </c>
      <c r="AA355" s="34"/>
      <c r="AB355" s="163"/>
      <c r="AC355" s="34"/>
      <c r="AD355" s="163"/>
      <c r="AE355" s="163">
        <f>Table11[[#This Row],[Canada Allocation-tree '#''s]]+Table11[[#This Row],[Can trees/Allocation 2017]]</f>
        <v>0</v>
      </c>
      <c r="AF355" s="5"/>
      <c r="AG355" s="35"/>
      <c r="AH355" s="35">
        <f>Table11[[#This Row],['#Trees as of 12/31/23]]*Table11[[#This Row],[USA Allocation %]]</f>
        <v>0</v>
      </c>
      <c r="AI355" s="404">
        <f>Table11[[#This Row],['#TreesContract]]*Table11[[#This Row],[2024 Inventory Survival%-master]]</f>
        <v>0</v>
      </c>
      <c r="AJ355" s="5">
        <v>0</v>
      </c>
      <c r="AK355" s="5">
        <v>0</v>
      </c>
      <c r="AL355" s="5">
        <v>0</v>
      </c>
      <c r="AM355" s="35">
        <v>0</v>
      </c>
      <c r="AN355" s="35">
        <f>Table11[[#This Row],[2024 '#Trees Inventory + Estimate]]*Table11[[#This Row],[USA Allocation %]]</f>
        <v>0</v>
      </c>
      <c r="AO355" s="35">
        <f>Table11[[#This Row],[2024 '#Trees Inventory + Estimate]]*Table11[[#This Row],[Canada Allocation %]]</f>
        <v>0</v>
      </c>
      <c r="AP355" s="35">
        <f>Table11[[#This Row],[2024 '#Trees Inventory + Estimate]]*Table11[[#This Row],[Canada Allocation2017 %]]</f>
        <v>0</v>
      </c>
      <c r="AQ355" s="35">
        <f>Table11[[#This Row],['#Trees as of 2024/estimate-Can allocation]]+Table11[[#This Row],['#Trees as of 2024/estimate-Can allocation 2017]]</f>
        <v>0</v>
      </c>
      <c r="AR355" s="1"/>
      <c r="AS355" s="2"/>
      <c r="AT355" s="6">
        <f>IFERROR(Table11[[#This Row],['#Total Replacements]]/Table11[[#This Row],['#TreesContract]],"")</f>
        <v>0</v>
      </c>
      <c r="AU355" s="4">
        <f>IF(SUM(Table11[[#This Row],['#Replace 24]:['#Replace 16]])=0,0,SUM(Table11[[#This Row],['#Replace 24]:['#Replace 16]]))</f>
        <v>0</v>
      </c>
      <c r="AV355" s="2"/>
      <c r="AW355" s="2"/>
      <c r="AX355" s="3"/>
      <c r="AY355" s="2"/>
      <c r="AZ355" s="2"/>
      <c r="BA355" s="2"/>
      <c r="BB355" s="2"/>
      <c r="BC355" s="2"/>
      <c r="BD355" s="2"/>
      <c r="BE355" s="2"/>
      <c r="BF355" s="73"/>
      <c r="BG355" s="2"/>
      <c r="BH355" s="2"/>
      <c r="BI355" s="158"/>
      <c r="BJ355" s="158"/>
      <c r="BK355" s="139">
        <f>Table11[[#This Row],[Average MHT
(Feet)]]/16</f>
        <v>0</v>
      </c>
      <c r="BL355" s="2"/>
      <c r="BM355" s="139">
        <f>Table11[[#This Row],[Average DBH
(inches)]]/18</f>
        <v>0</v>
      </c>
      <c r="BN355" s="235">
        <f>((Table11[[#This Row],[Average DBH
(inches)]]-4)^2)*(Table11[[#This Row],[Average MHT
(Feet)]]/16)</f>
        <v>0</v>
      </c>
      <c r="BO355" s="235">
        <f>Table11[[#This Row],[Average BF]]*Table11[[#This Row],[2024 '#Trees Inventory + Estimate]]</f>
        <v>0</v>
      </c>
      <c r="BP355" s="240">
        <f>(Table11[[#This Row],[Harvest Year
(10 year)]]-Table11[[#This Row],[Year of Inventory]]+1)*(Table11[[#This Row],[Average DBH
(inches)]]/(Table11[[#This Row],[Harvest Year
(10 year)]]-Table11[[#This Row],[Year of Inventory]]+1))+Table11[[#This Row],[Average DBH
(inches)]]</f>
        <v>0</v>
      </c>
      <c r="BQ355" s="235">
        <f>((Table11[[#This Row],[Projected DBH
(Extrapolated Growth/Year)]]-4)^2)*(Table11[[#This Row],[Average MHT
(Feet)]]/16)</f>
        <v>0</v>
      </c>
      <c r="BR355" s="235">
        <f>Table11[[#This Row],[Projected Average BF]]*Table11[[#This Row],[2024 '#Trees Inventory + Estimate]]</f>
        <v>0</v>
      </c>
      <c r="BS355" s="235">
        <f>196*Table11[[#This Row],[2024 '#Trees Inventory + Estimate]]</f>
        <v>0</v>
      </c>
      <c r="BT355" s="235">
        <f>Table11[[#This Row],[ETP Offering Expected BF]]-Table11[[#This Row],[Projected Total BF]]</f>
        <v>0</v>
      </c>
      <c r="BU355" s="235">
        <f>(18-Table11[[#This Row],[Average DBH
(inches)]])/(D355-Table11[[#This Row],[Year of Inventory]]+1)</f>
        <v>18</v>
      </c>
    </row>
    <row r="356" spans="1:73" hidden="1" x14ac:dyDescent="0.25">
      <c r="A356" s="7" t="s">
        <v>1968</v>
      </c>
      <c r="B356" s="120">
        <v>2021</v>
      </c>
      <c r="C356" s="2">
        <v>2023</v>
      </c>
      <c r="D356" s="2">
        <f>Table11[[#This Row],[Planting Year]]+9</f>
        <v>2032</v>
      </c>
      <c r="E356" t="s">
        <v>1969</v>
      </c>
      <c r="F356" s="161">
        <v>40043</v>
      </c>
      <c r="G356" t="s">
        <v>1969</v>
      </c>
      <c r="H356" s="357"/>
      <c r="I356" t="s">
        <v>155</v>
      </c>
      <c r="J356" s="1"/>
      <c r="K356" s="1"/>
      <c r="L356" s="1"/>
      <c r="M356" s="1" t="s">
        <v>621</v>
      </c>
      <c r="N356" t="s">
        <v>1970</v>
      </c>
      <c r="O356">
        <v>17.1850153</v>
      </c>
      <c r="P356">
        <v>-94.204724299999995</v>
      </c>
      <c r="Q356" s="2"/>
      <c r="R356" s="86"/>
      <c r="S356" s="2"/>
      <c r="T356" s="1">
        <v>1100</v>
      </c>
      <c r="U356" s="1">
        <v>1100</v>
      </c>
      <c r="V356" s="1" t="str">
        <f>IF(Table11[[#This Row],['#TreesContract]]-Table11[[#This Row],['#Planted]]=0,"",Table11[[#This Row],['#TreesContract]]-Table11[[#This Row],['#Planted]])</f>
        <v/>
      </c>
      <c r="W356" s="2"/>
      <c r="X356" s="34">
        <v>1</v>
      </c>
      <c r="Y356" s="163">
        <f>Table11[[#This Row],['#TreesContract]]*Table11[[#This Row],[USA Allocation %]]</f>
        <v>1100</v>
      </c>
      <c r="Z356" s="163">
        <f>Table11[[#This Row],['#Planted]]*Table11[[#This Row],[USA Allocation %]]</f>
        <v>1100</v>
      </c>
      <c r="AA356" s="34"/>
      <c r="AB356" s="163"/>
      <c r="AC356" s="34"/>
      <c r="AD356" s="163"/>
      <c r="AE356" s="163">
        <f>Table11[[#This Row],[Canada Allocation-tree '#''s]]+Table11[[#This Row],[Can trees/Allocation 2017]]</f>
        <v>0</v>
      </c>
      <c r="AF356" s="5">
        <v>1</v>
      </c>
      <c r="AG356" s="35">
        <v>1100</v>
      </c>
      <c r="AH356" s="35">
        <f>Table11[[#This Row],['#Trees as of 12/31/23]]*Table11[[#This Row],[USA Allocation %]]</f>
        <v>1100</v>
      </c>
      <c r="AI356" s="437">
        <f>Table11[[#This Row],['#TreesContract]]*Table11[[#This Row],[2024 Inventory Survival%-master]]</f>
        <v>0</v>
      </c>
      <c r="AJ356" s="436"/>
      <c r="AK356" s="5">
        <v>1</v>
      </c>
      <c r="AL356" s="5">
        <v>1</v>
      </c>
      <c r="AM356" s="35">
        <v>1100</v>
      </c>
      <c r="AN356" s="35">
        <f>Table11[[#This Row],[2024 '#Trees Inventory + Estimate]]*Table11[[#This Row],[USA Allocation %]]</f>
        <v>1100</v>
      </c>
      <c r="AO356" s="35">
        <f>Table11[[#This Row],[2024 '#Trees Inventory + Estimate]]*Table11[[#This Row],[Canada Allocation %]]</f>
        <v>0</v>
      </c>
      <c r="AP356" s="35">
        <f>Table11[[#This Row],[2024 '#Trees Inventory + Estimate]]*Table11[[#This Row],[Canada Allocation2017 %]]</f>
        <v>0</v>
      </c>
      <c r="AQ356" s="35">
        <f>Table11[[#This Row],['#Trees as of 2024/estimate-Can allocation]]+Table11[[#This Row],['#Trees as of 2024/estimate-Can allocation 2017]]</f>
        <v>0</v>
      </c>
      <c r="AR356" s="1"/>
      <c r="AS356" s="2"/>
      <c r="AT356" s="6">
        <f>IFERROR(Table11[[#This Row],['#Total Replacements]]/Table11[[#This Row],['#TreesContract]],"")</f>
        <v>0.5</v>
      </c>
      <c r="AU356" s="4">
        <f>IF(SUM(Table11[[#This Row],['#Replace 24]:['#Replace 16]])=0,0,SUM(Table11[[#This Row],['#Replace 24]:['#Replace 16]]))</f>
        <v>550</v>
      </c>
      <c r="AV356" s="2"/>
      <c r="AW356" s="2"/>
      <c r="AX356" s="3">
        <v>550</v>
      </c>
      <c r="AY356" s="2"/>
      <c r="AZ356" s="2"/>
      <c r="BA356" s="2"/>
      <c r="BB356" s="2"/>
      <c r="BC356" s="2"/>
      <c r="BD356" s="2"/>
      <c r="BE356" s="2"/>
      <c r="BF356" s="73">
        <v>1</v>
      </c>
      <c r="BG356" s="2">
        <v>1</v>
      </c>
      <c r="BH356" s="2"/>
      <c r="BI356" s="158"/>
      <c r="BJ356" s="158"/>
      <c r="BK356" s="139">
        <f>Table11[[#This Row],[Average MHT
(Feet)]]/16</f>
        <v>0</v>
      </c>
      <c r="BL356" s="2"/>
      <c r="BM356" s="139">
        <f>Table11[[#This Row],[Average DBH
(inches)]]/18</f>
        <v>0</v>
      </c>
      <c r="BN356" s="235">
        <f>((Table11[[#This Row],[Average DBH
(inches)]]-4)^2)*(Table11[[#This Row],[Average MHT
(Feet)]]/16)</f>
        <v>0</v>
      </c>
      <c r="BO356" s="235">
        <f>Table11[[#This Row],[Average BF]]*Table11[[#This Row],[2024 '#Trees Inventory + Estimate]]</f>
        <v>0</v>
      </c>
      <c r="BP356" s="240">
        <f>(Table11[[#This Row],[Harvest Year
(10 year)]]-Table11[[#This Row],[Year of Inventory]]+1)*(Table11[[#This Row],[Average DBH
(inches)]]/(Table11[[#This Row],[Harvest Year
(10 year)]]-Table11[[#This Row],[Year of Inventory]]+1))+Table11[[#This Row],[Average DBH
(inches)]]</f>
        <v>0</v>
      </c>
      <c r="BQ356" s="235">
        <f>((Table11[[#This Row],[Projected DBH
(Extrapolated Growth/Year)]]-4)^2)*(Table11[[#This Row],[Average MHT
(Feet)]]/16)</f>
        <v>0</v>
      </c>
      <c r="BR356" s="235">
        <f>Table11[[#This Row],[Projected Average BF]]*Table11[[#This Row],[2024 '#Trees Inventory + Estimate]]</f>
        <v>0</v>
      </c>
      <c r="BS356" s="235">
        <f>196*Table11[[#This Row],[2024 '#Trees Inventory + Estimate]]</f>
        <v>215600</v>
      </c>
      <c r="BT356" s="243">
        <f>Table11[[#This Row],[ETP Offering Expected BF]]-Table11[[#This Row],[Projected Total BF]]</f>
        <v>215600</v>
      </c>
      <c r="BU356" s="235">
        <f>(18-Table11[[#This Row],[Average DBH
(inches)]])/(D356-Table11[[#This Row],[Year of Inventory]]+1)</f>
        <v>8.8539104771273979E-3</v>
      </c>
    </row>
    <row r="357" spans="1:73" hidden="1" x14ac:dyDescent="0.25">
      <c r="A357" s="7" t="s">
        <v>1971</v>
      </c>
      <c r="B357" s="2">
        <v>2022</v>
      </c>
      <c r="C357" s="2">
        <v>2023</v>
      </c>
      <c r="D357" s="2">
        <f>Table11[[#This Row],[Planting Year]]+9</f>
        <v>2032</v>
      </c>
      <c r="E357" t="s">
        <v>1972</v>
      </c>
      <c r="F357" s="161">
        <v>40044</v>
      </c>
      <c r="G357" t="s">
        <v>1972</v>
      </c>
      <c r="H357" s="357"/>
      <c r="I357" t="s">
        <v>155</v>
      </c>
      <c r="J357" s="1" t="s">
        <v>1973</v>
      </c>
      <c r="K357" s="1"/>
      <c r="L357" s="1"/>
      <c r="M357" s="1" t="s">
        <v>621</v>
      </c>
      <c r="N357" t="s">
        <v>1974</v>
      </c>
      <c r="O357">
        <v>17.266358400000001</v>
      </c>
      <c r="P357">
        <v>-94.807024200000001</v>
      </c>
      <c r="Q357" s="2"/>
      <c r="R357" s="86"/>
      <c r="S357" s="2"/>
      <c r="T357" s="1">
        <v>4400</v>
      </c>
      <c r="U357" s="1">
        <v>2650</v>
      </c>
      <c r="V357" s="1">
        <f>IF(Table11[[#This Row],['#TreesContract]]-Table11[[#This Row],['#Planted]]=0,"",Table11[[#This Row],['#TreesContract]]-Table11[[#This Row],['#Planted]])</f>
        <v>1750</v>
      </c>
      <c r="W357" s="2"/>
      <c r="X357" s="34">
        <v>1</v>
      </c>
      <c r="Y357" s="163">
        <f>Table11[[#This Row],['#TreesContract]]*Table11[[#This Row],[USA Allocation %]]</f>
        <v>4400</v>
      </c>
      <c r="Z357" s="163">
        <f>Table11[[#This Row],['#Planted]]*Table11[[#This Row],[USA Allocation %]]</f>
        <v>2650</v>
      </c>
      <c r="AA357" s="34"/>
      <c r="AB357" s="163"/>
      <c r="AC357" s="34"/>
      <c r="AD357" s="163"/>
      <c r="AE357" s="163">
        <f>Table11[[#This Row],[Canada Allocation-tree '#''s]]+Table11[[#This Row],[Can trees/Allocation 2017]]</f>
        <v>0</v>
      </c>
      <c r="AF357" s="5">
        <v>1</v>
      </c>
      <c r="AG357" s="2">
        <f>Table11[[#This Row],['#Planted]]*Table11[[#This Row],[2024 Survival% Inventory + Estimate]]</f>
        <v>2650</v>
      </c>
      <c r="AH357" s="270">
        <f>Table11[[#This Row],['#Trees as of 12/31/23]]*Table11[[#This Row],[USA Allocation %]]</f>
        <v>2650</v>
      </c>
      <c r="AI357" s="437">
        <f>Table11[[#This Row],['#TreesContract]]*Table11[[#This Row],[2024 Inventory Survival%-master]]</f>
        <v>0</v>
      </c>
      <c r="AJ357" s="436"/>
      <c r="AK357" s="5">
        <v>1</v>
      </c>
      <c r="AL357" s="5">
        <v>1</v>
      </c>
      <c r="AM357" s="2">
        <f>Table11[[#This Row],['#Planted]]*Table11[[#This Row],[2024 Survival% Inventory + Estimate]]</f>
        <v>2650</v>
      </c>
      <c r="AN357" s="35">
        <f>Table11[[#This Row],[2024 '#Trees Inventory + Estimate]]*Table11[[#This Row],[USA Allocation %]]</f>
        <v>2650</v>
      </c>
      <c r="AO357" s="35">
        <f>Table11[[#This Row],[2024 '#Trees Inventory + Estimate]]*Table11[[#This Row],[Canada Allocation %]]</f>
        <v>0</v>
      </c>
      <c r="AP357" s="35">
        <f>Table11[[#This Row],[2024 '#Trees Inventory + Estimate]]*Table11[[#This Row],[Canada Allocation2017 %]]</f>
        <v>0</v>
      </c>
      <c r="AQ357" s="35">
        <f>Table11[[#This Row],['#Trees as of 2024/estimate-Can allocation]]+Table11[[#This Row],['#Trees as of 2024/estimate-Can allocation 2017]]</f>
        <v>0</v>
      </c>
      <c r="AR357" s="1"/>
      <c r="AS357" s="2"/>
      <c r="AT357" s="6">
        <f>IFERROR(Table11[[#This Row],['#Total Replacements]]/Table11[[#This Row],['#TreesContract]],"")</f>
        <v>0</v>
      </c>
      <c r="AU357" s="4">
        <f>IF(SUM(Table11[[#This Row],['#Replace 24]:['#Replace 16]])=0,0,SUM(Table11[[#This Row],['#Replace 24]:['#Replace 16]]))</f>
        <v>0</v>
      </c>
      <c r="AV357" s="2"/>
      <c r="AW357" s="2"/>
      <c r="AX357" s="3"/>
      <c r="AY357" s="2"/>
      <c r="AZ357" s="2"/>
      <c r="BA357" s="2"/>
      <c r="BB357" s="2"/>
      <c r="BC357" s="2"/>
      <c r="BD357" s="2"/>
      <c r="BE357" s="2"/>
      <c r="BF357" s="73">
        <v>1</v>
      </c>
      <c r="BG357" s="2">
        <v>1</v>
      </c>
      <c r="BH357" s="2"/>
      <c r="BI357" s="2"/>
      <c r="BJ357" s="2"/>
      <c r="BK357" s="139">
        <f>Table11[[#This Row],[Average MHT
(Feet)]]/16</f>
        <v>0</v>
      </c>
      <c r="BL357" s="2"/>
      <c r="BM357" s="139">
        <f>Table11[[#This Row],[Average DBH
(inches)]]/18</f>
        <v>0</v>
      </c>
      <c r="BN357" s="235">
        <f>((Table11[[#This Row],[Average DBH
(inches)]]-4)^2)*(Table11[[#This Row],[Average MHT
(Feet)]]/16)</f>
        <v>0</v>
      </c>
      <c r="BO357" s="235">
        <f>Table11[[#This Row],[Average BF]]*Table11[[#This Row],[2024 '#Trees Inventory + Estimate]]</f>
        <v>0</v>
      </c>
      <c r="BP357" s="240">
        <f>(Table11[[#This Row],[Harvest Year
(10 year)]]-Table11[[#This Row],[Year of Inventory]]+1)*(Table11[[#This Row],[Average DBH
(inches)]]/(Table11[[#This Row],[Harvest Year
(10 year)]]-Table11[[#This Row],[Year of Inventory]]+1))+Table11[[#This Row],[Average DBH
(inches)]]</f>
        <v>0</v>
      </c>
      <c r="BQ357" s="235">
        <f>((Table11[[#This Row],[Projected DBH
(Extrapolated Growth/Year)]]-4)^2)*(Table11[[#This Row],[Average MHT
(Feet)]]/16)</f>
        <v>0</v>
      </c>
      <c r="BR357" s="235">
        <f>Table11[[#This Row],[Projected Average BF]]*Table11[[#This Row],[2024 '#Trees Inventory + Estimate]]</f>
        <v>0</v>
      </c>
      <c r="BS357" s="235">
        <f>196*Table11[[#This Row],[2024 '#Trees Inventory + Estimate]]</f>
        <v>519400</v>
      </c>
      <c r="BT357" s="243">
        <f>Table11[[#This Row],[ETP Offering Expected BF]]-Table11[[#This Row],[Projected Total BF]]</f>
        <v>519400</v>
      </c>
      <c r="BU357" s="235">
        <f>(18-Table11[[#This Row],[Average DBH
(inches)]])/(D357-Table11[[#This Row],[Year of Inventory]]+1)</f>
        <v>8.8539104771273979E-3</v>
      </c>
    </row>
    <row r="358" spans="1:73" hidden="1" x14ac:dyDescent="0.25">
      <c r="A358" s="7" t="s">
        <v>1975</v>
      </c>
      <c r="B358" s="2">
        <v>2022</v>
      </c>
      <c r="C358" s="2">
        <v>2023</v>
      </c>
      <c r="D358" s="2">
        <f>Table11[[#This Row],[Planting Year]]+9</f>
        <v>2032</v>
      </c>
      <c r="E358" t="s">
        <v>1976</v>
      </c>
      <c r="F358" s="161">
        <v>40045</v>
      </c>
      <c r="G358" t="s">
        <v>1976</v>
      </c>
      <c r="H358" s="357"/>
      <c r="I358" t="s">
        <v>155</v>
      </c>
      <c r="J358" s="1" t="s">
        <v>1973</v>
      </c>
      <c r="K358" s="1"/>
      <c r="L358" s="1"/>
      <c r="M358" s="1" t="s">
        <v>621</v>
      </c>
      <c r="N358" t="s">
        <v>1977</v>
      </c>
      <c r="O358">
        <v>17.270267499999999</v>
      </c>
      <c r="P358">
        <v>-94.810354799999999</v>
      </c>
      <c r="Q358" s="2"/>
      <c r="R358" s="86"/>
      <c r="S358" s="2"/>
      <c r="T358" s="1">
        <v>2750</v>
      </c>
      <c r="U358" s="1">
        <v>1650</v>
      </c>
      <c r="V358" s="1">
        <f>IF(Table11[[#This Row],['#TreesContract]]-Table11[[#This Row],['#Planted]]=0,"",Table11[[#This Row],['#TreesContract]]-Table11[[#This Row],['#Planted]])</f>
        <v>1100</v>
      </c>
      <c r="W358" s="2"/>
      <c r="X358" s="34">
        <v>1</v>
      </c>
      <c r="Y358" s="163">
        <f>Table11[[#This Row],['#TreesContract]]*Table11[[#This Row],[USA Allocation %]]</f>
        <v>2750</v>
      </c>
      <c r="Z358" s="163">
        <f>Table11[[#This Row],['#Planted]]*Table11[[#This Row],[USA Allocation %]]</f>
        <v>1650</v>
      </c>
      <c r="AA358" s="34"/>
      <c r="AB358" s="163"/>
      <c r="AC358" s="34"/>
      <c r="AD358" s="163"/>
      <c r="AE358" s="163">
        <f>Table11[[#This Row],[Canada Allocation-tree '#''s]]+Table11[[#This Row],[Can trees/Allocation 2017]]</f>
        <v>0</v>
      </c>
      <c r="AF358" s="5">
        <v>1</v>
      </c>
      <c r="AG358" s="2">
        <f>Table11[[#This Row],['#Planted]]*Table11[[#This Row],[2024 Survival% Inventory + Estimate]]</f>
        <v>1650</v>
      </c>
      <c r="AH358" s="270">
        <f>Table11[[#This Row],['#Trees as of 12/31/23]]*Table11[[#This Row],[USA Allocation %]]</f>
        <v>1650</v>
      </c>
      <c r="AI358" s="437">
        <f>Table11[[#This Row],['#TreesContract]]*Table11[[#This Row],[2024 Inventory Survival%-master]]</f>
        <v>0</v>
      </c>
      <c r="AJ358" s="436"/>
      <c r="AK358" s="5">
        <v>1</v>
      </c>
      <c r="AL358" s="5">
        <v>1</v>
      </c>
      <c r="AM358" s="2">
        <f>Table11[[#This Row],['#Planted]]*Table11[[#This Row],[2024 Survival% Inventory + Estimate]]</f>
        <v>1650</v>
      </c>
      <c r="AN358" s="35">
        <f>Table11[[#This Row],[2024 '#Trees Inventory + Estimate]]*Table11[[#This Row],[USA Allocation %]]</f>
        <v>1650</v>
      </c>
      <c r="AO358" s="35">
        <f>Table11[[#This Row],[2024 '#Trees Inventory + Estimate]]*Table11[[#This Row],[Canada Allocation %]]</f>
        <v>0</v>
      </c>
      <c r="AP358" s="35">
        <f>Table11[[#This Row],[2024 '#Trees Inventory + Estimate]]*Table11[[#This Row],[Canada Allocation2017 %]]</f>
        <v>0</v>
      </c>
      <c r="AQ358" s="35">
        <f>Table11[[#This Row],['#Trees as of 2024/estimate-Can allocation]]+Table11[[#This Row],['#Trees as of 2024/estimate-Can allocation 2017]]</f>
        <v>0</v>
      </c>
      <c r="AR358" s="1"/>
      <c r="AS358" s="2"/>
      <c r="AT358" s="6">
        <f>IFERROR(Table11[[#This Row],['#Total Replacements]]/Table11[[#This Row],['#TreesContract]],"")</f>
        <v>0</v>
      </c>
      <c r="AU358" s="4">
        <f>IF(SUM(Table11[[#This Row],['#Replace 24]:['#Replace 16]])=0,0,SUM(Table11[[#This Row],['#Replace 24]:['#Replace 16]]))</f>
        <v>0</v>
      </c>
      <c r="AV358" s="2"/>
      <c r="AW358" s="2"/>
      <c r="AX358" s="3"/>
      <c r="AY358" s="2"/>
      <c r="AZ358" s="2"/>
      <c r="BA358" s="2"/>
      <c r="BB358" s="2"/>
      <c r="BC358" s="2"/>
      <c r="BD358" s="2"/>
      <c r="BE358" s="2"/>
      <c r="BF358" s="73">
        <v>1</v>
      </c>
      <c r="BG358" s="2">
        <v>1</v>
      </c>
      <c r="BH358" s="2"/>
      <c r="BI358" s="2"/>
      <c r="BJ358" s="2"/>
      <c r="BK358" s="139">
        <f>Table11[[#This Row],[Average MHT
(Feet)]]/16</f>
        <v>0</v>
      </c>
      <c r="BL358" s="2"/>
      <c r="BM358" s="139">
        <f>Table11[[#This Row],[Average DBH
(inches)]]/18</f>
        <v>0</v>
      </c>
      <c r="BN358" s="235">
        <f>((Table11[[#This Row],[Average DBH
(inches)]]-4)^2)*(Table11[[#This Row],[Average MHT
(Feet)]]/16)</f>
        <v>0</v>
      </c>
      <c r="BO358" s="235">
        <f>Table11[[#This Row],[Average BF]]*Table11[[#This Row],[2024 '#Trees Inventory + Estimate]]</f>
        <v>0</v>
      </c>
      <c r="BP358" s="240">
        <f>(Table11[[#This Row],[Harvest Year
(10 year)]]-Table11[[#This Row],[Year of Inventory]]+1)*(Table11[[#This Row],[Average DBH
(inches)]]/(Table11[[#This Row],[Harvest Year
(10 year)]]-Table11[[#This Row],[Year of Inventory]]+1))+Table11[[#This Row],[Average DBH
(inches)]]</f>
        <v>0</v>
      </c>
      <c r="BQ358" s="235">
        <f>((Table11[[#This Row],[Projected DBH
(Extrapolated Growth/Year)]]-4)^2)*(Table11[[#This Row],[Average MHT
(Feet)]]/16)</f>
        <v>0</v>
      </c>
      <c r="BR358" s="235">
        <f>Table11[[#This Row],[Projected Average BF]]*Table11[[#This Row],[2024 '#Trees Inventory + Estimate]]</f>
        <v>0</v>
      </c>
      <c r="BS358" s="235">
        <f>196*Table11[[#This Row],[2024 '#Trees Inventory + Estimate]]</f>
        <v>323400</v>
      </c>
      <c r="BT358" s="243">
        <f>Table11[[#This Row],[ETP Offering Expected BF]]-Table11[[#This Row],[Projected Total BF]]</f>
        <v>323400</v>
      </c>
      <c r="BU358" s="235">
        <f>(18-Table11[[#This Row],[Average DBH
(inches)]])/(D358-Table11[[#This Row],[Year of Inventory]]+1)</f>
        <v>8.8539104771273979E-3</v>
      </c>
    </row>
    <row r="359" spans="1:73" hidden="1" x14ac:dyDescent="0.25">
      <c r="A359" s="7" t="s">
        <v>1978</v>
      </c>
      <c r="B359" s="2">
        <v>2021</v>
      </c>
      <c r="C359" s="2">
        <v>2023</v>
      </c>
      <c r="D359" s="2">
        <f>Table11[[#This Row],[Planting Year]]+9</f>
        <v>2032</v>
      </c>
      <c r="E359" t="s">
        <v>1979</v>
      </c>
      <c r="F359" s="161">
        <v>40046</v>
      </c>
      <c r="G359" t="s">
        <v>1979</v>
      </c>
      <c r="H359" s="357"/>
      <c r="I359" t="s">
        <v>155</v>
      </c>
      <c r="J359" s="1" t="s">
        <v>1980</v>
      </c>
      <c r="K359" s="1"/>
      <c r="L359" s="1"/>
      <c r="M359" s="1" t="s">
        <v>621</v>
      </c>
      <c r="N359" t="s">
        <v>1981</v>
      </c>
      <c r="O359">
        <v>17.581838999999999</v>
      </c>
      <c r="P359">
        <v>-95.235196999999999</v>
      </c>
      <c r="Q359" s="2"/>
      <c r="R359" s="86"/>
      <c r="S359" s="2"/>
      <c r="T359" s="1">
        <v>2750</v>
      </c>
      <c r="U359" s="1">
        <v>2750</v>
      </c>
      <c r="V359" s="1" t="str">
        <f>IF(Table11[[#This Row],['#TreesContract]]-Table11[[#This Row],['#Planted]]=0,"",Table11[[#This Row],['#TreesContract]]-Table11[[#This Row],['#Planted]])</f>
        <v/>
      </c>
      <c r="W359" s="2"/>
      <c r="X359" s="34">
        <v>1</v>
      </c>
      <c r="Y359" s="163">
        <f>Table11[[#This Row],['#TreesContract]]*Table11[[#This Row],[USA Allocation %]]</f>
        <v>2750</v>
      </c>
      <c r="Z359" s="163">
        <f>Table11[[#This Row],['#Planted]]*Table11[[#This Row],[USA Allocation %]]</f>
        <v>2750</v>
      </c>
      <c r="AA359" s="34"/>
      <c r="AB359" s="163"/>
      <c r="AC359" s="34"/>
      <c r="AD359" s="163"/>
      <c r="AE359" s="163">
        <f>Table11[[#This Row],[Canada Allocation-tree '#''s]]+Table11[[#This Row],[Can trees/Allocation 2017]]</f>
        <v>0</v>
      </c>
      <c r="AF359" s="5">
        <v>1</v>
      </c>
      <c r="AG359" s="2">
        <v>2750</v>
      </c>
      <c r="AH359" s="270">
        <f>Table11[[#This Row],['#Trees as of 12/31/23]]*Table11[[#This Row],[USA Allocation %]]</f>
        <v>2750</v>
      </c>
      <c r="AI359" s="437">
        <f>Table11[[#This Row],['#TreesContract]]*Table11[[#This Row],[2024 Inventory Survival%-master]]</f>
        <v>0</v>
      </c>
      <c r="AJ359" s="436"/>
      <c r="AK359" s="5">
        <v>1</v>
      </c>
      <c r="AL359" s="5">
        <v>1</v>
      </c>
      <c r="AM359" s="2">
        <v>2750</v>
      </c>
      <c r="AN359" s="35">
        <f>Table11[[#This Row],[2024 '#Trees Inventory + Estimate]]*Table11[[#This Row],[USA Allocation %]]</f>
        <v>2750</v>
      </c>
      <c r="AO359" s="35">
        <f>Table11[[#This Row],[2024 '#Trees Inventory + Estimate]]*Table11[[#This Row],[Canada Allocation %]]</f>
        <v>0</v>
      </c>
      <c r="AP359" s="35">
        <f>Table11[[#This Row],[2024 '#Trees Inventory + Estimate]]*Table11[[#This Row],[Canada Allocation2017 %]]</f>
        <v>0</v>
      </c>
      <c r="AQ359" s="35">
        <f>Table11[[#This Row],['#Trees as of 2024/estimate-Can allocation]]+Table11[[#This Row],['#Trees as of 2024/estimate-Can allocation 2017]]</f>
        <v>0</v>
      </c>
      <c r="AR359" s="1"/>
      <c r="AS359" s="2"/>
      <c r="AT359" s="6">
        <f>IFERROR(Table11[[#This Row],['#Total Replacements]]/Table11[[#This Row],['#TreesContract]],"")</f>
        <v>0</v>
      </c>
      <c r="AU359" s="4">
        <f>IF(SUM(Table11[[#This Row],['#Replace 24]:['#Replace 16]])=0,0,SUM(Table11[[#This Row],['#Replace 24]:['#Replace 16]]))</f>
        <v>0</v>
      </c>
      <c r="AV359" s="2"/>
      <c r="AW359" s="2"/>
      <c r="AX359" s="3"/>
      <c r="AY359" s="2"/>
      <c r="AZ359" s="2"/>
      <c r="BA359" s="2"/>
      <c r="BB359" s="2"/>
      <c r="BC359" s="2"/>
      <c r="BD359" s="2"/>
      <c r="BE359" s="2"/>
      <c r="BF359" s="73">
        <v>1</v>
      </c>
      <c r="BG359" s="2">
        <v>1</v>
      </c>
      <c r="BH359" s="2"/>
      <c r="BI359" s="158"/>
      <c r="BJ359" s="158"/>
      <c r="BK359" s="139">
        <f>Table11[[#This Row],[Average MHT
(Feet)]]/16</f>
        <v>0</v>
      </c>
      <c r="BL359" s="2"/>
      <c r="BM359" s="139">
        <f>Table11[[#This Row],[Average DBH
(inches)]]/18</f>
        <v>0</v>
      </c>
      <c r="BN359" s="235">
        <f>((Table11[[#This Row],[Average DBH
(inches)]]-4)^2)*(Table11[[#This Row],[Average MHT
(Feet)]]/16)</f>
        <v>0</v>
      </c>
      <c r="BO359" s="235">
        <f>Table11[[#This Row],[Average BF]]*Table11[[#This Row],[2024 '#Trees Inventory + Estimate]]</f>
        <v>0</v>
      </c>
      <c r="BP359" s="240">
        <f>(Table11[[#This Row],[Harvest Year
(10 year)]]-Table11[[#This Row],[Year of Inventory]]+1)*(Table11[[#This Row],[Average DBH
(inches)]]/(Table11[[#This Row],[Harvest Year
(10 year)]]-Table11[[#This Row],[Year of Inventory]]+1))+Table11[[#This Row],[Average DBH
(inches)]]</f>
        <v>0</v>
      </c>
      <c r="BQ359" s="235">
        <f>((Table11[[#This Row],[Projected DBH
(Extrapolated Growth/Year)]]-4)^2)*(Table11[[#This Row],[Average MHT
(Feet)]]/16)</f>
        <v>0</v>
      </c>
      <c r="BR359" s="235">
        <f>Table11[[#This Row],[Projected Average BF]]*Table11[[#This Row],[2024 '#Trees Inventory + Estimate]]</f>
        <v>0</v>
      </c>
      <c r="BS359" s="235">
        <f>196*Table11[[#This Row],[2024 '#Trees Inventory + Estimate]]</f>
        <v>539000</v>
      </c>
      <c r="BT359" s="243">
        <f>Table11[[#This Row],[ETP Offering Expected BF]]-Table11[[#This Row],[Projected Total BF]]</f>
        <v>539000</v>
      </c>
      <c r="BU359" s="235">
        <f>(18-Table11[[#This Row],[Average DBH
(inches)]])/(D359-Table11[[#This Row],[Year of Inventory]]+1)</f>
        <v>8.8539104771273979E-3</v>
      </c>
    </row>
    <row r="360" spans="1:73" hidden="1" x14ac:dyDescent="0.25">
      <c r="A360" s="7" t="s">
        <v>1982</v>
      </c>
      <c r="B360" s="2">
        <v>2021</v>
      </c>
      <c r="C360" s="2">
        <v>2023</v>
      </c>
      <c r="D360" s="2">
        <f>Table11[[#This Row],[Planting Year]]+9</f>
        <v>2032</v>
      </c>
      <c r="E360" t="s">
        <v>1983</v>
      </c>
      <c r="F360" s="162">
        <v>40047</v>
      </c>
      <c r="G360" t="s">
        <v>1983</v>
      </c>
      <c r="H360" s="357"/>
      <c r="I360" t="s">
        <v>155</v>
      </c>
      <c r="J360" s="1" t="s">
        <v>1984</v>
      </c>
      <c r="K360" s="1"/>
      <c r="L360" s="1"/>
      <c r="M360" s="1" t="s">
        <v>621</v>
      </c>
      <c r="N360" t="s">
        <v>1985</v>
      </c>
      <c r="O360">
        <v>17.216251</v>
      </c>
      <c r="P360">
        <v>-94.217917</v>
      </c>
      <c r="Q360" s="2"/>
      <c r="R360" s="86"/>
      <c r="S360" s="2"/>
      <c r="T360" s="1">
        <v>2750</v>
      </c>
      <c r="U360" s="1">
        <v>2750</v>
      </c>
      <c r="V360" s="1" t="str">
        <f>IF(Table11[[#This Row],['#TreesContract]]-Table11[[#This Row],['#Planted]]=0,"",Table11[[#This Row],['#TreesContract]]-Table11[[#This Row],['#Planted]])</f>
        <v/>
      </c>
      <c r="W360" s="2"/>
      <c r="X360" s="34">
        <v>1</v>
      </c>
      <c r="Y360" s="163">
        <f>Table11[[#This Row],['#TreesContract]]*Table11[[#This Row],[USA Allocation %]]</f>
        <v>2750</v>
      </c>
      <c r="Z360" s="163">
        <f>Table11[[#This Row],['#Planted]]*Table11[[#This Row],[USA Allocation %]]</f>
        <v>2750</v>
      </c>
      <c r="AA360" s="34"/>
      <c r="AB360" s="163"/>
      <c r="AC360" s="34"/>
      <c r="AD360" s="163"/>
      <c r="AE360" s="163">
        <f>Table11[[#This Row],[Canada Allocation-tree '#''s]]+Table11[[#This Row],[Can trees/Allocation 2017]]</f>
        <v>0</v>
      </c>
      <c r="AF360" s="5">
        <v>1</v>
      </c>
      <c r="AG360" s="2">
        <v>2750</v>
      </c>
      <c r="AH360" s="270">
        <f>Table11[[#This Row],['#Trees as of 12/31/23]]*Table11[[#This Row],[USA Allocation %]]</f>
        <v>2750</v>
      </c>
      <c r="AI360" s="437">
        <f>Table11[[#This Row],['#TreesContract]]*Table11[[#This Row],[2024 Inventory Survival%-master]]</f>
        <v>0</v>
      </c>
      <c r="AJ360" s="436"/>
      <c r="AK360" s="5">
        <v>1</v>
      </c>
      <c r="AL360" s="5">
        <v>1</v>
      </c>
      <c r="AM360" s="2">
        <v>2750</v>
      </c>
      <c r="AN360" s="35">
        <f>Table11[[#This Row],[2024 '#Trees Inventory + Estimate]]*Table11[[#This Row],[USA Allocation %]]</f>
        <v>2750</v>
      </c>
      <c r="AO360" s="35">
        <f>Table11[[#This Row],[2024 '#Trees Inventory + Estimate]]*Table11[[#This Row],[Canada Allocation %]]</f>
        <v>0</v>
      </c>
      <c r="AP360" s="35">
        <f>Table11[[#This Row],[2024 '#Trees Inventory + Estimate]]*Table11[[#This Row],[Canada Allocation2017 %]]</f>
        <v>0</v>
      </c>
      <c r="AQ360" s="35">
        <f>Table11[[#This Row],['#Trees as of 2024/estimate-Can allocation]]+Table11[[#This Row],['#Trees as of 2024/estimate-Can allocation 2017]]</f>
        <v>0</v>
      </c>
      <c r="AR360" s="1"/>
      <c r="AS360" s="2"/>
      <c r="AT360" s="6">
        <f>IFERROR(Table11[[#This Row],['#Total Replacements]]/Table11[[#This Row],['#TreesContract]],"")</f>
        <v>3.6363636363636362E-2</v>
      </c>
      <c r="AU360" s="4">
        <f>IF(SUM(Table11[[#This Row],['#Replace 24]:['#Replace 16]])=0,0,SUM(Table11[[#This Row],['#Replace 24]:['#Replace 16]]))</f>
        <v>100</v>
      </c>
      <c r="AV360" s="2"/>
      <c r="AW360" s="2"/>
      <c r="AX360" s="3">
        <v>100</v>
      </c>
      <c r="AY360" s="2"/>
      <c r="AZ360" s="2"/>
      <c r="BA360" s="2"/>
      <c r="BB360" s="2"/>
      <c r="BC360" s="2"/>
      <c r="BD360" s="2"/>
      <c r="BE360" s="2"/>
      <c r="BF360" s="73">
        <v>1</v>
      </c>
      <c r="BG360" s="2">
        <v>1</v>
      </c>
      <c r="BH360" s="2"/>
      <c r="BI360" s="158"/>
      <c r="BJ360" s="158"/>
      <c r="BK360" s="139">
        <f>Table11[[#This Row],[Average MHT
(Feet)]]/16</f>
        <v>0</v>
      </c>
      <c r="BL360" s="2"/>
      <c r="BM360" s="139">
        <f>Table11[[#This Row],[Average DBH
(inches)]]/18</f>
        <v>0</v>
      </c>
      <c r="BN360" s="235">
        <f>((Table11[[#This Row],[Average DBH
(inches)]]-4)^2)*(Table11[[#This Row],[Average MHT
(Feet)]]/16)</f>
        <v>0</v>
      </c>
      <c r="BO360" s="235">
        <f>Table11[[#This Row],[Average BF]]*Table11[[#This Row],[2024 '#Trees Inventory + Estimate]]</f>
        <v>0</v>
      </c>
      <c r="BP360" s="240">
        <f>(Table11[[#This Row],[Harvest Year
(10 year)]]-Table11[[#This Row],[Year of Inventory]]+1)*(Table11[[#This Row],[Average DBH
(inches)]]/(Table11[[#This Row],[Harvest Year
(10 year)]]-Table11[[#This Row],[Year of Inventory]]+1))+Table11[[#This Row],[Average DBH
(inches)]]</f>
        <v>0</v>
      </c>
      <c r="BQ360" s="235">
        <f>((Table11[[#This Row],[Projected DBH
(Extrapolated Growth/Year)]]-4)^2)*(Table11[[#This Row],[Average MHT
(Feet)]]/16)</f>
        <v>0</v>
      </c>
      <c r="BR360" s="235">
        <f>Table11[[#This Row],[Projected Average BF]]*Table11[[#This Row],[2024 '#Trees Inventory + Estimate]]</f>
        <v>0</v>
      </c>
      <c r="BS360" s="235">
        <f>196*Table11[[#This Row],[2024 '#Trees Inventory + Estimate]]</f>
        <v>539000</v>
      </c>
      <c r="BT360" s="243">
        <f>Table11[[#This Row],[ETP Offering Expected BF]]-Table11[[#This Row],[Projected Total BF]]</f>
        <v>539000</v>
      </c>
      <c r="BU360" s="235">
        <f>(18-Table11[[#This Row],[Average DBH
(inches)]])/(D360-Table11[[#This Row],[Year of Inventory]]+1)</f>
        <v>8.8539104771273979E-3</v>
      </c>
    </row>
    <row r="361" spans="1:73" hidden="1" x14ac:dyDescent="0.25">
      <c r="A361" s="7" t="s">
        <v>1986</v>
      </c>
      <c r="B361" s="2">
        <v>2023</v>
      </c>
      <c r="C361" s="2">
        <v>2024</v>
      </c>
      <c r="D361" s="2">
        <f>Table11[[#This Row],[Planting Year]]+9</f>
        <v>2033</v>
      </c>
      <c r="E361" s="97" t="s">
        <v>1369</v>
      </c>
      <c r="F361" s="161">
        <v>10089</v>
      </c>
      <c r="G361" t="s">
        <v>1987</v>
      </c>
      <c r="H361" s="357" t="s">
        <v>1988</v>
      </c>
      <c r="I361" t="s">
        <v>155</v>
      </c>
      <c r="J361" s="1" t="s">
        <v>1370</v>
      </c>
      <c r="K361" s="1" t="s">
        <v>1989</v>
      </c>
      <c r="L361" s="1" t="s">
        <v>1990</v>
      </c>
      <c r="M361" s="1" t="s">
        <v>150</v>
      </c>
      <c r="N361" t="s">
        <v>1991</v>
      </c>
      <c r="O361">
        <v>30.512792000000001</v>
      </c>
      <c r="P361">
        <v>-90.144443999999993</v>
      </c>
      <c r="Q361" s="2"/>
      <c r="R361" s="86"/>
      <c r="S361" s="2"/>
      <c r="T361" s="1">
        <v>1320</v>
      </c>
      <c r="U361" s="1">
        <v>1320</v>
      </c>
      <c r="V361" s="1"/>
      <c r="W361" s="2"/>
      <c r="X361" s="34">
        <v>1</v>
      </c>
      <c r="Y361" s="163">
        <f>Table11[[#This Row],['#TreesContract]]*Table11[[#This Row],[USA Allocation %]]</f>
        <v>1320</v>
      </c>
      <c r="Z361" s="163">
        <f>Table11[[#This Row],['#Planted]]*Table11[[#This Row],[USA Allocation %]]</f>
        <v>1320</v>
      </c>
      <c r="AA361" s="34"/>
      <c r="AB361" s="163"/>
      <c r="AC361" s="34"/>
      <c r="AD361" s="163"/>
      <c r="AE361" s="163">
        <f>Table11[[#This Row],[Canada Allocation-tree '#''s]]+Table11[[#This Row],[Can trees/Allocation 2017]]</f>
        <v>0</v>
      </c>
      <c r="AF361" s="5"/>
      <c r="AG361" s="35"/>
      <c r="AH361" s="35"/>
      <c r="AI361" s="437">
        <v>1320</v>
      </c>
      <c r="AJ361" s="436">
        <v>1</v>
      </c>
      <c r="AK361" s="5">
        <v>1</v>
      </c>
      <c r="AL361" s="5">
        <v>1</v>
      </c>
      <c r="AM361" s="2">
        <f>Table11[[#This Row],['#Planted]]*Table11[[#This Row],[2024 Survival% Inventory + Estimate]]</f>
        <v>1320</v>
      </c>
      <c r="AN361" s="35">
        <f>Table11[[#This Row],[2024 '#Trees Inventory + Estimate]]*Table11[[#This Row],[USA Allocation %]]</f>
        <v>1320</v>
      </c>
      <c r="AO361" s="35">
        <f>Table11[[#This Row],[2024 '#Trees Inventory + Estimate]]*Table11[[#This Row],[Canada Allocation %]]</f>
        <v>0</v>
      </c>
      <c r="AP361" s="35">
        <f>Table11[[#This Row],[2024 '#Trees Inventory + Estimate]]*Table11[[#This Row],[Canada Allocation2017 %]]</f>
        <v>0</v>
      </c>
      <c r="AQ361" s="35">
        <f>Table11[[#This Row],['#Trees as of 2024/estimate-Can allocation]]+Table11[[#This Row],['#Trees as of 2024/estimate-Can allocation 2017]]</f>
        <v>0</v>
      </c>
      <c r="AR361" s="1" t="s">
        <v>152</v>
      </c>
      <c r="AS361" s="2" t="s">
        <v>1992</v>
      </c>
      <c r="AT361" s="6">
        <f>IFERROR(Table11[[#This Row],['#Total Replacements]]/Table11[[#This Row],['#TreesContract]],"")</f>
        <v>0</v>
      </c>
      <c r="AU361" s="4">
        <f>IF(SUM(Table11[[#This Row],['#Replace 24]:['#Replace 16]])=0,0,SUM(Table11[[#This Row],['#Replace 24]:['#Replace 16]]))</f>
        <v>0</v>
      </c>
      <c r="AV361" s="2"/>
      <c r="AW361" s="2"/>
      <c r="AX361" s="3"/>
      <c r="AY361" s="2"/>
      <c r="AZ361" s="2"/>
      <c r="BA361" s="2"/>
      <c r="BB361" s="2"/>
      <c r="BC361" s="2"/>
      <c r="BD361" s="2"/>
      <c r="BE361" s="2"/>
      <c r="BF361" s="3">
        <v>1</v>
      </c>
      <c r="BG361" s="3"/>
      <c r="BH361" s="2"/>
      <c r="BI361" s="2"/>
      <c r="BJ361" s="2"/>
      <c r="BK361" s="139">
        <f>Table11[[#This Row],[Average MHT
(Feet)]]/16</f>
        <v>0</v>
      </c>
      <c r="BL361" s="2"/>
      <c r="BM361" s="139">
        <f>Table11[[#This Row],[Average DBH
(inches)]]/18</f>
        <v>0</v>
      </c>
      <c r="BN361" s="235">
        <f>((Table11[[#This Row],[Average DBH
(inches)]]-4)^2)*(Table11[[#This Row],[Average MHT
(Feet)]]/16)</f>
        <v>0</v>
      </c>
      <c r="BO361" s="235">
        <f>Table11[[#This Row],[Average BF]]*Table11[[#This Row],[2024 '#Trees Inventory + Estimate]]</f>
        <v>0</v>
      </c>
      <c r="BP361" s="240">
        <f>(Table11[[#This Row],[Harvest Year
(10 year)]]-Table11[[#This Row],[Year of Inventory]]+1)*(Table11[[#This Row],[Average DBH
(inches)]]/(Table11[[#This Row],[Harvest Year
(10 year)]]-Table11[[#This Row],[Year of Inventory]]+1))+Table11[[#This Row],[Average DBH
(inches)]]</f>
        <v>0</v>
      </c>
      <c r="BQ361" s="235">
        <f>((Table11[[#This Row],[Projected DBH
(Extrapolated Growth/Year)]]-4)^2)*(Table11[[#This Row],[Average MHT
(Feet)]]/16)</f>
        <v>0</v>
      </c>
      <c r="BR361" s="235">
        <f>Table11[[#This Row],[Projected Average BF]]*Table11[[#This Row],[2024 '#Trees Inventory + Estimate]]</f>
        <v>0</v>
      </c>
      <c r="BS361" s="235">
        <f>196*Table11[[#This Row],[2024 '#Trees Inventory + Estimate]]</f>
        <v>258720</v>
      </c>
      <c r="BT361" s="243">
        <f>Table11[[#This Row],[ETP Offering Expected BF]]-Table11[[#This Row],[Projected Total BF]]</f>
        <v>258720</v>
      </c>
      <c r="BU361" s="235">
        <f>(18-Table11[[#This Row],[Average DBH
(inches)]])/(D361-Table11[[#This Row],[Year of Inventory]]+1)</f>
        <v>8.8495575221238937E-3</v>
      </c>
    </row>
    <row r="362" spans="1:73" ht="15" hidden="1" customHeight="1" x14ac:dyDescent="0.25">
      <c r="A362" s="7" t="s">
        <v>1993</v>
      </c>
      <c r="B362" s="2">
        <v>2024</v>
      </c>
      <c r="C362" s="2">
        <v>2024</v>
      </c>
      <c r="D362" s="2">
        <f>Table11[[#This Row],[Planting Year]]+9</f>
        <v>2033</v>
      </c>
      <c r="E362" s="97" t="s">
        <v>1477</v>
      </c>
      <c r="F362" s="161">
        <v>10104</v>
      </c>
      <c r="G362" t="s">
        <v>1994</v>
      </c>
      <c r="H362" s="357" t="s">
        <v>1479</v>
      </c>
      <c r="I362" t="s">
        <v>155</v>
      </c>
      <c r="J362" s="1" t="s">
        <v>1480</v>
      </c>
      <c r="K362" s="1" t="s">
        <v>1995</v>
      </c>
      <c r="L362" s="1" t="s">
        <v>1996</v>
      </c>
      <c r="M362" s="1" t="s">
        <v>150</v>
      </c>
      <c r="N362" t="s">
        <v>1997</v>
      </c>
      <c r="O362">
        <v>32.821280000000002</v>
      </c>
      <c r="P362">
        <v>-86.892020000000002</v>
      </c>
      <c r="Q362" s="2"/>
      <c r="R362" s="86"/>
      <c r="S362" s="2"/>
      <c r="T362" s="348">
        <v>2200</v>
      </c>
      <c r="U362" s="1">
        <v>2200</v>
      </c>
      <c r="V362" s="1" t="str">
        <f>IF(Table11[[#This Row],['#TreesContract]]-Table11[[#This Row],['#Planted]]=0,"",Table11[[#This Row],['#TreesContract]]-Table11[[#This Row],['#Planted]])</f>
        <v/>
      </c>
      <c r="W362" s="2"/>
      <c r="X362" s="34">
        <v>1</v>
      </c>
      <c r="Y362" s="163">
        <f>Table11[[#This Row],['#TreesContract]]*Table11[[#This Row],[USA Allocation %]]</f>
        <v>2200</v>
      </c>
      <c r="Z362" s="163">
        <f>Table11[[#This Row],['#Planted]]*Table11[[#This Row],[USA Allocation %]]</f>
        <v>2200</v>
      </c>
      <c r="AA362" s="34"/>
      <c r="AB362" s="163"/>
      <c r="AC362" s="34"/>
      <c r="AD362" s="163"/>
      <c r="AE362" s="163">
        <f>Table11[[#This Row],[Canada Allocation-tree '#''s]]+Table11[[#This Row],[Can trees/Allocation 2017]]</f>
        <v>0</v>
      </c>
      <c r="AF362" s="5"/>
      <c r="AG362" s="35"/>
      <c r="AH362" s="35"/>
      <c r="AI362" s="437">
        <v>2200</v>
      </c>
      <c r="AJ362" s="436">
        <v>1</v>
      </c>
      <c r="AK362" s="5">
        <v>1</v>
      </c>
      <c r="AL362" s="5">
        <v>1</v>
      </c>
      <c r="AM362" s="35">
        <v>2200</v>
      </c>
      <c r="AN362" s="35">
        <f>Table11[[#This Row],[2024 '#Trees Inventory + Estimate]]*Table11[[#This Row],[USA Allocation %]]</f>
        <v>2200</v>
      </c>
      <c r="AO362" s="35">
        <f>Table11[[#This Row],[2024 '#Trees Inventory + Estimate]]*Table11[[#This Row],[Canada Allocation %]]</f>
        <v>0</v>
      </c>
      <c r="AP362" s="35">
        <f>Table11[[#This Row],[2024 '#Trees Inventory + Estimate]]*Table11[[#This Row],[Canada Allocation2017 %]]</f>
        <v>0</v>
      </c>
      <c r="AQ362" s="35">
        <f>Table11[[#This Row],['#Trees as of 2024/estimate-Can allocation]]+Table11[[#This Row],['#Trees as of 2024/estimate-Can allocation 2017]]</f>
        <v>0</v>
      </c>
      <c r="AR362" s="1" t="s">
        <v>152</v>
      </c>
      <c r="AS362" s="139" t="s">
        <v>1998</v>
      </c>
      <c r="AT362" s="463">
        <f>IFERROR(Table11[[#This Row],['#Total Replacements]]/Table11[[#This Row],['#TreesContract]],"")</f>
        <v>4.5454545454545456E-2</v>
      </c>
      <c r="AU362" s="4">
        <f>IF(SUM(Table11[[#This Row],['#Replace 24]:['#Replace 16]])=0,0,SUM(Table11[[#This Row],['#Replace 24]:['#Replace 16]]))</f>
        <v>100</v>
      </c>
      <c r="AV362" s="2"/>
      <c r="AW362" s="2">
        <v>100</v>
      </c>
      <c r="AX362" s="3"/>
      <c r="AY362" s="2"/>
      <c r="AZ362" s="2"/>
      <c r="BA362" s="2"/>
      <c r="BB362" s="2"/>
      <c r="BC362" s="2"/>
      <c r="BD362" s="2"/>
      <c r="BE362" s="2"/>
      <c r="BF362" s="3">
        <v>1</v>
      </c>
      <c r="BG362" s="3"/>
      <c r="BH362" s="2"/>
      <c r="BI362" s="2"/>
      <c r="BJ362" s="2"/>
      <c r="BK362" s="139">
        <f>Table11[[#This Row],[Average MHT
(Feet)]]/16</f>
        <v>0</v>
      </c>
      <c r="BL362" s="2"/>
      <c r="BM362" s="139">
        <f>Table11[[#This Row],[Average DBH
(inches)]]/18</f>
        <v>0</v>
      </c>
      <c r="BN362" s="235">
        <f>((Table11[[#This Row],[Average DBH
(inches)]]-4)^2)*(Table11[[#This Row],[Average MHT
(Feet)]]/16)</f>
        <v>0</v>
      </c>
      <c r="BO362" s="235">
        <f>Table11[[#This Row],[Average BF]]*Table11[[#This Row],[2024 '#Trees Inventory + Estimate]]</f>
        <v>0</v>
      </c>
      <c r="BP362" s="240">
        <f>(Table11[[#This Row],[Harvest Year
(10 year)]]-Table11[[#This Row],[Year of Inventory]]+1)*(Table11[[#This Row],[Average DBH
(inches)]]/(Table11[[#This Row],[Harvest Year
(10 year)]]-Table11[[#This Row],[Year of Inventory]]+1))+Table11[[#This Row],[Average DBH
(inches)]]</f>
        <v>0</v>
      </c>
      <c r="BQ362" s="235">
        <f>((Table11[[#This Row],[Projected DBH
(Extrapolated Growth/Year)]]-4)^2)*(Table11[[#This Row],[Average MHT
(Feet)]]/16)</f>
        <v>0</v>
      </c>
      <c r="BR362" s="235">
        <f>Table11[[#This Row],[Projected Average BF]]*Table11[[#This Row],[2024 '#Trees Inventory + Estimate]]</f>
        <v>0</v>
      </c>
      <c r="BS362" s="235">
        <f>196*Table11[[#This Row],[2024 '#Trees Inventory + Estimate]]</f>
        <v>431200</v>
      </c>
      <c r="BT362" s="243">
        <f>Table11[[#This Row],[ETP Offering Expected BF]]-Table11[[#This Row],[Projected Total BF]]</f>
        <v>431200</v>
      </c>
      <c r="BU362" s="235">
        <f>(18-Table11[[#This Row],[Average DBH
(inches)]])/(D362-Table11[[#This Row],[Year of Inventory]]+1)</f>
        <v>8.8495575221238937E-3</v>
      </c>
    </row>
    <row r="363" spans="1:73" hidden="1" x14ac:dyDescent="0.25">
      <c r="A363" s="7" t="s">
        <v>1999</v>
      </c>
      <c r="B363" s="2">
        <v>2024</v>
      </c>
      <c r="C363" s="2">
        <v>2024</v>
      </c>
      <c r="D363" s="2">
        <f>Table11[[#This Row],[Planting Year]]+9</f>
        <v>2033</v>
      </c>
      <c r="E363" s="97" t="s">
        <v>1721</v>
      </c>
      <c r="F363" s="161">
        <v>10115</v>
      </c>
      <c r="G363" t="s">
        <v>2000</v>
      </c>
      <c r="H363" s="357" t="s">
        <v>2001</v>
      </c>
      <c r="I363" t="s">
        <v>155</v>
      </c>
      <c r="J363" s="1" t="s">
        <v>2002</v>
      </c>
      <c r="K363" s="1" t="s">
        <v>1724</v>
      </c>
      <c r="L363" s="1" t="s">
        <v>1724</v>
      </c>
      <c r="M363" s="1" t="s">
        <v>150</v>
      </c>
      <c r="N363" t="s">
        <v>1725</v>
      </c>
      <c r="O363">
        <v>30.824649000000001</v>
      </c>
      <c r="P363">
        <v>-83.054344999999998</v>
      </c>
      <c r="Q363" s="2"/>
      <c r="R363" s="86"/>
      <c r="S363" s="2"/>
      <c r="T363" s="348">
        <v>1100</v>
      </c>
      <c r="U363" s="1">
        <v>1100</v>
      </c>
      <c r="V363" s="1" t="str">
        <f>IF(Table11[[#This Row],['#TreesContract]]-Table11[[#This Row],['#Planted]]=0,"",Table11[[#This Row],['#TreesContract]]-Table11[[#This Row],['#Planted]])</f>
        <v/>
      </c>
      <c r="W363" s="2"/>
      <c r="X363" s="34">
        <v>1</v>
      </c>
      <c r="Y363" s="163">
        <f>Table11[[#This Row],['#TreesContract]]*Table11[[#This Row],[USA Allocation %]]</f>
        <v>1100</v>
      </c>
      <c r="Z363" s="163">
        <f>Table11[[#This Row],['#Planted]]*Table11[[#This Row],[USA Allocation %]]</f>
        <v>1100</v>
      </c>
      <c r="AA363" s="34"/>
      <c r="AB363" s="163"/>
      <c r="AC363" s="34"/>
      <c r="AD363" s="163"/>
      <c r="AE363" s="163">
        <f>Table11[[#This Row],[Canada Allocation-tree '#''s]]+Table11[[#This Row],[Can trees/Allocation 2017]]</f>
        <v>0</v>
      </c>
      <c r="AF363" s="5"/>
      <c r="AG363" s="35"/>
      <c r="AH363" s="35"/>
      <c r="AI363" s="437">
        <v>1100</v>
      </c>
      <c r="AJ363" s="436">
        <v>1</v>
      </c>
      <c r="AK363" s="5">
        <v>1</v>
      </c>
      <c r="AL363" s="5">
        <v>1</v>
      </c>
      <c r="AM363" s="35">
        <v>1100</v>
      </c>
      <c r="AN363" s="35">
        <f>Table11[[#This Row],[2024 '#Trees Inventory + Estimate]]*Table11[[#This Row],[USA Allocation %]]</f>
        <v>1100</v>
      </c>
      <c r="AO363" s="35">
        <f>Table11[[#This Row],[2024 '#Trees Inventory + Estimate]]*Table11[[#This Row],[Canada Allocation %]]</f>
        <v>0</v>
      </c>
      <c r="AP363" s="35">
        <f>Table11[[#This Row],[2024 '#Trees Inventory + Estimate]]*Table11[[#This Row],[Canada Allocation2017 %]]</f>
        <v>0</v>
      </c>
      <c r="AQ363" s="35">
        <f>Table11[[#This Row],['#Trees as of 2024/estimate-Can allocation]]+Table11[[#This Row],['#Trees as of 2024/estimate-Can allocation 2017]]</f>
        <v>0</v>
      </c>
      <c r="AR363" s="1" t="s">
        <v>152</v>
      </c>
      <c r="AS363" s="139"/>
      <c r="AT363" s="463">
        <f>IFERROR(Table11[[#This Row],['#Total Replacements]]/Table11[[#This Row],['#TreesContract]],"")</f>
        <v>0</v>
      </c>
      <c r="AU363" s="4">
        <f>IF(SUM(Table11[[#This Row],['#Replace 24]:['#Replace 16]])=0,0,SUM(Table11[[#This Row],['#Replace 24]:['#Replace 16]]))</f>
        <v>0</v>
      </c>
      <c r="AV363" s="2"/>
      <c r="AW363" s="2"/>
      <c r="AX363" s="3"/>
      <c r="AY363" s="2"/>
      <c r="AZ363" s="2"/>
      <c r="BA363" s="2"/>
      <c r="BB363" s="2"/>
      <c r="BC363" s="2"/>
      <c r="BD363" s="2"/>
      <c r="BE363" s="2"/>
      <c r="BF363" s="3">
        <v>1</v>
      </c>
      <c r="BG363" s="3"/>
      <c r="BH363" s="2"/>
      <c r="BI363" s="2"/>
      <c r="BJ363" s="2"/>
      <c r="BK363" s="139">
        <f>Table11[[#This Row],[Average MHT
(Feet)]]/16</f>
        <v>0</v>
      </c>
      <c r="BL363" s="2"/>
      <c r="BM363" s="139">
        <f>Table11[[#This Row],[Average DBH
(inches)]]/18</f>
        <v>0</v>
      </c>
      <c r="BN363" s="235">
        <f>((Table11[[#This Row],[Average DBH
(inches)]]-4)^2)*(Table11[[#This Row],[Average MHT
(Feet)]]/16)</f>
        <v>0</v>
      </c>
      <c r="BO363" s="235">
        <f>Table11[[#This Row],[Average BF]]*Table11[[#This Row],[2024 '#Trees Inventory + Estimate]]</f>
        <v>0</v>
      </c>
      <c r="BP363" s="240">
        <f>(Table11[[#This Row],[Harvest Year
(10 year)]]-Table11[[#This Row],[Year of Inventory]]+1)*(Table11[[#This Row],[Average DBH
(inches)]]/(Table11[[#This Row],[Harvest Year
(10 year)]]-Table11[[#This Row],[Year of Inventory]]+1))+Table11[[#This Row],[Average DBH
(inches)]]</f>
        <v>0</v>
      </c>
      <c r="BQ363" s="235">
        <f>((Table11[[#This Row],[Projected DBH
(Extrapolated Growth/Year)]]-4)^2)*(Table11[[#This Row],[Average MHT
(Feet)]]/16)</f>
        <v>0</v>
      </c>
      <c r="BR363" s="235">
        <f>Table11[[#This Row],[Projected Average BF]]*Table11[[#This Row],[2024 '#Trees Inventory + Estimate]]</f>
        <v>0</v>
      </c>
      <c r="BS363" s="235">
        <f>196*Table11[[#This Row],[2024 '#Trees Inventory + Estimate]]</f>
        <v>215600</v>
      </c>
      <c r="BT363" s="243">
        <f>Table11[[#This Row],[ETP Offering Expected BF]]-Table11[[#This Row],[Projected Total BF]]</f>
        <v>215600</v>
      </c>
      <c r="BU363" s="235">
        <f>(18-Table11[[#This Row],[Average DBH
(inches)]])/(D363-Table11[[#This Row],[Year of Inventory]]+1)</f>
        <v>8.8495575221238937E-3</v>
      </c>
    </row>
    <row r="364" spans="1:73" hidden="1" x14ac:dyDescent="0.25">
      <c r="A364" s="7" t="s">
        <v>2003</v>
      </c>
      <c r="B364" s="2">
        <v>2023</v>
      </c>
      <c r="C364" s="2">
        <v>2024</v>
      </c>
      <c r="D364" s="2">
        <f>Table11[[#This Row],[Planting Year]]+9</f>
        <v>2033</v>
      </c>
      <c r="E364" s="97" t="s">
        <v>1865</v>
      </c>
      <c r="F364" s="161">
        <v>10123</v>
      </c>
      <c r="G364" t="s">
        <v>1866</v>
      </c>
      <c r="H364" s="357" t="s">
        <v>1867</v>
      </c>
      <c r="I364" t="s">
        <v>155</v>
      </c>
      <c r="J364" s="1" t="s">
        <v>1868</v>
      </c>
      <c r="K364" s="1" t="s">
        <v>2004</v>
      </c>
      <c r="L364" s="1" t="s">
        <v>2005</v>
      </c>
      <c r="M364" s="1" t="s">
        <v>150</v>
      </c>
      <c r="N364" t="s">
        <v>2006</v>
      </c>
      <c r="O364">
        <v>31.670127799999999</v>
      </c>
      <c r="P364">
        <v>-84.811121999999997</v>
      </c>
      <c r="Q364" s="2"/>
      <c r="R364" s="86"/>
      <c r="S364" s="2"/>
      <c r="T364" s="1">
        <v>660</v>
      </c>
      <c r="U364" s="1">
        <v>660</v>
      </c>
      <c r="V364" s="1" t="str">
        <f>IF(Table11[[#This Row],['#TreesContract]]-Table11[[#This Row],['#Planted]]=0,"",Table11[[#This Row],['#TreesContract]]-Table11[[#This Row],['#Planted]])</f>
        <v/>
      </c>
      <c r="W364" s="2"/>
      <c r="X364" s="34">
        <v>1</v>
      </c>
      <c r="Y364" s="163">
        <f>Table11[[#This Row],['#TreesContract]]*Table11[[#This Row],[USA Allocation %]]</f>
        <v>660</v>
      </c>
      <c r="Z364" s="163">
        <f>Table11[[#This Row],['#Planted]]*Table11[[#This Row],[USA Allocation %]]</f>
        <v>660</v>
      </c>
      <c r="AA364" s="34"/>
      <c r="AB364" s="163"/>
      <c r="AC364" s="34"/>
      <c r="AD364" s="163"/>
      <c r="AE364" s="163">
        <f>Table11[[#This Row],[Canada Allocation-tree '#''s]]+Table11[[#This Row],[Can trees/Allocation 2017]]</f>
        <v>0</v>
      </c>
      <c r="AF364" s="5"/>
      <c r="AG364" s="35"/>
      <c r="AH364" s="35"/>
      <c r="AI364" s="437">
        <v>660</v>
      </c>
      <c r="AJ364" s="436">
        <v>1</v>
      </c>
      <c r="AK364" s="5">
        <v>1</v>
      </c>
      <c r="AL364" s="5">
        <v>1</v>
      </c>
      <c r="AM364" s="35">
        <v>660</v>
      </c>
      <c r="AN364" s="35">
        <f>Table11[[#This Row],[2024 '#Trees Inventory + Estimate]]*Table11[[#This Row],[USA Allocation %]]</f>
        <v>660</v>
      </c>
      <c r="AO364" s="35">
        <f>Table11[[#This Row],[2024 '#Trees Inventory + Estimate]]*Table11[[#This Row],[Canada Allocation %]]</f>
        <v>0</v>
      </c>
      <c r="AP364" s="35">
        <f>Table11[[#This Row],[2024 '#Trees Inventory + Estimate]]*Table11[[#This Row],[Canada Allocation2017 %]]</f>
        <v>0</v>
      </c>
      <c r="AQ364" s="35">
        <f>Table11[[#This Row],['#Trees as of 2024/estimate-Can allocation]]+Table11[[#This Row],['#Trees as of 2024/estimate-Can allocation 2017]]</f>
        <v>0</v>
      </c>
      <c r="AR364" s="1" t="s">
        <v>152</v>
      </c>
      <c r="AS364" s="2"/>
      <c r="AT364" s="463">
        <f>IFERROR(Table11[[#This Row],['#Total Replacements]]/Table11[[#This Row],['#TreesContract]],"")</f>
        <v>0.30303030303030304</v>
      </c>
      <c r="AU364" s="4">
        <f>IF(SUM(Table11[[#This Row],['#Replace 24]:['#Replace 16]])=0,0,SUM(Table11[[#This Row],['#Replace 24]:['#Replace 16]]))</f>
        <v>200</v>
      </c>
      <c r="AV364" s="2"/>
      <c r="AW364" s="2">
        <v>200</v>
      </c>
      <c r="AX364" s="3"/>
      <c r="AY364" s="2"/>
      <c r="AZ364" s="2"/>
      <c r="BA364" s="2"/>
      <c r="BB364" s="2"/>
      <c r="BC364" s="2"/>
      <c r="BD364" s="2"/>
      <c r="BE364" s="2"/>
      <c r="BF364" s="3">
        <v>1</v>
      </c>
      <c r="BG364" s="3"/>
      <c r="BH364" s="2"/>
      <c r="BI364" s="2"/>
      <c r="BJ364" s="2"/>
      <c r="BK364" s="139">
        <f>Table11[[#This Row],[Average MHT
(Feet)]]/16</f>
        <v>0</v>
      </c>
      <c r="BL364" s="2"/>
      <c r="BM364" s="139">
        <f>Table11[[#This Row],[Average DBH
(inches)]]/18</f>
        <v>0</v>
      </c>
      <c r="BN364" s="235">
        <f>((Table11[[#This Row],[Average DBH
(inches)]]-4)^2)*(Table11[[#This Row],[Average MHT
(Feet)]]/16)</f>
        <v>0</v>
      </c>
      <c r="BO364" s="235">
        <f>Table11[[#This Row],[Average BF]]*Table11[[#This Row],[2024 '#Trees Inventory + Estimate]]</f>
        <v>0</v>
      </c>
      <c r="BP364" s="240">
        <f>(Table11[[#This Row],[Harvest Year
(10 year)]]-Table11[[#This Row],[Year of Inventory]]+1)*(Table11[[#This Row],[Average DBH
(inches)]]/(Table11[[#This Row],[Harvest Year
(10 year)]]-Table11[[#This Row],[Year of Inventory]]+1))+Table11[[#This Row],[Average DBH
(inches)]]</f>
        <v>0</v>
      </c>
      <c r="BQ364" s="235">
        <f>((Table11[[#This Row],[Projected DBH
(Extrapolated Growth/Year)]]-4)^2)*(Table11[[#This Row],[Average MHT
(Feet)]]/16)</f>
        <v>0</v>
      </c>
      <c r="BR364" s="235">
        <f>Table11[[#This Row],[Projected Average BF]]*Table11[[#This Row],[2024 '#Trees Inventory + Estimate]]</f>
        <v>0</v>
      </c>
      <c r="BS364" s="235">
        <f>196*Table11[[#This Row],[2024 '#Trees Inventory + Estimate]]</f>
        <v>129360</v>
      </c>
      <c r="BT364" s="243">
        <f>Table11[[#This Row],[ETP Offering Expected BF]]-Table11[[#This Row],[Projected Total BF]]</f>
        <v>129360</v>
      </c>
      <c r="BU364" s="235">
        <f>(18-Table11[[#This Row],[Average DBH
(inches)]])/(D364-Table11[[#This Row],[Year of Inventory]]+1)</f>
        <v>8.8495575221238937E-3</v>
      </c>
    </row>
    <row r="365" spans="1:73" hidden="1" x14ac:dyDescent="0.25">
      <c r="A365" s="7" t="s">
        <v>2007</v>
      </c>
      <c r="B365" s="2">
        <v>2023</v>
      </c>
      <c r="C365" s="2">
        <v>2024</v>
      </c>
      <c r="D365" s="2">
        <f>Table11[[#This Row],[Planting Year]]+9</f>
        <v>2033</v>
      </c>
      <c r="E365" s="97" t="s">
        <v>1879</v>
      </c>
      <c r="F365" s="161">
        <v>10125</v>
      </c>
      <c r="G365" s="97" t="s">
        <v>1879</v>
      </c>
      <c r="H365" s="357" t="s">
        <v>1880</v>
      </c>
      <c r="I365" t="s">
        <v>155</v>
      </c>
      <c r="J365" s="1" t="s">
        <v>2008</v>
      </c>
      <c r="K365" s="1" t="s">
        <v>1882</v>
      </c>
      <c r="L365" s="1"/>
      <c r="M365" s="1" t="s">
        <v>150</v>
      </c>
      <c r="N365" t="s">
        <v>2009</v>
      </c>
      <c r="O365">
        <v>31.004223830000001</v>
      </c>
      <c r="P365">
        <v>-84.446496100000005</v>
      </c>
      <c r="Q365" s="2"/>
      <c r="R365" s="86"/>
      <c r="S365" s="2"/>
      <c r="T365" s="477">
        <v>2310</v>
      </c>
      <c r="U365" s="1">
        <v>2200</v>
      </c>
      <c r="V365" s="1">
        <f>IF(Table11[[#This Row],['#TreesContract]]-Table11[[#This Row],['#Planted]]=0,"",Table11[[#This Row],['#TreesContract]]-Table11[[#This Row],['#Planted]])</f>
        <v>110</v>
      </c>
      <c r="W365" s="2">
        <v>-110</v>
      </c>
      <c r="X365" s="370">
        <v>1</v>
      </c>
      <c r="Y365" s="270">
        <f>Table11[[#This Row],['#TreesContract]]*Table11[[#This Row],[USA Allocation %]]</f>
        <v>2310</v>
      </c>
      <c r="Z365" s="270">
        <f>Table11[[#This Row],['#Planted]]*Table11[[#This Row],[USA Allocation %]]</f>
        <v>2200</v>
      </c>
      <c r="AA365" s="370"/>
      <c r="AB365" s="270"/>
      <c r="AC365" s="370"/>
      <c r="AD365" s="270"/>
      <c r="AE365" s="163">
        <f>Table11[[#This Row],[Canada Allocation-tree '#''s]]+Table11[[#This Row],[Can trees/Allocation 2017]]</f>
        <v>0</v>
      </c>
      <c r="AF365" s="370"/>
      <c r="AG365" s="270"/>
      <c r="AH365" s="270"/>
      <c r="AI365" s="478">
        <v>2200</v>
      </c>
      <c r="AJ365" s="479">
        <f>Table11[[#This Row],['#Trees as of 12/31/24-master]]/Table11[[#This Row],[USA trees/Allocation/Contracted]]</f>
        <v>0.95238095238095233</v>
      </c>
      <c r="AK365" s="370">
        <f>Table11[[#This Row],[2024 Inventory Survival%-master]]</f>
        <v>0.95238095238095233</v>
      </c>
      <c r="AL365" s="370">
        <f>Table11[[#This Row],[2024 Estimated Survival%]]</f>
        <v>0.95238095238095233</v>
      </c>
      <c r="AM365" s="270">
        <v>2200</v>
      </c>
      <c r="AN365" s="270">
        <v>2200</v>
      </c>
      <c r="AO365" s="270">
        <f>Table11[[#This Row],[2024 '#Trees Inventory + Estimate]]*Table11[[#This Row],[Canada Allocation %]]</f>
        <v>0</v>
      </c>
      <c r="AP365" s="270">
        <f>Table11[[#This Row],[2024 '#Trees Inventory + Estimate]]*Table11[[#This Row],[Canada Allocation2017 %]]</f>
        <v>0</v>
      </c>
      <c r="AQ365" s="35">
        <f>Table11[[#This Row],['#Trees as of 2024/estimate-Can allocation]]+Table11[[#This Row],['#Trees as of 2024/estimate-Can allocation 2017]]</f>
        <v>0</v>
      </c>
      <c r="AR365" s="1" t="s">
        <v>152</v>
      </c>
      <c r="AS365" s="2">
        <v>11</v>
      </c>
      <c r="AT365" s="371">
        <f>IFERROR(Table11[[#This Row],['#Total Replacements]]/Table11[[#This Row],['#TreesContract]],"")</f>
        <v>0.23809523809523808</v>
      </c>
      <c r="AU365" s="4">
        <f>IF(SUM(Table11[[#This Row],['#Replace 24]:['#Replace 16]])=0,0,SUM(Table11[[#This Row],['#Replace 24]:['#Replace 16]]))</f>
        <v>550</v>
      </c>
      <c r="AV365" s="2"/>
      <c r="AW365" s="2">
        <v>550</v>
      </c>
      <c r="AX365" s="3"/>
      <c r="AY365" s="2"/>
      <c r="AZ365" s="2"/>
      <c r="BA365" s="2"/>
      <c r="BB365" s="2"/>
      <c r="BC365" s="2"/>
      <c r="BD365" s="2"/>
      <c r="BE365" s="2"/>
      <c r="BF365" s="3">
        <v>1</v>
      </c>
      <c r="BG365" s="3"/>
      <c r="BH365" s="2"/>
      <c r="BI365" s="158"/>
      <c r="BJ365" s="158"/>
      <c r="BK365" s="139">
        <f>Table11[[#This Row],[Average MHT
(Feet)]]/16</f>
        <v>0</v>
      </c>
      <c r="BL365" s="2"/>
      <c r="BM365" s="139">
        <f>Table11[[#This Row],[Average DBH
(inches)]]/18</f>
        <v>0</v>
      </c>
      <c r="BN365" s="235">
        <f>((Table11[[#This Row],[Average DBH
(inches)]]-4)^2)*(Table11[[#This Row],[Average MHT
(Feet)]]/16)</f>
        <v>0</v>
      </c>
      <c r="BO365" s="235">
        <f>Table11[[#This Row],[Average BF]]*Table11[[#This Row],[2024 '#Trees Inventory + Estimate]]</f>
        <v>0</v>
      </c>
      <c r="BP365" s="240">
        <f>(Table11[[#This Row],[Harvest Year
(10 year)]]-Table11[[#This Row],[Year of Inventory]]+1)*(Table11[[#This Row],[Average DBH
(inches)]]/(Table11[[#This Row],[Harvest Year
(10 year)]]-Table11[[#This Row],[Year of Inventory]]+1))+Table11[[#This Row],[Average DBH
(inches)]]</f>
        <v>0</v>
      </c>
      <c r="BQ365" s="235">
        <f>((Table11[[#This Row],[Projected DBH
(Extrapolated Growth/Year)]]-4)^2)*(Table11[[#This Row],[Average MHT
(Feet)]]/16)</f>
        <v>0</v>
      </c>
      <c r="BR365" s="235">
        <f>Table11[[#This Row],[Projected Average BF]]*Table11[[#This Row],[2024 '#Trees Inventory + Estimate]]</f>
        <v>0</v>
      </c>
      <c r="BS365" s="235">
        <f>196*Table11[[#This Row],[2024 '#Trees Inventory + Estimate]]</f>
        <v>431200</v>
      </c>
      <c r="BT365" s="243">
        <f>Table11[[#This Row],[ETP Offering Expected BF]]-Table11[[#This Row],[Projected Total BF]]</f>
        <v>431200</v>
      </c>
      <c r="BU365" s="235">
        <f>(18-Table11[[#This Row],[Average DBH
(inches)]])/(D365-Table11[[#This Row],[Year of Inventory]]+1)</f>
        <v>8.8495575221238937E-3</v>
      </c>
    </row>
    <row r="366" spans="1:73" hidden="1" x14ac:dyDescent="0.25">
      <c r="A366" s="7" t="s">
        <v>2010</v>
      </c>
      <c r="B366" s="2">
        <v>2022</v>
      </c>
      <c r="C366" s="2">
        <v>2024</v>
      </c>
      <c r="D366" s="2">
        <f>Table11[[#This Row],[Planting Year]]+9</f>
        <v>2033</v>
      </c>
      <c r="E366" s="97" t="s">
        <v>2011</v>
      </c>
      <c r="F366" s="161">
        <v>10126</v>
      </c>
      <c r="G366" t="s">
        <v>2012</v>
      </c>
      <c r="H366" s="357" t="s">
        <v>2013</v>
      </c>
      <c r="I366" t="s">
        <v>155</v>
      </c>
      <c r="J366" s="1" t="s">
        <v>2014</v>
      </c>
      <c r="K366" s="1" t="s">
        <v>2015</v>
      </c>
      <c r="L366" s="1" t="s">
        <v>2016</v>
      </c>
      <c r="M366" s="1" t="s">
        <v>150</v>
      </c>
      <c r="N366" t="s">
        <v>2017</v>
      </c>
      <c r="O366">
        <v>32.562338500000003</v>
      </c>
      <c r="P366">
        <v>-82.618265399999999</v>
      </c>
      <c r="Q366" s="2"/>
      <c r="R366" s="86"/>
      <c r="S366" s="2"/>
      <c r="T366" s="1">
        <v>4400</v>
      </c>
      <c r="U366" s="1">
        <v>4400</v>
      </c>
      <c r="V366" s="1" t="str">
        <f>IF(Table11[[#This Row],['#TreesContract]]-Table11[[#This Row],['#Planted]]=0,"",Table11[[#This Row],['#TreesContract]]-Table11[[#This Row],['#Planted]])</f>
        <v/>
      </c>
      <c r="W366" s="2"/>
      <c r="X366" s="34">
        <v>1</v>
      </c>
      <c r="Y366" s="163">
        <f>Table11[[#This Row],['#TreesContract]]*Table11[[#This Row],[USA Allocation %]]</f>
        <v>4400</v>
      </c>
      <c r="Z366" s="163">
        <f>Table11[[#This Row],['#Planted]]*Table11[[#This Row],[USA Allocation %]]</f>
        <v>4400</v>
      </c>
      <c r="AA366" s="34"/>
      <c r="AB366" s="163"/>
      <c r="AC366" s="34"/>
      <c r="AD366" s="163"/>
      <c r="AE366" s="163">
        <f>Table11[[#This Row],[Canada Allocation-tree '#''s]]+Table11[[#This Row],[Can trees/Allocation 2017]]</f>
        <v>0</v>
      </c>
      <c r="AF366" s="5"/>
      <c r="AG366" s="35"/>
      <c r="AH366" s="35"/>
      <c r="AI366" s="437">
        <v>4400</v>
      </c>
      <c r="AJ366" s="436">
        <v>1</v>
      </c>
      <c r="AK366" s="5">
        <v>1</v>
      </c>
      <c r="AL366" s="5">
        <v>1</v>
      </c>
      <c r="AM366" s="35">
        <v>4400</v>
      </c>
      <c r="AN366" s="35">
        <f>Table11[[#This Row],[2024 '#Trees Inventory + Estimate]]*Table11[[#This Row],[USA Allocation %]]</f>
        <v>4400</v>
      </c>
      <c r="AO366" s="35">
        <f>Table11[[#This Row],[2024 '#Trees Inventory + Estimate]]*Table11[[#This Row],[Canada Allocation %]]</f>
        <v>0</v>
      </c>
      <c r="AP366" s="35">
        <f>Table11[[#This Row],[2024 '#Trees Inventory + Estimate]]*Table11[[#This Row],[Canada Allocation2017 %]]</f>
        <v>0</v>
      </c>
      <c r="AQ366" s="35">
        <f>Table11[[#This Row],['#Trees as of 2024/estimate-Can allocation]]+Table11[[#This Row],['#Trees as of 2024/estimate-Can allocation 2017]]</f>
        <v>0</v>
      </c>
      <c r="AR366" s="1" t="s">
        <v>152</v>
      </c>
      <c r="AS366" s="2"/>
      <c r="AT366" s="6">
        <f>IFERROR(Table11[[#This Row],['#Total Replacements]]/Table11[[#This Row],['#TreesContract]],"")</f>
        <v>0</v>
      </c>
      <c r="AU366" s="4">
        <f>IF(SUM(Table11[[#This Row],['#Replace 24]:['#Replace 16]])=0,0,SUM(Table11[[#This Row],['#Replace 24]:['#Replace 16]]))</f>
        <v>0</v>
      </c>
      <c r="AV366" s="2"/>
      <c r="AW366" s="2"/>
      <c r="AX366" s="3"/>
      <c r="AY366" s="2"/>
      <c r="AZ366" s="2"/>
      <c r="BA366" s="2"/>
      <c r="BB366" s="2"/>
      <c r="BC366" s="2"/>
      <c r="BD366" s="2"/>
      <c r="BE366" s="2"/>
      <c r="BF366" s="3">
        <v>1</v>
      </c>
      <c r="BG366" s="3"/>
      <c r="BH366" s="2"/>
      <c r="BI366" s="158"/>
      <c r="BJ366" s="158"/>
      <c r="BK366" s="139">
        <f>Table11[[#This Row],[Average MHT
(Feet)]]/16</f>
        <v>0</v>
      </c>
      <c r="BL366" s="2"/>
      <c r="BM366" s="139">
        <f>Table11[[#This Row],[Average DBH
(inches)]]/18</f>
        <v>0</v>
      </c>
      <c r="BN366" s="235">
        <f>((Table11[[#This Row],[Average DBH
(inches)]]-4)^2)*(Table11[[#This Row],[Average MHT
(Feet)]]/16)</f>
        <v>0</v>
      </c>
      <c r="BO366" s="235">
        <f>Table11[[#This Row],[Average BF]]*Table11[[#This Row],[2024 '#Trees Inventory + Estimate]]</f>
        <v>0</v>
      </c>
      <c r="BP366" s="240">
        <f>(Table11[[#This Row],[Harvest Year
(10 year)]]-Table11[[#This Row],[Year of Inventory]]+1)*(Table11[[#This Row],[Average DBH
(inches)]]/(Table11[[#This Row],[Harvest Year
(10 year)]]-Table11[[#This Row],[Year of Inventory]]+1))+Table11[[#This Row],[Average DBH
(inches)]]</f>
        <v>0</v>
      </c>
      <c r="BQ366" s="235">
        <f>((Table11[[#This Row],[Projected DBH
(Extrapolated Growth/Year)]]-4)^2)*(Table11[[#This Row],[Average MHT
(Feet)]]/16)</f>
        <v>0</v>
      </c>
      <c r="BR366" s="235">
        <f>Table11[[#This Row],[Projected Average BF]]*Table11[[#This Row],[2024 '#Trees Inventory + Estimate]]</f>
        <v>0</v>
      </c>
      <c r="BS366" s="235">
        <f>196*Table11[[#This Row],[2024 '#Trees Inventory + Estimate]]</f>
        <v>862400</v>
      </c>
      <c r="BT366" s="243">
        <f>Table11[[#This Row],[ETP Offering Expected BF]]-Table11[[#This Row],[Projected Total BF]]</f>
        <v>862400</v>
      </c>
      <c r="BU366" s="235">
        <f>(18-Table11[[#This Row],[Average DBH
(inches)]])/(D366-Table11[[#This Row],[Year of Inventory]]+1)</f>
        <v>8.8495575221238937E-3</v>
      </c>
    </row>
    <row r="367" spans="1:73" hidden="1" x14ac:dyDescent="0.25">
      <c r="A367" s="7" t="s">
        <v>2018</v>
      </c>
      <c r="B367" s="2">
        <v>2022</v>
      </c>
      <c r="C367" s="2">
        <v>2024</v>
      </c>
      <c r="D367" s="2">
        <f>Table11[[#This Row],[Planting Year]]+9</f>
        <v>2033</v>
      </c>
      <c r="E367" s="97" t="s">
        <v>2019</v>
      </c>
      <c r="F367" s="161">
        <v>10127</v>
      </c>
      <c r="G367" s="97" t="s">
        <v>2019</v>
      </c>
      <c r="H367" s="357" t="s">
        <v>2020</v>
      </c>
      <c r="I367" t="s">
        <v>155</v>
      </c>
      <c r="J367" s="1" t="s">
        <v>2021</v>
      </c>
      <c r="K367" s="1" t="s">
        <v>2022</v>
      </c>
      <c r="L367" s="1" t="s">
        <v>2023</v>
      </c>
      <c r="M367" s="1" t="s">
        <v>150</v>
      </c>
      <c r="N367" t="s">
        <v>2024</v>
      </c>
      <c r="O367">
        <v>32.706608000000003</v>
      </c>
      <c r="P367">
        <v>-86.430760000000006</v>
      </c>
      <c r="Q367" s="2"/>
      <c r="R367" s="86"/>
      <c r="S367" s="2"/>
      <c r="T367" s="1">
        <v>1100</v>
      </c>
      <c r="U367" s="1">
        <v>1100</v>
      </c>
      <c r="V367" s="1" t="str">
        <f>IF(Table11[[#This Row],['#TreesContract]]-Table11[[#This Row],['#Planted]]=0,"",Table11[[#This Row],['#TreesContract]]-Table11[[#This Row],['#Planted]])</f>
        <v/>
      </c>
      <c r="W367" s="2"/>
      <c r="X367" s="34">
        <v>1</v>
      </c>
      <c r="Y367" s="163">
        <f>Table11[[#This Row],['#TreesContract]]*Table11[[#This Row],[USA Allocation %]]</f>
        <v>1100</v>
      </c>
      <c r="Z367" s="163">
        <f>Table11[[#This Row],['#Planted]]*Table11[[#This Row],[USA Allocation %]]</f>
        <v>1100</v>
      </c>
      <c r="AA367" s="34"/>
      <c r="AB367" s="163"/>
      <c r="AC367" s="34"/>
      <c r="AD367" s="163"/>
      <c r="AE367" s="163">
        <f>Table11[[#This Row],[Canada Allocation-tree '#''s]]+Table11[[#This Row],[Can trees/Allocation 2017]]</f>
        <v>0</v>
      </c>
      <c r="AF367" s="5"/>
      <c r="AG367" s="35"/>
      <c r="AH367" s="35"/>
      <c r="AI367" s="437">
        <v>1100</v>
      </c>
      <c r="AJ367" s="436">
        <v>1</v>
      </c>
      <c r="AK367" s="5">
        <v>1</v>
      </c>
      <c r="AL367" s="5">
        <v>1</v>
      </c>
      <c r="AM367" s="35">
        <v>1100</v>
      </c>
      <c r="AN367" s="35">
        <f>Table11[[#This Row],[2024 '#Trees Inventory + Estimate]]*Table11[[#This Row],[USA Allocation %]]</f>
        <v>1100</v>
      </c>
      <c r="AO367" s="35">
        <f>Table11[[#This Row],[2024 '#Trees Inventory + Estimate]]*Table11[[#This Row],[Canada Allocation %]]</f>
        <v>0</v>
      </c>
      <c r="AP367" s="35">
        <f>Table11[[#This Row],[2024 '#Trees Inventory + Estimate]]*Table11[[#This Row],[Canada Allocation2017 %]]</f>
        <v>0</v>
      </c>
      <c r="AQ367" s="35">
        <f>Table11[[#This Row],['#Trees as of 2024/estimate-Can allocation]]+Table11[[#This Row],['#Trees as of 2024/estimate-Can allocation 2017]]</f>
        <v>0</v>
      </c>
      <c r="AR367" s="1" t="s">
        <v>152</v>
      </c>
      <c r="AS367" s="2" t="s">
        <v>2025</v>
      </c>
      <c r="AT367" s="6">
        <f>IFERROR(Table11[[#This Row],['#Total Replacements]]/Table11[[#This Row],['#TreesContract]],"")</f>
        <v>2.2727272727272728E-2</v>
      </c>
      <c r="AU367" s="4">
        <f>IF(SUM(Table11[[#This Row],['#Replace 24]:['#Replace 16]])=0,0,SUM(Table11[[#This Row],['#Replace 24]:['#Replace 16]]))</f>
        <v>25</v>
      </c>
      <c r="AV367" s="2"/>
      <c r="AW367" s="2">
        <v>25</v>
      </c>
      <c r="AX367" s="3"/>
      <c r="AY367" s="2"/>
      <c r="AZ367" s="2"/>
      <c r="BA367" s="2"/>
      <c r="BB367" s="2"/>
      <c r="BC367" s="2"/>
      <c r="BD367" s="2"/>
      <c r="BE367" s="2"/>
      <c r="BF367" s="3">
        <v>1</v>
      </c>
      <c r="BG367" s="3"/>
      <c r="BH367" s="2"/>
      <c r="BI367" s="2"/>
      <c r="BJ367" s="2"/>
      <c r="BK367" s="139">
        <f>Table11[[#This Row],[Average MHT
(Feet)]]/16</f>
        <v>0</v>
      </c>
      <c r="BL367" s="2"/>
      <c r="BM367" s="139">
        <f>Table11[[#This Row],[Average DBH
(inches)]]/18</f>
        <v>0</v>
      </c>
      <c r="BN367" s="235">
        <f>((Table11[[#This Row],[Average DBH
(inches)]]-4)^2)*(Table11[[#This Row],[Average MHT
(Feet)]]/16)</f>
        <v>0</v>
      </c>
      <c r="BO367" s="235">
        <f>Table11[[#This Row],[Average BF]]*Table11[[#This Row],[2024 '#Trees Inventory + Estimate]]</f>
        <v>0</v>
      </c>
      <c r="BP367" s="240">
        <f>(Table11[[#This Row],[Harvest Year
(10 year)]]-Table11[[#This Row],[Year of Inventory]]+1)*(Table11[[#This Row],[Average DBH
(inches)]]/(Table11[[#This Row],[Harvest Year
(10 year)]]-Table11[[#This Row],[Year of Inventory]]+1))+Table11[[#This Row],[Average DBH
(inches)]]</f>
        <v>0</v>
      </c>
      <c r="BQ367" s="235">
        <f>((Table11[[#This Row],[Projected DBH
(Extrapolated Growth/Year)]]-4)^2)*(Table11[[#This Row],[Average MHT
(Feet)]]/16)</f>
        <v>0</v>
      </c>
      <c r="BR367" s="235">
        <f>Table11[[#This Row],[Projected Average BF]]*Table11[[#This Row],[2024 '#Trees Inventory + Estimate]]</f>
        <v>0</v>
      </c>
      <c r="BS367" s="235">
        <f>196*Table11[[#This Row],[2024 '#Trees Inventory + Estimate]]</f>
        <v>215600</v>
      </c>
      <c r="BT367" s="243">
        <f>Table11[[#This Row],[ETP Offering Expected BF]]-Table11[[#This Row],[Projected Total BF]]</f>
        <v>215600</v>
      </c>
      <c r="BU367" s="235">
        <f>(18-Table11[[#This Row],[Average DBH
(inches)]])/(D367-Table11[[#This Row],[Year of Inventory]]+1)</f>
        <v>8.8495575221238937E-3</v>
      </c>
    </row>
    <row r="368" spans="1:73" hidden="1" x14ac:dyDescent="0.25">
      <c r="A368" s="7" t="s">
        <v>2026</v>
      </c>
      <c r="B368" s="2">
        <v>2023</v>
      </c>
      <c r="C368" s="2">
        <v>2024</v>
      </c>
      <c r="D368" s="2">
        <f>Table11[[#This Row],[Planting Year]]+9</f>
        <v>2033</v>
      </c>
      <c r="E368" s="97" t="s">
        <v>2027</v>
      </c>
      <c r="F368" s="161">
        <v>10128</v>
      </c>
      <c r="G368" t="s">
        <v>2028</v>
      </c>
      <c r="H368" s="357" t="s">
        <v>2029</v>
      </c>
      <c r="I368" t="s">
        <v>155</v>
      </c>
      <c r="J368" s="1" t="s">
        <v>2030</v>
      </c>
      <c r="K368" s="1" t="s">
        <v>2031</v>
      </c>
      <c r="L368" s="1" t="s">
        <v>2032</v>
      </c>
      <c r="M368" s="1" t="s">
        <v>150</v>
      </c>
      <c r="N368" t="s">
        <v>2033</v>
      </c>
      <c r="O368">
        <v>32.42897</v>
      </c>
      <c r="P368">
        <v>-84.099320000000006</v>
      </c>
      <c r="Q368" s="2"/>
      <c r="R368" s="86"/>
      <c r="S368" s="2"/>
      <c r="T368" s="1">
        <v>1100</v>
      </c>
      <c r="U368" s="1">
        <v>1100</v>
      </c>
      <c r="V368" s="1"/>
      <c r="W368" s="2"/>
      <c r="X368" s="34">
        <v>1</v>
      </c>
      <c r="Y368" s="163">
        <f>Table11[[#This Row],['#TreesContract]]*Table11[[#This Row],[USA Allocation %]]</f>
        <v>1100</v>
      </c>
      <c r="Z368" s="163">
        <f>Table11[[#This Row],['#Planted]]*Table11[[#This Row],[USA Allocation %]]</f>
        <v>1100</v>
      </c>
      <c r="AA368" s="34"/>
      <c r="AB368" s="163"/>
      <c r="AC368" s="34"/>
      <c r="AD368" s="163"/>
      <c r="AE368" s="163">
        <f>Table11[[#This Row],[Canada Allocation-tree '#''s]]+Table11[[#This Row],[Can trees/Allocation 2017]]</f>
        <v>0</v>
      </c>
      <c r="AF368" s="5"/>
      <c r="AG368" s="35"/>
      <c r="AH368" s="35"/>
      <c r="AI368" s="437">
        <v>1100</v>
      </c>
      <c r="AJ368" s="436">
        <v>1</v>
      </c>
      <c r="AK368" s="5">
        <v>1</v>
      </c>
      <c r="AL368" s="5">
        <v>1</v>
      </c>
      <c r="AM368" s="35">
        <v>1100</v>
      </c>
      <c r="AN368" s="35">
        <f>Table11[[#This Row],[2024 '#Trees Inventory + Estimate]]*Table11[[#This Row],[USA Allocation %]]</f>
        <v>1100</v>
      </c>
      <c r="AO368" s="35">
        <f>Table11[[#This Row],[2024 '#Trees Inventory + Estimate]]*Table11[[#This Row],[Canada Allocation %]]</f>
        <v>0</v>
      </c>
      <c r="AP368" s="35">
        <f>Table11[[#This Row],[2024 '#Trees Inventory + Estimate]]*Table11[[#This Row],[Canada Allocation2017 %]]</f>
        <v>0</v>
      </c>
      <c r="AQ368" s="35">
        <f>Table11[[#This Row],['#Trees as of 2024/estimate-Can allocation]]+Table11[[#This Row],['#Trees as of 2024/estimate-Can allocation 2017]]</f>
        <v>0</v>
      </c>
      <c r="AR368" s="1" t="s">
        <v>152</v>
      </c>
      <c r="AS368" s="2"/>
      <c r="AT368" s="463">
        <f>IFERROR(Table11[[#This Row],['#Total Replacements]]/Table11[[#This Row],['#TreesContract]],"")</f>
        <v>0</v>
      </c>
      <c r="AU368" s="4">
        <f>IF(SUM(Table11[[#This Row],['#Replace 24]:['#Replace 16]])=0,0,SUM(Table11[[#This Row],['#Replace 24]:['#Replace 16]]))</f>
        <v>0</v>
      </c>
      <c r="AV368" s="2"/>
      <c r="AW368" s="2"/>
      <c r="AX368" s="3"/>
      <c r="AY368" s="2"/>
      <c r="AZ368" s="2"/>
      <c r="BA368" s="2"/>
      <c r="BB368" s="2"/>
      <c r="BC368" s="2"/>
      <c r="BD368" s="2"/>
      <c r="BE368" s="2"/>
      <c r="BF368" s="3">
        <v>1</v>
      </c>
      <c r="BG368" s="3"/>
      <c r="BH368" s="2"/>
      <c r="BI368" s="158"/>
      <c r="BJ368" s="158"/>
      <c r="BK368" s="139">
        <f>Table11[[#This Row],[Average MHT
(Feet)]]/16</f>
        <v>0</v>
      </c>
      <c r="BL368" s="2"/>
      <c r="BM368" s="139">
        <f>Table11[[#This Row],[Average DBH
(inches)]]/18</f>
        <v>0</v>
      </c>
      <c r="BN368" s="235">
        <f>((Table11[[#This Row],[Average DBH
(inches)]]-4)^2)*(Table11[[#This Row],[Average MHT
(Feet)]]/16)</f>
        <v>0</v>
      </c>
      <c r="BO368" s="235">
        <f>Table11[[#This Row],[Average BF]]*Table11[[#This Row],[2024 '#Trees Inventory + Estimate]]</f>
        <v>0</v>
      </c>
      <c r="BP368" s="240">
        <f>(Table11[[#This Row],[Harvest Year
(10 year)]]-Table11[[#This Row],[Year of Inventory]]+1)*(Table11[[#This Row],[Average DBH
(inches)]]/(Table11[[#This Row],[Harvest Year
(10 year)]]-Table11[[#This Row],[Year of Inventory]]+1))+Table11[[#This Row],[Average DBH
(inches)]]</f>
        <v>0</v>
      </c>
      <c r="BQ368" s="235">
        <f>((Table11[[#This Row],[Projected DBH
(Extrapolated Growth/Year)]]-4)^2)*(Table11[[#This Row],[Average MHT
(Feet)]]/16)</f>
        <v>0</v>
      </c>
      <c r="BR368" s="235">
        <f>Table11[[#This Row],[Projected Average BF]]*Table11[[#This Row],[2024 '#Trees Inventory + Estimate]]</f>
        <v>0</v>
      </c>
      <c r="BS368" s="235">
        <f>196*Table11[[#This Row],[2024 '#Trees Inventory + Estimate]]</f>
        <v>215600</v>
      </c>
      <c r="BT368" s="243">
        <f>Table11[[#This Row],[ETP Offering Expected BF]]-Table11[[#This Row],[Projected Total BF]]</f>
        <v>215600</v>
      </c>
      <c r="BU368" s="235">
        <f>(18-Table11[[#This Row],[Average DBH
(inches)]])/(D368-Table11[[#This Row],[Year of Inventory]]+1)</f>
        <v>8.8495575221238937E-3</v>
      </c>
    </row>
    <row r="369" spans="1:73" hidden="1" x14ac:dyDescent="0.25">
      <c r="A369" s="7" t="s">
        <v>2034</v>
      </c>
      <c r="B369" s="2">
        <v>2023</v>
      </c>
      <c r="C369" s="2">
        <v>2024</v>
      </c>
      <c r="D369" s="2">
        <f>Table11[[#This Row],[Planting Year]]+9</f>
        <v>2033</v>
      </c>
      <c r="E369" s="97" t="s">
        <v>2035</v>
      </c>
      <c r="F369" s="161">
        <v>10129</v>
      </c>
      <c r="G369" s="97" t="s">
        <v>2035</v>
      </c>
      <c r="H369" s="357" t="s">
        <v>2036</v>
      </c>
      <c r="I369" t="s">
        <v>155</v>
      </c>
      <c r="J369" s="1" t="s">
        <v>2037</v>
      </c>
      <c r="K369" s="1" t="s">
        <v>2038</v>
      </c>
      <c r="L369" s="1" t="s">
        <v>2039</v>
      </c>
      <c r="M369" s="1" t="s">
        <v>150</v>
      </c>
      <c r="N369" t="s">
        <v>2040</v>
      </c>
      <c r="O369">
        <v>30.943899999999999</v>
      </c>
      <c r="P369">
        <v>-84.526060000000001</v>
      </c>
      <c r="Q369" s="2"/>
      <c r="R369" s="86"/>
      <c r="S369" s="2"/>
      <c r="T369" s="1">
        <v>1100</v>
      </c>
      <c r="U369" s="1">
        <v>1100</v>
      </c>
      <c r="V369" s="1" t="str">
        <f>IF(Table11[[#This Row],['#TreesContract]]-Table11[[#This Row],['#Planted]]=0,"",Table11[[#This Row],['#TreesContract]]-Table11[[#This Row],['#Planted]])</f>
        <v/>
      </c>
      <c r="W369" s="2"/>
      <c r="X369" s="34">
        <v>1</v>
      </c>
      <c r="Y369" s="163">
        <f>Table11[[#This Row],['#TreesContract]]*Table11[[#This Row],[USA Allocation %]]</f>
        <v>1100</v>
      </c>
      <c r="Z369" s="163">
        <f>Table11[[#This Row],['#Planted]]*Table11[[#This Row],[USA Allocation %]]</f>
        <v>1100</v>
      </c>
      <c r="AA369" s="34"/>
      <c r="AB369" s="163"/>
      <c r="AC369" s="34"/>
      <c r="AD369" s="163"/>
      <c r="AE369" s="163">
        <f>Table11[[#This Row],[Canada Allocation-tree '#''s]]+Table11[[#This Row],[Can trees/Allocation 2017]]</f>
        <v>0</v>
      </c>
      <c r="AF369" s="5"/>
      <c r="AG369" s="35"/>
      <c r="AH369" s="35"/>
      <c r="AI369" s="437">
        <v>1100</v>
      </c>
      <c r="AJ369" s="436">
        <v>1</v>
      </c>
      <c r="AK369" s="5">
        <v>1</v>
      </c>
      <c r="AL369" s="5">
        <v>1</v>
      </c>
      <c r="AM369" s="35">
        <v>1100</v>
      </c>
      <c r="AN369" s="35">
        <f>Table11[[#This Row],[2024 '#Trees Inventory + Estimate]]*Table11[[#This Row],[USA Allocation %]]</f>
        <v>1100</v>
      </c>
      <c r="AO369" s="35">
        <f>Table11[[#This Row],[2024 '#Trees Inventory + Estimate]]*Table11[[#This Row],[Canada Allocation %]]</f>
        <v>0</v>
      </c>
      <c r="AP369" s="35">
        <f>Table11[[#This Row],[2024 '#Trees Inventory + Estimate]]*Table11[[#This Row],[Canada Allocation2017 %]]</f>
        <v>0</v>
      </c>
      <c r="AQ369" s="35">
        <f>Table11[[#This Row],['#Trees as of 2024/estimate-Can allocation]]+Table11[[#This Row],['#Trees as of 2024/estimate-Can allocation 2017]]</f>
        <v>0</v>
      </c>
      <c r="AR369" s="1" t="s">
        <v>152</v>
      </c>
      <c r="AS369" s="139"/>
      <c r="AT369" s="463">
        <f>IFERROR(Table11[[#This Row],['#Total Replacements]]/Table11[[#This Row],['#TreesContract]],"")</f>
        <v>0</v>
      </c>
      <c r="AU369" s="4">
        <f>IF(SUM(Table11[[#This Row],['#Replace 24]:['#Replace 16]])=0,0,SUM(Table11[[#This Row],['#Replace 24]:['#Replace 16]]))</f>
        <v>0</v>
      </c>
      <c r="AV369" s="2"/>
      <c r="AW369" s="2"/>
      <c r="AX369" s="3"/>
      <c r="AY369" s="2"/>
      <c r="AZ369" s="2"/>
      <c r="BA369" s="2"/>
      <c r="BB369" s="2"/>
      <c r="BC369" s="2"/>
      <c r="BD369" s="2"/>
      <c r="BE369" s="2"/>
      <c r="BF369" s="3">
        <v>1</v>
      </c>
      <c r="BG369" s="3"/>
      <c r="BH369" s="2"/>
      <c r="BI369" s="158"/>
      <c r="BJ369" s="158"/>
      <c r="BK369" s="139">
        <f>Table11[[#This Row],[Average MHT
(Feet)]]/16</f>
        <v>0</v>
      </c>
      <c r="BL369" s="2"/>
      <c r="BM369" s="139">
        <f>Table11[[#This Row],[Average DBH
(inches)]]/18</f>
        <v>0</v>
      </c>
      <c r="BN369" s="235">
        <f>((Table11[[#This Row],[Average DBH
(inches)]]-4)^2)*(Table11[[#This Row],[Average MHT
(Feet)]]/16)</f>
        <v>0</v>
      </c>
      <c r="BO369" s="235">
        <f>Table11[[#This Row],[Average BF]]*Table11[[#This Row],[2024 '#Trees Inventory + Estimate]]</f>
        <v>0</v>
      </c>
      <c r="BP369" s="240">
        <f>(Table11[[#This Row],[Harvest Year
(10 year)]]-Table11[[#This Row],[Year of Inventory]]+1)*(Table11[[#This Row],[Average DBH
(inches)]]/(Table11[[#This Row],[Harvest Year
(10 year)]]-Table11[[#This Row],[Year of Inventory]]+1))+Table11[[#This Row],[Average DBH
(inches)]]</f>
        <v>0</v>
      </c>
      <c r="BQ369" s="235">
        <f>((Table11[[#This Row],[Projected DBH
(Extrapolated Growth/Year)]]-4)^2)*(Table11[[#This Row],[Average MHT
(Feet)]]/16)</f>
        <v>0</v>
      </c>
      <c r="BR369" s="235">
        <f>Table11[[#This Row],[Projected Average BF]]*Table11[[#This Row],[2024 '#Trees Inventory + Estimate]]</f>
        <v>0</v>
      </c>
      <c r="BS369" s="235">
        <f>196*Table11[[#This Row],[2024 '#Trees Inventory + Estimate]]</f>
        <v>215600</v>
      </c>
      <c r="BT369" s="243">
        <f>Table11[[#This Row],[ETP Offering Expected BF]]-Table11[[#This Row],[Projected Total BF]]</f>
        <v>215600</v>
      </c>
      <c r="BU369" s="235">
        <f>(18-Table11[[#This Row],[Average DBH
(inches)]])/(D369-Table11[[#This Row],[Year of Inventory]]+1)</f>
        <v>8.8495575221238937E-3</v>
      </c>
    </row>
    <row r="370" spans="1:73" hidden="1" x14ac:dyDescent="0.25">
      <c r="A370" s="7" t="s">
        <v>2041</v>
      </c>
      <c r="B370" s="2">
        <v>2022</v>
      </c>
      <c r="C370" s="2">
        <v>2024</v>
      </c>
      <c r="D370" s="2">
        <f>Table11[[#This Row],[Planting Year]]+9</f>
        <v>2033</v>
      </c>
      <c r="E370" s="97" t="s">
        <v>2042</v>
      </c>
      <c r="F370" s="161">
        <v>10130</v>
      </c>
      <c r="G370" s="97" t="s">
        <v>2042</v>
      </c>
      <c r="H370" s="357" t="s">
        <v>2043</v>
      </c>
      <c r="I370" t="s">
        <v>155</v>
      </c>
      <c r="J370" s="1" t="s">
        <v>2044</v>
      </c>
      <c r="K370" s="1" t="s">
        <v>2045</v>
      </c>
      <c r="L370" s="1" t="s">
        <v>2045</v>
      </c>
      <c r="M370" s="1" t="s">
        <v>150</v>
      </c>
      <c r="N370" t="s">
        <v>2046</v>
      </c>
      <c r="O370">
        <v>31.44218</v>
      </c>
      <c r="P370">
        <v>-85.987020000000001</v>
      </c>
      <c r="Q370" s="2"/>
      <c r="R370" s="86"/>
      <c r="S370" s="2"/>
      <c r="T370" s="1">
        <v>1700</v>
      </c>
      <c r="U370" s="1">
        <v>1700</v>
      </c>
      <c r="V370" s="1" t="str">
        <f>IF(Table11[[#This Row],['#TreesContract]]-Table11[[#This Row],['#Planted]]=0,"",Table11[[#This Row],['#TreesContract]]-Table11[[#This Row],['#Planted]])</f>
        <v/>
      </c>
      <c r="W370" s="2"/>
      <c r="X370" s="34">
        <v>1</v>
      </c>
      <c r="Y370" s="163">
        <f>Table11[[#This Row],['#TreesContract]]*Table11[[#This Row],[USA Allocation %]]</f>
        <v>1700</v>
      </c>
      <c r="Z370" s="163">
        <f>Table11[[#This Row],['#Planted]]*Table11[[#This Row],[USA Allocation %]]</f>
        <v>1700</v>
      </c>
      <c r="AA370" s="34"/>
      <c r="AB370" s="163"/>
      <c r="AC370" s="34"/>
      <c r="AD370" s="163"/>
      <c r="AE370" s="163">
        <f>Table11[[#This Row],[Canada Allocation-tree '#''s]]+Table11[[#This Row],[Can trees/Allocation 2017]]</f>
        <v>0</v>
      </c>
      <c r="AF370" s="5"/>
      <c r="AG370" s="35"/>
      <c r="AH370" s="35"/>
      <c r="AI370" s="437">
        <v>1700</v>
      </c>
      <c r="AJ370" s="436">
        <v>1</v>
      </c>
      <c r="AK370" s="5">
        <v>1</v>
      </c>
      <c r="AL370" s="5">
        <v>1</v>
      </c>
      <c r="AM370" s="35">
        <v>1700</v>
      </c>
      <c r="AN370" s="35">
        <f>Table11[[#This Row],[2024 '#Trees Inventory + Estimate]]*Table11[[#This Row],[USA Allocation %]]</f>
        <v>1700</v>
      </c>
      <c r="AO370" s="35">
        <f>Table11[[#This Row],[2024 '#Trees Inventory + Estimate]]*Table11[[#This Row],[Canada Allocation %]]</f>
        <v>0</v>
      </c>
      <c r="AP370" s="35">
        <f>Table11[[#This Row],[2024 '#Trees Inventory + Estimate]]*Table11[[#This Row],[Canada Allocation2017 %]]</f>
        <v>0</v>
      </c>
      <c r="AQ370" s="35">
        <f>Table11[[#This Row],['#Trees as of 2024/estimate-Can allocation]]+Table11[[#This Row],['#Trees as of 2024/estimate-Can allocation 2017]]</f>
        <v>0</v>
      </c>
      <c r="AR370" s="1" t="s">
        <v>152</v>
      </c>
      <c r="AS370" s="2"/>
      <c r="AT370" s="463">
        <f>IFERROR(Table11[[#This Row],['#Total Replacements]]/Table11[[#This Row],['#TreesContract]],"")</f>
        <v>0</v>
      </c>
      <c r="AU370" s="4">
        <f>IF(SUM(Table11[[#This Row],['#Replace 24]:['#Replace 16]])=0,0,SUM(Table11[[#This Row],['#Replace 24]:['#Replace 16]]))</f>
        <v>0</v>
      </c>
      <c r="AV370" s="2"/>
      <c r="AW370" s="2"/>
      <c r="AX370" s="3"/>
      <c r="AY370" s="2"/>
      <c r="AZ370" s="2"/>
      <c r="BA370" s="2"/>
      <c r="BB370" s="2"/>
      <c r="BC370" s="2"/>
      <c r="BD370" s="2"/>
      <c r="BE370" s="2"/>
      <c r="BF370" s="3">
        <v>1</v>
      </c>
      <c r="BG370" s="3"/>
      <c r="BH370" s="2"/>
      <c r="BI370" s="2"/>
      <c r="BJ370" s="2"/>
      <c r="BK370" s="139">
        <f>Table11[[#This Row],[Average MHT
(Feet)]]/16</f>
        <v>0</v>
      </c>
      <c r="BL370" s="2"/>
      <c r="BM370" s="139">
        <f>Table11[[#This Row],[Average DBH
(inches)]]/18</f>
        <v>0</v>
      </c>
      <c r="BN370" s="235">
        <f>((Table11[[#This Row],[Average DBH
(inches)]]-4)^2)*(Table11[[#This Row],[Average MHT
(Feet)]]/16)</f>
        <v>0</v>
      </c>
      <c r="BO370" s="235">
        <f>Table11[[#This Row],[Average BF]]*Table11[[#This Row],[2024 '#Trees Inventory + Estimate]]</f>
        <v>0</v>
      </c>
      <c r="BP370" s="240">
        <f>(Table11[[#This Row],[Harvest Year
(10 year)]]-Table11[[#This Row],[Year of Inventory]]+1)*(Table11[[#This Row],[Average DBH
(inches)]]/(Table11[[#This Row],[Harvest Year
(10 year)]]-Table11[[#This Row],[Year of Inventory]]+1))+Table11[[#This Row],[Average DBH
(inches)]]</f>
        <v>0</v>
      </c>
      <c r="BQ370" s="235">
        <f>((Table11[[#This Row],[Projected DBH
(Extrapolated Growth/Year)]]-4)^2)*(Table11[[#This Row],[Average MHT
(Feet)]]/16)</f>
        <v>0</v>
      </c>
      <c r="BR370" s="235">
        <f>Table11[[#This Row],[Projected Average BF]]*Table11[[#This Row],[2024 '#Trees Inventory + Estimate]]</f>
        <v>0</v>
      </c>
      <c r="BS370" s="235">
        <f>196*Table11[[#This Row],[2024 '#Trees Inventory + Estimate]]</f>
        <v>333200</v>
      </c>
      <c r="BT370" s="243">
        <f>Table11[[#This Row],[ETP Offering Expected BF]]-Table11[[#This Row],[Projected Total BF]]</f>
        <v>333200</v>
      </c>
      <c r="BU370" s="235">
        <f>(18-Table11[[#This Row],[Average DBH
(inches)]])/(D370-Table11[[#This Row],[Year of Inventory]]+1)</f>
        <v>8.8495575221238937E-3</v>
      </c>
    </row>
    <row r="371" spans="1:73" hidden="1" x14ac:dyDescent="0.25">
      <c r="A371" s="7" t="s">
        <v>2047</v>
      </c>
      <c r="B371" s="2">
        <v>2022</v>
      </c>
      <c r="C371" s="2">
        <v>2024</v>
      </c>
      <c r="D371" s="2">
        <f>Table11[[#This Row],[Planting Year]]+9</f>
        <v>2033</v>
      </c>
      <c r="E371" s="97" t="s">
        <v>2048</v>
      </c>
      <c r="F371" s="161">
        <v>10131</v>
      </c>
      <c r="G371" s="97" t="s">
        <v>2048</v>
      </c>
      <c r="H371" s="357" t="s">
        <v>2049</v>
      </c>
      <c r="I371" t="s">
        <v>155</v>
      </c>
      <c r="J371" s="1" t="s">
        <v>2050</v>
      </c>
      <c r="K371" s="1" t="s">
        <v>2051</v>
      </c>
      <c r="L371" s="1" t="s">
        <v>2052</v>
      </c>
      <c r="M371" s="1" t="s">
        <v>150</v>
      </c>
      <c r="N371" t="s">
        <v>2053</v>
      </c>
      <c r="O371">
        <v>30.082789999999999</v>
      </c>
      <c r="P371">
        <v>-83.290819999999997</v>
      </c>
      <c r="Q371" s="2"/>
      <c r="R371" s="86"/>
      <c r="S371" s="2"/>
      <c r="T371" s="348">
        <v>1870</v>
      </c>
      <c r="U371" s="1">
        <v>1870</v>
      </c>
      <c r="V371" s="1" t="str">
        <f>IF(Table11[[#This Row],['#TreesContract]]-Table11[[#This Row],['#Planted]]=0,"",Table11[[#This Row],['#TreesContract]]-Table11[[#This Row],['#Planted]])</f>
        <v/>
      </c>
      <c r="W371" s="2"/>
      <c r="X371" s="34">
        <v>1</v>
      </c>
      <c r="Y371" s="163">
        <f>Table11[[#This Row],['#TreesContract]]*Table11[[#This Row],[USA Allocation %]]</f>
        <v>1870</v>
      </c>
      <c r="Z371" s="163">
        <f>Table11[[#This Row],['#Planted]]*Table11[[#This Row],[USA Allocation %]]</f>
        <v>1870</v>
      </c>
      <c r="AA371" s="34"/>
      <c r="AB371" s="163"/>
      <c r="AC371" s="34"/>
      <c r="AD371" s="163"/>
      <c r="AE371" s="163">
        <f>Table11[[#This Row],[Canada Allocation-tree '#''s]]+Table11[[#This Row],[Can trees/Allocation 2017]]</f>
        <v>0</v>
      </c>
      <c r="AF371" s="5"/>
      <c r="AG371" s="35"/>
      <c r="AH371" s="35"/>
      <c r="AI371" s="437">
        <v>1870</v>
      </c>
      <c r="AJ371" s="436">
        <v>1</v>
      </c>
      <c r="AK371" s="5">
        <v>1</v>
      </c>
      <c r="AL371" s="5">
        <v>0.3</v>
      </c>
      <c r="AM371" s="35">
        <f>Table11[[#This Row],[USA trees/Allocation/Contracted]]*Table11[[#This Row],[2024 Survival% Inventory + Estimate]]</f>
        <v>561</v>
      </c>
      <c r="AN371" s="35">
        <f>Table11[[#This Row],[2024 '#Trees Inventory + Estimate]]*Table11[[#This Row],[USA Allocation %]]</f>
        <v>561</v>
      </c>
      <c r="AO371" s="35">
        <f>Table11[[#This Row],[2024 '#Trees Inventory + Estimate]]*Table11[[#This Row],[Canada Allocation %]]</f>
        <v>0</v>
      </c>
      <c r="AP371" s="35">
        <f>Table11[[#This Row],[2024 '#Trees Inventory + Estimate]]*Table11[[#This Row],[Canada Allocation2017 %]]</f>
        <v>0</v>
      </c>
      <c r="AQ371" s="35">
        <f>Table11[[#This Row],['#Trees as of 2024/estimate-Can allocation]]+Table11[[#This Row],['#Trees as of 2024/estimate-Can allocation 2017]]</f>
        <v>0</v>
      </c>
      <c r="AR371" s="1" t="s">
        <v>152</v>
      </c>
      <c r="AS371" s="2"/>
      <c r="AT371" s="463">
        <f>IFERROR(Table11[[#This Row],['#Total Replacements]]/Table11[[#This Row],['#TreesContract]],"")</f>
        <v>0</v>
      </c>
      <c r="AU371" s="4">
        <f>IF(SUM(Table11[[#This Row],['#Replace 24]:['#Replace 16]])=0,0,SUM(Table11[[#This Row],['#Replace 24]:['#Replace 16]]))</f>
        <v>0</v>
      </c>
      <c r="AV371" s="2"/>
      <c r="AW371" s="2"/>
      <c r="AX371" s="3"/>
      <c r="AY371" s="2"/>
      <c r="AZ371" s="2"/>
      <c r="BA371" s="2"/>
      <c r="BB371" s="2"/>
      <c r="BC371" s="2"/>
      <c r="BD371" s="2"/>
      <c r="BE371" s="2"/>
      <c r="BF371" s="3">
        <v>1</v>
      </c>
      <c r="BG371" s="3"/>
      <c r="BH371" s="2"/>
      <c r="BI371" s="158"/>
      <c r="BJ371" s="158"/>
      <c r="BK371" s="139">
        <f>Table11[[#This Row],[Average MHT
(Feet)]]/16</f>
        <v>0</v>
      </c>
      <c r="BL371" s="2"/>
      <c r="BM371" s="139">
        <f>Table11[[#This Row],[Average DBH
(inches)]]/18</f>
        <v>0</v>
      </c>
      <c r="BN371" s="235">
        <f>((Table11[[#This Row],[Average DBH
(inches)]]-4)^2)*(Table11[[#This Row],[Average MHT
(Feet)]]/16)</f>
        <v>0</v>
      </c>
      <c r="BO371" s="235">
        <f>Table11[[#This Row],[Average BF]]*Table11[[#This Row],[2024 '#Trees Inventory + Estimate]]</f>
        <v>0</v>
      </c>
      <c r="BP371" s="240">
        <f>(Table11[[#This Row],[Harvest Year
(10 year)]]-Table11[[#This Row],[Year of Inventory]]+1)*(Table11[[#This Row],[Average DBH
(inches)]]/(Table11[[#This Row],[Harvest Year
(10 year)]]-Table11[[#This Row],[Year of Inventory]]+1))+Table11[[#This Row],[Average DBH
(inches)]]</f>
        <v>0</v>
      </c>
      <c r="BQ371" s="235">
        <f>((Table11[[#This Row],[Projected DBH
(Extrapolated Growth/Year)]]-4)^2)*(Table11[[#This Row],[Average MHT
(Feet)]]/16)</f>
        <v>0</v>
      </c>
      <c r="BR371" s="235">
        <f>Table11[[#This Row],[Projected Average BF]]*Table11[[#This Row],[2024 '#Trees Inventory + Estimate]]</f>
        <v>0</v>
      </c>
      <c r="BS371" s="235">
        <f>196*Table11[[#This Row],[2024 '#Trees Inventory + Estimate]]</f>
        <v>109956</v>
      </c>
      <c r="BT371" s="243">
        <f>Table11[[#This Row],[ETP Offering Expected BF]]-Table11[[#This Row],[Projected Total BF]]</f>
        <v>109956</v>
      </c>
      <c r="BU371" s="235">
        <f>(18-Table11[[#This Row],[Average DBH
(inches)]])/(D371-Table11[[#This Row],[Year of Inventory]]+1)</f>
        <v>8.8495575221238937E-3</v>
      </c>
    </row>
    <row r="372" spans="1:73" x14ac:dyDescent="0.25">
      <c r="A372" s="7" t="s">
        <v>2054</v>
      </c>
      <c r="B372" s="2">
        <v>2023</v>
      </c>
      <c r="C372" s="2">
        <v>2024</v>
      </c>
      <c r="D372" s="2">
        <f>Table11[[#This Row],[Planting Year]]+9</f>
        <v>2033</v>
      </c>
      <c r="E372" s="167"/>
      <c r="F372" s="161">
        <v>20091</v>
      </c>
      <c r="G372" s="167" t="s">
        <v>1766</v>
      </c>
      <c r="H372" s="359"/>
      <c r="I372" t="s">
        <v>155</v>
      </c>
      <c r="J372" s="351" t="s">
        <v>2055</v>
      </c>
      <c r="K372" s="1"/>
      <c r="L372" s="1"/>
      <c r="M372" s="1" t="s">
        <v>213</v>
      </c>
      <c r="N372" s="353" t="s">
        <v>2056</v>
      </c>
      <c r="O372" s="353">
        <v>9.7155299999999993</v>
      </c>
      <c r="P372" s="353">
        <v>-84.493030000000005</v>
      </c>
      <c r="Q372" s="2"/>
      <c r="R372" s="86"/>
      <c r="S372" s="2"/>
      <c r="T372" s="1">
        <v>800</v>
      </c>
      <c r="U372" s="1">
        <v>800</v>
      </c>
      <c r="V372" s="1"/>
      <c r="W372" s="2"/>
      <c r="X372" s="370">
        <v>1</v>
      </c>
      <c r="Y372" s="163">
        <f>T372*X372</f>
        <v>800</v>
      </c>
      <c r="Z372" s="163">
        <f>Table11[[#This Row],['#Planted]]*Table11[[#This Row],[USA Allocation %]]</f>
        <v>800</v>
      </c>
      <c r="AA372" s="370"/>
      <c r="AB372" s="163"/>
      <c r="AC372" s="370"/>
      <c r="AD372" s="163"/>
      <c r="AE372" s="163">
        <f>Table11[[#This Row],[Canada Allocation-tree '#''s]]+Table11[[#This Row],[Can trees/Allocation 2017]]</f>
        <v>0</v>
      </c>
      <c r="AF372" s="5"/>
      <c r="AG372" s="35"/>
      <c r="AH372" s="35"/>
      <c r="AI372" s="437">
        <v>800</v>
      </c>
      <c r="AJ372" s="436">
        <v>1</v>
      </c>
      <c r="AK372" s="5">
        <v>1</v>
      </c>
      <c r="AL372" s="5">
        <v>1</v>
      </c>
      <c r="AM372" s="2">
        <v>800</v>
      </c>
      <c r="AN372" s="35">
        <f>Table11[[#This Row],[2024 '#Trees Inventory + Estimate]]*Table11[[#This Row],[USA Allocation %]]</f>
        <v>800</v>
      </c>
      <c r="AO372" s="35">
        <f>Table11[[#This Row],[2024 '#Trees Inventory + Estimate]]*Table11[[#This Row],[Canada Allocation %]]</f>
        <v>0</v>
      </c>
      <c r="AP372" s="35">
        <f>Table11[[#This Row],[2024 '#Trees Inventory + Estimate]]*Table11[[#This Row],[Canada Allocation2017 %]]</f>
        <v>0</v>
      </c>
      <c r="AQ372" s="35">
        <f>Table11[[#This Row],['#Trees as of 2024/estimate-Can allocation]]+Table11[[#This Row],['#Trees as of 2024/estimate-Can allocation 2017]]</f>
        <v>0</v>
      </c>
      <c r="AR372" s="1"/>
      <c r="AS372" s="1"/>
      <c r="AT372" s="6"/>
      <c r="AU372" s="4"/>
      <c r="AV372" s="2"/>
      <c r="AW372" s="2"/>
      <c r="AX372" s="3"/>
      <c r="AY372" s="2"/>
      <c r="AZ372" s="2"/>
      <c r="BA372" s="2"/>
      <c r="BB372" s="2"/>
      <c r="BC372" s="2"/>
      <c r="BD372" s="2"/>
      <c r="BE372" s="2"/>
      <c r="BF372" s="73"/>
      <c r="BG372" s="2"/>
      <c r="BH372" s="2"/>
      <c r="BI372" s="158"/>
      <c r="BJ372" s="158"/>
      <c r="BK372" s="139">
        <f>Table11[[#This Row],[Average MHT
(Feet)]]/16</f>
        <v>0</v>
      </c>
      <c r="BL372" s="2"/>
      <c r="BM372" s="139">
        <f>Table11[[#This Row],[Average DBH
(inches)]]/18</f>
        <v>0</v>
      </c>
      <c r="BN372" s="235">
        <f>((Table11[[#This Row],[Average DBH
(inches)]]-4)^2)*(Table11[[#This Row],[Average MHT
(Feet)]]/16)</f>
        <v>0</v>
      </c>
      <c r="BO372" s="235">
        <f>Table11[[#This Row],[Average BF]]*Table11[[#This Row],[2024 '#Trees Inventory + Estimate]]</f>
        <v>0</v>
      </c>
      <c r="BP372" s="240">
        <f>(Table11[[#This Row],[Harvest Year
(10 year)]]-Table11[[#This Row],[Year of Inventory]]+1)*(Table11[[#This Row],[Average DBH
(inches)]]/(Table11[[#This Row],[Harvest Year
(10 year)]]-Table11[[#This Row],[Year of Inventory]]+1))+Table11[[#This Row],[Average DBH
(inches)]]</f>
        <v>0</v>
      </c>
      <c r="BQ372" s="235">
        <f>((Table11[[#This Row],[Projected DBH
(Extrapolated Growth/Year)]]-4)^2)*(Table11[[#This Row],[Average MHT
(Feet)]]/16)</f>
        <v>0</v>
      </c>
      <c r="BR372" s="235">
        <f>Table11[[#This Row],[Projected Average BF]]*Table11[[#This Row],[2024 '#Trees Inventory + Estimate]]</f>
        <v>0</v>
      </c>
      <c r="BS372" s="235">
        <f>196*Table11[[#This Row],[2024 '#Trees Inventory + Estimate]]</f>
        <v>156800</v>
      </c>
      <c r="BT372" s="243">
        <f>Table11[[#This Row],[ETP Offering Expected BF]]-Table11[[#This Row],[Projected Total BF]]</f>
        <v>156800</v>
      </c>
      <c r="BU372" s="235">
        <f>(18-Table11[[#This Row],[Average DBH
(inches)]])/(D372-Table11[[#This Row],[Year of Inventory]]+1)</f>
        <v>8.8495575221238937E-3</v>
      </c>
    </row>
    <row r="373" spans="1:73" x14ac:dyDescent="0.25">
      <c r="A373" s="7" t="s">
        <v>2057</v>
      </c>
      <c r="B373" s="2">
        <v>2022</v>
      </c>
      <c r="C373" s="2">
        <v>2024</v>
      </c>
      <c r="D373" s="2">
        <f>Table11[[#This Row],[Planting Year]]+9</f>
        <v>2033</v>
      </c>
      <c r="E373" s="167" t="s">
        <v>2058</v>
      </c>
      <c r="F373" s="161">
        <v>20098</v>
      </c>
      <c r="G373" s="167" t="s">
        <v>2058</v>
      </c>
      <c r="H373" s="359"/>
      <c r="I373" t="s">
        <v>155</v>
      </c>
      <c r="J373" s="1" t="s">
        <v>2059</v>
      </c>
      <c r="K373" s="1"/>
      <c r="L373" s="1" t="s">
        <v>2060</v>
      </c>
      <c r="M373" s="1" t="s">
        <v>213</v>
      </c>
      <c r="N373" t="s">
        <v>2061</v>
      </c>
      <c r="O373">
        <v>10.331239</v>
      </c>
      <c r="P373">
        <v>-83.715675000000005</v>
      </c>
      <c r="Q373" s="2"/>
      <c r="R373" s="86"/>
      <c r="S373" s="2"/>
      <c r="T373" s="1">
        <v>1200</v>
      </c>
      <c r="U373" s="1">
        <v>1200</v>
      </c>
      <c r="V373" s="1" t="str">
        <f>IF(Table11[[#This Row],['#TreesContract]]-Table11[[#This Row],['#Planted]]=0,"",Table11[[#This Row],['#TreesContract]]-Table11[[#This Row],['#Planted]])</f>
        <v/>
      </c>
      <c r="W373" s="2"/>
      <c r="X373" s="34">
        <v>1</v>
      </c>
      <c r="Y373" s="163">
        <f>Table11[[#This Row],['#TreesContract]]*Table11[[#This Row],[USA Allocation %]]</f>
        <v>1200</v>
      </c>
      <c r="Z373" s="163">
        <f>Table11[[#This Row],['#Planted]]*Table11[[#This Row],[USA Allocation %]]</f>
        <v>1200</v>
      </c>
      <c r="AA373" s="34"/>
      <c r="AB373" s="163"/>
      <c r="AC373" s="34"/>
      <c r="AD373" s="163"/>
      <c r="AE373" s="163">
        <f>Table11[[#This Row],[Canada Allocation-tree '#''s]]+Table11[[#This Row],[Can trees/Allocation 2017]]</f>
        <v>0</v>
      </c>
      <c r="AF373" s="5"/>
      <c r="AG373" s="35"/>
      <c r="AH373" s="35"/>
      <c r="AI373" s="437">
        <v>1200</v>
      </c>
      <c r="AJ373" s="436">
        <v>1</v>
      </c>
      <c r="AK373" s="5">
        <v>1</v>
      </c>
      <c r="AL373" s="5">
        <v>1</v>
      </c>
      <c r="AM373" s="35">
        <v>1200</v>
      </c>
      <c r="AN373" s="35">
        <f>Table11[[#This Row],[2024 '#Trees Inventory + Estimate]]*Table11[[#This Row],[USA Allocation %]]</f>
        <v>1200</v>
      </c>
      <c r="AO373" s="35">
        <f>Table11[[#This Row],[2024 '#Trees Inventory + Estimate]]*Table11[[#This Row],[Canada Allocation %]]</f>
        <v>0</v>
      </c>
      <c r="AP373" s="35">
        <f>Table11[[#This Row],[2024 '#Trees Inventory + Estimate]]*Table11[[#This Row],[Canada Allocation2017 %]]</f>
        <v>0</v>
      </c>
      <c r="AQ373" s="35">
        <f>Table11[[#This Row],['#Trees as of 2024/estimate-Can allocation]]+Table11[[#This Row],['#Trees as of 2024/estimate-Can allocation 2017]]</f>
        <v>0</v>
      </c>
      <c r="AR373" s="1" t="s">
        <v>2062</v>
      </c>
      <c r="AS373" s="1" t="s">
        <v>2062</v>
      </c>
      <c r="AT373" s="6"/>
      <c r="AU373" s="4"/>
      <c r="AV373" s="2"/>
      <c r="AW373" s="2"/>
      <c r="AX373" s="3"/>
      <c r="AY373" s="2"/>
      <c r="AZ373" s="2"/>
      <c r="BA373" s="2"/>
      <c r="BB373" s="2"/>
      <c r="BC373" s="2"/>
      <c r="BD373" s="2"/>
      <c r="BE373" s="2"/>
      <c r="BF373" s="73"/>
      <c r="BG373" s="2"/>
      <c r="BH373" s="2"/>
      <c r="BI373" s="158"/>
      <c r="BJ373" s="158"/>
      <c r="BK373" s="139">
        <f>Table11[[#This Row],[Average MHT
(Feet)]]/16</f>
        <v>0</v>
      </c>
      <c r="BL373" s="2"/>
      <c r="BM373" s="139">
        <f>Table11[[#This Row],[Average DBH
(inches)]]/18</f>
        <v>0</v>
      </c>
      <c r="BN373" s="235">
        <f>((Table11[[#This Row],[Average DBH
(inches)]]-4)^2)*(Table11[[#This Row],[Average MHT
(Feet)]]/16)</f>
        <v>0</v>
      </c>
      <c r="BO373" s="235">
        <f>Table11[[#This Row],[Average BF]]*Table11[[#This Row],[2024 '#Trees Inventory + Estimate]]</f>
        <v>0</v>
      </c>
      <c r="BP373" s="240">
        <f>(Table11[[#This Row],[Harvest Year
(10 year)]]-Table11[[#This Row],[Year of Inventory]]+1)*(Table11[[#This Row],[Average DBH
(inches)]]/(Table11[[#This Row],[Harvest Year
(10 year)]]-Table11[[#This Row],[Year of Inventory]]+1))+Table11[[#This Row],[Average DBH
(inches)]]</f>
        <v>0</v>
      </c>
      <c r="BQ373" s="235">
        <f>((Table11[[#This Row],[Projected DBH
(Extrapolated Growth/Year)]]-4)^2)*(Table11[[#This Row],[Average MHT
(Feet)]]/16)</f>
        <v>0</v>
      </c>
      <c r="BR373" s="235">
        <f>Table11[[#This Row],[Projected Average BF]]*Table11[[#This Row],[2024 '#Trees Inventory + Estimate]]</f>
        <v>0</v>
      </c>
      <c r="BS373" s="235">
        <f>196*Table11[[#This Row],[2024 '#Trees Inventory + Estimate]]</f>
        <v>235200</v>
      </c>
      <c r="BT373" s="243">
        <f>Table11[[#This Row],[ETP Offering Expected BF]]-Table11[[#This Row],[Projected Total BF]]</f>
        <v>235200</v>
      </c>
      <c r="BU373" s="235">
        <f>(18-Table11[[#This Row],[Average DBH
(inches)]])/(D373-Table11[[#This Row],[Year of Inventory]]+1)</f>
        <v>8.8495575221238937E-3</v>
      </c>
    </row>
    <row r="374" spans="1:73" ht="15.75" customHeight="1" x14ac:dyDescent="0.25">
      <c r="A374" s="7" t="s">
        <v>2063</v>
      </c>
      <c r="B374" s="2">
        <v>2022</v>
      </c>
      <c r="C374" s="2">
        <v>2024</v>
      </c>
      <c r="D374" s="2">
        <f>Table11[[#This Row],[Planting Year]]+9</f>
        <v>2033</v>
      </c>
      <c r="E374" s="97"/>
      <c r="F374" s="161">
        <v>20099</v>
      </c>
      <c r="G374" s="97" t="s">
        <v>2064</v>
      </c>
      <c r="H374" s="360">
        <v>50686947869</v>
      </c>
      <c r="I374" t="s">
        <v>155</v>
      </c>
      <c r="J374" s="351" t="s">
        <v>2065</v>
      </c>
      <c r="K374" s="1"/>
      <c r="L374" s="1"/>
      <c r="M374" s="1" t="s">
        <v>213</v>
      </c>
      <c r="Q374" s="2"/>
      <c r="R374" s="86"/>
      <c r="S374" s="2"/>
      <c r="T374" s="1">
        <v>1200</v>
      </c>
      <c r="U374" s="1">
        <v>1200</v>
      </c>
      <c r="V374" s="1" t="str">
        <f>IF(Table11[[#This Row],['#TreesContract]]-Table11[[#This Row],['#Planted]]=0,"",Table11[[#This Row],['#TreesContract]]-Table11[[#This Row],['#Planted]])</f>
        <v/>
      </c>
      <c r="W374" s="2"/>
      <c r="X374" s="34">
        <v>1</v>
      </c>
      <c r="Y374" s="163">
        <f>Table11[[#This Row],['#TreesContract]]*Table11[[#This Row],[USA Allocation %]]</f>
        <v>1200</v>
      </c>
      <c r="Z374" s="163">
        <f>Table11[[#This Row],['#Planted]]*Table11[[#This Row],[USA Allocation %]]</f>
        <v>1200</v>
      </c>
      <c r="AA374" s="34"/>
      <c r="AB374" s="163"/>
      <c r="AC374" s="34"/>
      <c r="AD374" s="163"/>
      <c r="AE374" s="163">
        <f>Table11[[#This Row],[Canada Allocation-tree '#''s]]+Table11[[#This Row],[Can trees/Allocation 2017]]</f>
        <v>0</v>
      </c>
      <c r="AF374" s="5"/>
      <c r="AG374" s="35"/>
      <c r="AH374" s="35"/>
      <c r="AI374" s="437">
        <v>1200</v>
      </c>
      <c r="AJ374" s="436">
        <v>1</v>
      </c>
      <c r="AK374" s="5">
        <v>1</v>
      </c>
      <c r="AL374" s="5">
        <v>1</v>
      </c>
      <c r="AM374" s="35">
        <v>1200</v>
      </c>
      <c r="AN374" s="35">
        <f>Table11[[#This Row],[2024 '#Trees Inventory + Estimate]]*Table11[[#This Row],[USA Allocation %]]</f>
        <v>1200</v>
      </c>
      <c r="AO374" s="35">
        <f>Table11[[#This Row],[2024 '#Trees Inventory + Estimate]]*Table11[[#This Row],[Canada Allocation %]]</f>
        <v>0</v>
      </c>
      <c r="AP374" s="35">
        <f>Table11[[#This Row],[2024 '#Trees Inventory + Estimate]]*Table11[[#This Row],[Canada Allocation2017 %]]</f>
        <v>0</v>
      </c>
      <c r="AQ374" s="35">
        <f>Table11[[#This Row],['#Trees as of 2024/estimate-Can allocation]]+Table11[[#This Row],['#Trees as of 2024/estimate-Can allocation 2017]]</f>
        <v>0</v>
      </c>
      <c r="AR374" s="1"/>
      <c r="AS374" s="1" t="s">
        <v>2062</v>
      </c>
      <c r="AT374" s="6"/>
      <c r="AU374" s="4"/>
      <c r="AV374" s="2"/>
      <c r="AW374" s="2"/>
      <c r="AX374" s="3"/>
      <c r="AY374" s="2"/>
      <c r="AZ374" s="2"/>
      <c r="BA374" s="2"/>
      <c r="BB374" s="2"/>
      <c r="BC374" s="2"/>
      <c r="BD374" s="2"/>
      <c r="BE374" s="2"/>
      <c r="BF374" s="73"/>
      <c r="BG374" s="2"/>
      <c r="BH374" s="2"/>
      <c r="BI374" s="2"/>
      <c r="BJ374" s="2"/>
      <c r="BK374" s="139">
        <f>Table11[[#This Row],[Average MHT
(Feet)]]/16</f>
        <v>0</v>
      </c>
      <c r="BL374" s="2"/>
      <c r="BM374" s="139">
        <f>Table11[[#This Row],[Average DBH
(inches)]]/18</f>
        <v>0</v>
      </c>
      <c r="BN374" s="235">
        <f>((Table11[[#This Row],[Average DBH
(inches)]]-4)^2)*(Table11[[#This Row],[Average MHT
(Feet)]]/16)</f>
        <v>0</v>
      </c>
      <c r="BO374" s="235">
        <f>Table11[[#This Row],[Average BF]]*Table11[[#This Row],[2024 '#Trees Inventory + Estimate]]</f>
        <v>0</v>
      </c>
      <c r="BP374" s="240">
        <f>(Table11[[#This Row],[Harvest Year
(10 year)]]-Table11[[#This Row],[Year of Inventory]]+1)*(Table11[[#This Row],[Average DBH
(inches)]]/(Table11[[#This Row],[Harvest Year
(10 year)]]-Table11[[#This Row],[Year of Inventory]]+1))+Table11[[#This Row],[Average DBH
(inches)]]</f>
        <v>0</v>
      </c>
      <c r="BQ374" s="235">
        <f>((Table11[[#This Row],[Projected DBH
(Extrapolated Growth/Year)]]-4)^2)*(Table11[[#This Row],[Average MHT
(Feet)]]/16)</f>
        <v>0</v>
      </c>
      <c r="BR374" s="235">
        <f>Table11[[#This Row],[Projected Average BF]]*Table11[[#This Row],[2024 '#Trees Inventory + Estimate]]</f>
        <v>0</v>
      </c>
      <c r="BS374" s="235">
        <f>196*Table11[[#This Row],[2024 '#Trees Inventory + Estimate]]</f>
        <v>235200</v>
      </c>
      <c r="BT374" s="243">
        <f>Table11[[#This Row],[ETP Offering Expected BF]]-Table11[[#This Row],[Projected Total BF]]</f>
        <v>235200</v>
      </c>
      <c r="BU374" s="235">
        <f>(18-Table11[[#This Row],[Average DBH
(inches)]])/(D374-Table11[[#This Row],[Year of Inventory]]+1)</f>
        <v>8.8495575221238937E-3</v>
      </c>
    </row>
    <row r="375" spans="1:73" ht="15.75" customHeight="1" x14ac:dyDescent="0.25">
      <c r="A375" s="7" t="s">
        <v>2066</v>
      </c>
      <c r="B375" s="2">
        <v>2023</v>
      </c>
      <c r="C375" s="2">
        <v>2024</v>
      </c>
      <c r="D375" s="2">
        <f>Table11[[#This Row],[Planting Year]]+9</f>
        <v>2033</v>
      </c>
      <c r="E375" s="353" t="s">
        <v>2067</v>
      </c>
      <c r="F375" s="161">
        <v>20100</v>
      </c>
      <c r="G375" s="353" t="s">
        <v>2068</v>
      </c>
      <c r="H375" s="360" t="s">
        <v>2069</v>
      </c>
      <c r="I375" t="s">
        <v>155</v>
      </c>
      <c r="J375" s="351" t="s">
        <v>2070</v>
      </c>
      <c r="K375" s="1"/>
      <c r="L375" s="1"/>
      <c r="M375" s="1" t="s">
        <v>213</v>
      </c>
      <c r="N375" s="353" t="s">
        <v>2071</v>
      </c>
      <c r="O375" s="353">
        <v>10.7182</v>
      </c>
      <c r="P375" s="353">
        <v>-84.836299999999994</v>
      </c>
      <c r="Q375" s="2"/>
      <c r="R375" s="86"/>
      <c r="S375" s="2"/>
      <c r="T375" s="1">
        <v>1200</v>
      </c>
      <c r="U375" s="1">
        <v>1200</v>
      </c>
      <c r="V375" s="1" t="str">
        <f>IF(Table11[[#This Row],['#TreesContract]]-Table11[[#This Row],['#Planted]]=0,"",Table11[[#This Row],['#TreesContract]]-Table11[[#This Row],['#Planted]])</f>
        <v/>
      </c>
      <c r="W375" s="2"/>
      <c r="X375" s="34">
        <v>1</v>
      </c>
      <c r="Y375" s="163">
        <f>Table11[[#This Row],['#TreesContract]]*Table11[[#This Row],[USA Allocation %]]</f>
        <v>1200</v>
      </c>
      <c r="Z375" s="163">
        <f>Table11[[#This Row],['#Planted]]*Table11[[#This Row],[USA Allocation %]]</f>
        <v>1200</v>
      </c>
      <c r="AA375" s="34"/>
      <c r="AB375" s="163"/>
      <c r="AC375" s="34"/>
      <c r="AD375" s="163"/>
      <c r="AE375" s="163">
        <f>Table11[[#This Row],[Canada Allocation-tree '#''s]]+Table11[[#This Row],[Can trees/Allocation 2017]]</f>
        <v>0</v>
      </c>
      <c r="AF375" s="5"/>
      <c r="AG375" s="35"/>
      <c r="AH375" s="35"/>
      <c r="AI375" s="437">
        <v>1200</v>
      </c>
      <c r="AJ375" s="436">
        <v>1</v>
      </c>
      <c r="AK375" s="5">
        <v>1</v>
      </c>
      <c r="AL375" s="5">
        <v>1</v>
      </c>
      <c r="AM375" s="35">
        <v>1200</v>
      </c>
      <c r="AN375" s="35">
        <f>Table11[[#This Row],[2024 '#Trees Inventory + Estimate]]*Table11[[#This Row],[USA Allocation %]]</f>
        <v>1200</v>
      </c>
      <c r="AO375" s="35">
        <f>Table11[[#This Row],[2024 '#Trees Inventory + Estimate]]*Table11[[#This Row],[Canada Allocation %]]</f>
        <v>0</v>
      </c>
      <c r="AP375" s="35">
        <f>Table11[[#This Row],[2024 '#Trees Inventory + Estimate]]*Table11[[#This Row],[Canada Allocation2017 %]]</f>
        <v>0</v>
      </c>
      <c r="AQ375" s="35">
        <f>Table11[[#This Row],['#Trees as of 2024/estimate-Can allocation]]+Table11[[#This Row],['#Trees as of 2024/estimate-Can allocation 2017]]</f>
        <v>0</v>
      </c>
      <c r="AR375" s="1"/>
      <c r="AS375" s="1" t="s">
        <v>2062</v>
      </c>
      <c r="AT375" s="6"/>
      <c r="AU375" s="4"/>
      <c r="AV375" s="2"/>
      <c r="AW375" s="2"/>
      <c r="AX375" s="3"/>
      <c r="AY375" s="2"/>
      <c r="AZ375" s="2"/>
      <c r="BA375" s="2"/>
      <c r="BB375" s="2"/>
      <c r="BC375" s="2"/>
      <c r="BD375" s="2"/>
      <c r="BE375" s="2"/>
      <c r="BF375" s="73"/>
      <c r="BG375" s="2"/>
      <c r="BH375" s="2"/>
      <c r="BI375" s="158"/>
      <c r="BJ375" s="158"/>
      <c r="BK375" s="139">
        <f>Table11[[#This Row],[Average MHT
(Feet)]]/16</f>
        <v>0</v>
      </c>
      <c r="BL375" s="2"/>
      <c r="BM375" s="139">
        <f>Table11[[#This Row],[Average DBH
(inches)]]/18</f>
        <v>0</v>
      </c>
      <c r="BN375" s="235">
        <f>((Table11[[#This Row],[Average DBH
(inches)]]-4)^2)*(Table11[[#This Row],[Average MHT
(Feet)]]/16)</f>
        <v>0</v>
      </c>
      <c r="BO375" s="235">
        <f>Table11[[#This Row],[Average BF]]*Table11[[#This Row],[2024 '#Trees Inventory + Estimate]]</f>
        <v>0</v>
      </c>
      <c r="BP375" s="240">
        <f>(Table11[[#This Row],[Harvest Year
(10 year)]]-Table11[[#This Row],[Year of Inventory]]+1)*(Table11[[#This Row],[Average DBH
(inches)]]/(Table11[[#This Row],[Harvest Year
(10 year)]]-Table11[[#This Row],[Year of Inventory]]+1))+Table11[[#This Row],[Average DBH
(inches)]]</f>
        <v>0</v>
      </c>
      <c r="BQ375" s="235">
        <f>((Table11[[#This Row],[Projected DBH
(Extrapolated Growth/Year)]]-4)^2)*(Table11[[#This Row],[Average MHT
(Feet)]]/16)</f>
        <v>0</v>
      </c>
      <c r="BR375" s="235">
        <f>Table11[[#This Row],[Projected Average BF]]*Table11[[#This Row],[2024 '#Trees Inventory + Estimate]]</f>
        <v>0</v>
      </c>
      <c r="BS375" s="235">
        <f>196*Table11[[#This Row],[2024 '#Trees Inventory + Estimate]]</f>
        <v>235200</v>
      </c>
      <c r="BT375" s="243">
        <f>Table11[[#This Row],[ETP Offering Expected BF]]-Table11[[#This Row],[Projected Total BF]]</f>
        <v>235200</v>
      </c>
      <c r="BU375" s="235">
        <f>(18-Table11[[#This Row],[Average DBH
(inches)]])/(D375-Table11[[#This Row],[Year of Inventory]]+1)</f>
        <v>8.8495575221238937E-3</v>
      </c>
    </row>
    <row r="376" spans="1:73" ht="15.75" customHeight="1" x14ac:dyDescent="0.25">
      <c r="A376" s="7" t="s">
        <v>2072</v>
      </c>
      <c r="B376" s="2">
        <v>2023</v>
      </c>
      <c r="C376" s="2">
        <v>2024</v>
      </c>
      <c r="D376" s="2">
        <f>Table11[[#This Row],[Planting Year]]+9</f>
        <v>2033</v>
      </c>
      <c r="E376" s="97"/>
      <c r="F376" s="161">
        <v>20101</v>
      </c>
      <c r="G376" t="s">
        <v>2073</v>
      </c>
      <c r="H376" s="353" t="s">
        <v>2074</v>
      </c>
      <c r="I376" t="s">
        <v>155</v>
      </c>
      <c r="J376" s="351" t="s">
        <v>2075</v>
      </c>
      <c r="K376" s="1"/>
      <c r="L376" s="1"/>
      <c r="M376" s="1" t="s">
        <v>213</v>
      </c>
      <c r="N376" s="353" t="s">
        <v>2076</v>
      </c>
      <c r="O376" s="353">
        <v>10.4297514509</v>
      </c>
      <c r="P376" s="353">
        <v>-84.429579527300007</v>
      </c>
      <c r="Q376" s="2"/>
      <c r="R376" s="86"/>
      <c r="S376" s="2"/>
      <c r="T376" s="348">
        <v>1800</v>
      </c>
      <c r="U376" s="1">
        <v>1800</v>
      </c>
      <c r="V376" s="1"/>
      <c r="W376" s="2"/>
      <c r="X376" s="34">
        <v>1</v>
      </c>
      <c r="Y376" s="270">
        <f t="shared" ref="Y376:Y407" si="0">T376*X376</f>
        <v>1800</v>
      </c>
      <c r="Z376" s="163">
        <f>Table11[[#This Row],['#Planted]]*Table11[[#This Row],[USA Allocation %]]</f>
        <v>1800</v>
      </c>
      <c r="AA376" s="34"/>
      <c r="AB376" s="163"/>
      <c r="AC376" s="34"/>
      <c r="AD376" s="163"/>
      <c r="AE376" s="163">
        <f>Table11[[#This Row],[Canada Allocation-tree '#''s]]+Table11[[#This Row],[Can trees/Allocation 2017]]</f>
        <v>0</v>
      </c>
      <c r="AF376" s="5"/>
      <c r="AG376" s="35"/>
      <c r="AH376" s="35"/>
      <c r="AI376" s="435">
        <v>1800</v>
      </c>
      <c r="AJ376" s="436">
        <v>1</v>
      </c>
      <c r="AK376" s="5">
        <v>1</v>
      </c>
      <c r="AL376" s="5">
        <v>1</v>
      </c>
      <c r="AM376" s="2">
        <v>1800</v>
      </c>
      <c r="AN376" s="35">
        <f>Table11[[#This Row],[2024 '#Trees Inventory + Estimate]]*Table11[[#This Row],[USA Allocation %]]</f>
        <v>1800</v>
      </c>
      <c r="AO376" s="35">
        <f>Table11[[#This Row],[2024 '#Trees Inventory + Estimate]]*Table11[[#This Row],[Canada Allocation %]]</f>
        <v>0</v>
      </c>
      <c r="AP376" s="35">
        <f>Table11[[#This Row],[2024 '#Trees Inventory + Estimate]]*Table11[[#This Row],[Canada Allocation2017 %]]</f>
        <v>0</v>
      </c>
      <c r="AQ376" s="35">
        <f>Table11[[#This Row],['#Trees as of 2024/estimate-Can allocation]]+Table11[[#This Row],['#Trees as of 2024/estimate-Can allocation 2017]]</f>
        <v>0</v>
      </c>
      <c r="AR376" s="1"/>
      <c r="AS376" s="139"/>
      <c r="AT376" s="371"/>
      <c r="AU376" s="4"/>
      <c r="AV376" s="2"/>
      <c r="AW376" s="2"/>
      <c r="AX376" s="140"/>
      <c r="AY376" s="2"/>
      <c r="AZ376" s="2"/>
      <c r="BA376" s="2"/>
      <c r="BB376" s="2"/>
      <c r="BC376" s="2"/>
      <c r="BD376" s="2"/>
      <c r="BE376" s="2"/>
      <c r="BF376" s="3"/>
      <c r="BG376" s="3"/>
      <c r="BH376" s="2"/>
      <c r="BI376" s="2"/>
      <c r="BJ376" s="2"/>
      <c r="BK376" s="139"/>
      <c r="BL376" s="2"/>
      <c r="BM376" s="139"/>
      <c r="BN376" s="235"/>
      <c r="BO376" s="235"/>
      <c r="BP376" s="240"/>
      <c r="BQ376" s="235"/>
      <c r="BR376" s="235"/>
      <c r="BS376" s="235"/>
      <c r="BT376" s="243"/>
      <c r="BU376" s="235"/>
    </row>
    <row r="377" spans="1:73" ht="15.75" customHeight="1" x14ac:dyDescent="0.25">
      <c r="A377" s="7" t="s">
        <v>2077</v>
      </c>
      <c r="B377" s="2">
        <v>2022</v>
      </c>
      <c r="C377" s="2">
        <v>2024</v>
      </c>
      <c r="D377" s="2">
        <f>Table11[[#This Row],[Planting Year]]+9</f>
        <v>2033</v>
      </c>
      <c r="E377" s="97"/>
      <c r="F377" s="161">
        <v>20102</v>
      </c>
      <c r="G377" t="s">
        <v>2078</v>
      </c>
      <c r="H377" s="357"/>
      <c r="I377" t="s">
        <v>155</v>
      </c>
      <c r="J377" s="351" t="s">
        <v>2079</v>
      </c>
      <c r="K377" s="1"/>
      <c r="L377" s="1"/>
      <c r="M377" s="1" t="s">
        <v>213</v>
      </c>
      <c r="N377" s="353" t="s">
        <v>2080</v>
      </c>
      <c r="O377" s="353">
        <v>10.393608</v>
      </c>
      <c r="P377" s="353">
        <v>-84.433482999999995</v>
      </c>
      <c r="Q377" s="2"/>
      <c r="R377" s="86"/>
      <c r="S377" s="2"/>
      <c r="T377" s="348">
        <v>2400</v>
      </c>
      <c r="U377" s="1">
        <v>2400</v>
      </c>
      <c r="V377" s="1"/>
      <c r="W377" s="2"/>
      <c r="X377" s="34">
        <v>1</v>
      </c>
      <c r="Y377" s="270">
        <f t="shared" si="0"/>
        <v>2400</v>
      </c>
      <c r="Z377" s="163">
        <f>Table11[[#This Row],['#Planted]]*Table11[[#This Row],[USA Allocation %]]</f>
        <v>2400</v>
      </c>
      <c r="AA377" s="34"/>
      <c r="AB377" s="163"/>
      <c r="AC377" s="34"/>
      <c r="AD377" s="163"/>
      <c r="AE377" s="163">
        <f>Table11[[#This Row],[Canada Allocation-tree '#''s]]+Table11[[#This Row],[Can trees/Allocation 2017]]</f>
        <v>0</v>
      </c>
      <c r="AF377" s="5"/>
      <c r="AG377" s="35"/>
      <c r="AH377" s="35"/>
      <c r="AI377" s="437">
        <v>2400</v>
      </c>
      <c r="AJ377" s="436">
        <v>1</v>
      </c>
      <c r="AK377" s="5">
        <v>1</v>
      </c>
      <c r="AL377" s="5">
        <v>1</v>
      </c>
      <c r="AM377" s="2">
        <v>2400</v>
      </c>
      <c r="AN377" s="35">
        <f>Table11[[#This Row],[2024 '#Trees Inventory + Estimate]]*Table11[[#This Row],[USA Allocation %]]</f>
        <v>2400</v>
      </c>
      <c r="AO377" s="35">
        <f>Table11[[#This Row],[2024 '#Trees Inventory + Estimate]]*Table11[[#This Row],[Canada Allocation %]]</f>
        <v>0</v>
      </c>
      <c r="AP377" s="35">
        <f>Table11[[#This Row],[2024 '#Trees Inventory + Estimate]]*Table11[[#This Row],[Canada Allocation2017 %]]</f>
        <v>0</v>
      </c>
      <c r="AQ377" s="35">
        <f>Table11[[#This Row],['#Trees as of 2024/estimate-Can allocation]]+Table11[[#This Row],['#Trees as of 2024/estimate-Can allocation 2017]]</f>
        <v>0</v>
      </c>
      <c r="AR377" s="1"/>
      <c r="AS377" s="139"/>
      <c r="AT377" s="371"/>
      <c r="AU377" s="4"/>
      <c r="AV377" s="2"/>
      <c r="AW377" s="2"/>
      <c r="AX377" s="140"/>
      <c r="AY377" s="2"/>
      <c r="AZ377" s="2"/>
      <c r="BA377" s="2"/>
      <c r="BB377" s="2"/>
      <c r="BC377" s="2"/>
      <c r="BD377" s="2"/>
      <c r="BE377" s="2"/>
      <c r="BF377" s="3"/>
      <c r="BG377" s="3"/>
      <c r="BH377" s="2"/>
      <c r="BI377" s="2"/>
      <c r="BJ377" s="2"/>
      <c r="BK377" s="139"/>
      <c r="BL377" s="2"/>
      <c r="BM377" s="139"/>
      <c r="BN377" s="235"/>
      <c r="BO377" s="235"/>
      <c r="BP377" s="240"/>
      <c r="BQ377" s="235"/>
      <c r="BR377" s="235"/>
      <c r="BS377" s="235"/>
      <c r="BT377" s="243"/>
      <c r="BU377" s="235"/>
    </row>
    <row r="378" spans="1:73" ht="15.75" hidden="1" customHeight="1" x14ac:dyDescent="0.25">
      <c r="A378" s="7" t="s">
        <v>2081</v>
      </c>
      <c r="B378" s="2">
        <v>2022</v>
      </c>
      <c r="C378" s="2">
        <v>2024</v>
      </c>
      <c r="D378" s="2">
        <f>Table11[[#This Row],[Planting Year]]+9</f>
        <v>2033</v>
      </c>
      <c r="E378" s="97"/>
      <c r="F378" s="161">
        <v>40039</v>
      </c>
      <c r="G378" t="s">
        <v>2082</v>
      </c>
      <c r="H378" s="357"/>
      <c r="I378" t="s">
        <v>155</v>
      </c>
      <c r="J378" s="1"/>
      <c r="K378" s="1"/>
      <c r="L378" s="1"/>
      <c r="M378" s="1" t="s">
        <v>621</v>
      </c>
      <c r="Q378" s="2"/>
      <c r="R378" s="86"/>
      <c r="S378" s="2"/>
      <c r="T378" s="1">
        <v>550</v>
      </c>
      <c r="U378" s="1">
        <v>550</v>
      </c>
      <c r="V378" s="1"/>
      <c r="W378" s="341"/>
      <c r="X378" s="34">
        <v>1</v>
      </c>
      <c r="Y378" s="270">
        <f t="shared" si="0"/>
        <v>550</v>
      </c>
      <c r="Z378" s="163">
        <f>Table11[[#This Row],['#Planted]]*Table11[[#This Row],[USA Allocation %]]</f>
        <v>550</v>
      </c>
      <c r="AA378" s="34"/>
      <c r="AB378" s="163"/>
      <c r="AC378" s="34"/>
      <c r="AD378" s="163"/>
      <c r="AE378" s="270">
        <f>Table11[[#This Row],[Canada Allocation-tree '#''s]]+Table11[[#This Row],[Can trees/Allocation 2017]]</f>
        <v>0</v>
      </c>
      <c r="AF378" s="5"/>
      <c r="AG378" s="35"/>
      <c r="AH378" s="35"/>
      <c r="AI378" s="435">
        <v>550</v>
      </c>
      <c r="AJ378" s="436">
        <v>1</v>
      </c>
      <c r="AK378" s="5">
        <v>1</v>
      </c>
      <c r="AL378" s="5">
        <v>1</v>
      </c>
      <c r="AM378" s="2">
        <f>Table11[[#This Row],['#Planted]]*Table11[[#This Row],[2024 Survival% Inventory + Estimate]]</f>
        <v>550</v>
      </c>
      <c r="AN378" s="35">
        <f>Table11[[#This Row],[2024 '#Trees Inventory + Estimate]]*Table11[[#This Row],[USA Allocation %]]</f>
        <v>550</v>
      </c>
      <c r="AO378" s="35">
        <f>Table11[[#This Row],[2024 '#Trees Inventory + Estimate]]*Table11[[#This Row],[Canada Allocation %]]</f>
        <v>0</v>
      </c>
      <c r="AP378" s="35">
        <f>Table11[[#This Row],[2024 '#Trees Inventory + Estimate]]*Table11[[#This Row],[Canada Allocation2017 %]]</f>
        <v>0</v>
      </c>
      <c r="AQ378" s="270">
        <f>Table11[[#This Row],['#Trees as of 2024/estimate-Can allocation]]+Table11[[#This Row],['#Trees as of 2024/estimate-Can allocation 2017]]</f>
        <v>0</v>
      </c>
      <c r="AR378" s="1"/>
      <c r="AS378" s="2"/>
      <c r="AT378" s="389">
        <f>IFERROR(Table11[[#This Row],['#Total Replacements]]/Table11[[#This Row],['#TreesContract]],"")</f>
        <v>0</v>
      </c>
      <c r="AU378" s="2">
        <f>IF(SUM(Table11[[#This Row],['#Replace 24]:['#Replace 16]])=0,0,SUM(Table11[[#This Row],['#Replace 24]:['#Replace 16]]))</f>
        <v>0</v>
      </c>
      <c r="AV378" s="2"/>
      <c r="AW378" s="2"/>
      <c r="AX378" s="3"/>
      <c r="AY378" s="2"/>
      <c r="AZ378" s="2"/>
      <c r="BA378" s="2"/>
      <c r="BB378" s="2"/>
      <c r="BC378" s="2"/>
      <c r="BD378" s="2"/>
      <c r="BE378" s="2"/>
      <c r="BF378" s="73"/>
      <c r="BG378" s="2"/>
      <c r="BH378" s="2"/>
      <c r="BI378" s="2"/>
      <c r="BJ378" s="2"/>
      <c r="BK378" s="139">
        <f>Table11[[#This Row],[Average MHT
(Feet)]]/16</f>
        <v>0</v>
      </c>
      <c r="BL378" s="235"/>
      <c r="BM378" s="139">
        <f>Table11[[#This Row],[Average DBH
(inches)]]/18</f>
        <v>0</v>
      </c>
      <c r="BN378" s="235">
        <f>((Table11[[#This Row],[Average DBH
(inches)]]-4)^2)*(Table11[[#This Row],[Average MHT
(Feet)]]/16)</f>
        <v>0</v>
      </c>
      <c r="BO378" s="235">
        <f>Table11[[#This Row],[Average BF]]*Table11[[#This Row],[2024 '#Trees Inventory + Estimate]]</f>
        <v>0</v>
      </c>
      <c r="BP378" s="240">
        <f>(Table11[[#This Row],[Harvest Year
(10 year)]]-Table11[[#This Row],[Year of Inventory]]+1)*(Table11[[#This Row],[Average DBH
(inches)]]/(Table11[[#This Row],[Harvest Year
(10 year)]]-Table11[[#This Row],[Year of Inventory]]+1))+Table11[[#This Row],[Average DBH
(inches)]]</f>
        <v>0</v>
      </c>
      <c r="BQ378" s="235">
        <f>((Table11[[#This Row],[Projected DBH
(Extrapolated Growth/Year)]]-4)^2)*(Table11[[#This Row],[Average MHT
(Feet)]]/16)</f>
        <v>0</v>
      </c>
      <c r="BR378" s="235">
        <f>Table11[[#This Row],[Projected Average BF]]*Table11[[#This Row],[2024 '#Trees Inventory + Estimate]]</f>
        <v>0</v>
      </c>
      <c r="BS378" s="235">
        <f>196*Table11[[#This Row],[2024 '#Trees Inventory + Estimate]]</f>
        <v>107800</v>
      </c>
      <c r="BT378" s="235">
        <f>Table11[[#This Row],[ETP Offering Expected BF]]-Table11[[#This Row],[Projected Total BF]]</f>
        <v>107800</v>
      </c>
      <c r="BU378" s="235">
        <f>(18-Table11[[#This Row],[Average DBH
(inches)]])/(D378-Table11[[#This Row],[Year of Inventory]]+1)</f>
        <v>8.8495575221238937E-3</v>
      </c>
    </row>
    <row r="379" spans="1:73" ht="15.75" hidden="1" customHeight="1" x14ac:dyDescent="0.25">
      <c r="A379" s="7" t="s">
        <v>2083</v>
      </c>
      <c r="B379" s="2">
        <v>2022</v>
      </c>
      <c r="C379" s="7">
        <v>2024</v>
      </c>
      <c r="D379" s="2">
        <f>Table11[[#This Row],[Planting Year]]+9</f>
        <v>2033</v>
      </c>
      <c r="E379" s="353"/>
      <c r="F379">
        <v>40048</v>
      </c>
      <c r="G379" t="s">
        <v>2084</v>
      </c>
      <c r="H379" s="361"/>
      <c r="I379" t="s">
        <v>155</v>
      </c>
      <c r="J379" s="353"/>
      <c r="L379" s="1" t="s">
        <v>2085</v>
      </c>
      <c r="M379" t="s">
        <v>621</v>
      </c>
      <c r="N379" s="353" t="s">
        <v>2086</v>
      </c>
      <c r="O379" s="353">
        <v>17.317383499999998</v>
      </c>
      <c r="P379" s="353">
        <v>-94.126368999999997</v>
      </c>
      <c r="T379">
        <v>550</v>
      </c>
      <c r="U379">
        <v>550</v>
      </c>
      <c r="V379" s="1" t="str">
        <f>IF(Table11[[#This Row],['#TreesContract]]-Table11[[#This Row],['#Planted]]=0,"",Table11[[#This Row],['#TreesContract]]-Table11[[#This Row],['#Planted]])</f>
        <v/>
      </c>
      <c r="X379" s="34">
        <v>1</v>
      </c>
      <c r="Y379" s="270">
        <f t="shared" si="0"/>
        <v>550</v>
      </c>
      <c r="Z379" s="163">
        <f>Table11[[#This Row],['#Planted]]*Table11[[#This Row],[USA Allocation %]]</f>
        <v>550</v>
      </c>
      <c r="AI379" s="438">
        <v>550</v>
      </c>
      <c r="AJ379" s="439">
        <v>1</v>
      </c>
      <c r="AK379" s="411">
        <v>1</v>
      </c>
      <c r="AL379" s="411">
        <v>1</v>
      </c>
      <c r="AM379" s="2">
        <f>Table11[[#This Row],['#Planted]]*Table11[[#This Row],[2024 Survival% Inventory + Estimate]]</f>
        <v>550</v>
      </c>
      <c r="AN379" s="270">
        <f>Table11[[#This Row],[2024 '#Trees Inventory + Estimate]]*Table11[[#This Row],[USA Allocation %]]</f>
        <v>550</v>
      </c>
      <c r="AT379" s="389">
        <f>IFERROR(Table11[[#This Row],['#Total Replacements]]/Table11[[#This Row],['#TreesContract]],"")</f>
        <v>0.27272727272727271</v>
      </c>
      <c r="AU379" s="2">
        <f>IF(SUM(Table11[[#This Row],['#Replace 24]:['#Replace 16]])=0,0,SUM(Table11[[#This Row],['#Replace 24]:['#Replace 16]]))</f>
        <v>150</v>
      </c>
      <c r="AW379">
        <v>150</v>
      </c>
    </row>
    <row r="380" spans="1:73" ht="15.75" hidden="1" customHeight="1" x14ac:dyDescent="0.25">
      <c r="A380" s="7" t="s">
        <v>2087</v>
      </c>
      <c r="B380" s="2">
        <v>2023</v>
      </c>
      <c r="C380" s="7">
        <v>2024</v>
      </c>
      <c r="D380" s="2">
        <f>Table11[[#This Row],[Planting Year]]+9</f>
        <v>2033</v>
      </c>
      <c r="E380" s="353"/>
      <c r="F380">
        <v>40049</v>
      </c>
      <c r="G380" t="s">
        <v>2088</v>
      </c>
      <c r="H380" s="361">
        <v>522881358918</v>
      </c>
      <c r="I380" t="s">
        <v>155</v>
      </c>
      <c r="J380" s="353"/>
      <c r="L380" s="1" t="s">
        <v>2089</v>
      </c>
      <c r="M380" t="s">
        <v>621</v>
      </c>
      <c r="N380" s="353" t="s">
        <v>2090</v>
      </c>
      <c r="O380" s="353">
        <v>17.30949</v>
      </c>
      <c r="P380" s="353">
        <v>-94.158382000000003</v>
      </c>
      <c r="T380">
        <v>550</v>
      </c>
      <c r="U380">
        <v>550</v>
      </c>
      <c r="V380" s="1" t="str">
        <f>IF(Table11[[#This Row],['#TreesContract]]-Table11[[#This Row],['#Planted]]=0,"",Table11[[#This Row],['#TreesContract]]-Table11[[#This Row],['#Planted]])</f>
        <v/>
      </c>
      <c r="X380" s="34">
        <v>1</v>
      </c>
      <c r="Y380" s="270">
        <f t="shared" si="0"/>
        <v>550</v>
      </c>
      <c r="Z380" s="163">
        <f>Table11[[#This Row],['#Planted]]*Table11[[#This Row],[USA Allocation %]]</f>
        <v>550</v>
      </c>
      <c r="AI380" s="438">
        <v>550</v>
      </c>
      <c r="AJ380" s="439">
        <v>1</v>
      </c>
      <c r="AK380" s="411">
        <v>1</v>
      </c>
      <c r="AL380" s="411">
        <v>1</v>
      </c>
      <c r="AM380" s="2">
        <f>Table11[[#This Row],['#Planted]]*Table11[[#This Row],[2024 Survival% Inventory + Estimate]]</f>
        <v>550</v>
      </c>
      <c r="AN380" s="270">
        <f>Table11[[#This Row],[2024 '#Trees Inventory + Estimate]]*Table11[[#This Row],[USA Allocation %]]</f>
        <v>550</v>
      </c>
      <c r="AT380" s="389">
        <f>IFERROR(Table11[[#This Row],['#Total Replacements]]/Table11[[#This Row],['#TreesContract]],"")</f>
        <v>0.50909090909090904</v>
      </c>
      <c r="AU380" s="2">
        <f>IF(SUM(Table11[[#This Row],['#Replace 24]:['#Replace 16]])=0,0,SUM(Table11[[#This Row],['#Replace 24]:['#Replace 16]]))</f>
        <v>280</v>
      </c>
      <c r="AW380">
        <v>280</v>
      </c>
    </row>
    <row r="381" spans="1:73" ht="15.75" hidden="1" customHeight="1" x14ac:dyDescent="0.25">
      <c r="A381" s="7" t="s">
        <v>2091</v>
      </c>
      <c r="B381" s="2">
        <v>2023</v>
      </c>
      <c r="C381" s="7">
        <v>2024</v>
      </c>
      <c r="D381" s="2">
        <f>Table11[[#This Row],[Planting Year]]+9</f>
        <v>2033</v>
      </c>
      <c r="E381" s="355" t="s">
        <v>2092</v>
      </c>
      <c r="F381">
        <v>40050</v>
      </c>
      <c r="G381" t="s">
        <v>2093</v>
      </c>
      <c r="H381" s="361"/>
      <c r="I381" t="s">
        <v>155</v>
      </c>
      <c r="J381" s="351" t="s">
        <v>2094</v>
      </c>
      <c r="M381" t="s">
        <v>621</v>
      </c>
      <c r="N381" s="353" t="s">
        <v>2095</v>
      </c>
      <c r="O381" s="353">
        <v>17.217334000000001</v>
      </c>
      <c r="P381" s="353">
        <v>-94.629937999999996</v>
      </c>
      <c r="T381">
        <v>1100</v>
      </c>
      <c r="U381">
        <v>1100</v>
      </c>
      <c r="V381" s="1" t="str">
        <f>IF(Table11[[#This Row],['#TreesContract]]-Table11[[#This Row],['#Planted]]=0,"",Table11[[#This Row],['#TreesContract]]-Table11[[#This Row],['#Planted]])</f>
        <v/>
      </c>
      <c r="X381" s="34">
        <v>1</v>
      </c>
      <c r="Y381" s="270">
        <f t="shared" si="0"/>
        <v>1100</v>
      </c>
      <c r="Z381" s="163">
        <f>Table11[[#This Row],['#Planted]]*Table11[[#This Row],[USA Allocation %]]</f>
        <v>1100</v>
      </c>
      <c r="AI381" s="438">
        <v>1100</v>
      </c>
      <c r="AJ381" s="439">
        <v>1</v>
      </c>
      <c r="AK381" s="411">
        <v>1</v>
      </c>
      <c r="AL381" s="411">
        <v>1</v>
      </c>
      <c r="AM381" s="2">
        <f>Table11[[#This Row],['#Planted]]*Table11[[#This Row],[2024 Survival% Inventory + Estimate]]</f>
        <v>1100</v>
      </c>
      <c r="AN381" s="270">
        <f>Table11[[#This Row],[2024 '#Trees Inventory + Estimate]]*Table11[[#This Row],[USA Allocation %]]</f>
        <v>1100</v>
      </c>
      <c r="AT381" s="6">
        <f>IFERROR(Table11[[#This Row],['#Total Replacements]]/Table11[[#This Row],['#TreesContract]],"")</f>
        <v>5.4545454545454543E-2</v>
      </c>
      <c r="AU381" s="4">
        <f>IF(SUM(Table11[[#This Row],['#Replace 24]:['#Replace 16]])=0,0,SUM(Table11[[#This Row],['#Replace 24]:['#Replace 16]]))</f>
        <v>60</v>
      </c>
      <c r="AW381">
        <v>60</v>
      </c>
    </row>
    <row r="382" spans="1:73" ht="15.75" hidden="1" customHeight="1" x14ac:dyDescent="0.25">
      <c r="A382" s="7" t="s">
        <v>2096</v>
      </c>
      <c r="B382" s="2">
        <v>2022</v>
      </c>
      <c r="C382" s="7">
        <v>2024</v>
      </c>
      <c r="D382" s="2">
        <f>Table11[[#This Row],[Planting Year]]+9</f>
        <v>2033</v>
      </c>
      <c r="E382" s="353"/>
      <c r="F382">
        <v>40051</v>
      </c>
      <c r="G382" t="s">
        <v>2097</v>
      </c>
      <c r="H382" s="361">
        <v>529221006546</v>
      </c>
      <c r="I382" t="s">
        <v>155</v>
      </c>
      <c r="J382" s="353"/>
      <c r="L382" s="1" t="s">
        <v>2085</v>
      </c>
      <c r="M382" t="s">
        <v>621</v>
      </c>
      <c r="N382" s="353" t="s">
        <v>2098</v>
      </c>
      <c r="O382" s="353">
        <v>17.316895899999999</v>
      </c>
      <c r="P382" s="353">
        <v>-94.136213100000006</v>
      </c>
      <c r="T382">
        <v>550</v>
      </c>
      <c r="U382">
        <v>550</v>
      </c>
      <c r="V382" s="1" t="str">
        <f>IF(Table11[[#This Row],['#TreesContract]]-Table11[[#This Row],['#Planted]]=0,"",Table11[[#This Row],['#TreesContract]]-Table11[[#This Row],['#Planted]])</f>
        <v/>
      </c>
      <c r="X382" s="34">
        <v>1</v>
      </c>
      <c r="Y382" s="270">
        <f t="shared" si="0"/>
        <v>550</v>
      </c>
      <c r="Z382" s="163">
        <f>Table11[[#This Row],['#Planted]]*Table11[[#This Row],[USA Allocation %]]</f>
        <v>550</v>
      </c>
      <c r="AI382" s="438">
        <v>550</v>
      </c>
      <c r="AJ382" s="439">
        <v>1</v>
      </c>
      <c r="AK382" s="411">
        <v>1</v>
      </c>
      <c r="AL382" s="411">
        <v>1</v>
      </c>
      <c r="AM382" s="2">
        <f>Table11[[#This Row],['#Planted]]*Table11[[#This Row],[2024 Survival% Inventory + Estimate]]</f>
        <v>550</v>
      </c>
      <c r="AN382" s="270">
        <f>Table11[[#This Row],[2024 '#Trees Inventory + Estimate]]*Table11[[#This Row],[USA Allocation %]]</f>
        <v>550</v>
      </c>
      <c r="AT382" s="389">
        <f>IFERROR(Table11[[#This Row],['#Total Replacements]]/Table11[[#This Row],['#TreesContract]],"")</f>
        <v>9.0909090909090912E-2</v>
      </c>
      <c r="AU382" s="2">
        <f>IF(SUM(Table11[[#This Row],['#Replace 24]:['#Replace 16]])=0,0,SUM(Table11[[#This Row],['#Replace 24]:['#Replace 16]]))</f>
        <v>50</v>
      </c>
      <c r="AW382">
        <v>50</v>
      </c>
    </row>
    <row r="383" spans="1:73" ht="15.75" hidden="1" customHeight="1" x14ac:dyDescent="0.25">
      <c r="A383" s="7" t="s">
        <v>2099</v>
      </c>
      <c r="B383" s="2">
        <v>2022</v>
      </c>
      <c r="C383" s="7">
        <v>2024</v>
      </c>
      <c r="D383" s="2">
        <f>Table11[[#This Row],[Planting Year]]+9</f>
        <v>2033</v>
      </c>
      <c r="E383" s="353"/>
      <c r="F383">
        <v>40052</v>
      </c>
      <c r="G383" t="s">
        <v>2100</v>
      </c>
      <c r="H383" s="361"/>
      <c r="I383" t="s">
        <v>155</v>
      </c>
      <c r="J383" s="353"/>
      <c r="L383" s="1" t="s">
        <v>2085</v>
      </c>
      <c r="M383" t="s">
        <v>621</v>
      </c>
      <c r="N383" s="353" t="s">
        <v>2101</v>
      </c>
      <c r="O383" s="353">
        <v>17.322725599999998</v>
      </c>
      <c r="P383" s="353">
        <v>-94.153642399999995</v>
      </c>
      <c r="T383">
        <v>550</v>
      </c>
      <c r="U383">
        <v>550</v>
      </c>
      <c r="V383" s="1" t="str">
        <f>IF(Table11[[#This Row],['#TreesContract]]-Table11[[#This Row],['#Planted]]=0,"",Table11[[#This Row],['#TreesContract]]-Table11[[#This Row],['#Planted]])</f>
        <v/>
      </c>
      <c r="X383" s="34">
        <v>1</v>
      </c>
      <c r="Y383" s="270">
        <f t="shared" si="0"/>
        <v>550</v>
      </c>
      <c r="Z383" s="163">
        <f>Table11[[#This Row],['#Planted]]*Table11[[#This Row],[USA Allocation %]]</f>
        <v>550</v>
      </c>
      <c r="AI383" s="438">
        <v>550</v>
      </c>
      <c r="AJ383" s="439">
        <v>1</v>
      </c>
      <c r="AK383" s="411">
        <v>1</v>
      </c>
      <c r="AL383" s="411">
        <v>1</v>
      </c>
      <c r="AM383" s="2">
        <f>Table11[[#This Row],['#Planted]]*Table11[[#This Row],[2024 Survival% Inventory + Estimate]]</f>
        <v>550</v>
      </c>
      <c r="AN383" s="270">
        <f>Table11[[#This Row],[2024 '#Trees Inventory + Estimate]]*Table11[[#This Row],[USA Allocation %]]</f>
        <v>550</v>
      </c>
      <c r="AT383" s="389">
        <f>IFERROR(Table11[[#This Row],['#Total Replacements]]/Table11[[#This Row],['#TreesContract]],"")</f>
        <v>0.25454545454545452</v>
      </c>
      <c r="AU383" s="2">
        <f>IF(SUM(Table11[[#This Row],['#Replace 24]:['#Replace 16]])=0,0,SUM(Table11[[#This Row],['#Replace 24]:['#Replace 16]]))</f>
        <v>140</v>
      </c>
      <c r="AW383">
        <v>140</v>
      </c>
    </row>
    <row r="384" spans="1:73" ht="15.75" hidden="1" customHeight="1" x14ac:dyDescent="0.25">
      <c r="A384" s="7" t="s">
        <v>2102</v>
      </c>
      <c r="B384" s="2">
        <v>2023</v>
      </c>
      <c r="C384" s="7">
        <v>2024</v>
      </c>
      <c r="D384" s="2">
        <f>Table11[[#This Row],[Planting Year]]+9</f>
        <v>2033</v>
      </c>
      <c r="E384" s="353"/>
      <c r="F384">
        <v>40053</v>
      </c>
      <c r="G384" t="s">
        <v>2103</v>
      </c>
      <c r="H384" s="361"/>
      <c r="I384" t="s">
        <v>155</v>
      </c>
      <c r="J384" s="353"/>
      <c r="M384" t="s">
        <v>621</v>
      </c>
      <c r="N384" s="353" t="s">
        <v>2104</v>
      </c>
      <c r="O384" s="353">
        <v>17.221900900000001</v>
      </c>
      <c r="P384" s="353">
        <v>-94.6369167</v>
      </c>
      <c r="T384">
        <v>550</v>
      </c>
      <c r="U384">
        <v>550</v>
      </c>
      <c r="V384" s="1" t="str">
        <f>IF(Table11[[#This Row],['#TreesContract]]-Table11[[#This Row],['#Planted]]=0,"",Table11[[#This Row],['#TreesContract]]-Table11[[#This Row],['#Planted]])</f>
        <v/>
      </c>
      <c r="X384" s="34">
        <v>1</v>
      </c>
      <c r="Y384" s="270">
        <f t="shared" si="0"/>
        <v>550</v>
      </c>
      <c r="Z384" s="163">
        <f>Table11[[#This Row],['#Planted]]*Table11[[#This Row],[USA Allocation %]]</f>
        <v>550</v>
      </c>
      <c r="AI384" s="438">
        <v>550</v>
      </c>
      <c r="AJ384" s="439">
        <v>1</v>
      </c>
      <c r="AK384" s="411">
        <v>1</v>
      </c>
      <c r="AL384" s="411">
        <v>1</v>
      </c>
      <c r="AM384" s="2">
        <f>Table11[[#This Row],['#Planted]]*Table11[[#This Row],[2024 Survival% Inventory + Estimate]]</f>
        <v>550</v>
      </c>
      <c r="AN384" s="270">
        <f>Table11[[#This Row],[2024 '#Trees Inventory + Estimate]]*Table11[[#This Row],[USA Allocation %]]</f>
        <v>550</v>
      </c>
      <c r="AT384" s="389">
        <f>IFERROR(Table11[[#This Row],['#Total Replacements]]/Table11[[#This Row],['#TreesContract]],"")</f>
        <v>6.363636363636363E-2</v>
      </c>
      <c r="AU384" s="2">
        <f>IF(SUM(Table11[[#This Row],['#Replace 24]:['#Replace 16]])=0,0,SUM(Table11[[#This Row],['#Replace 24]:['#Replace 16]]))</f>
        <v>35</v>
      </c>
      <c r="AW384">
        <v>35</v>
      </c>
    </row>
    <row r="385" spans="1:73" s="433" customFormat="1" ht="15.75" hidden="1" customHeight="1" x14ac:dyDescent="0.25">
      <c r="A385" s="7" t="s">
        <v>2105</v>
      </c>
      <c r="B385" s="2">
        <v>2023</v>
      </c>
      <c r="C385" s="7">
        <v>2024</v>
      </c>
      <c r="D385" s="2">
        <f>Table11[[#This Row],[Planting Year]]+9</f>
        <v>2033</v>
      </c>
      <c r="E385" s="353"/>
      <c r="F385">
        <v>40054</v>
      </c>
      <c r="G385" t="s">
        <v>2106</v>
      </c>
      <c r="H385" s="361">
        <v>529231019162</v>
      </c>
      <c r="I385" t="s">
        <v>155</v>
      </c>
      <c r="J385" s="353"/>
      <c r="K385"/>
      <c r="L385" s="1" t="s">
        <v>2089</v>
      </c>
      <c r="M385" t="s">
        <v>621</v>
      </c>
      <c r="N385" s="353" t="s">
        <v>2107</v>
      </c>
      <c r="O385" s="353">
        <v>17.300934000000002</v>
      </c>
      <c r="P385" s="353">
        <v>-94.173451999999997</v>
      </c>
      <c r="Q385"/>
      <c r="R385"/>
      <c r="S385"/>
      <c r="T385">
        <v>550</v>
      </c>
      <c r="U385">
        <v>550</v>
      </c>
      <c r="V385" s="1" t="str">
        <f>IF(Table11[[#This Row],['#TreesContract]]-Table11[[#This Row],['#Planted]]=0,"",Table11[[#This Row],['#TreesContract]]-Table11[[#This Row],['#Planted]])</f>
        <v/>
      </c>
      <c r="W385" s="16"/>
      <c r="X385" s="34">
        <v>1</v>
      </c>
      <c r="Y385" s="270">
        <f t="shared" si="0"/>
        <v>550</v>
      </c>
      <c r="Z385" s="163">
        <f>Table11[[#This Row],['#Planted]]*Table11[[#This Row],[USA Allocation %]]</f>
        <v>550</v>
      </c>
      <c r="AA385" s="8"/>
      <c r="AB385" s="16"/>
      <c r="AC385"/>
      <c r="AD385"/>
      <c r="AE385"/>
      <c r="AF385"/>
      <c r="AG385"/>
      <c r="AH385"/>
      <c r="AI385" s="438">
        <v>550</v>
      </c>
      <c r="AJ385" s="439">
        <v>1</v>
      </c>
      <c r="AK385" s="411">
        <v>1</v>
      </c>
      <c r="AL385" s="411">
        <v>1</v>
      </c>
      <c r="AM385" s="2">
        <f>Table11[[#This Row],['#Planted]]*Table11[[#This Row],[2024 Survival% Inventory + Estimate]]</f>
        <v>550</v>
      </c>
      <c r="AN385" s="270">
        <f>Table11[[#This Row],[2024 '#Trees Inventory + Estimate]]*Table11[[#This Row],[USA Allocation %]]</f>
        <v>550</v>
      </c>
      <c r="AO385"/>
      <c r="AP385"/>
      <c r="AQ385"/>
      <c r="AR385"/>
      <c r="AS385"/>
      <c r="AT385" s="389">
        <f>IFERROR(Table11[[#This Row],['#Total Replacements]]/Table11[[#This Row],['#TreesContract]],"")</f>
        <v>0.21818181818181817</v>
      </c>
      <c r="AU385" s="2">
        <f>IF(SUM(Table11[[#This Row],['#Replace 24]:['#Replace 16]])=0,0,SUM(Table11[[#This Row],['#Replace 24]:['#Replace 16]]))</f>
        <v>120</v>
      </c>
      <c r="AV385"/>
      <c r="AW385">
        <v>120</v>
      </c>
      <c r="AX385"/>
      <c r="AY385"/>
      <c r="AZ385"/>
      <c r="BA385"/>
      <c r="BB385"/>
      <c r="BC385"/>
      <c r="BD385"/>
      <c r="BE385"/>
      <c r="BF385"/>
      <c r="BG385"/>
      <c r="BH385"/>
      <c r="BI385"/>
      <c r="BJ385"/>
      <c r="BK385"/>
      <c r="BL385" s="236"/>
      <c r="BM385" s="68"/>
      <c r="BN385" s="241"/>
      <c r="BO385" s="236"/>
      <c r="BP385" s="236"/>
      <c r="BQ385" s="236"/>
      <c r="BR385" s="244"/>
      <c r="BS385" s="68"/>
      <c r="BT385"/>
      <c r="BU385" s="236"/>
    </row>
    <row r="386" spans="1:73" ht="15.75" hidden="1" customHeight="1" x14ac:dyDescent="0.25">
      <c r="A386" s="7" t="s">
        <v>2108</v>
      </c>
      <c r="B386" s="2">
        <v>2023</v>
      </c>
      <c r="C386" s="7">
        <v>2024</v>
      </c>
      <c r="D386" s="2">
        <f>Table11[[#This Row],[Planting Year]]+9</f>
        <v>2033</v>
      </c>
      <c r="E386" s="355" t="s">
        <v>2092</v>
      </c>
      <c r="F386">
        <v>40055</v>
      </c>
      <c r="G386" t="s">
        <v>2109</v>
      </c>
      <c r="H386" s="361"/>
      <c r="I386" t="s">
        <v>155</v>
      </c>
      <c r="J386" s="351" t="s">
        <v>2094</v>
      </c>
      <c r="M386" t="s">
        <v>621</v>
      </c>
      <c r="N386" s="353" t="s">
        <v>2110</v>
      </c>
      <c r="O386" s="353">
        <v>17.237325299999998</v>
      </c>
      <c r="P386" s="353">
        <v>-946166264</v>
      </c>
      <c r="T386">
        <v>1820</v>
      </c>
      <c r="U386">
        <v>1820</v>
      </c>
      <c r="V386" s="1" t="str">
        <f>IF(Table11[[#This Row],['#TreesContract]]-Table11[[#This Row],['#Planted]]=0,"",Table11[[#This Row],['#TreesContract]]-Table11[[#This Row],['#Planted]])</f>
        <v/>
      </c>
      <c r="W386" s="16">
        <v>1820</v>
      </c>
      <c r="X386" s="34">
        <v>1</v>
      </c>
      <c r="Y386" s="270">
        <f t="shared" si="0"/>
        <v>1820</v>
      </c>
      <c r="Z386" s="163">
        <f>Table11[[#This Row],['#Planted]]*Table11[[#This Row],[USA Allocation %]]</f>
        <v>1820</v>
      </c>
      <c r="AI386" s="438">
        <v>1820</v>
      </c>
      <c r="AJ386" s="439">
        <v>1</v>
      </c>
      <c r="AK386" s="411">
        <v>1</v>
      </c>
      <c r="AL386" s="411">
        <v>1</v>
      </c>
      <c r="AM386" s="2">
        <f>Table11[[#This Row],['#Planted]]*Table11[[#This Row],[2024 Survival% Inventory + Estimate]]</f>
        <v>1820</v>
      </c>
      <c r="AN386" s="270">
        <f>Table11[[#This Row],[2024 '#Trees Inventory + Estimate]]*Table11[[#This Row],[USA Allocation %]]</f>
        <v>1820</v>
      </c>
      <c r="AT386" s="389">
        <f>IFERROR(Table11[[#This Row],['#Total Replacements]]/Table11[[#This Row],['#TreesContract]],"")</f>
        <v>0</v>
      </c>
      <c r="AU386" s="2">
        <f>IF(SUM(Table11[[#This Row],['#Replace 24]:['#Replace 16]])=0,0,SUM(Table11[[#This Row],['#Replace 24]:['#Replace 16]]))</f>
        <v>0</v>
      </c>
    </row>
    <row r="387" spans="1:73" ht="15.75" hidden="1" customHeight="1" x14ac:dyDescent="0.25">
      <c r="A387" s="7" t="s">
        <v>2111</v>
      </c>
      <c r="B387" s="2">
        <v>2023</v>
      </c>
      <c r="C387" s="7">
        <v>2024</v>
      </c>
      <c r="D387" s="2">
        <f>Table11[[#This Row],[Planting Year]]+9</f>
        <v>2033</v>
      </c>
      <c r="E387" s="353"/>
      <c r="F387">
        <v>40056</v>
      </c>
      <c r="G387" t="s">
        <v>1969</v>
      </c>
      <c r="H387" s="361">
        <v>529222062079</v>
      </c>
      <c r="I387" t="s">
        <v>155</v>
      </c>
      <c r="J387" s="351" t="s">
        <v>2112</v>
      </c>
      <c r="L387" s="1" t="s">
        <v>2113</v>
      </c>
      <c r="M387" t="s">
        <v>621</v>
      </c>
      <c r="N387" s="353" t="s">
        <v>2114</v>
      </c>
      <c r="O387" s="353">
        <v>17.2390516</v>
      </c>
      <c r="P387" s="353">
        <v>-94.194968299999999</v>
      </c>
      <c r="T387">
        <v>1100</v>
      </c>
      <c r="U387">
        <v>1100</v>
      </c>
      <c r="V387" s="1" t="str">
        <f>IF(Table11[[#This Row],['#TreesContract]]-Table11[[#This Row],['#Planted]]=0,"",Table11[[#This Row],['#TreesContract]]-Table11[[#This Row],['#Planted]])</f>
        <v/>
      </c>
      <c r="X387" s="34">
        <v>1</v>
      </c>
      <c r="Y387" s="270">
        <f t="shared" si="0"/>
        <v>1100</v>
      </c>
      <c r="Z387" s="163">
        <f>Table11[[#This Row],['#Planted]]*Table11[[#This Row],[USA Allocation %]]</f>
        <v>1100</v>
      </c>
      <c r="AI387" s="438">
        <v>1100</v>
      </c>
      <c r="AJ387" s="439">
        <v>1</v>
      </c>
      <c r="AK387" s="411">
        <v>1</v>
      </c>
      <c r="AL387" s="411">
        <v>1</v>
      </c>
      <c r="AM387" s="2">
        <f>Table11[[#This Row],['#Planted]]*Table11[[#This Row],[2024 Survival% Inventory + Estimate]]</f>
        <v>1100</v>
      </c>
      <c r="AN387" s="270">
        <f>Table11[[#This Row],[2024 '#Trees Inventory + Estimate]]*Table11[[#This Row],[USA Allocation %]]</f>
        <v>1100</v>
      </c>
      <c r="AT387" s="389">
        <f>IFERROR(Table11[[#This Row],['#Total Replacements]]/Table11[[#This Row],['#TreesContract]],"")</f>
        <v>0.13636363636363635</v>
      </c>
      <c r="AU387" s="2">
        <f>IF(SUM(Table11[[#This Row],['#Replace 24]:['#Replace 16]])=0,0,SUM(Table11[[#This Row],['#Replace 24]:['#Replace 16]]))</f>
        <v>150</v>
      </c>
      <c r="AW387">
        <v>150</v>
      </c>
    </row>
    <row r="388" spans="1:73" ht="15.75" hidden="1" customHeight="1" x14ac:dyDescent="0.25">
      <c r="A388" s="7" t="s">
        <v>2115</v>
      </c>
      <c r="B388" s="2">
        <v>2023</v>
      </c>
      <c r="C388" s="7">
        <v>2024</v>
      </c>
      <c r="D388" s="2">
        <f>Table11[[#This Row],[Planting Year]]+9</f>
        <v>2033</v>
      </c>
      <c r="E388" s="355" t="s">
        <v>2116</v>
      </c>
      <c r="F388">
        <v>40057</v>
      </c>
      <c r="G388" t="s">
        <v>2117</v>
      </c>
      <c r="H388" s="361">
        <v>529721214079</v>
      </c>
      <c r="I388" t="s">
        <v>155</v>
      </c>
      <c r="J388" s="351" t="s">
        <v>2118</v>
      </c>
      <c r="M388" t="s">
        <v>621</v>
      </c>
      <c r="N388" s="353" t="s">
        <v>2119</v>
      </c>
      <c r="O388" s="353">
        <v>17.206875799999999</v>
      </c>
      <c r="P388" s="353">
        <v>-94.702704299999994</v>
      </c>
      <c r="T388">
        <v>550</v>
      </c>
      <c r="U388">
        <v>550</v>
      </c>
      <c r="V388" s="1" t="str">
        <f>IF(Table11[[#This Row],['#TreesContract]]-Table11[[#This Row],['#Planted]]=0,"",Table11[[#This Row],['#TreesContract]]-Table11[[#This Row],['#Planted]])</f>
        <v/>
      </c>
      <c r="X388" s="34">
        <v>1</v>
      </c>
      <c r="Y388" s="270">
        <f t="shared" si="0"/>
        <v>550</v>
      </c>
      <c r="Z388" s="163">
        <f>Table11[[#This Row],['#Planted]]*Table11[[#This Row],[USA Allocation %]]</f>
        <v>550</v>
      </c>
      <c r="AI388" s="438">
        <v>550</v>
      </c>
      <c r="AJ388" s="439">
        <v>1</v>
      </c>
      <c r="AK388" s="411">
        <v>1</v>
      </c>
      <c r="AL388" s="411">
        <v>1</v>
      </c>
      <c r="AM388" s="2">
        <f>Table11[[#This Row],['#Planted]]*Table11[[#This Row],[2024 Survival% Inventory + Estimate]]</f>
        <v>550</v>
      </c>
      <c r="AN388" s="270">
        <f>Table11[[#This Row],[2024 '#Trees Inventory + Estimate]]*Table11[[#This Row],[USA Allocation %]]</f>
        <v>550</v>
      </c>
      <c r="AT388" s="389">
        <f>IFERROR(Table11[[#This Row],['#Total Replacements]]/Table11[[#This Row],['#TreesContract]],"")</f>
        <v>0</v>
      </c>
      <c r="AU388" s="2">
        <f>IF(SUM(Table11[[#This Row],['#Replace 24]:['#Replace 16]])=0,0,SUM(Table11[[#This Row],['#Replace 24]:['#Replace 16]]))</f>
        <v>0</v>
      </c>
    </row>
    <row r="389" spans="1:73" ht="15.75" hidden="1" customHeight="1" x14ac:dyDescent="0.25">
      <c r="A389" s="7" t="s">
        <v>2120</v>
      </c>
      <c r="B389" s="2">
        <v>2022</v>
      </c>
      <c r="C389" s="7">
        <v>2024</v>
      </c>
      <c r="D389" s="2">
        <f>Table11[[#This Row],[Planting Year]]+9</f>
        <v>2033</v>
      </c>
      <c r="E389" s="353"/>
      <c r="F389">
        <v>40058</v>
      </c>
      <c r="G389" t="s">
        <v>2121</v>
      </c>
      <c r="H389" s="361">
        <v>529231393940</v>
      </c>
      <c r="I389" t="s">
        <v>155</v>
      </c>
      <c r="J389" s="353"/>
      <c r="L389" s="1" t="s">
        <v>2085</v>
      </c>
      <c r="M389" t="s">
        <v>621</v>
      </c>
      <c r="N389" s="353" t="s">
        <v>2122</v>
      </c>
      <c r="O389" s="353">
        <v>17.324268700000001</v>
      </c>
      <c r="P389" s="353">
        <v>-94.149556599999997</v>
      </c>
      <c r="T389">
        <v>550</v>
      </c>
      <c r="U389">
        <v>550</v>
      </c>
      <c r="V389" s="1" t="str">
        <f>IF(Table11[[#This Row],['#TreesContract]]-Table11[[#This Row],['#Planted]]=0,"",Table11[[#This Row],['#TreesContract]]-Table11[[#This Row],['#Planted]])</f>
        <v/>
      </c>
      <c r="X389" s="34">
        <v>1</v>
      </c>
      <c r="Y389" s="270">
        <f t="shared" si="0"/>
        <v>550</v>
      </c>
      <c r="Z389" s="163">
        <f>Table11[[#This Row],['#Planted]]*Table11[[#This Row],[USA Allocation %]]</f>
        <v>550</v>
      </c>
      <c r="AI389" s="438">
        <v>550</v>
      </c>
      <c r="AJ389" s="439">
        <v>1</v>
      </c>
      <c r="AK389" s="411">
        <v>1</v>
      </c>
      <c r="AL389" s="411">
        <v>1</v>
      </c>
      <c r="AM389" s="2">
        <f>Table11[[#This Row],['#Planted]]*Table11[[#This Row],[2024 Survival% Inventory + Estimate]]</f>
        <v>550</v>
      </c>
      <c r="AN389" s="270">
        <f>Table11[[#This Row],[2024 '#Trees Inventory + Estimate]]*Table11[[#This Row],[USA Allocation %]]</f>
        <v>550</v>
      </c>
      <c r="AT389" s="389">
        <f>IFERROR(Table11[[#This Row],['#Total Replacements]]/Table11[[#This Row],['#TreesContract]],"")</f>
        <v>0.25454545454545452</v>
      </c>
      <c r="AU389" s="2">
        <f>IF(SUM(Table11[[#This Row],['#Replace 24]:['#Replace 16]])=0,0,SUM(Table11[[#This Row],['#Replace 24]:['#Replace 16]]))</f>
        <v>140</v>
      </c>
      <c r="AW389">
        <v>140</v>
      </c>
    </row>
    <row r="390" spans="1:73" ht="15.75" hidden="1" customHeight="1" x14ac:dyDescent="0.25">
      <c r="A390" s="7" t="s">
        <v>2123</v>
      </c>
      <c r="B390" s="2">
        <v>2023</v>
      </c>
      <c r="C390" s="7">
        <v>2024</v>
      </c>
      <c r="D390" s="2">
        <f>Table11[[#This Row],[Planting Year]]+9</f>
        <v>2033</v>
      </c>
      <c r="E390" s="355" t="s">
        <v>2092</v>
      </c>
      <c r="F390">
        <v>40059</v>
      </c>
      <c r="G390" t="s">
        <v>2124</v>
      </c>
      <c r="H390" s="361"/>
      <c r="I390" t="s">
        <v>155</v>
      </c>
      <c r="J390" s="351" t="s">
        <v>2094</v>
      </c>
      <c r="M390" t="s">
        <v>621</v>
      </c>
      <c r="N390" s="353" t="s">
        <v>2125</v>
      </c>
      <c r="O390" s="353">
        <v>17.217873000000001</v>
      </c>
      <c r="P390" s="353">
        <v>-94.638552000000004</v>
      </c>
      <c r="T390">
        <v>2750</v>
      </c>
      <c r="U390">
        <v>1100</v>
      </c>
      <c r="V390" s="1">
        <f>IF(Table11[[#This Row],['#TreesContract]]-Table11[[#This Row],['#Planted]]=0,"",Table11[[#This Row],['#TreesContract]]-Table11[[#This Row],['#Planted]])</f>
        <v>1650</v>
      </c>
      <c r="X390" s="34">
        <v>1</v>
      </c>
      <c r="Y390" s="270">
        <f t="shared" si="0"/>
        <v>2750</v>
      </c>
      <c r="Z390" s="163">
        <f>Table11[[#This Row],['#Planted]]*Table11[[#This Row],[USA Allocation %]]</f>
        <v>1100</v>
      </c>
      <c r="AI390" s="438">
        <v>1100</v>
      </c>
      <c r="AJ390" s="439">
        <f>Table11[[#This Row],['#Trees as of 12/31/24-master]]/Table11[[#This Row],[USA trees/Allocation/Contracted]]</f>
        <v>0.4</v>
      </c>
      <c r="AK390" s="411">
        <f>Table11[[#This Row],['#Trees as of 12/31/24-master]]/Table11[[#This Row],[USA trees/Allocation/Contracted]]</f>
        <v>0.4</v>
      </c>
      <c r="AL390" s="411">
        <f>Table11[[#This Row],['#Trees as of 12/31/24-master]]/Table11[[#This Row],[USA trees/Allocation/Contracted]]</f>
        <v>0.4</v>
      </c>
      <c r="AM390" s="2">
        <f>Table11[[#This Row],['#Planted]]*Table11[[#This Row],[2024 Survival% Inventory + Estimate]]</f>
        <v>440</v>
      </c>
      <c r="AN390" s="270">
        <f>Table11[[#This Row],[2024 '#Trees Inventory + Estimate]]*Table11[[#This Row],[USA Allocation %]]</f>
        <v>440</v>
      </c>
      <c r="AT390" s="389">
        <f>IFERROR(Table11[[#This Row],['#Total Replacements]]/Table11[[#This Row],['#TreesContract]],"")</f>
        <v>0</v>
      </c>
      <c r="AU390" s="2">
        <f>IF(SUM(Table11[[#This Row],['#Replace 24]:['#Replace 16]])=0,0,SUM(Table11[[#This Row],['#Replace 24]:['#Replace 16]]))</f>
        <v>0</v>
      </c>
    </row>
    <row r="391" spans="1:73" ht="15.75" hidden="1" customHeight="1" x14ac:dyDescent="0.25">
      <c r="A391" s="7" t="s">
        <v>2126</v>
      </c>
      <c r="B391" s="2">
        <v>2023</v>
      </c>
      <c r="C391" s="7">
        <v>2024</v>
      </c>
      <c r="D391" s="2">
        <f>Table11[[#This Row],[Planting Year]]+9</f>
        <v>2033</v>
      </c>
      <c r="E391" s="353"/>
      <c r="F391">
        <v>40060</v>
      </c>
      <c r="G391" s="344" t="s">
        <v>2127</v>
      </c>
      <c r="H391" s="361"/>
      <c r="I391" t="s">
        <v>155</v>
      </c>
      <c r="J391" s="353"/>
      <c r="M391" t="s">
        <v>621</v>
      </c>
      <c r="N391" s="353" t="s">
        <v>2128</v>
      </c>
      <c r="O391" s="353">
        <v>17.313920199999998</v>
      </c>
      <c r="P391" s="353">
        <v>-94.146829100000005</v>
      </c>
      <c r="T391">
        <v>550</v>
      </c>
      <c r="U391">
        <v>550</v>
      </c>
      <c r="V391" s="1" t="str">
        <f>IF(Table11[[#This Row],['#TreesContract]]-Table11[[#This Row],['#Planted]]=0,"",Table11[[#This Row],['#TreesContract]]-Table11[[#This Row],['#Planted]])</f>
        <v/>
      </c>
      <c r="X391" s="34">
        <v>1</v>
      </c>
      <c r="Y391" s="270">
        <f t="shared" si="0"/>
        <v>550</v>
      </c>
      <c r="Z391" s="163">
        <f>Table11[[#This Row],['#Planted]]*Table11[[#This Row],[USA Allocation %]]</f>
        <v>550</v>
      </c>
      <c r="AI391" s="438">
        <v>550</v>
      </c>
      <c r="AJ391" s="439">
        <v>1</v>
      </c>
      <c r="AK391" s="411">
        <v>1</v>
      </c>
      <c r="AL391" s="411">
        <v>1</v>
      </c>
      <c r="AM391" s="2">
        <f>Table11[[#This Row],['#Planted]]*Table11[[#This Row],[2024 Survival% Inventory + Estimate]]</f>
        <v>550</v>
      </c>
      <c r="AN391" s="270">
        <f>Table11[[#This Row],[2024 '#Trees Inventory + Estimate]]*Table11[[#This Row],[USA Allocation %]]</f>
        <v>550</v>
      </c>
      <c r="AT391" s="389">
        <f>IFERROR(Table11[[#This Row],['#Total Replacements]]/Table11[[#This Row],['#TreesContract]],"")</f>
        <v>0</v>
      </c>
      <c r="AU391" s="2">
        <f>IF(SUM(Table11[[#This Row],['#Replace 24]:['#Replace 16]])=0,0,SUM(Table11[[#This Row],['#Replace 24]:['#Replace 16]]))</f>
        <v>0</v>
      </c>
    </row>
    <row r="392" spans="1:73" ht="15.75" hidden="1" customHeight="1" x14ac:dyDescent="0.25">
      <c r="A392" s="7" t="s">
        <v>2129</v>
      </c>
      <c r="B392" s="2">
        <v>2023</v>
      </c>
      <c r="C392" s="7">
        <v>2024</v>
      </c>
      <c r="D392" s="2">
        <f>Table11[[#This Row],[Planting Year]]+9</f>
        <v>2033</v>
      </c>
      <c r="E392" s="353"/>
      <c r="F392">
        <v>40061</v>
      </c>
      <c r="G392" t="s">
        <v>2130</v>
      </c>
      <c r="H392" s="361"/>
      <c r="I392" t="s">
        <v>155</v>
      </c>
      <c r="J392" s="353"/>
      <c r="M392" t="s">
        <v>621</v>
      </c>
      <c r="N392" s="353" t="s">
        <v>2131</v>
      </c>
      <c r="O392" s="353">
        <v>17.310943999999999</v>
      </c>
      <c r="P392" s="353">
        <v>-94.149800999999997</v>
      </c>
      <c r="T392">
        <v>550</v>
      </c>
      <c r="U392">
        <v>550</v>
      </c>
      <c r="V392" s="1" t="str">
        <f>IF(Table11[[#This Row],['#TreesContract]]-Table11[[#This Row],['#Planted]]=0,"",Table11[[#This Row],['#TreesContract]]-Table11[[#This Row],['#Planted]])</f>
        <v/>
      </c>
      <c r="X392" s="34">
        <v>1</v>
      </c>
      <c r="Y392" s="270">
        <f t="shared" si="0"/>
        <v>550</v>
      </c>
      <c r="Z392" s="163">
        <f>Table11[[#This Row],['#Planted]]*Table11[[#This Row],[USA Allocation %]]</f>
        <v>550</v>
      </c>
      <c r="AI392" s="438">
        <v>550</v>
      </c>
      <c r="AJ392" s="439">
        <v>1</v>
      </c>
      <c r="AK392" s="411">
        <v>1</v>
      </c>
      <c r="AL392" s="411">
        <v>1</v>
      </c>
      <c r="AM392" s="2">
        <f>Table11[[#This Row],['#Planted]]*Table11[[#This Row],[2024 Survival% Inventory + Estimate]]</f>
        <v>550</v>
      </c>
      <c r="AN392" s="270">
        <f>Table11[[#This Row],[2024 '#Trees Inventory + Estimate]]*Table11[[#This Row],[USA Allocation %]]</f>
        <v>550</v>
      </c>
      <c r="AT392" s="389">
        <f>IFERROR(Table11[[#This Row],['#Total Replacements]]/Table11[[#This Row],['#TreesContract]],"")</f>
        <v>0</v>
      </c>
      <c r="AU392" s="2">
        <f>IF(SUM(Table11[[#This Row],['#Replace 24]:['#Replace 16]])=0,0,SUM(Table11[[#This Row],['#Replace 24]:['#Replace 16]]))</f>
        <v>0</v>
      </c>
    </row>
    <row r="393" spans="1:73" ht="15.75" hidden="1" customHeight="1" x14ac:dyDescent="0.25">
      <c r="A393" s="7" t="s">
        <v>2132</v>
      </c>
      <c r="B393" s="2">
        <v>2023</v>
      </c>
      <c r="C393" s="7">
        <v>2024</v>
      </c>
      <c r="D393" s="2">
        <f>Table11[[#This Row],[Planting Year]]+9</f>
        <v>2033</v>
      </c>
      <c r="E393" s="353"/>
      <c r="F393">
        <v>40062</v>
      </c>
      <c r="G393" t="s">
        <v>2133</v>
      </c>
      <c r="H393" s="361"/>
      <c r="I393" t="s">
        <v>155</v>
      </c>
      <c r="J393" s="353"/>
      <c r="L393" s="1" t="s">
        <v>2134</v>
      </c>
      <c r="M393" t="s">
        <v>621</v>
      </c>
      <c r="N393" s="353" t="s">
        <v>2135</v>
      </c>
      <c r="O393" s="353">
        <v>17.232269599999999</v>
      </c>
      <c r="P393" s="353">
        <v>-94.638116199999999</v>
      </c>
      <c r="T393">
        <v>1100</v>
      </c>
      <c r="U393">
        <v>1100</v>
      </c>
      <c r="V393" s="1" t="str">
        <f>IF(Table11[[#This Row],['#TreesContract]]-Table11[[#This Row],['#Planted]]=0,"",Table11[[#This Row],['#TreesContract]]-Table11[[#This Row],['#Planted]])</f>
        <v/>
      </c>
      <c r="X393" s="34">
        <v>1</v>
      </c>
      <c r="Y393" s="270">
        <f t="shared" si="0"/>
        <v>1100</v>
      </c>
      <c r="Z393" s="163">
        <f>Table11[[#This Row],['#Planted]]*Table11[[#This Row],[USA Allocation %]]</f>
        <v>1100</v>
      </c>
      <c r="AI393" s="438">
        <v>1100</v>
      </c>
      <c r="AJ393" s="439">
        <v>1</v>
      </c>
      <c r="AK393" s="411">
        <v>1</v>
      </c>
      <c r="AL393" s="411">
        <v>1</v>
      </c>
      <c r="AM393" s="2">
        <f>Table11[[#This Row],['#Planted]]*Table11[[#This Row],[2024 Survival% Inventory + Estimate]]</f>
        <v>1100</v>
      </c>
      <c r="AN393" s="270">
        <f>Table11[[#This Row],[2024 '#Trees Inventory + Estimate]]*Table11[[#This Row],[USA Allocation %]]</f>
        <v>1100</v>
      </c>
      <c r="AT393" s="389">
        <f>IFERROR(Table11[[#This Row],['#Total Replacements]]/Table11[[#This Row],['#TreesContract]],"")</f>
        <v>0.59090909090909094</v>
      </c>
      <c r="AU393" s="2">
        <f>IF(SUM(Table11[[#This Row],['#Replace 24]:['#Replace 16]])=0,0,SUM(Table11[[#This Row],['#Replace 24]:['#Replace 16]]))</f>
        <v>650</v>
      </c>
      <c r="AW393">
        <v>650</v>
      </c>
    </row>
    <row r="394" spans="1:73" ht="15.75" hidden="1" customHeight="1" x14ac:dyDescent="0.25">
      <c r="A394" s="7" t="s">
        <v>2136</v>
      </c>
      <c r="B394" s="2">
        <v>2022</v>
      </c>
      <c r="C394" s="7">
        <v>2024</v>
      </c>
      <c r="D394" s="2">
        <f>Table11[[#This Row],[Planting Year]]+9</f>
        <v>2033</v>
      </c>
      <c r="E394" s="353"/>
      <c r="F394">
        <v>40063</v>
      </c>
      <c r="G394" t="s">
        <v>2137</v>
      </c>
      <c r="H394" s="361"/>
      <c r="I394" t="s">
        <v>155</v>
      </c>
      <c r="J394" s="353"/>
      <c r="L394" s="1" t="s">
        <v>2085</v>
      </c>
      <c r="M394" t="s">
        <v>621</v>
      </c>
      <c r="N394" s="353" t="s">
        <v>2138</v>
      </c>
      <c r="O394" s="353">
        <v>17.3314977</v>
      </c>
      <c r="P394" s="353">
        <v>-94.135305099999997</v>
      </c>
      <c r="T394">
        <v>550</v>
      </c>
      <c r="U394">
        <v>550</v>
      </c>
      <c r="V394" s="1" t="str">
        <f>IF(Table11[[#This Row],['#TreesContract]]-Table11[[#This Row],['#Planted]]=0,"",Table11[[#This Row],['#TreesContract]]-Table11[[#This Row],['#Planted]])</f>
        <v/>
      </c>
      <c r="X394" s="34">
        <v>1</v>
      </c>
      <c r="Y394" s="270">
        <f t="shared" si="0"/>
        <v>550</v>
      </c>
      <c r="Z394" s="163">
        <f>Table11[[#This Row],['#Planted]]*Table11[[#This Row],[USA Allocation %]]</f>
        <v>550</v>
      </c>
      <c r="AI394" s="438">
        <v>550</v>
      </c>
      <c r="AJ394" s="439">
        <v>1</v>
      </c>
      <c r="AK394" s="411">
        <v>1</v>
      </c>
      <c r="AL394" s="411">
        <v>1</v>
      </c>
      <c r="AM394" s="2">
        <f>Table11[[#This Row],['#Planted]]*Table11[[#This Row],[2024 Survival% Inventory + Estimate]]</f>
        <v>550</v>
      </c>
      <c r="AN394" s="270">
        <f>Table11[[#This Row],[2024 '#Trees Inventory + Estimate]]*Table11[[#This Row],[USA Allocation %]]</f>
        <v>550</v>
      </c>
      <c r="AT394" s="389">
        <f>IFERROR(Table11[[#This Row],['#Total Replacements]]/Table11[[#This Row],['#TreesContract]],"")</f>
        <v>0.18181818181818182</v>
      </c>
      <c r="AU394" s="2">
        <f>IF(SUM(Table11[[#This Row],['#Replace 24]:['#Replace 16]])=0,0,SUM(Table11[[#This Row],['#Replace 24]:['#Replace 16]]))</f>
        <v>100</v>
      </c>
      <c r="AW394">
        <v>100</v>
      </c>
    </row>
    <row r="395" spans="1:73" ht="15.75" hidden="1" customHeight="1" x14ac:dyDescent="0.25">
      <c r="A395" s="7" t="s">
        <v>2139</v>
      </c>
      <c r="B395" s="2">
        <v>2023</v>
      </c>
      <c r="C395" s="7">
        <v>2024</v>
      </c>
      <c r="D395" s="2">
        <f>Table11[[#This Row],[Planting Year]]+9</f>
        <v>2033</v>
      </c>
      <c r="E395" s="355" t="s">
        <v>2092</v>
      </c>
      <c r="F395">
        <v>40064</v>
      </c>
      <c r="G395" t="s">
        <v>2140</v>
      </c>
      <c r="H395" s="361"/>
      <c r="I395" t="s">
        <v>155</v>
      </c>
      <c r="J395" s="351" t="s">
        <v>2094</v>
      </c>
      <c r="M395" t="s">
        <v>621</v>
      </c>
      <c r="N395" s="353" t="s">
        <v>2141</v>
      </c>
      <c r="O395" s="353">
        <v>17.235497469999999</v>
      </c>
      <c r="P395" s="353">
        <v>-94.632905140000005</v>
      </c>
      <c r="T395">
        <v>1100</v>
      </c>
      <c r="U395">
        <v>1100</v>
      </c>
      <c r="V395" s="1" t="str">
        <f>IF(Table11[[#This Row],['#TreesContract]]-Table11[[#This Row],['#Planted]]=0,"",Table11[[#This Row],['#TreesContract]]-Table11[[#This Row],['#Planted]])</f>
        <v/>
      </c>
      <c r="X395" s="34">
        <v>1</v>
      </c>
      <c r="Y395" s="270">
        <f t="shared" si="0"/>
        <v>1100</v>
      </c>
      <c r="Z395" s="163">
        <f>Table11[[#This Row],['#Planted]]*Table11[[#This Row],[USA Allocation %]]</f>
        <v>1100</v>
      </c>
      <c r="AI395" s="438">
        <v>1100</v>
      </c>
      <c r="AJ395" s="439">
        <v>1</v>
      </c>
      <c r="AK395" s="411">
        <v>1</v>
      </c>
      <c r="AL395" s="411">
        <v>1</v>
      </c>
      <c r="AM395" s="2">
        <f>Table11[[#This Row],['#Planted]]*Table11[[#This Row],[2024 Survival% Inventory + Estimate]]</f>
        <v>1100</v>
      </c>
      <c r="AN395" s="270">
        <f>Table11[[#This Row],[2024 '#Trees Inventory + Estimate]]*Table11[[#This Row],[USA Allocation %]]</f>
        <v>1100</v>
      </c>
      <c r="AT395" s="389">
        <f>IFERROR(Table11[[#This Row],['#Total Replacements]]/Table11[[#This Row],['#TreesContract]],"")</f>
        <v>0</v>
      </c>
      <c r="AU395" s="2">
        <f>IF(SUM(Table11[[#This Row],['#Replace 24]:['#Replace 16]])=0,0,SUM(Table11[[#This Row],['#Replace 24]:['#Replace 16]]))</f>
        <v>0</v>
      </c>
    </row>
    <row r="396" spans="1:73" ht="15.75" hidden="1" customHeight="1" x14ac:dyDescent="0.25">
      <c r="A396" s="7" t="s">
        <v>2142</v>
      </c>
      <c r="B396" s="2">
        <v>2023</v>
      </c>
      <c r="C396" s="7">
        <v>2024</v>
      </c>
      <c r="D396" s="2">
        <f>Table11[[#This Row],[Planting Year]]+9</f>
        <v>2033</v>
      </c>
      <c r="E396" s="353"/>
      <c r="F396">
        <v>40065</v>
      </c>
      <c r="G396" t="s">
        <v>2143</v>
      </c>
      <c r="H396" s="361"/>
      <c r="I396" t="s">
        <v>155</v>
      </c>
      <c r="J396" s="353"/>
      <c r="L396" s="1" t="s">
        <v>2089</v>
      </c>
      <c r="M396" t="s">
        <v>621</v>
      </c>
      <c r="N396" s="353" t="s">
        <v>2144</v>
      </c>
      <c r="O396" s="353">
        <v>17.324828</v>
      </c>
      <c r="P396" s="353">
        <v>-94.138914999999997</v>
      </c>
      <c r="T396">
        <v>1100</v>
      </c>
      <c r="U396">
        <v>1100</v>
      </c>
      <c r="V396" s="1" t="str">
        <f>IF(Table11[[#This Row],['#TreesContract]]-Table11[[#This Row],['#Planted]]=0,"",Table11[[#This Row],['#TreesContract]]-Table11[[#This Row],['#Planted]])</f>
        <v/>
      </c>
      <c r="X396" s="34">
        <v>1</v>
      </c>
      <c r="Y396" s="270">
        <f t="shared" si="0"/>
        <v>1100</v>
      </c>
      <c r="Z396" s="163">
        <f>Table11[[#This Row],['#Planted]]*Table11[[#This Row],[USA Allocation %]]</f>
        <v>1100</v>
      </c>
      <c r="AI396" s="438">
        <v>1100</v>
      </c>
      <c r="AJ396" s="439">
        <v>1</v>
      </c>
      <c r="AK396" s="411">
        <v>1</v>
      </c>
      <c r="AL396" s="411">
        <v>1</v>
      </c>
      <c r="AM396" s="2">
        <f>Table11[[#This Row],['#Planted]]*Table11[[#This Row],[2024 Survival% Inventory + Estimate]]</f>
        <v>1100</v>
      </c>
      <c r="AN396" s="270">
        <f>Table11[[#This Row],[2024 '#Trees Inventory + Estimate]]*Table11[[#This Row],[USA Allocation %]]</f>
        <v>1100</v>
      </c>
      <c r="AT396" s="389">
        <f>IFERROR(Table11[[#This Row],['#Total Replacements]]/Table11[[#This Row],['#TreesContract]],"")</f>
        <v>0.27272727272727271</v>
      </c>
      <c r="AU396" s="2">
        <f>IF(SUM(Table11[[#This Row],['#Replace 24]:['#Replace 16]])=0,0,SUM(Table11[[#This Row],['#Replace 24]:['#Replace 16]]))</f>
        <v>300</v>
      </c>
      <c r="AW396">
        <v>300</v>
      </c>
    </row>
    <row r="397" spans="1:73" ht="15.75" hidden="1" customHeight="1" x14ac:dyDescent="0.25">
      <c r="A397" s="7" t="s">
        <v>2145</v>
      </c>
      <c r="B397" s="2">
        <v>2023</v>
      </c>
      <c r="C397" s="7">
        <v>2024</v>
      </c>
      <c r="D397" s="2">
        <f>Table11[[#This Row],[Planting Year]]+9</f>
        <v>2033</v>
      </c>
      <c r="E397" s="355"/>
      <c r="F397">
        <v>40066</v>
      </c>
      <c r="G397" t="s">
        <v>2146</v>
      </c>
      <c r="H397" s="361">
        <v>529222113224</v>
      </c>
      <c r="I397" t="s">
        <v>155</v>
      </c>
      <c r="J397" s="351"/>
      <c r="M397" t="s">
        <v>621</v>
      </c>
      <c r="N397" s="353" t="s">
        <v>2147</v>
      </c>
      <c r="O397" s="353">
        <v>17.3628535</v>
      </c>
      <c r="P397" s="353">
        <v>-94.444675500000002</v>
      </c>
      <c r="T397">
        <v>825</v>
      </c>
      <c r="U397">
        <v>550</v>
      </c>
      <c r="V397" s="1">
        <f>IF(Table11[[#This Row],['#TreesContract]]-Table11[[#This Row],['#Planted]]=0,"",Table11[[#This Row],['#TreesContract]]-Table11[[#This Row],['#Planted]])</f>
        <v>275</v>
      </c>
      <c r="X397" s="34">
        <v>1</v>
      </c>
      <c r="Y397" s="270">
        <f t="shared" si="0"/>
        <v>825</v>
      </c>
      <c r="Z397" s="163">
        <f>Table11[[#This Row],['#Planted]]*Table11[[#This Row],[USA Allocation %]]</f>
        <v>550</v>
      </c>
      <c r="AI397" s="438">
        <v>550</v>
      </c>
      <c r="AJ397" s="439">
        <f>Table11[[#This Row],['#Trees as of 12/31/24-master]]/Table11[[#This Row],[USA trees/Allocation/Contracted]]</f>
        <v>0.66666666666666663</v>
      </c>
      <c r="AK397" s="411">
        <f>Table11[[#This Row],['#Trees as of 12/31/24-master]]/Table11[[#This Row],[USA trees/Allocation/Contracted]]</f>
        <v>0.66666666666666663</v>
      </c>
      <c r="AL397" s="411">
        <f>Table11[[#This Row],['#Trees as of 12/31/24-master]]/Table11[[#This Row],['#TreesContract]]</f>
        <v>0.66666666666666663</v>
      </c>
      <c r="AM397" s="2">
        <f>Table11[[#This Row],['#Trees as of 12/31/24-master]]</f>
        <v>550</v>
      </c>
      <c r="AN397" s="270">
        <f>Table11[[#This Row],[2024 '#Trees Inventory + Estimate]]*Table11[[#This Row],[USA Allocation %]]</f>
        <v>550</v>
      </c>
      <c r="AT397" s="389">
        <f>IFERROR(Table11[[#This Row],['#Total Replacements]]/Table11[[#This Row],['#TreesContract]],"")</f>
        <v>0</v>
      </c>
      <c r="AU397" s="2">
        <f>IF(SUM(Table11[[#This Row],['#Replace 24]:['#Replace 16]])=0,0,SUM(Table11[[#This Row],['#Replace 24]:['#Replace 16]]))</f>
        <v>0</v>
      </c>
    </row>
    <row r="398" spans="1:73" ht="15.75" hidden="1" customHeight="1" x14ac:dyDescent="0.25">
      <c r="A398" s="7" t="s">
        <v>2148</v>
      </c>
      <c r="B398" s="2">
        <v>2023</v>
      </c>
      <c r="C398" s="7">
        <v>2024</v>
      </c>
      <c r="D398" s="2">
        <f>Table11[[#This Row],[Planting Year]]+9</f>
        <v>2033</v>
      </c>
      <c r="E398" s="353"/>
      <c r="F398">
        <v>40067</v>
      </c>
      <c r="G398" t="s">
        <v>2149</v>
      </c>
      <c r="H398" s="361"/>
      <c r="I398" t="s">
        <v>155</v>
      </c>
      <c r="J398" s="353"/>
      <c r="L398" s="1" t="s">
        <v>2150</v>
      </c>
      <c r="M398" t="s">
        <v>621</v>
      </c>
      <c r="N398" s="353" t="s">
        <v>2151</v>
      </c>
      <c r="O398" s="353">
        <v>17.32442</v>
      </c>
      <c r="P398" s="353">
        <v>-94.140621199999998</v>
      </c>
      <c r="Q398">
        <v>17.322930599999999</v>
      </c>
      <c r="R398">
        <v>-94.141375100000005</v>
      </c>
      <c r="T398">
        <v>1100</v>
      </c>
      <c r="U398">
        <v>1100</v>
      </c>
      <c r="V398" s="1" t="str">
        <f>IF(Table11[[#This Row],['#TreesContract]]-Table11[[#This Row],['#Planted]]=0,"",Table11[[#This Row],['#TreesContract]]-Table11[[#This Row],['#Planted]])</f>
        <v/>
      </c>
      <c r="X398" s="34">
        <v>1</v>
      </c>
      <c r="Y398" s="270">
        <f t="shared" si="0"/>
        <v>1100</v>
      </c>
      <c r="Z398" s="163">
        <f>Table11[[#This Row],['#Planted]]*Table11[[#This Row],[USA Allocation %]]</f>
        <v>1100</v>
      </c>
      <c r="AI398" s="438">
        <v>1100</v>
      </c>
      <c r="AJ398" s="439">
        <v>1</v>
      </c>
      <c r="AK398" s="411">
        <v>1</v>
      </c>
      <c r="AL398" s="411">
        <v>1</v>
      </c>
      <c r="AM398" s="2">
        <f>Table11[[#This Row],['#Planted]]*Table11[[#This Row],[2024 Survival% Inventory + Estimate]]</f>
        <v>1100</v>
      </c>
      <c r="AN398" s="270">
        <f>Table11[[#This Row],[2024 '#Trees Inventory + Estimate]]*Table11[[#This Row],[USA Allocation %]]</f>
        <v>1100</v>
      </c>
      <c r="AT398" s="389">
        <f>IFERROR(Table11[[#This Row],['#Total Replacements]]/Table11[[#This Row],['#TreesContract]],"")</f>
        <v>9.0909090909090912E-2</v>
      </c>
      <c r="AU398" s="2">
        <f>IF(SUM(Table11[[#This Row],['#Replace 24]:['#Replace 16]])=0,0,SUM(Table11[[#This Row],['#Replace 24]:['#Replace 16]]))</f>
        <v>100</v>
      </c>
      <c r="AW398">
        <v>100</v>
      </c>
    </row>
    <row r="399" spans="1:73" ht="15.75" hidden="1" customHeight="1" x14ac:dyDescent="0.25">
      <c r="A399" s="7" t="s">
        <v>2152</v>
      </c>
      <c r="B399" s="2">
        <v>2022</v>
      </c>
      <c r="C399" s="7">
        <v>2024</v>
      </c>
      <c r="D399" s="2">
        <f>Table11[[#This Row],[Planting Year]]+9</f>
        <v>2033</v>
      </c>
      <c r="E399" s="355" t="s">
        <v>2092</v>
      </c>
      <c r="F399">
        <v>40068</v>
      </c>
      <c r="G399" t="s">
        <v>2092</v>
      </c>
      <c r="H399" s="361">
        <v>529241970205</v>
      </c>
      <c r="I399" t="s">
        <v>155</v>
      </c>
      <c r="J399" s="351" t="s">
        <v>2094</v>
      </c>
      <c r="L399" s="1" t="s">
        <v>2134</v>
      </c>
      <c r="M399" t="s">
        <v>621</v>
      </c>
      <c r="N399" s="353" t="s">
        <v>2153</v>
      </c>
      <c r="O399" s="353">
        <v>17.23688551</v>
      </c>
      <c r="P399" s="353">
        <v>-94.623150519999996</v>
      </c>
      <c r="T399">
        <v>550</v>
      </c>
      <c r="U399">
        <v>550</v>
      </c>
      <c r="V399" s="1" t="str">
        <f>IF(Table11[[#This Row],['#TreesContract]]-Table11[[#This Row],['#Planted]]=0,"",Table11[[#This Row],['#TreesContract]]-Table11[[#This Row],['#Planted]])</f>
        <v/>
      </c>
      <c r="X399" s="34">
        <v>1</v>
      </c>
      <c r="Y399" s="270">
        <f t="shared" si="0"/>
        <v>550</v>
      </c>
      <c r="Z399" s="163">
        <f>Table11[[#This Row],['#Planted]]*Table11[[#This Row],[USA Allocation %]]</f>
        <v>550</v>
      </c>
      <c r="AI399" s="438">
        <v>550</v>
      </c>
      <c r="AJ399" s="439">
        <v>1</v>
      </c>
      <c r="AK399" s="411">
        <v>1</v>
      </c>
      <c r="AL399" s="411">
        <v>1</v>
      </c>
      <c r="AM399" s="2">
        <f>Table11[[#This Row],['#Planted]]*Table11[[#This Row],[2024 Survival% Inventory + Estimate]]</f>
        <v>550</v>
      </c>
      <c r="AN399" s="270">
        <f>Table11[[#This Row],[2024 '#Trees Inventory + Estimate]]*Table11[[#This Row],[USA Allocation %]]</f>
        <v>550</v>
      </c>
      <c r="AT399" s="389">
        <f>IFERROR(Table11[[#This Row],['#Total Replacements]]/Table11[[#This Row],['#TreesContract]],"")</f>
        <v>0.20909090909090908</v>
      </c>
      <c r="AU399" s="2">
        <f>IF(SUM(Table11[[#This Row],['#Replace 24]:['#Replace 16]])=0,0,SUM(Table11[[#This Row],['#Replace 24]:['#Replace 16]]))</f>
        <v>115</v>
      </c>
      <c r="AW399">
        <v>115</v>
      </c>
    </row>
    <row r="400" spans="1:73" s="419" customFormat="1" ht="15.75" hidden="1" customHeight="1" x14ac:dyDescent="0.25">
      <c r="A400" s="7" t="s">
        <v>2154</v>
      </c>
      <c r="B400" s="2">
        <v>2023</v>
      </c>
      <c r="C400" s="7">
        <v>2024</v>
      </c>
      <c r="D400" s="2">
        <f>Table11[[#This Row],[Planting Year]]+9</f>
        <v>2033</v>
      </c>
      <c r="E400" s="353"/>
      <c r="F400">
        <v>40069</v>
      </c>
      <c r="G400" t="s">
        <v>2155</v>
      </c>
      <c r="H400" s="361"/>
      <c r="I400" t="s">
        <v>155</v>
      </c>
      <c r="J400" s="353"/>
      <c r="K400"/>
      <c r="L400" s="1" t="s">
        <v>2089</v>
      </c>
      <c r="M400" t="s">
        <v>621</v>
      </c>
      <c r="N400" s="353" t="s">
        <v>2156</v>
      </c>
      <c r="O400" s="353">
        <v>17.309550699999999</v>
      </c>
      <c r="P400" s="353">
        <v>-94.150783099999998</v>
      </c>
      <c r="Q400"/>
      <c r="R400"/>
      <c r="S400"/>
      <c r="T400">
        <v>1100</v>
      </c>
      <c r="U400">
        <v>1100</v>
      </c>
      <c r="V400" s="1" t="str">
        <f>IF(Table11[[#This Row],['#TreesContract]]-Table11[[#This Row],['#Planted]]=0,"",Table11[[#This Row],['#TreesContract]]-Table11[[#This Row],['#Planted]])</f>
        <v/>
      </c>
      <c r="W400" s="16"/>
      <c r="X400" s="34">
        <v>1</v>
      </c>
      <c r="Y400" s="270">
        <f t="shared" si="0"/>
        <v>1100</v>
      </c>
      <c r="Z400" s="163">
        <f>Table11[[#This Row],['#Planted]]*Table11[[#This Row],[USA Allocation %]]</f>
        <v>1100</v>
      </c>
      <c r="AA400" s="8"/>
      <c r="AB400" s="16"/>
      <c r="AC400"/>
      <c r="AD400"/>
      <c r="AE400"/>
      <c r="AF400"/>
      <c r="AG400"/>
      <c r="AH400"/>
      <c r="AI400" s="438">
        <v>1100</v>
      </c>
      <c r="AJ400" s="439">
        <v>1</v>
      </c>
      <c r="AK400" s="411">
        <v>1</v>
      </c>
      <c r="AL400" s="411">
        <v>1</v>
      </c>
      <c r="AM400" s="2">
        <f>Table11[[#This Row],['#Planted]]*Table11[[#This Row],[2024 Survival% Inventory + Estimate]]</f>
        <v>1100</v>
      </c>
      <c r="AN400" s="270">
        <f>Table11[[#This Row],[2024 '#Trees Inventory + Estimate]]*Table11[[#This Row],[USA Allocation %]]</f>
        <v>1100</v>
      </c>
      <c r="AO400"/>
      <c r="AP400"/>
      <c r="AQ400"/>
      <c r="AR400"/>
      <c r="AS400"/>
      <c r="AT400" s="389">
        <f>IFERROR(Table11[[#This Row],['#Total Replacements]]/Table11[[#This Row],['#TreesContract]],"")</f>
        <v>0.11818181818181818</v>
      </c>
      <c r="AU400" s="2">
        <f>IF(SUM(Table11[[#This Row],['#Replace 24]:['#Replace 16]])=0,0,SUM(Table11[[#This Row],['#Replace 24]:['#Replace 16]]))</f>
        <v>130</v>
      </c>
      <c r="AV400"/>
      <c r="AW400">
        <v>130</v>
      </c>
      <c r="AX400"/>
      <c r="AY400"/>
      <c r="AZ400"/>
      <c r="BA400"/>
      <c r="BB400"/>
      <c r="BC400"/>
      <c r="BD400"/>
      <c r="BE400"/>
      <c r="BF400"/>
      <c r="BG400"/>
      <c r="BH400"/>
      <c r="BI400"/>
      <c r="BJ400"/>
      <c r="BK400"/>
      <c r="BL400" s="236"/>
      <c r="BM400" s="68"/>
      <c r="BN400" s="241"/>
      <c r="BO400" s="236"/>
      <c r="BP400" s="236"/>
      <c r="BQ400" s="236"/>
      <c r="BR400" s="244"/>
      <c r="BS400" s="68"/>
      <c r="BT400"/>
      <c r="BU400" s="236"/>
    </row>
    <row r="401" spans="1:73" ht="15.75" hidden="1" customHeight="1" x14ac:dyDescent="0.25">
      <c r="A401" s="7" t="s">
        <v>2157</v>
      </c>
      <c r="B401" s="2">
        <v>2023</v>
      </c>
      <c r="C401" s="7">
        <v>2024</v>
      </c>
      <c r="D401" s="2">
        <f>Table11[[#This Row],[Planting Year]]+9</f>
        <v>2033</v>
      </c>
      <c r="E401" s="353"/>
      <c r="F401">
        <v>40070</v>
      </c>
      <c r="G401" s="344" t="s">
        <v>2158</v>
      </c>
      <c r="H401" s="361"/>
      <c r="I401" t="s">
        <v>155</v>
      </c>
      <c r="J401" s="353"/>
      <c r="M401" t="s">
        <v>621</v>
      </c>
      <c r="N401" s="353" t="s">
        <v>2159</v>
      </c>
      <c r="O401" s="353">
        <v>17.328485400000002</v>
      </c>
      <c r="P401" s="353">
        <v>-94.145192800000004</v>
      </c>
      <c r="T401">
        <v>550</v>
      </c>
      <c r="U401">
        <v>550</v>
      </c>
      <c r="V401" s="1" t="str">
        <f>IF(Table11[[#This Row],['#TreesContract]]-Table11[[#This Row],['#Planted]]=0,"",Table11[[#This Row],['#TreesContract]]-Table11[[#This Row],['#Planted]])</f>
        <v/>
      </c>
      <c r="X401" s="34">
        <v>1</v>
      </c>
      <c r="Y401" s="270">
        <f t="shared" si="0"/>
        <v>550</v>
      </c>
      <c r="Z401" s="163">
        <f>Table11[[#This Row],['#Planted]]*Table11[[#This Row],[USA Allocation %]]</f>
        <v>550</v>
      </c>
      <c r="AI401" s="438">
        <v>550</v>
      </c>
      <c r="AJ401" s="439">
        <v>1</v>
      </c>
      <c r="AK401" s="411">
        <v>1</v>
      </c>
      <c r="AL401" s="411">
        <v>1</v>
      </c>
      <c r="AM401" s="2">
        <f>Table11[[#This Row],['#Planted]]*Table11[[#This Row],[2024 Survival% Inventory + Estimate]]</f>
        <v>550</v>
      </c>
      <c r="AN401" s="270">
        <f>Table11[[#This Row],[2024 '#Trees Inventory + Estimate]]*Table11[[#This Row],[USA Allocation %]]</f>
        <v>550</v>
      </c>
      <c r="AT401" s="389">
        <f>IFERROR(Table11[[#This Row],['#Total Replacements]]/Table11[[#This Row],['#TreesContract]],"")</f>
        <v>0</v>
      </c>
      <c r="AU401" s="2">
        <f>IF(SUM(Table11[[#This Row],['#Replace 24]:['#Replace 16]])=0,0,SUM(Table11[[#This Row],['#Replace 24]:['#Replace 16]]))</f>
        <v>0</v>
      </c>
    </row>
    <row r="402" spans="1:73" s="419" customFormat="1" ht="15.75" hidden="1" customHeight="1" x14ac:dyDescent="0.25">
      <c r="A402" s="7" t="s">
        <v>2160</v>
      </c>
      <c r="B402" s="2">
        <v>2022</v>
      </c>
      <c r="C402" s="7">
        <v>2024</v>
      </c>
      <c r="D402" s="2">
        <f>Table11[[#This Row],[Planting Year]]+9</f>
        <v>2033</v>
      </c>
      <c r="E402" s="353"/>
      <c r="F402">
        <v>40071</v>
      </c>
      <c r="G402" t="s">
        <v>2161</v>
      </c>
      <c r="H402" s="361"/>
      <c r="I402" t="s">
        <v>155</v>
      </c>
      <c r="J402" s="353"/>
      <c r="K402"/>
      <c r="L402" s="1" t="s">
        <v>2085</v>
      </c>
      <c r="M402" t="s">
        <v>621</v>
      </c>
      <c r="N402" s="353" t="s">
        <v>2162</v>
      </c>
      <c r="O402" s="353">
        <v>17.325181300000001</v>
      </c>
      <c r="P402" s="353">
        <v>-94.138120999999998</v>
      </c>
      <c r="Q402"/>
      <c r="R402"/>
      <c r="S402"/>
      <c r="T402">
        <v>550</v>
      </c>
      <c r="U402">
        <v>550</v>
      </c>
      <c r="V402" s="1" t="str">
        <f>IF(Table11[[#This Row],['#TreesContract]]-Table11[[#This Row],['#Planted]]=0,"",Table11[[#This Row],['#TreesContract]]-Table11[[#This Row],['#Planted]])</f>
        <v/>
      </c>
      <c r="W402" s="16"/>
      <c r="X402" s="34">
        <v>1</v>
      </c>
      <c r="Y402" s="270">
        <f t="shared" si="0"/>
        <v>550</v>
      </c>
      <c r="Z402" s="163">
        <f>Table11[[#This Row],['#Planted]]*Table11[[#This Row],[USA Allocation %]]</f>
        <v>550</v>
      </c>
      <c r="AA402" s="8"/>
      <c r="AB402" s="16"/>
      <c r="AC402"/>
      <c r="AD402"/>
      <c r="AE402"/>
      <c r="AF402"/>
      <c r="AG402"/>
      <c r="AH402"/>
      <c r="AI402" s="438">
        <v>550</v>
      </c>
      <c r="AJ402" s="439">
        <v>1</v>
      </c>
      <c r="AK402" s="411">
        <v>1</v>
      </c>
      <c r="AL402" s="411">
        <v>1</v>
      </c>
      <c r="AM402" s="2">
        <f>Table11[[#This Row],['#Planted]]*Table11[[#This Row],[2024 Survival% Inventory + Estimate]]</f>
        <v>550</v>
      </c>
      <c r="AN402" s="270">
        <f>Table11[[#This Row],[2024 '#Trees Inventory + Estimate]]*Table11[[#This Row],[USA Allocation %]]</f>
        <v>550</v>
      </c>
      <c r="AO402"/>
      <c r="AP402"/>
      <c r="AQ402"/>
      <c r="AR402"/>
      <c r="AS402"/>
      <c r="AT402" s="389">
        <f>IFERROR(Table11[[#This Row],['#Total Replacements]]/Table11[[#This Row],['#TreesContract]],"")</f>
        <v>0.27272727272727271</v>
      </c>
      <c r="AU402" s="2">
        <f>IF(SUM(Table11[[#This Row],['#Replace 24]:['#Replace 16]])=0,0,SUM(Table11[[#This Row],['#Replace 24]:['#Replace 16]]))</f>
        <v>150</v>
      </c>
      <c r="AV402"/>
      <c r="AW402">
        <v>150</v>
      </c>
      <c r="AX402"/>
      <c r="AY402"/>
      <c r="AZ402"/>
      <c r="BA402"/>
      <c r="BB402"/>
      <c r="BC402"/>
      <c r="BD402"/>
      <c r="BE402"/>
      <c r="BF402"/>
      <c r="BG402"/>
      <c r="BH402"/>
      <c r="BI402"/>
      <c r="BJ402"/>
      <c r="BK402"/>
      <c r="BL402" s="236"/>
      <c r="BM402" s="68"/>
      <c r="BN402" s="241"/>
      <c r="BO402" s="236"/>
      <c r="BP402" s="236"/>
      <c r="BQ402" s="236"/>
      <c r="BR402" s="244"/>
      <c r="BS402" s="68"/>
      <c r="BT402"/>
      <c r="BU402" s="236"/>
    </row>
    <row r="403" spans="1:73" s="419" customFormat="1" ht="15.75" hidden="1" customHeight="1" x14ac:dyDescent="0.25">
      <c r="A403" s="7" t="s">
        <v>2163</v>
      </c>
      <c r="B403" s="7">
        <v>2022</v>
      </c>
      <c r="C403" s="7">
        <v>2024</v>
      </c>
      <c r="D403" s="2">
        <f>Table11[[#This Row],[Planting Year]]+9</f>
        <v>2033</v>
      </c>
      <c r="E403" s="355" t="s">
        <v>2164</v>
      </c>
      <c r="F403" s="161">
        <v>40072</v>
      </c>
      <c r="G403" s="344" t="s">
        <v>2165</v>
      </c>
      <c r="H403" s="361">
        <v>522831245608</v>
      </c>
      <c r="I403" t="s">
        <v>155</v>
      </c>
      <c r="J403" s="351" t="s">
        <v>2166</v>
      </c>
      <c r="K403" s="1"/>
      <c r="L403" s="1"/>
      <c r="M403" s="1" t="s">
        <v>621</v>
      </c>
      <c r="N403" s="353" t="s">
        <v>2167</v>
      </c>
      <c r="O403" s="353">
        <v>17.484439223613901</v>
      </c>
      <c r="P403" s="353">
        <v>-95.593343760520597</v>
      </c>
      <c r="Q403" s="2"/>
      <c r="R403" s="86"/>
      <c r="S403" s="2"/>
      <c r="T403">
        <v>1650</v>
      </c>
      <c r="U403">
        <v>1650</v>
      </c>
      <c r="V403"/>
      <c r="W403" s="341"/>
      <c r="X403" s="34">
        <v>1</v>
      </c>
      <c r="Y403" s="270">
        <f t="shared" si="0"/>
        <v>1650</v>
      </c>
      <c r="Z403" s="163">
        <f>Table11[[#This Row],['#Planted]]*Table11[[#This Row],[USA Allocation %]]</f>
        <v>1650</v>
      </c>
      <c r="AA403" s="34"/>
      <c r="AB403" s="163"/>
      <c r="AC403" s="34"/>
      <c r="AD403" s="163"/>
      <c r="AE403" s="270">
        <f>Table11[[#This Row],[Canada Allocation-tree '#''s]]+Table11[[#This Row],[Can trees/Allocation 2017]]</f>
        <v>0</v>
      </c>
      <c r="AF403" s="5"/>
      <c r="AG403" s="35"/>
      <c r="AH403" s="35"/>
      <c r="AI403" s="435">
        <v>1650</v>
      </c>
      <c r="AJ403" s="436">
        <v>1</v>
      </c>
      <c r="AK403" s="5">
        <v>1</v>
      </c>
      <c r="AL403" s="5">
        <v>1</v>
      </c>
      <c r="AM403" s="2">
        <f>Table11[[#This Row],['#Planted]]*Table11[[#This Row],[2024 Survival% Inventory + Estimate]]</f>
        <v>1650</v>
      </c>
      <c r="AN403" s="35">
        <f>Table11[[#This Row],[2024 '#Trees Inventory + Estimate]]*Table11[[#This Row],[USA Allocation %]]</f>
        <v>1650</v>
      </c>
      <c r="AO403" s="35">
        <f>Table11[[#This Row],[2024 '#Trees Inventory + Estimate]]*Table11[[#This Row],[Canada Allocation %]]</f>
        <v>0</v>
      </c>
      <c r="AP403" s="35">
        <f>Table11[[#This Row],[2024 '#Trees Inventory + Estimate]]*Table11[[#This Row],[Canada Allocation2017 %]]</f>
        <v>0</v>
      </c>
      <c r="AQ403" s="270">
        <f>Table11[[#This Row],['#Trees as of 2024/estimate-Can allocation]]+Table11[[#This Row],['#Trees as of 2024/estimate-Can allocation 2017]]</f>
        <v>0</v>
      </c>
      <c r="AR403" s="1"/>
      <c r="AS403" s="2"/>
      <c r="AT403" s="389">
        <f>IFERROR(Table11[[#This Row],['#Total Replacements]]/Table11[[#This Row],['#TreesContract]],"")</f>
        <v>0</v>
      </c>
      <c r="AU403" s="2">
        <f>IF(SUM(Table11[[#This Row],['#Replace 24]:['#Replace 16]])=0,0,SUM(Table11[[#This Row],['#Replace 24]:['#Replace 16]]))</f>
        <v>0</v>
      </c>
      <c r="AV403" s="2"/>
      <c r="AW403" s="2"/>
      <c r="AX403" s="3"/>
      <c r="AY403" s="2"/>
      <c r="AZ403" s="2"/>
      <c r="BA403" s="2"/>
      <c r="BB403" s="2"/>
      <c r="BC403" s="2"/>
      <c r="BD403" s="2"/>
      <c r="BE403" s="2"/>
      <c r="BF403" s="73"/>
      <c r="BG403" s="2"/>
      <c r="BH403" s="2"/>
      <c r="BI403" s="2"/>
      <c r="BJ403" s="2"/>
      <c r="BK403" s="139">
        <f>Table11[[#This Row],[Average MHT
(Feet)]]/16</f>
        <v>0</v>
      </c>
      <c r="BL403" s="235"/>
      <c r="BM403" s="139">
        <f>Table11[[#This Row],[Average DBH
(inches)]]/18</f>
        <v>0</v>
      </c>
      <c r="BN403" s="235">
        <f>((Table11[[#This Row],[Average DBH
(inches)]]-4)^2)*(Table11[[#This Row],[Average MHT
(Feet)]]/16)</f>
        <v>0</v>
      </c>
      <c r="BO403" s="235">
        <f>Table11[[#This Row],[Average BF]]*Table11[[#This Row],[2024 '#Trees Inventory + Estimate]]</f>
        <v>0</v>
      </c>
      <c r="BP403" s="240">
        <f>(Table11[[#This Row],[Harvest Year
(10 year)]]-Table11[[#This Row],[Year of Inventory]]+1)*(Table11[[#This Row],[Average DBH
(inches)]]/(Table11[[#This Row],[Harvest Year
(10 year)]]-Table11[[#This Row],[Year of Inventory]]+1))+Table11[[#This Row],[Average DBH
(inches)]]</f>
        <v>0</v>
      </c>
      <c r="BQ403" s="235">
        <f>((Table11[[#This Row],[Projected DBH
(Extrapolated Growth/Year)]]-4)^2)*(Table11[[#This Row],[Average MHT
(Feet)]]/16)</f>
        <v>0</v>
      </c>
      <c r="BR403" s="235">
        <f>Table11[[#This Row],[Projected Average BF]]*Table11[[#This Row],[2024 '#Trees Inventory + Estimate]]</f>
        <v>0</v>
      </c>
      <c r="BS403" s="235">
        <f>196*Table11[[#This Row],[2024 '#Trees Inventory + Estimate]]</f>
        <v>323400</v>
      </c>
      <c r="BT403" s="235">
        <f>Table11[[#This Row],[ETP Offering Expected BF]]-Table11[[#This Row],[Projected Total BF]]</f>
        <v>323400</v>
      </c>
      <c r="BU403" s="235">
        <f>(18-Table11[[#This Row],[Average DBH
(inches)]])/(D403-Table11[[#This Row],[Year of Inventory]]+1)</f>
        <v>8.8495575221238937E-3</v>
      </c>
    </row>
    <row r="404" spans="1:73" ht="15.75" hidden="1" customHeight="1" x14ac:dyDescent="0.25">
      <c r="A404" s="7" t="s">
        <v>2168</v>
      </c>
      <c r="B404" s="2">
        <v>2022</v>
      </c>
      <c r="C404" s="7">
        <v>2024</v>
      </c>
      <c r="D404" s="2">
        <f>Table11[[#This Row],[Planting Year]]+9</f>
        <v>2033</v>
      </c>
      <c r="E404" s="353"/>
      <c r="F404" s="161">
        <v>40073</v>
      </c>
      <c r="G404" t="s">
        <v>2169</v>
      </c>
      <c r="H404" s="361">
        <v>522831003239</v>
      </c>
      <c r="I404" t="s">
        <v>155</v>
      </c>
      <c r="J404" s="351" t="s">
        <v>2170</v>
      </c>
      <c r="L404" s="1" t="s">
        <v>2171</v>
      </c>
      <c r="M404" t="s">
        <v>621</v>
      </c>
      <c r="N404" s="353" t="s">
        <v>2172</v>
      </c>
      <c r="O404" s="353">
        <v>17.950600300000001</v>
      </c>
      <c r="P404" s="353">
        <v>-95.3010965</v>
      </c>
      <c r="T404">
        <v>5500</v>
      </c>
      <c r="U404">
        <v>5500</v>
      </c>
      <c r="V404" s="1" t="str">
        <f>IF(Table11[[#This Row],['#TreesContract]]-Table11[[#This Row],['#Planted]]=0,"",Table11[[#This Row],['#TreesContract]]-Table11[[#This Row],['#Planted]])</f>
        <v/>
      </c>
      <c r="X404" s="34">
        <v>1</v>
      </c>
      <c r="Y404" s="270">
        <f t="shared" si="0"/>
        <v>5500</v>
      </c>
      <c r="Z404" s="163">
        <f>Table11[[#This Row],['#Planted]]*Table11[[#This Row],[USA Allocation %]]</f>
        <v>5500</v>
      </c>
      <c r="AI404" s="438">
        <v>5500</v>
      </c>
      <c r="AJ404" s="439">
        <v>1</v>
      </c>
      <c r="AK404" s="411">
        <v>1</v>
      </c>
      <c r="AL404" s="411">
        <v>1</v>
      </c>
      <c r="AM404" s="2">
        <f>Table11[[#This Row],['#Planted]]*Table11[[#This Row],[2024 Survival% Inventory + Estimate]]</f>
        <v>5500</v>
      </c>
      <c r="AN404" s="270">
        <f>Table11[[#This Row],[2024 '#Trees Inventory + Estimate]]*Table11[[#This Row],[USA Allocation %]]</f>
        <v>5500</v>
      </c>
      <c r="AT404" s="6">
        <f>IFERROR(Table11[[#This Row],['#Total Replacements]]/Table11[[#This Row],['#TreesContract]],"")</f>
        <v>1.8181818181818181E-2</v>
      </c>
      <c r="AU404" s="4">
        <f>IF(SUM(Table11[[#This Row],['#Replace 24]:['#Replace 16]])=0,0,SUM(Table11[[#This Row],['#Replace 24]:['#Replace 16]]))</f>
        <v>100</v>
      </c>
      <c r="AW404">
        <v>100</v>
      </c>
    </row>
    <row r="405" spans="1:73" s="419" customFormat="1" ht="15.75" hidden="1" customHeight="1" x14ac:dyDescent="0.25">
      <c r="A405" s="7" t="s">
        <v>2173</v>
      </c>
      <c r="B405" s="7">
        <v>2022</v>
      </c>
      <c r="C405" s="7">
        <v>2024</v>
      </c>
      <c r="D405" s="2">
        <f>Table11[[#This Row],[Planting Year]]+9</f>
        <v>2033</v>
      </c>
      <c r="E405" s="353"/>
      <c r="F405">
        <v>40074</v>
      </c>
      <c r="G405" t="s">
        <v>2174</v>
      </c>
      <c r="H405" s="361">
        <v>522831245608</v>
      </c>
      <c r="I405" t="s">
        <v>155</v>
      </c>
      <c r="J405" s="351" t="s">
        <v>2175</v>
      </c>
      <c r="K405"/>
      <c r="L405"/>
      <c r="M405" t="s">
        <v>621</v>
      </c>
      <c r="N405" s="353" t="s">
        <v>2176</v>
      </c>
      <c r="O405" s="353">
        <v>17.4764004478068</v>
      </c>
      <c r="P405" s="353">
        <v>-95.606310067529904</v>
      </c>
      <c r="Q405"/>
      <c r="R405"/>
      <c r="S405"/>
      <c r="T405">
        <v>2200</v>
      </c>
      <c r="U405">
        <v>2200</v>
      </c>
      <c r="V405" t="str">
        <f>IF(Table11[[#This Row],['#TreesContract]]-Table11[[#This Row],['#Planted]]=0,"",Table11[[#This Row],['#TreesContract]]-Table11[[#This Row],['#Planted]])</f>
        <v/>
      </c>
      <c r="W405" s="16"/>
      <c r="X405" s="34">
        <v>1</v>
      </c>
      <c r="Y405" s="270">
        <f t="shared" si="0"/>
        <v>2200</v>
      </c>
      <c r="Z405" s="163">
        <f>Table11[[#This Row],['#Planted]]*Table11[[#This Row],[USA Allocation %]]</f>
        <v>2200</v>
      </c>
      <c r="AA405" s="8"/>
      <c r="AB405" s="16"/>
      <c r="AC405"/>
      <c r="AD405"/>
      <c r="AE405"/>
      <c r="AF405"/>
      <c r="AG405"/>
      <c r="AH405"/>
      <c r="AI405" s="438">
        <v>2200</v>
      </c>
      <c r="AJ405" s="439">
        <v>1</v>
      </c>
      <c r="AK405" s="411">
        <v>1</v>
      </c>
      <c r="AL405" s="411">
        <v>1</v>
      </c>
      <c r="AM405" s="2">
        <f>Table11[[#This Row],['#Planted]]*Table11[[#This Row],[2024 Survival% Inventory + Estimate]]</f>
        <v>2200</v>
      </c>
      <c r="AN405" s="270">
        <f>Table11[[#This Row],[2024 '#Trees Inventory + Estimate]]*Table11[[#This Row],[USA Allocation %]]</f>
        <v>2200</v>
      </c>
      <c r="AO405"/>
      <c r="AP405"/>
      <c r="AQ405"/>
      <c r="AR405"/>
      <c r="AS405"/>
      <c r="AT405" s="6">
        <f>IFERROR(Table11[[#This Row],['#Total Replacements]]/Table11[[#This Row],['#TreesContract]],"")</f>
        <v>0</v>
      </c>
      <c r="AU405" s="4">
        <f>IF(SUM(Table11[[#This Row],['#Replace 24]:['#Replace 16]])=0,0,SUM(Table11[[#This Row],['#Replace 24]:['#Replace 16]]))</f>
        <v>0</v>
      </c>
      <c r="AV405"/>
      <c r="AW405"/>
      <c r="AX405"/>
      <c r="AY405"/>
      <c r="AZ405"/>
      <c r="BA405"/>
      <c r="BB405"/>
      <c r="BC405"/>
      <c r="BD405"/>
      <c r="BE405"/>
      <c r="BF405"/>
      <c r="BG405"/>
      <c r="BH405"/>
      <c r="BI405"/>
      <c r="BJ405"/>
      <c r="BK405"/>
      <c r="BL405" s="236"/>
      <c r="BM405" s="68"/>
      <c r="BN405" s="241"/>
      <c r="BO405" s="236"/>
      <c r="BP405" s="236"/>
      <c r="BQ405" s="236"/>
      <c r="BR405" s="244"/>
      <c r="BS405" s="68"/>
      <c r="BT405"/>
      <c r="BU405" s="236"/>
    </row>
    <row r="406" spans="1:73" s="419" customFormat="1" ht="15.75" hidden="1" customHeight="1" x14ac:dyDescent="0.25">
      <c r="A406" s="7" t="s">
        <v>2177</v>
      </c>
      <c r="B406" s="2">
        <v>2022</v>
      </c>
      <c r="C406" s="7">
        <v>2024</v>
      </c>
      <c r="D406" s="2">
        <f>Table11[[#This Row],[Planting Year]]+9</f>
        <v>2033</v>
      </c>
      <c r="E406" s="355" t="s">
        <v>2178</v>
      </c>
      <c r="F406" s="161">
        <v>40075</v>
      </c>
      <c r="G406" t="s">
        <v>2179</v>
      </c>
      <c r="H406" s="361">
        <v>524433374096</v>
      </c>
      <c r="I406" t="s">
        <v>155</v>
      </c>
      <c r="J406" s="351" t="s">
        <v>2180</v>
      </c>
      <c r="K406"/>
      <c r="L406" s="1" t="s">
        <v>2181</v>
      </c>
      <c r="M406" t="s">
        <v>621</v>
      </c>
      <c r="N406" s="353" t="s">
        <v>2182</v>
      </c>
      <c r="O406" s="353">
        <v>17.801909200000001</v>
      </c>
      <c r="P406" s="353">
        <v>-95.879300499999999</v>
      </c>
      <c r="Q406"/>
      <c r="R406"/>
      <c r="S406"/>
      <c r="T406">
        <v>2750</v>
      </c>
      <c r="U406">
        <v>2750</v>
      </c>
      <c r="V406" s="1" t="str">
        <f>IF(Table11[[#This Row],['#TreesContract]]-Table11[[#This Row],['#Planted]]=0,"",Table11[[#This Row],['#TreesContract]]-Table11[[#This Row],['#Planted]])</f>
        <v/>
      </c>
      <c r="W406" s="16"/>
      <c r="X406" s="34">
        <v>1</v>
      </c>
      <c r="Y406" s="270">
        <f t="shared" si="0"/>
        <v>2750</v>
      </c>
      <c r="Z406" s="163">
        <f>Table11[[#This Row],['#Planted]]*Table11[[#This Row],[USA Allocation %]]</f>
        <v>2750</v>
      </c>
      <c r="AA406" s="8"/>
      <c r="AB406" s="16"/>
      <c r="AC406"/>
      <c r="AD406"/>
      <c r="AE406"/>
      <c r="AF406"/>
      <c r="AG406"/>
      <c r="AH406"/>
      <c r="AI406" s="438">
        <v>2750</v>
      </c>
      <c r="AJ406" s="439">
        <v>1</v>
      </c>
      <c r="AK406" s="411">
        <v>1</v>
      </c>
      <c r="AL406" s="411">
        <v>1</v>
      </c>
      <c r="AM406" s="2">
        <f>Table11[[#This Row],['#Planted]]*Table11[[#This Row],[2024 Survival% Inventory + Estimate]]</f>
        <v>2750</v>
      </c>
      <c r="AN406" s="270">
        <f>Table11[[#This Row],[2024 '#Trees Inventory + Estimate]]*Table11[[#This Row],[USA Allocation %]]</f>
        <v>2750</v>
      </c>
      <c r="AO406"/>
      <c r="AP406"/>
      <c r="AQ406"/>
      <c r="AR406"/>
      <c r="AS406"/>
      <c r="AT406" s="6">
        <f>IFERROR(Table11[[#This Row],['#Total Replacements]]/Table11[[#This Row],['#TreesContract]],"")</f>
        <v>0</v>
      </c>
      <c r="AU406" s="4">
        <f>IF(SUM(Table11[[#This Row],['#Replace 24]:['#Replace 16]])=0,0,SUM(Table11[[#This Row],['#Replace 24]:['#Replace 16]]))</f>
        <v>0</v>
      </c>
      <c r="AV406"/>
      <c r="AW406"/>
      <c r="AX406"/>
      <c r="AY406"/>
      <c r="AZ406"/>
      <c r="BA406"/>
      <c r="BB406"/>
      <c r="BC406"/>
      <c r="BD406"/>
      <c r="BE406"/>
      <c r="BF406"/>
      <c r="BG406"/>
      <c r="BH406"/>
      <c r="BI406"/>
      <c r="BJ406"/>
      <c r="BK406"/>
      <c r="BL406" s="236"/>
      <c r="BM406" s="68"/>
      <c r="BN406" s="241"/>
      <c r="BO406" s="236"/>
      <c r="BP406" s="236"/>
      <c r="BQ406" s="236"/>
      <c r="BR406" s="244"/>
      <c r="BS406" s="68"/>
      <c r="BT406"/>
      <c r="BU406" s="236"/>
    </row>
    <row r="407" spans="1:73" s="419" customFormat="1" ht="15.75" hidden="1" customHeight="1" x14ac:dyDescent="0.25">
      <c r="A407" s="7" t="s">
        <v>2183</v>
      </c>
      <c r="B407" s="7">
        <v>2022</v>
      </c>
      <c r="C407" s="7">
        <v>2024</v>
      </c>
      <c r="D407" s="2">
        <f>Table11[[#This Row],[Planting Year]]+9</f>
        <v>2033</v>
      </c>
      <c r="E407" s="353"/>
      <c r="F407" s="161">
        <v>40076</v>
      </c>
      <c r="G407" s="344" t="s">
        <v>2184</v>
      </c>
      <c r="H407" s="361">
        <v>522881013093</v>
      </c>
      <c r="I407" t="s">
        <v>155</v>
      </c>
      <c r="J407" s="351" t="s">
        <v>2175</v>
      </c>
      <c r="K407" s="1"/>
      <c r="L407" s="1"/>
      <c r="M407" s="1" t="s">
        <v>621</v>
      </c>
      <c r="N407" s="353" t="s">
        <v>2185</v>
      </c>
      <c r="O407" s="353">
        <v>18.004371844949901</v>
      </c>
      <c r="P407" s="353">
        <v>-95.631665658773898</v>
      </c>
      <c r="Q407" s="2"/>
      <c r="R407" s="86"/>
      <c r="S407" s="2"/>
      <c r="T407" s="1">
        <v>2200</v>
      </c>
      <c r="U407" s="1">
        <v>2200</v>
      </c>
      <c r="V407" s="1" t="str">
        <f>IF(Table11[[#This Row],['#TreesContract]]-Table11[[#This Row],['#Planted]]=0,"",Table11[[#This Row],['#TreesContract]]-Table11[[#This Row],['#Planted]])</f>
        <v/>
      </c>
      <c r="W407" s="341"/>
      <c r="X407" s="34">
        <v>1</v>
      </c>
      <c r="Y407" s="270">
        <f t="shared" si="0"/>
        <v>2200</v>
      </c>
      <c r="Z407" s="163">
        <f>Table11[[#This Row],['#Planted]]*Table11[[#This Row],[USA Allocation %]]</f>
        <v>2200</v>
      </c>
      <c r="AA407" s="34"/>
      <c r="AB407" s="163"/>
      <c r="AC407" s="34"/>
      <c r="AD407" s="163"/>
      <c r="AE407" s="270">
        <f>Table11[[#This Row],[Canada Allocation-tree '#''s]]+Table11[[#This Row],[Can trees/Allocation 2017]]</f>
        <v>0</v>
      </c>
      <c r="AF407" s="5"/>
      <c r="AG407" s="35"/>
      <c r="AH407" s="35"/>
      <c r="AI407" s="435">
        <v>2200</v>
      </c>
      <c r="AJ407" s="436">
        <v>1</v>
      </c>
      <c r="AK407" s="5">
        <v>1</v>
      </c>
      <c r="AL407" s="5">
        <v>1</v>
      </c>
      <c r="AM407" s="2">
        <f>Table11[[#This Row],['#Planted]]*Table11[[#This Row],[2024 Survival% Inventory + Estimate]]</f>
        <v>2200</v>
      </c>
      <c r="AN407" s="35">
        <f>Table11[[#This Row],[2024 '#Trees Inventory + Estimate]]*Table11[[#This Row],[USA Allocation %]]</f>
        <v>2200</v>
      </c>
      <c r="AO407" s="35">
        <f>Table11[[#This Row],[2024 '#Trees Inventory + Estimate]]*Table11[[#This Row],[Canada Allocation %]]</f>
        <v>0</v>
      </c>
      <c r="AP407" s="35">
        <f>Table11[[#This Row],[2024 '#Trees Inventory + Estimate]]*Table11[[#This Row],[Canada Allocation2017 %]]</f>
        <v>0</v>
      </c>
      <c r="AQ407" s="270">
        <f>Table11[[#This Row],['#Trees as of 2024/estimate-Can allocation]]+Table11[[#This Row],['#Trees as of 2024/estimate-Can allocation 2017]]</f>
        <v>0</v>
      </c>
      <c r="AR407" s="1"/>
      <c r="AS407" s="2"/>
      <c r="AT407" s="6">
        <f>IFERROR(Table11[[#This Row],['#Total Replacements]]/Table11[[#This Row],['#TreesContract]],"")</f>
        <v>0</v>
      </c>
      <c r="AU407" s="4">
        <f>IF(SUM(Table11[[#This Row],['#Replace 24]:['#Replace 16]])=0,0,SUM(Table11[[#This Row],['#Replace 24]:['#Replace 16]]))</f>
        <v>0</v>
      </c>
      <c r="AV407" s="2"/>
      <c r="AW407" s="2"/>
      <c r="AX407" s="3"/>
      <c r="AY407" s="2"/>
      <c r="AZ407" s="2"/>
      <c r="BA407" s="2"/>
      <c r="BB407" s="2"/>
      <c r="BC407" s="2"/>
      <c r="BD407" s="2"/>
      <c r="BE407" s="2"/>
      <c r="BF407" s="73"/>
      <c r="BG407" s="2"/>
      <c r="BH407" s="2"/>
      <c r="BI407" s="2"/>
      <c r="BJ407" s="2"/>
      <c r="BK407" s="139">
        <f>Table11[[#This Row],[Average MHT
(Feet)]]/16</f>
        <v>0</v>
      </c>
      <c r="BL407" s="235"/>
      <c r="BM407" s="139">
        <f>Table11[[#This Row],[Average DBH
(inches)]]/18</f>
        <v>0</v>
      </c>
      <c r="BN407" s="235">
        <f>((Table11[[#This Row],[Average DBH
(inches)]]-4)^2)*(Table11[[#This Row],[Average MHT
(Feet)]]/16)</f>
        <v>0</v>
      </c>
      <c r="BO407" s="235">
        <f>Table11[[#This Row],[Average BF]]*Table11[[#This Row],[2024 '#Trees Inventory + Estimate]]</f>
        <v>0</v>
      </c>
      <c r="BP407" s="240">
        <f>(Table11[[#This Row],[Harvest Year
(10 year)]]-Table11[[#This Row],[Year of Inventory]]+1)*(Table11[[#This Row],[Average DBH
(inches)]]/(Table11[[#This Row],[Harvest Year
(10 year)]]-Table11[[#This Row],[Year of Inventory]]+1))+Table11[[#This Row],[Average DBH
(inches)]]</f>
        <v>0</v>
      </c>
      <c r="BQ407" s="235">
        <f>((Table11[[#This Row],[Projected DBH
(Extrapolated Growth/Year)]]-4)^2)*(Table11[[#This Row],[Average MHT
(Feet)]]/16)</f>
        <v>0</v>
      </c>
      <c r="BR407" s="235">
        <f>Table11[[#This Row],[Projected Average BF]]*Table11[[#This Row],[2024 '#Trees Inventory + Estimate]]</f>
        <v>0</v>
      </c>
      <c r="BS407" s="235">
        <f>196*Table11[[#This Row],[2024 '#Trees Inventory + Estimate]]</f>
        <v>431200</v>
      </c>
      <c r="BT407" s="235">
        <f>Table11[[#This Row],[ETP Offering Expected BF]]-Table11[[#This Row],[Projected Total BF]]</f>
        <v>431200</v>
      </c>
      <c r="BU407" s="235">
        <f>(18-Table11[[#This Row],[Average DBH
(inches)]])/(D407-Table11[[#This Row],[Year of Inventory]]+1)</f>
        <v>8.8495575221238937E-3</v>
      </c>
    </row>
    <row r="408" spans="1:73" ht="15.75" hidden="1" customHeight="1" x14ac:dyDescent="0.25">
      <c r="A408" s="7" t="s">
        <v>2186</v>
      </c>
      <c r="B408" s="7">
        <v>2022</v>
      </c>
      <c r="C408" s="2">
        <v>2024</v>
      </c>
      <c r="D408" s="2">
        <f>Table11[[#This Row],[Planting Year]]+9</f>
        <v>2033</v>
      </c>
      <c r="E408" s="401"/>
      <c r="F408" s="161">
        <v>40077</v>
      </c>
      <c r="G408" s="167" t="s">
        <v>2187</v>
      </c>
      <c r="H408" s="402"/>
      <c r="I408" t="s">
        <v>155</v>
      </c>
      <c r="J408" s="1"/>
      <c r="K408" s="1"/>
      <c r="L408" s="1"/>
      <c r="M408" s="1" t="s">
        <v>621</v>
      </c>
      <c r="N408" s="353"/>
      <c r="O408" s="353"/>
      <c r="P408" s="353"/>
      <c r="Q408" s="2"/>
      <c r="R408" s="86"/>
      <c r="S408" s="2"/>
      <c r="T408" s="1">
        <v>1100</v>
      </c>
      <c r="U408" s="1">
        <v>1100</v>
      </c>
      <c r="V408" s="1"/>
      <c r="W408" s="2"/>
      <c r="X408" s="34">
        <v>1</v>
      </c>
      <c r="Y408" s="270">
        <f t="shared" ref="Y408:Y424" si="1">T408*X408</f>
        <v>1100</v>
      </c>
      <c r="Z408" s="163">
        <f>Table11[[#This Row],['#Planted]]*Table11[[#This Row],[USA Allocation %]]</f>
        <v>1100</v>
      </c>
      <c r="AA408" s="34"/>
      <c r="AB408" s="163"/>
      <c r="AC408" s="34"/>
      <c r="AD408" s="163"/>
      <c r="AE408" s="270">
        <f>Table11[[#This Row],[Canada Allocation-tree '#''s]]+Table11[[#This Row],[Can trees/Allocation 2017]]</f>
        <v>0</v>
      </c>
      <c r="AF408" s="5"/>
      <c r="AG408" s="35"/>
      <c r="AH408" s="35"/>
      <c r="AI408" s="435">
        <v>1100</v>
      </c>
      <c r="AJ408" s="436">
        <v>1</v>
      </c>
      <c r="AK408" s="5">
        <v>1</v>
      </c>
      <c r="AL408" s="5">
        <v>1</v>
      </c>
      <c r="AM408" s="2">
        <f>Table11[[#This Row],['#Planted]]*Table11[[#This Row],[2024 Survival% Inventory + Estimate]]</f>
        <v>1100</v>
      </c>
      <c r="AN408" s="35">
        <f>Table11[[#This Row],[2024 '#Trees Inventory + Estimate]]*Table11[[#This Row],[USA Allocation %]]</f>
        <v>1100</v>
      </c>
      <c r="AO408" s="35">
        <f>Table11[[#This Row],[2024 '#Trees Inventory + Estimate]]*Table11[[#This Row],[Canada Allocation %]]</f>
        <v>0</v>
      </c>
      <c r="AP408" s="35">
        <f>Table11[[#This Row],[2024 '#Trees Inventory + Estimate]]*Table11[[#This Row],[Canada Allocation2017 %]]</f>
        <v>0</v>
      </c>
      <c r="AQ408" s="270">
        <f>Table11[[#This Row],['#Trees as of 2024/estimate-Can allocation]]+Table11[[#This Row],['#Trees as of 2024/estimate-Can allocation 2017]]</f>
        <v>0</v>
      </c>
      <c r="AR408" s="1"/>
      <c r="AS408" s="2"/>
      <c r="AT408" s="6">
        <f>IFERROR(Table11[[#This Row],['#Total Replacements]]/Table11[[#This Row],['#TreesContract]],"")</f>
        <v>0</v>
      </c>
      <c r="AU408" s="4">
        <f>IF(SUM(Table11[[#This Row],['#Replace 24]:['#Replace 16]])=0,0,SUM(Table11[[#This Row],['#Replace 24]:['#Replace 16]]))</f>
        <v>0</v>
      </c>
      <c r="AV408" s="2"/>
      <c r="AW408" s="2"/>
      <c r="AX408" s="3"/>
      <c r="AY408" s="2"/>
      <c r="AZ408" s="2"/>
      <c r="BA408" s="2"/>
      <c r="BB408" s="2"/>
      <c r="BC408" s="2"/>
      <c r="BD408" s="2"/>
      <c r="BE408" s="2"/>
      <c r="BF408" s="73"/>
      <c r="BG408" s="2"/>
      <c r="BH408" s="2"/>
      <c r="BI408" s="158"/>
      <c r="BJ408" s="158"/>
      <c r="BK408" s="139">
        <f>Table11[[#This Row],[Average MHT
(Feet)]]/16</f>
        <v>0</v>
      </c>
      <c r="BL408" s="2"/>
      <c r="BM408" s="139">
        <f>Table11[[#This Row],[Average DBH
(inches)]]/18</f>
        <v>0</v>
      </c>
      <c r="BN408" s="235">
        <f>((Table11[[#This Row],[Average DBH
(inches)]]-4)^2)*(Table11[[#This Row],[Average MHT
(Feet)]]/16)</f>
        <v>0</v>
      </c>
      <c r="BO408" s="235">
        <f>Table11[[#This Row],[Average BF]]*Table11[[#This Row],[2024 '#Trees Inventory + Estimate]]</f>
        <v>0</v>
      </c>
      <c r="BP408" s="240">
        <f>(Table11[[#This Row],[Harvest Year
(10 year)]]-Table11[[#This Row],[Year of Inventory]]+1)*(Table11[[#This Row],[Average DBH
(inches)]]/(Table11[[#This Row],[Harvest Year
(10 year)]]-Table11[[#This Row],[Year of Inventory]]+1))+Table11[[#This Row],[Average DBH
(inches)]]</f>
        <v>0</v>
      </c>
      <c r="BQ408" s="235">
        <f>((Table11[[#This Row],[Projected DBH
(Extrapolated Growth/Year)]]-4)^2)*(Table11[[#This Row],[Average MHT
(Feet)]]/16)</f>
        <v>0</v>
      </c>
      <c r="BR408" s="235">
        <f>Table11[[#This Row],[Projected Average BF]]*Table11[[#This Row],[2024 '#Trees Inventory + Estimate]]</f>
        <v>0</v>
      </c>
      <c r="BS408" s="235">
        <f>196*Table11[[#This Row],[2024 '#Trees Inventory + Estimate]]</f>
        <v>215600</v>
      </c>
      <c r="BT408" s="235">
        <f>Table11[[#This Row],[ETP Offering Expected BF]]-Table11[[#This Row],[Projected Total BF]]</f>
        <v>215600</v>
      </c>
      <c r="BU408" s="235">
        <f>(18-Table11[[#This Row],[Average DBH
(inches)]])/(D408-Table11[[#This Row],[Year of Inventory]]+1)</f>
        <v>8.8495575221238937E-3</v>
      </c>
    </row>
    <row r="409" spans="1:73" ht="15.75" hidden="1" customHeight="1" x14ac:dyDescent="0.25">
      <c r="A409" s="7" t="s">
        <v>2188</v>
      </c>
      <c r="B409" s="2">
        <v>2022</v>
      </c>
      <c r="C409" s="7">
        <v>2024</v>
      </c>
      <c r="D409" s="2">
        <f>Table11[[#This Row],[Planting Year]]+9</f>
        <v>2033</v>
      </c>
      <c r="E409" s="354" t="s">
        <v>2189</v>
      </c>
      <c r="F409" s="161">
        <v>40078</v>
      </c>
      <c r="G409" t="s">
        <v>2190</v>
      </c>
      <c r="H409" s="361">
        <v>8162998970</v>
      </c>
      <c r="I409" t="s">
        <v>155</v>
      </c>
      <c r="J409" s="351" t="s">
        <v>2191</v>
      </c>
      <c r="L409" s="1" t="s">
        <v>2192</v>
      </c>
      <c r="M409" t="s">
        <v>621</v>
      </c>
      <c r="N409" s="353" t="s">
        <v>2193</v>
      </c>
      <c r="O409" s="353">
        <v>17.699565199999999</v>
      </c>
      <c r="P409" s="353">
        <v>-95.532552199999998</v>
      </c>
      <c r="T409">
        <v>2750</v>
      </c>
      <c r="U409">
        <v>2750</v>
      </c>
      <c r="V409" s="1" t="str">
        <f>IF(Table11[[#This Row],['#TreesContract]]-Table11[[#This Row],['#Planted]]=0,"",Table11[[#This Row],['#TreesContract]]-Table11[[#This Row],['#Planted]])</f>
        <v/>
      </c>
      <c r="X409" s="34">
        <v>1</v>
      </c>
      <c r="Y409" s="270">
        <f t="shared" si="1"/>
        <v>2750</v>
      </c>
      <c r="Z409" s="163">
        <f>Table11[[#This Row],['#Planted]]*Table11[[#This Row],[USA Allocation %]]</f>
        <v>2750</v>
      </c>
      <c r="AI409" s="438">
        <v>2750</v>
      </c>
      <c r="AJ409" s="439">
        <v>1</v>
      </c>
      <c r="AK409" s="411">
        <v>1</v>
      </c>
      <c r="AL409" s="411">
        <v>1</v>
      </c>
      <c r="AM409" s="2">
        <f>Table11[[#This Row],['#Planted]]*Table11[[#This Row],[2024 Survival% Inventory + Estimate]]</f>
        <v>2750</v>
      </c>
      <c r="AN409" s="270">
        <f>Table11[[#This Row],[2024 '#Trees Inventory + Estimate]]*Table11[[#This Row],[USA Allocation %]]</f>
        <v>2750</v>
      </c>
      <c r="AT409" s="6">
        <f>IFERROR(Table11[[#This Row],['#Total Replacements]]/Table11[[#This Row],['#TreesContract]],"")</f>
        <v>0</v>
      </c>
      <c r="AU409" s="4">
        <f>IF(SUM(Table11[[#This Row],['#Replace 24]:['#Replace 16]])=0,0,SUM(Table11[[#This Row],['#Replace 24]:['#Replace 16]]))</f>
        <v>0</v>
      </c>
    </row>
    <row r="410" spans="1:73" ht="15.75" hidden="1" customHeight="1" x14ac:dyDescent="0.25">
      <c r="A410" s="7" t="s">
        <v>2194</v>
      </c>
      <c r="B410" s="2">
        <v>2022</v>
      </c>
      <c r="C410" s="7">
        <v>2024</v>
      </c>
      <c r="D410" s="2">
        <f>Table11[[#This Row],[Planting Year]]+9</f>
        <v>2033</v>
      </c>
      <c r="E410" s="355" t="s">
        <v>2195</v>
      </c>
      <c r="F410" s="161">
        <v>40079</v>
      </c>
      <c r="G410" t="s">
        <v>2196</v>
      </c>
      <c r="H410" s="361">
        <v>524401684602</v>
      </c>
      <c r="I410" t="s">
        <v>155</v>
      </c>
      <c r="J410" s="351" t="s">
        <v>2197</v>
      </c>
      <c r="L410" s="1" t="s">
        <v>2198</v>
      </c>
      <c r="M410" t="s">
        <v>621</v>
      </c>
      <c r="N410" s="353" t="s">
        <v>2199</v>
      </c>
      <c r="O410" s="353">
        <v>17.490230400000002</v>
      </c>
      <c r="P410" s="353">
        <v>-94.452676299999993</v>
      </c>
      <c r="T410">
        <v>1100</v>
      </c>
      <c r="U410">
        <v>1100</v>
      </c>
      <c r="V410" s="1" t="str">
        <f>IF(Table11[[#This Row],['#TreesContract]]-Table11[[#This Row],['#Planted]]=0,"",Table11[[#This Row],['#TreesContract]]-Table11[[#This Row],['#Planted]])</f>
        <v/>
      </c>
      <c r="X410" s="34">
        <v>1</v>
      </c>
      <c r="Y410" s="270">
        <f t="shared" si="1"/>
        <v>1100</v>
      </c>
      <c r="Z410" s="163">
        <f>Table11[[#This Row],['#Planted]]*Table11[[#This Row],[USA Allocation %]]</f>
        <v>1100</v>
      </c>
      <c r="AI410" s="438">
        <v>1100</v>
      </c>
      <c r="AJ410" s="439">
        <v>1</v>
      </c>
      <c r="AK410" s="411">
        <v>1</v>
      </c>
      <c r="AL410" s="411">
        <v>1</v>
      </c>
      <c r="AM410" s="2">
        <f>Table11[[#This Row],['#Planted]]*Table11[[#This Row],[2024 Survival% Inventory + Estimate]]</f>
        <v>1100</v>
      </c>
      <c r="AN410" s="270">
        <f>Table11[[#This Row],[2024 '#Trees Inventory + Estimate]]*Table11[[#This Row],[USA Allocation %]]</f>
        <v>1100</v>
      </c>
      <c r="AT410" s="6">
        <f>IFERROR(Table11[[#This Row],['#Total Replacements]]/Table11[[#This Row],['#TreesContract]],"")</f>
        <v>0</v>
      </c>
      <c r="AU410" s="4">
        <f>IF(SUM(Table11[[#This Row],['#Replace 24]:['#Replace 16]])=0,0,SUM(Table11[[#This Row],['#Replace 24]:['#Replace 16]]))</f>
        <v>0</v>
      </c>
    </row>
    <row r="411" spans="1:73" ht="15.75" hidden="1" customHeight="1" x14ac:dyDescent="0.25">
      <c r="A411" s="7" t="s">
        <v>2200</v>
      </c>
      <c r="B411" s="2">
        <v>2023</v>
      </c>
      <c r="C411" s="7">
        <v>2024</v>
      </c>
      <c r="D411" s="2">
        <f>Table11[[#This Row],[Planting Year]]+9</f>
        <v>2033</v>
      </c>
      <c r="E411" s="353"/>
      <c r="F411" s="161">
        <v>40080</v>
      </c>
      <c r="G411" t="s">
        <v>2201</v>
      </c>
      <c r="H411" s="361"/>
      <c r="I411" t="s">
        <v>155</v>
      </c>
      <c r="J411" s="353"/>
      <c r="L411" s="1" t="s">
        <v>2202</v>
      </c>
      <c r="M411" t="s">
        <v>621</v>
      </c>
      <c r="N411" s="353" t="s">
        <v>2203</v>
      </c>
      <c r="O411" s="353">
        <v>17.38913629</v>
      </c>
      <c r="P411" s="353">
        <v>-93.773975039999996</v>
      </c>
      <c r="T411">
        <v>1100</v>
      </c>
      <c r="U411">
        <v>1100</v>
      </c>
      <c r="V411" s="1" t="str">
        <f>IF(Table11[[#This Row],['#TreesContract]]-Table11[[#This Row],['#Planted]]=0,"",Table11[[#This Row],['#TreesContract]]-Table11[[#This Row],['#Planted]])</f>
        <v/>
      </c>
      <c r="X411" s="34">
        <v>1</v>
      </c>
      <c r="Y411" s="270">
        <f t="shared" si="1"/>
        <v>1100</v>
      </c>
      <c r="Z411" s="163">
        <f>Table11[[#This Row],['#Planted]]*Table11[[#This Row],[USA Allocation %]]</f>
        <v>1100</v>
      </c>
      <c r="AI411" s="438">
        <v>1100</v>
      </c>
      <c r="AJ411" s="439">
        <v>1</v>
      </c>
      <c r="AK411" s="411">
        <v>1</v>
      </c>
      <c r="AL411" s="411">
        <v>1</v>
      </c>
      <c r="AM411" s="2">
        <f>Table11[[#This Row],['#Planted]]*Table11[[#This Row],[2024 Survival% Inventory + Estimate]]</f>
        <v>1100</v>
      </c>
      <c r="AN411" s="270">
        <f>Table11[[#This Row],[2024 '#Trees Inventory + Estimate]]*Table11[[#This Row],[USA Allocation %]]</f>
        <v>1100</v>
      </c>
      <c r="AT411" s="6">
        <f>IFERROR(Table11[[#This Row],['#Total Replacements]]/Table11[[#This Row],['#TreesContract]],"")</f>
        <v>0.13636363636363635</v>
      </c>
      <c r="AU411" s="4">
        <f>IF(SUM(Table11[[#This Row],['#Replace 24]:['#Replace 16]])=0,0,SUM(Table11[[#This Row],['#Replace 24]:['#Replace 16]]))</f>
        <v>150</v>
      </c>
      <c r="AW411">
        <v>150</v>
      </c>
    </row>
    <row r="412" spans="1:73" ht="15.75" hidden="1" customHeight="1" x14ac:dyDescent="0.25">
      <c r="A412" s="7" t="s">
        <v>2204</v>
      </c>
      <c r="B412" s="2">
        <v>2024</v>
      </c>
      <c r="C412" s="2">
        <v>2024</v>
      </c>
      <c r="D412" s="2">
        <f>Table11[[#This Row],[Planting Year]]+9</f>
        <v>2033</v>
      </c>
      <c r="E412" s="97"/>
      <c r="F412" s="161">
        <v>40081</v>
      </c>
      <c r="G412" t="s">
        <v>2205</v>
      </c>
      <c r="H412" s="357"/>
      <c r="I412" t="s">
        <v>155</v>
      </c>
      <c r="J412" s="1"/>
      <c r="K412" s="1"/>
      <c r="L412" s="1" t="s">
        <v>2206</v>
      </c>
      <c r="M412" s="1" t="s">
        <v>621</v>
      </c>
      <c r="N412" s="353" t="s">
        <v>2207</v>
      </c>
      <c r="O412" s="353">
        <v>17.318918499999999</v>
      </c>
      <c r="P412" s="353">
        <v>-93.743254800000003</v>
      </c>
      <c r="Q412" s="2"/>
      <c r="R412" s="86"/>
      <c r="S412" s="2"/>
      <c r="T412" s="477">
        <v>2200</v>
      </c>
      <c r="U412" s="1">
        <v>1380</v>
      </c>
      <c r="V412" s="1">
        <f>IF(Table11[[#This Row],['#TreesContract]]-Table11[[#This Row],['#Planted]]=0,"",Table11[[#This Row],['#TreesContract]]-Table11[[#This Row],['#Planted]])</f>
        <v>820</v>
      </c>
      <c r="W412" s="2"/>
      <c r="X412" s="370">
        <v>1</v>
      </c>
      <c r="Y412" s="270">
        <f t="shared" si="1"/>
        <v>2200</v>
      </c>
      <c r="Z412" s="270">
        <f>Table11[[#This Row],['#Planted]]*Table11[[#This Row],[USA Allocation %]]</f>
        <v>1380</v>
      </c>
      <c r="AA412" s="370"/>
      <c r="AB412" s="270"/>
      <c r="AC412" s="370"/>
      <c r="AD412" s="270"/>
      <c r="AE412" s="270"/>
      <c r="AF412" s="370"/>
      <c r="AG412" s="270"/>
      <c r="AH412" s="270"/>
      <c r="AI412" s="478">
        <v>1380</v>
      </c>
      <c r="AJ412" s="479">
        <f>Table11[[#This Row],['#Trees as of 12/31/24-master]]/Table11[[#This Row],[USA trees/Allocation/Contracted]]</f>
        <v>0.62727272727272732</v>
      </c>
      <c r="AK412" s="370">
        <f>Table11[[#This Row],['#Trees as of 12/31/24-master]]/Table11[[#This Row],[USA trees/Allocation/Contracted]]</f>
        <v>0.62727272727272732</v>
      </c>
      <c r="AL412" s="370">
        <v>0.63</v>
      </c>
      <c r="AM412" s="270">
        <f>Table11[[#This Row],['#Trees as of 12/31/24-master]]</f>
        <v>1380</v>
      </c>
      <c r="AN412" s="270">
        <f>Table11[[#This Row],[2024 '#Trees Inventory + Estimate]]*Table11[[#This Row],[USA Allocation %]]</f>
        <v>1380</v>
      </c>
      <c r="AO412" s="270"/>
      <c r="AP412" s="270"/>
      <c r="AQ412" s="270"/>
      <c r="AR412" s="1"/>
      <c r="AS412" s="139"/>
      <c r="AT412" s="371">
        <f>IFERROR(Table11[[#This Row],['#Total Replacements]]/Table11[[#This Row],['#TreesContract]],"")</f>
        <v>0</v>
      </c>
      <c r="AU412" s="4">
        <f>IF(SUM(Table11[[#This Row],['#Replace 24]:['#Replace 16]])=0,0,SUM(Table11[[#This Row],['#Replace 24]:['#Replace 16]]))</f>
        <v>0</v>
      </c>
      <c r="AV412" s="2"/>
      <c r="AW412" s="2"/>
      <c r="AX412" s="3"/>
      <c r="AY412" s="2"/>
      <c r="AZ412" s="2"/>
      <c r="BA412" s="2"/>
      <c r="BB412" s="2"/>
      <c r="BC412" s="2"/>
      <c r="BD412" s="2"/>
      <c r="BE412" s="2"/>
      <c r="BF412" s="3"/>
      <c r="BG412" s="3"/>
      <c r="BH412" s="2"/>
      <c r="BI412" s="2"/>
      <c r="BJ412" s="2"/>
      <c r="BK412" s="139"/>
      <c r="BL412" s="2"/>
      <c r="BM412" s="139"/>
      <c r="BN412" s="235"/>
      <c r="BO412" s="235"/>
      <c r="BP412" s="240"/>
      <c r="BQ412" s="235"/>
      <c r="BR412" s="235"/>
      <c r="BS412" s="235"/>
      <c r="BT412" s="243"/>
      <c r="BU412" s="235"/>
    </row>
    <row r="413" spans="1:73" ht="15.75" hidden="1" customHeight="1" x14ac:dyDescent="0.25">
      <c r="A413" s="7" t="s">
        <v>2208</v>
      </c>
      <c r="B413" s="232">
        <v>2024</v>
      </c>
      <c r="C413" s="2">
        <v>2024</v>
      </c>
      <c r="D413" s="2">
        <f>Table11[[#This Row],[Planting Year]]+9</f>
        <v>2033</v>
      </c>
      <c r="E413" s="97"/>
      <c r="F413" s="161">
        <v>40082</v>
      </c>
      <c r="G413" s="97" t="s">
        <v>2209</v>
      </c>
      <c r="H413" s="357" t="s">
        <v>2210</v>
      </c>
      <c r="I413" t="s">
        <v>155</v>
      </c>
      <c r="J413" s="1"/>
      <c r="K413" s="1"/>
      <c r="L413" s="1" t="s">
        <v>2206</v>
      </c>
      <c r="M413" s="1" t="s">
        <v>621</v>
      </c>
      <c r="N413" s="353" t="s">
        <v>2211</v>
      </c>
      <c r="O413" s="353">
        <v>17.326236699999999</v>
      </c>
      <c r="P413" s="353">
        <v>-93.743891099999999</v>
      </c>
      <c r="Q413" s="2"/>
      <c r="R413" s="86"/>
      <c r="S413" s="2"/>
      <c r="T413" s="477">
        <v>2475</v>
      </c>
      <c r="U413" s="1">
        <v>1000</v>
      </c>
      <c r="V413" s="1">
        <f>IF(Table11[[#This Row],['#TreesContract]]-Table11[[#This Row],['#Planted]]=0,"",Table11[[#This Row],['#TreesContract]]-Table11[[#This Row],['#Planted]])</f>
        <v>1475</v>
      </c>
      <c r="W413" s="2"/>
      <c r="X413" s="370">
        <v>1</v>
      </c>
      <c r="Y413" s="270">
        <f t="shared" si="1"/>
        <v>2475</v>
      </c>
      <c r="Z413" s="270">
        <f>Table11[[#This Row],['#Planted]]*Table11[[#This Row],[USA Allocation %]]</f>
        <v>1000</v>
      </c>
      <c r="AA413" s="370"/>
      <c r="AB413" s="270"/>
      <c r="AC413" s="370"/>
      <c r="AD413" s="270"/>
      <c r="AE413" s="270"/>
      <c r="AF413" s="370"/>
      <c r="AG413" s="270"/>
      <c r="AH413" s="270"/>
      <c r="AI413" s="478">
        <f>Table11[[#This Row],['#Planted]]</f>
        <v>1000</v>
      </c>
      <c r="AJ413" s="479">
        <f>Table11[[#This Row],['#Trees as of 12/31/24-master]]/Table11[[#This Row],[USA trees/Allocation/Contracted]]</f>
        <v>0.40404040404040403</v>
      </c>
      <c r="AK413" s="370">
        <f>Table11[[#This Row],[2024 Inventory Survival%-master]]</f>
        <v>0.40404040404040403</v>
      </c>
      <c r="AL413" s="370">
        <v>0.4</v>
      </c>
      <c r="AM413" s="270">
        <v>1000</v>
      </c>
      <c r="AN413" s="270">
        <f>Table11[[#This Row],[2024 '#Trees Inventory + Estimate]]*Table11[[#This Row],[USA Allocation %]]</f>
        <v>1000</v>
      </c>
      <c r="AO413" s="270"/>
      <c r="AP413" s="270"/>
      <c r="AQ413" s="270"/>
      <c r="AR413" s="1"/>
      <c r="AS413" s="2"/>
      <c r="AT413" s="371">
        <f>IFERROR(Table11[[#This Row],['#Total Replacements]]/Table11[[#This Row],['#TreesContract]],"")</f>
        <v>0</v>
      </c>
      <c r="AU413" s="4">
        <f>IF(SUM(Table11[[#This Row],['#Replace 24]:['#Replace 16]])=0,0,SUM(Table11[[#This Row],['#Replace 24]:['#Replace 16]]))</f>
        <v>0</v>
      </c>
      <c r="AV413" s="2"/>
      <c r="AW413" s="2"/>
      <c r="AX413" s="3"/>
      <c r="AY413" s="2"/>
      <c r="AZ413" s="2"/>
      <c r="BA413" s="2"/>
      <c r="BB413" s="2"/>
      <c r="BC413" s="2"/>
      <c r="BD413" s="2"/>
      <c r="BE413" s="2"/>
      <c r="BF413" s="3"/>
      <c r="BG413" s="3"/>
      <c r="BH413" s="2"/>
      <c r="BI413" s="158"/>
      <c r="BJ413" s="158"/>
      <c r="BK413" s="139"/>
      <c r="BL413" s="2"/>
      <c r="BM413" s="139"/>
      <c r="BN413" s="235"/>
      <c r="BO413" s="235"/>
      <c r="BP413" s="240"/>
      <c r="BQ413" s="235"/>
      <c r="BR413" s="235"/>
      <c r="BS413" s="235"/>
      <c r="BT413" s="243"/>
      <c r="BU413" s="235"/>
    </row>
    <row r="414" spans="1:73" ht="15.75" hidden="1" customHeight="1" x14ac:dyDescent="0.25">
      <c r="A414" s="7" t="s">
        <v>2212</v>
      </c>
      <c r="B414" s="2">
        <v>2023</v>
      </c>
      <c r="C414" s="7">
        <v>2024</v>
      </c>
      <c r="D414" s="2">
        <f>Table11[[#This Row],[Planting Year]]+9</f>
        <v>2033</v>
      </c>
      <c r="E414" s="353"/>
      <c r="F414" s="161">
        <v>40083</v>
      </c>
      <c r="G414" t="s">
        <v>2213</v>
      </c>
      <c r="H414" s="361"/>
      <c r="I414" t="s">
        <v>155</v>
      </c>
      <c r="J414" s="353"/>
      <c r="M414" t="s">
        <v>621</v>
      </c>
      <c r="N414" s="353" t="s">
        <v>2214</v>
      </c>
      <c r="O414" s="353">
        <v>17.3617901</v>
      </c>
      <c r="P414" s="353">
        <v>-93.785573240000005</v>
      </c>
      <c r="T414">
        <v>550</v>
      </c>
      <c r="U414">
        <v>550</v>
      </c>
      <c r="V414" s="1" t="str">
        <f>IF(Table11[[#This Row],['#TreesContract]]-Table11[[#This Row],['#Planted]]=0,"",Table11[[#This Row],['#TreesContract]]-Table11[[#This Row],['#Planted]])</f>
        <v/>
      </c>
      <c r="X414" s="34">
        <v>1</v>
      </c>
      <c r="Y414" s="270">
        <f t="shared" si="1"/>
        <v>550</v>
      </c>
      <c r="Z414" s="163">
        <f>Table11[[#This Row],['#Planted]]*Table11[[#This Row],[USA Allocation %]]</f>
        <v>550</v>
      </c>
      <c r="AI414" s="438">
        <v>550</v>
      </c>
      <c r="AJ414" s="439">
        <v>1</v>
      </c>
      <c r="AK414" s="411">
        <v>1</v>
      </c>
      <c r="AL414" s="411">
        <v>1</v>
      </c>
      <c r="AM414" s="2">
        <f>Table11[[#This Row],['#Planted]]*Table11[[#This Row],[2024 Survival% Inventory + Estimate]]</f>
        <v>550</v>
      </c>
      <c r="AN414" s="270">
        <f>Table11[[#This Row],[2024 '#Trees Inventory + Estimate]]*Table11[[#This Row],[USA Allocation %]]</f>
        <v>550</v>
      </c>
      <c r="AT414" s="6">
        <f>IFERROR(Table11[[#This Row],['#Total Replacements]]/Table11[[#This Row],['#TreesContract]],"")</f>
        <v>0</v>
      </c>
      <c r="AU414" s="4">
        <f>IF(SUM(Table11[[#This Row],['#Replace 24]:['#Replace 16]])=0,0,SUM(Table11[[#This Row],['#Replace 24]:['#Replace 16]]))</f>
        <v>0</v>
      </c>
    </row>
    <row r="415" spans="1:73" ht="15.75" hidden="1" customHeight="1" x14ac:dyDescent="0.25">
      <c r="A415" s="7" t="s">
        <v>2215</v>
      </c>
      <c r="B415" s="2">
        <v>2024</v>
      </c>
      <c r="C415" s="7">
        <v>2024</v>
      </c>
      <c r="D415" s="2">
        <f>Table11[[#This Row],[Planting Year]]+9</f>
        <v>2033</v>
      </c>
      <c r="E415" s="353"/>
      <c r="F415" s="161">
        <v>40084</v>
      </c>
      <c r="G415" t="s">
        <v>2216</v>
      </c>
      <c r="H415" s="361"/>
      <c r="I415" t="s">
        <v>155</v>
      </c>
      <c r="J415" s="353"/>
      <c r="L415" s="1" t="s">
        <v>2217</v>
      </c>
      <c r="M415" t="s">
        <v>621</v>
      </c>
      <c r="N415" s="353" t="s">
        <v>2218</v>
      </c>
      <c r="O415" s="353">
        <v>17.42363581</v>
      </c>
      <c r="P415" s="353">
        <v>-93.799480500000001</v>
      </c>
      <c r="T415">
        <v>1100</v>
      </c>
      <c r="U415">
        <v>1100</v>
      </c>
      <c r="V415" s="1" t="str">
        <f>IF(Table11[[#This Row],['#TreesContract]]-Table11[[#This Row],['#Planted]]=0,"",Table11[[#This Row],['#TreesContract]]-Table11[[#This Row],['#Planted]])</f>
        <v/>
      </c>
      <c r="X415" s="34">
        <v>1</v>
      </c>
      <c r="Y415" s="270">
        <f t="shared" si="1"/>
        <v>1100</v>
      </c>
      <c r="Z415" s="163">
        <f>Table11[[#This Row],['#Planted]]*Table11[[#This Row],[USA Allocation %]]</f>
        <v>1100</v>
      </c>
      <c r="AI415" s="438">
        <v>1100</v>
      </c>
      <c r="AJ415" s="439">
        <v>1</v>
      </c>
      <c r="AK415" s="411">
        <v>1</v>
      </c>
      <c r="AL415" s="411">
        <v>1</v>
      </c>
      <c r="AM415" s="2">
        <f>Table11[[#This Row],['#Planted]]*Table11[[#This Row],[2024 Survival% Inventory + Estimate]]</f>
        <v>1100</v>
      </c>
      <c r="AN415" s="270">
        <f>Table11[[#This Row],[2024 '#Trees Inventory + Estimate]]*Table11[[#This Row],[USA Allocation %]]</f>
        <v>1100</v>
      </c>
      <c r="AT415" s="6">
        <f>IFERROR(Table11[[#This Row],['#Total Replacements]]/Table11[[#This Row],['#TreesContract]],"")</f>
        <v>0</v>
      </c>
      <c r="AU415" s="4">
        <f>IF(SUM(Table11[[#This Row],['#Replace 24]:['#Replace 16]])=0,0,SUM(Table11[[#This Row],['#Replace 24]:['#Replace 16]]))</f>
        <v>0</v>
      </c>
    </row>
    <row r="416" spans="1:73" ht="15.75" hidden="1" customHeight="1" x14ac:dyDescent="0.25">
      <c r="A416" s="7" t="s">
        <v>2219</v>
      </c>
      <c r="B416" s="2">
        <v>2023</v>
      </c>
      <c r="C416" s="7">
        <v>2024</v>
      </c>
      <c r="D416" s="2">
        <f>Table11[[#This Row],[Planting Year]]+9</f>
        <v>2033</v>
      </c>
      <c r="E416" s="353"/>
      <c r="F416" s="161">
        <v>40085</v>
      </c>
      <c r="G416" t="s">
        <v>2220</v>
      </c>
      <c r="H416" s="361"/>
      <c r="I416" t="s">
        <v>155</v>
      </c>
      <c r="J416" s="353"/>
      <c r="M416" t="s">
        <v>621</v>
      </c>
      <c r="N416" s="353" t="s">
        <v>2221</v>
      </c>
      <c r="O416" s="353">
        <v>17.342234770000001</v>
      </c>
      <c r="P416" s="353">
        <v>-93.766053799999995</v>
      </c>
      <c r="T416">
        <v>1650</v>
      </c>
      <c r="U416">
        <v>1650</v>
      </c>
      <c r="X416" s="34">
        <v>1</v>
      </c>
      <c r="Y416" s="270">
        <f t="shared" si="1"/>
        <v>1650</v>
      </c>
      <c r="Z416" s="163">
        <f>Table11[[#This Row],['#Planted]]*Table11[[#This Row],[USA Allocation %]]</f>
        <v>1650</v>
      </c>
      <c r="AI416" s="438">
        <v>1650</v>
      </c>
      <c r="AJ416" s="439">
        <v>1</v>
      </c>
      <c r="AK416" s="411">
        <v>1</v>
      </c>
      <c r="AL416" s="411">
        <v>1</v>
      </c>
      <c r="AM416" s="2">
        <f>Table11[[#This Row],['#Planted]]*Table11[[#This Row],[2024 Survival% Inventory + Estimate]]</f>
        <v>1650</v>
      </c>
      <c r="AN416" s="270">
        <f>Table11[[#This Row],[2024 '#Trees Inventory + Estimate]]*Table11[[#This Row],[USA Allocation %]]</f>
        <v>1650</v>
      </c>
      <c r="AT416" s="6">
        <f>IFERROR(Table11[[#This Row],['#Total Replacements]]/Table11[[#This Row],['#TreesContract]],"")</f>
        <v>6.0606060606060606E-3</v>
      </c>
      <c r="AU416" s="4">
        <f>IF(SUM(Table11[[#This Row],['#Replace 24]:['#Replace 16]])=0,0,SUM(Table11[[#This Row],['#Replace 24]:['#Replace 16]]))</f>
        <v>10</v>
      </c>
      <c r="AW416">
        <v>10</v>
      </c>
    </row>
    <row r="417" spans="1:73" ht="15" hidden="1" customHeight="1" x14ac:dyDescent="0.25">
      <c r="A417" s="7" t="s">
        <v>2222</v>
      </c>
      <c r="B417" s="2">
        <v>2024</v>
      </c>
      <c r="C417" s="7">
        <v>2024</v>
      </c>
      <c r="D417" s="2">
        <f>Table11[[#This Row],[Planting Year]]+9</f>
        <v>2033</v>
      </c>
      <c r="E417" s="353"/>
      <c r="F417" s="161">
        <v>40086</v>
      </c>
      <c r="G417" t="s">
        <v>2223</v>
      </c>
      <c r="H417" s="361"/>
      <c r="I417" t="s">
        <v>155</v>
      </c>
      <c r="J417" s="353"/>
      <c r="L417" s="1" t="s">
        <v>2202</v>
      </c>
      <c r="M417" t="s">
        <v>621</v>
      </c>
      <c r="N417" s="353" t="s">
        <v>2224</v>
      </c>
      <c r="O417" s="353">
        <v>17.394443590000002</v>
      </c>
      <c r="P417" s="353">
        <v>-93.772393539999996</v>
      </c>
      <c r="T417">
        <v>1650</v>
      </c>
      <c r="U417">
        <v>1000</v>
      </c>
      <c r="V417" s="1">
        <f>IF(Table11[[#This Row],['#TreesContract]]-Table11[[#This Row],['#Planted]]=0,"",Table11[[#This Row],['#TreesContract]]-Table11[[#This Row],['#Planted]])</f>
        <v>650</v>
      </c>
      <c r="X417" s="34">
        <v>1</v>
      </c>
      <c r="Y417" s="270">
        <f t="shared" si="1"/>
        <v>1650</v>
      </c>
      <c r="Z417" s="163">
        <f>Table11[[#This Row],['#Planted]]*Table11[[#This Row],[USA Allocation %]]</f>
        <v>1000</v>
      </c>
      <c r="AI417" s="438">
        <v>1000</v>
      </c>
      <c r="AJ417" s="439">
        <f>Table11[[#This Row],['#Trees as of 12/31/24-master]]/Table11[[#This Row],[USA trees/Allocation/Contracted]]</f>
        <v>0.60606060606060608</v>
      </c>
      <c r="AK417" s="411">
        <v>0.61</v>
      </c>
      <c r="AL417" s="411">
        <v>0.61</v>
      </c>
      <c r="AM417" s="2">
        <v>1000</v>
      </c>
      <c r="AN417" s="270">
        <f>Table11[[#This Row],[2024 '#Trees Inventory + Estimate]]*Table11[[#This Row],[USA Allocation %]]</f>
        <v>1000</v>
      </c>
      <c r="AT417" s="6">
        <f>IFERROR(Table11[[#This Row],['#Total Replacements]]/Table11[[#This Row],['#TreesContract]],"")</f>
        <v>0</v>
      </c>
      <c r="AU417" s="4">
        <f>IF(SUM(Table11[[#This Row],['#Replace 24]:['#Replace 16]])=0,0,SUM(Table11[[#This Row],['#Replace 24]:['#Replace 16]]))</f>
        <v>0</v>
      </c>
    </row>
    <row r="418" spans="1:73" s="346" customFormat="1" hidden="1" x14ac:dyDescent="0.25">
      <c r="A418" s="7" t="s">
        <v>2225</v>
      </c>
      <c r="B418" s="2">
        <v>2024</v>
      </c>
      <c r="C418" s="7">
        <v>2024</v>
      </c>
      <c r="D418" s="2">
        <f>Table11[[#This Row],[Planting Year]]+9</f>
        <v>2033</v>
      </c>
      <c r="E418" s="353"/>
      <c r="F418" s="161">
        <v>40087</v>
      </c>
      <c r="G418" t="s">
        <v>2226</v>
      </c>
      <c r="H418" s="361"/>
      <c r="I418" t="s">
        <v>155</v>
      </c>
      <c r="J418" s="353"/>
      <c r="K418"/>
      <c r="L418" t="s">
        <v>2227</v>
      </c>
      <c r="M418" t="s">
        <v>621</v>
      </c>
      <c r="N418" s="353" t="s">
        <v>2228</v>
      </c>
      <c r="O418" s="353">
        <v>17.388569969999999</v>
      </c>
      <c r="P418" s="353">
        <v>-93.771169779999994</v>
      </c>
      <c r="Q418"/>
      <c r="R418"/>
      <c r="S418"/>
      <c r="T418">
        <v>1650</v>
      </c>
      <c r="U418">
        <v>1260</v>
      </c>
      <c r="V418" s="1">
        <f>IF(Table11[[#This Row],['#TreesContract]]-Table11[[#This Row],['#Planted]]=0,"",Table11[[#This Row],['#TreesContract]]-Table11[[#This Row],['#Planted]])</f>
        <v>390</v>
      </c>
      <c r="W418" s="16"/>
      <c r="X418" s="34">
        <v>1</v>
      </c>
      <c r="Y418" s="270">
        <f t="shared" si="1"/>
        <v>1650</v>
      </c>
      <c r="Z418" s="163">
        <f>Table11[[#This Row],['#Planted]]*Table11[[#This Row],[USA Allocation %]]</f>
        <v>1260</v>
      </c>
      <c r="AA418" s="8"/>
      <c r="AB418" s="16"/>
      <c r="AC418"/>
      <c r="AD418"/>
      <c r="AE418"/>
      <c r="AF418"/>
      <c r="AG418"/>
      <c r="AH418"/>
      <c r="AI418" s="438">
        <v>1260</v>
      </c>
      <c r="AJ418" s="439">
        <f>Table11[[#This Row],['#Trees as of 12/31/24-master]]/Table11[[#This Row],[USA trees/Allocation/Contracted]]</f>
        <v>0.76363636363636367</v>
      </c>
      <c r="AK418" s="411">
        <f>Table11[[#This Row],[2024 Inventory Survival%-master]]</f>
        <v>0.76363636363636367</v>
      </c>
      <c r="AL418" s="411">
        <f>Table11[[#This Row],[2024 Estimated Survival%]]</f>
        <v>0.76363636363636367</v>
      </c>
      <c r="AM418" s="2">
        <v>1260</v>
      </c>
      <c r="AN418" s="270">
        <f>Table11[[#This Row],[2024 '#Trees Inventory + Estimate]]*Table11[[#This Row],[USA Allocation %]]</f>
        <v>1260</v>
      </c>
      <c r="AO418"/>
      <c r="AP418"/>
      <c r="AQ418"/>
      <c r="AR418"/>
      <c r="AS418"/>
      <c r="AT418" s="6">
        <f>IFERROR(Table11[[#This Row],['#Total Replacements]]/Table11[[#This Row],['#TreesContract]],"")</f>
        <v>0</v>
      </c>
      <c r="AU418" s="4">
        <f>IF(SUM(Table11[[#This Row],['#Replace 24]:['#Replace 16]])=0,0,SUM(Table11[[#This Row],['#Replace 24]:['#Replace 16]]))</f>
        <v>0</v>
      </c>
      <c r="AV418"/>
      <c r="AW418"/>
      <c r="AX418"/>
      <c r="AY418"/>
      <c r="AZ418"/>
      <c r="BA418"/>
      <c r="BB418"/>
      <c r="BC418"/>
      <c r="BD418"/>
      <c r="BE418"/>
      <c r="BF418"/>
      <c r="BG418"/>
      <c r="BH418"/>
      <c r="BI418"/>
      <c r="BJ418"/>
      <c r="BK418"/>
      <c r="BL418" s="236"/>
      <c r="BM418" s="68"/>
      <c r="BN418" s="241"/>
      <c r="BO418" s="236"/>
      <c r="BP418" s="236"/>
      <c r="BQ418" s="236"/>
      <c r="BR418" s="244"/>
      <c r="BS418" s="68"/>
      <c r="BT418"/>
      <c r="BU418" s="236"/>
    </row>
    <row r="419" spans="1:73" s="346" customFormat="1" hidden="1" x14ac:dyDescent="0.25">
      <c r="A419" s="7" t="s">
        <v>2229</v>
      </c>
      <c r="B419" s="2">
        <v>2024</v>
      </c>
      <c r="C419" s="7">
        <v>2024</v>
      </c>
      <c r="D419" s="2">
        <f>Table11[[#This Row],[Planting Year]]+9</f>
        <v>2033</v>
      </c>
      <c r="E419" s="353"/>
      <c r="F419" s="161">
        <v>40088</v>
      </c>
      <c r="G419" t="s">
        <v>2230</v>
      </c>
      <c r="H419" s="361">
        <v>529231208846</v>
      </c>
      <c r="I419" t="s">
        <v>155</v>
      </c>
      <c r="J419" s="353"/>
      <c r="K419"/>
      <c r="L419" s="1"/>
      <c r="M419" t="s">
        <v>621</v>
      </c>
      <c r="N419" s="353" t="s">
        <v>2231</v>
      </c>
      <c r="O419" s="353">
        <v>17.395341670000001</v>
      </c>
      <c r="P419" s="353">
        <v>-93.779717649999995</v>
      </c>
      <c r="Q419"/>
      <c r="R419"/>
      <c r="S419"/>
      <c r="T419">
        <v>1650</v>
      </c>
      <c r="U419">
        <v>1496</v>
      </c>
      <c r="V419" s="1">
        <f>IF(Table11[[#This Row],['#TreesContract]]-Table11[[#This Row],['#Planted]]=0,"",Table11[[#This Row],['#TreesContract]]-Table11[[#This Row],['#Planted]])</f>
        <v>154</v>
      </c>
      <c r="W419" s="16" t="s">
        <v>2232</v>
      </c>
      <c r="X419" s="34">
        <v>1</v>
      </c>
      <c r="Y419" s="270">
        <f t="shared" si="1"/>
        <v>1650</v>
      </c>
      <c r="Z419" s="163">
        <f>Table11[[#This Row],['#Planted]]*Table11[[#This Row],[USA Allocation %]]</f>
        <v>1496</v>
      </c>
      <c r="AA419" s="8"/>
      <c r="AB419" s="16"/>
      <c r="AC419"/>
      <c r="AD419"/>
      <c r="AE419">
        <f>Table11[[#This Row],[Canada Allocation-tree '#''s]]+Table11[[#This Row],[Can trees/Allocation 2017]]</f>
        <v>0</v>
      </c>
      <c r="AF419"/>
      <c r="AG419"/>
      <c r="AH419"/>
      <c r="AI419" s="438">
        <f>Table11[[#This Row],[USA trees/Allocation/Planted]]</f>
        <v>1496</v>
      </c>
      <c r="AJ419" s="439">
        <f>Table11[[#This Row],['#Trees as of 12/31/24-master]]/Table11[[#This Row],[USA trees/Allocation/Contracted]]</f>
        <v>0.90666666666666662</v>
      </c>
      <c r="AK419" s="411">
        <v>0.91</v>
      </c>
      <c r="AL419" s="411">
        <v>0.91</v>
      </c>
      <c r="AM419" s="2">
        <v>1496</v>
      </c>
      <c r="AN419" s="270"/>
      <c r="AO419">
        <f>Table11[[#This Row],[2024 '#Trees Inventory + Estimate]]*Table11[[#This Row],[Canada Allocation %]]</f>
        <v>0</v>
      </c>
      <c r="AP419">
        <f>Table11[[#This Row],[2024 '#Trees Inventory + Estimate]]*Table11[[#This Row],[Canada Allocation2017 %]]</f>
        <v>0</v>
      </c>
      <c r="AQ419">
        <f>Table11[[#This Row],['#Trees as of 2024/estimate-Can allocation]]+Table11[[#This Row],['#Trees as of 2024/estimate-Can allocation 2017]]</f>
        <v>0</v>
      </c>
      <c r="AR419"/>
      <c r="AS419"/>
      <c r="AT419" s="6">
        <f>IFERROR(Table11[[#This Row],['#Total Replacements]]/Table11[[#This Row],['#TreesContract]],"")</f>
        <v>0</v>
      </c>
      <c r="AU419" s="4">
        <f>IF(SUM(Table11[[#This Row],['#Replace 24]:['#Replace 16]])=0,0,SUM(Table11[[#This Row],['#Replace 24]:['#Replace 16]]))</f>
        <v>0</v>
      </c>
      <c r="AV419"/>
      <c r="AW419"/>
      <c r="AX419"/>
      <c r="AY419"/>
      <c r="AZ419"/>
      <c r="BA419"/>
      <c r="BB419"/>
      <c r="BC419"/>
      <c r="BD419"/>
      <c r="BE419"/>
      <c r="BF419"/>
      <c r="BG419"/>
      <c r="BH419"/>
      <c r="BI419"/>
      <c r="BJ419"/>
      <c r="BK419">
        <f>Table11[[#This Row],[Average MHT
(Feet)]]/16</f>
        <v>0</v>
      </c>
      <c r="BL419" s="236"/>
      <c r="BM419" s="68">
        <f>Table11[[#This Row],[Average DBH
(inches)]]/18</f>
        <v>0</v>
      </c>
      <c r="BN419" s="241">
        <f>((Table11[[#This Row],[Average DBH
(inches)]]-4)^2)*(Table11[[#This Row],[Average MHT
(Feet)]]/16)</f>
        <v>0</v>
      </c>
      <c r="BO419" s="236">
        <f>Table11[[#This Row],[Average BF]]*Table11[[#This Row],[2024 '#Trees Inventory + Estimate]]</f>
        <v>0</v>
      </c>
      <c r="BP419" s="236">
        <f>(Table11[[#This Row],[Harvest Year
(10 year)]]-Table11[[#This Row],[Year of Inventory]]+1)*(Table11[[#This Row],[Average DBH
(inches)]]/(Table11[[#This Row],[Harvest Year
(10 year)]]-Table11[[#This Row],[Year of Inventory]]+1))+Table11[[#This Row],[Average DBH
(inches)]]</f>
        <v>0</v>
      </c>
      <c r="BQ419" s="236">
        <f>((Table11[[#This Row],[Projected DBH
(Extrapolated Growth/Year)]]-4)^2)*(Table11[[#This Row],[Average MHT
(Feet)]]/16)</f>
        <v>0</v>
      </c>
      <c r="BR419" s="244">
        <f>Table11[[#This Row],[Projected Average BF]]*Table11[[#This Row],[2024 '#Trees Inventory + Estimate]]</f>
        <v>0</v>
      </c>
      <c r="BS419" s="68">
        <f>196*Table11[[#This Row],[2024 '#Trees Inventory + Estimate]]</f>
        <v>293216</v>
      </c>
      <c r="BT419">
        <f>Table11[[#This Row],[ETP Offering Expected BF]]-Table11[[#This Row],[Projected Total BF]]</f>
        <v>293216</v>
      </c>
      <c r="BU419" s="236">
        <f>(18-Table11[[#This Row],[Average DBH
(inches)]])/(D419-Table11[[#This Row],[Year of Inventory]]+1)</f>
        <v>8.8495575221238937E-3</v>
      </c>
    </row>
    <row r="420" spans="1:73" ht="15" hidden="1" customHeight="1" x14ac:dyDescent="0.25">
      <c r="A420" s="7" t="s">
        <v>2233</v>
      </c>
      <c r="B420" s="2">
        <v>2024</v>
      </c>
      <c r="C420" s="7">
        <v>2024</v>
      </c>
      <c r="D420" s="2">
        <f>Table11[[#This Row],[Planting Year]]+9</f>
        <v>2033</v>
      </c>
      <c r="E420" s="353"/>
      <c r="F420" s="161">
        <v>40089</v>
      </c>
      <c r="G420" t="s">
        <v>2234</v>
      </c>
      <c r="H420" s="361"/>
      <c r="I420" t="s">
        <v>155</v>
      </c>
      <c r="J420" s="353"/>
      <c r="L420" t="s">
        <v>2235</v>
      </c>
      <c r="M420" t="s">
        <v>621</v>
      </c>
      <c r="N420" s="353" t="s">
        <v>2236</v>
      </c>
      <c r="O420" s="353">
        <v>17.424491</v>
      </c>
      <c r="P420" s="353">
        <v>-93.803707000000003</v>
      </c>
      <c r="T420">
        <v>550</v>
      </c>
      <c r="U420">
        <v>550</v>
      </c>
      <c r="V420" s="8" t="str">
        <f>IF(Table11[[#This Row],['#TreesContract]]-Table11[[#This Row],['#Planted]]=0,"",Table11[[#This Row],['#TreesContract]]-Table11[[#This Row],['#Planted]])</f>
        <v/>
      </c>
      <c r="X420" s="34">
        <v>1</v>
      </c>
      <c r="Y420" s="270">
        <f t="shared" si="1"/>
        <v>550</v>
      </c>
      <c r="Z420" s="163">
        <f>Table11[[#This Row],['#Planted]]*Table11[[#This Row],[USA Allocation %]]</f>
        <v>550</v>
      </c>
      <c r="AI420" s="438">
        <v>550</v>
      </c>
      <c r="AJ420" s="439">
        <v>1</v>
      </c>
      <c r="AK420" s="411">
        <v>1</v>
      </c>
      <c r="AL420" s="411">
        <v>1</v>
      </c>
      <c r="AM420" s="2">
        <f>Table11[[#This Row],['#Planted]]*Table11[[#This Row],[2024 Survival% Inventory + Estimate]]</f>
        <v>550</v>
      </c>
      <c r="AN420" s="270">
        <f>Table11[[#This Row],[2024 '#Trees Inventory + Estimate]]*Table11[[#This Row],[USA Allocation %]]</f>
        <v>550</v>
      </c>
      <c r="AT420" s="6">
        <f>IFERROR(Table11[[#This Row],['#Total Replacements]]/Table11[[#This Row],['#TreesContract]],"")</f>
        <v>1</v>
      </c>
      <c r="AU420" s="4">
        <f>IF(SUM(Table11[[#This Row],['#Replace 24]:['#Replace 16]])=0,0,SUM(Table11[[#This Row],['#Replace 24]:['#Replace 16]]))</f>
        <v>550</v>
      </c>
      <c r="AW420">
        <v>550</v>
      </c>
    </row>
    <row r="421" spans="1:73" ht="15" hidden="1" customHeight="1" x14ac:dyDescent="0.25">
      <c r="A421" s="7" t="s">
        <v>2237</v>
      </c>
      <c r="B421" s="2">
        <v>2022</v>
      </c>
      <c r="C421" s="7">
        <v>2024</v>
      </c>
      <c r="D421" s="2">
        <f>Table11[[#This Row],[Planting Year]]+9</f>
        <v>2033</v>
      </c>
      <c r="E421" s="355" t="s">
        <v>2195</v>
      </c>
      <c r="F421" s="161">
        <v>40090</v>
      </c>
      <c r="G421" t="s">
        <v>2195</v>
      </c>
      <c r="H421" s="361">
        <v>525608443532</v>
      </c>
      <c r="I421" t="s">
        <v>155</v>
      </c>
      <c r="J421" s="351" t="s">
        <v>2197</v>
      </c>
      <c r="L421" s="1" t="s">
        <v>2238</v>
      </c>
      <c r="M421" t="s">
        <v>621</v>
      </c>
      <c r="N421" s="353" t="s">
        <v>2239</v>
      </c>
      <c r="O421" s="353">
        <v>17.4952513</v>
      </c>
      <c r="P421" s="353">
        <v>-94.447404399999996</v>
      </c>
      <c r="T421">
        <v>2750</v>
      </c>
      <c r="U421">
        <v>2750</v>
      </c>
      <c r="V421" s="1" t="str">
        <f>IF(Table11[[#This Row],['#TreesContract]]-Table11[[#This Row],['#Planted]]=0,"",Table11[[#This Row],['#TreesContract]]-Table11[[#This Row],['#Planted]])</f>
        <v/>
      </c>
      <c r="X421" s="34">
        <v>1</v>
      </c>
      <c r="Y421" s="270">
        <f t="shared" si="1"/>
        <v>2750</v>
      </c>
      <c r="Z421" s="163">
        <f>Table11[[#This Row],['#Planted]]*Table11[[#This Row],[USA Allocation %]]</f>
        <v>2750</v>
      </c>
      <c r="AI421" s="438">
        <v>2750</v>
      </c>
      <c r="AJ421" s="439">
        <v>1</v>
      </c>
      <c r="AK421" s="411">
        <v>1</v>
      </c>
      <c r="AL421" s="411">
        <v>1</v>
      </c>
      <c r="AM421" s="2">
        <f>Table11[[#This Row],['#Planted]]*Table11[[#This Row],[2024 Survival% Inventory + Estimate]]</f>
        <v>2750</v>
      </c>
      <c r="AN421" s="270">
        <f>Table11[[#This Row],[2024 '#Trees Inventory + Estimate]]*Table11[[#This Row],[USA Allocation %]]</f>
        <v>2750</v>
      </c>
      <c r="AT421" s="6">
        <f>IFERROR(Table11[[#This Row],['#Total Replacements]]/Table11[[#This Row],['#TreesContract]],"")</f>
        <v>0</v>
      </c>
      <c r="AU421" s="4">
        <f>IF(SUM(Table11[[#This Row],['#Replace 24]:['#Replace 16]])=0,0,SUM(Table11[[#This Row],['#Replace 24]:['#Replace 16]]))</f>
        <v>0</v>
      </c>
    </row>
    <row r="422" spans="1:73" ht="15" hidden="1" customHeight="1" x14ac:dyDescent="0.25">
      <c r="A422" s="7" t="s">
        <v>2240</v>
      </c>
      <c r="B422" s="2">
        <v>2023</v>
      </c>
      <c r="C422" s="7">
        <v>2024</v>
      </c>
      <c r="D422" s="2">
        <f>Table11[[#This Row],[Planting Year]]+9</f>
        <v>2033</v>
      </c>
      <c r="E422" s="353"/>
      <c r="F422" s="161">
        <v>40091</v>
      </c>
      <c r="G422" t="s">
        <v>2241</v>
      </c>
      <c r="H422" s="361"/>
      <c r="I422" t="s">
        <v>155</v>
      </c>
      <c r="J422" s="353"/>
      <c r="M422" t="s">
        <v>621</v>
      </c>
      <c r="N422" s="353" t="s">
        <v>2242</v>
      </c>
      <c r="O422" s="353">
        <v>17.35488148</v>
      </c>
      <c r="P422" s="353">
        <v>-93.788313459999998</v>
      </c>
      <c r="T422">
        <v>550</v>
      </c>
      <c r="U422">
        <v>550</v>
      </c>
      <c r="V422" s="1" t="str">
        <f>IF(Table11[[#This Row],['#TreesContract]]-Table11[[#This Row],['#Planted]]=0,"",Table11[[#This Row],['#TreesContract]]-Table11[[#This Row],['#Planted]])</f>
        <v/>
      </c>
      <c r="X422" s="34">
        <v>1</v>
      </c>
      <c r="Y422" s="270">
        <f t="shared" si="1"/>
        <v>550</v>
      </c>
      <c r="Z422" s="163">
        <f>Table11[[#This Row],['#Planted]]*Table11[[#This Row],[USA Allocation %]]</f>
        <v>550</v>
      </c>
      <c r="AI422" s="438">
        <v>550</v>
      </c>
      <c r="AJ422" s="439">
        <v>1</v>
      </c>
      <c r="AK422" s="411">
        <v>1</v>
      </c>
      <c r="AL422" s="411">
        <v>1</v>
      </c>
      <c r="AM422" s="2">
        <f>Table11[[#This Row],['#Planted]]*Table11[[#This Row],[2024 Survival% Inventory + Estimate]]</f>
        <v>550</v>
      </c>
      <c r="AN422" s="270">
        <f>Table11[[#This Row],[2024 '#Trees Inventory + Estimate]]*Table11[[#This Row],[USA Allocation %]]</f>
        <v>550</v>
      </c>
      <c r="AT422" s="6">
        <f>IFERROR(Table11[[#This Row],['#Total Replacements]]/Table11[[#This Row],['#TreesContract]],"")</f>
        <v>0</v>
      </c>
      <c r="AU422" s="4">
        <f>IF(SUM(Table11[[#This Row],['#Replace 24]:['#Replace 16]])=0,0,SUM(Table11[[#This Row],['#Replace 24]:['#Replace 16]]))</f>
        <v>0</v>
      </c>
    </row>
    <row r="423" spans="1:73" ht="15" hidden="1" customHeight="1" x14ac:dyDescent="0.25">
      <c r="A423" s="7" t="s">
        <v>2243</v>
      </c>
      <c r="B423" s="2">
        <v>2023</v>
      </c>
      <c r="C423" s="7">
        <v>2024</v>
      </c>
      <c r="D423" s="2">
        <f>Table11[[#This Row],[Planting Year]]+9</f>
        <v>2033</v>
      </c>
      <c r="E423" s="355"/>
      <c r="F423" s="161">
        <v>40092</v>
      </c>
      <c r="G423" t="s">
        <v>2244</v>
      </c>
      <c r="H423" s="361">
        <v>529231013383</v>
      </c>
      <c r="I423" t="s">
        <v>155</v>
      </c>
      <c r="J423" s="351"/>
      <c r="L423" s="1"/>
      <c r="M423" t="s">
        <v>621</v>
      </c>
      <c r="N423" s="353" t="s">
        <v>2245</v>
      </c>
      <c r="O423" s="353">
        <v>17.385173949999999</v>
      </c>
      <c r="P423" s="353">
        <v>-93.774217109999995</v>
      </c>
      <c r="T423">
        <v>1650</v>
      </c>
      <c r="U423">
        <v>1650</v>
      </c>
      <c r="V423" s="1" t="str">
        <f>IF(Table11[[#This Row],['#TreesContract]]-Table11[[#This Row],['#Planted]]=0,"",Table11[[#This Row],['#TreesContract]]-Table11[[#This Row],['#Planted]])</f>
        <v/>
      </c>
      <c r="X423" s="34">
        <v>1</v>
      </c>
      <c r="Y423" s="270">
        <f t="shared" si="1"/>
        <v>1650</v>
      </c>
      <c r="Z423" s="163">
        <f>Table11[[#This Row],['#Planted]]*Table11[[#This Row],[USA Allocation %]]</f>
        <v>1650</v>
      </c>
      <c r="AI423" s="438">
        <v>1650</v>
      </c>
      <c r="AJ423" s="439">
        <v>1</v>
      </c>
      <c r="AK423" s="411">
        <v>1</v>
      </c>
      <c r="AL423" s="411">
        <v>1</v>
      </c>
      <c r="AM423" s="2">
        <f>Table11[[#This Row],['#Planted]]*Table11[[#This Row],[2024 Survival% Inventory + Estimate]]</f>
        <v>1650</v>
      </c>
      <c r="AN423" s="270">
        <f>Table11[[#This Row],[2024 '#Trees Inventory + Estimate]]*Table11[[#This Row],[USA Allocation %]]</f>
        <v>1650</v>
      </c>
      <c r="AT423" s="6">
        <f>IFERROR(Table11[[#This Row],['#Total Replacements]]/Table11[[#This Row],['#TreesContract]],"")</f>
        <v>0</v>
      </c>
      <c r="AU423" s="4">
        <f>IF(SUM(Table11[[#This Row],['#Replace 24]:['#Replace 16]])=0,0,SUM(Table11[[#This Row],['#Replace 24]:['#Replace 16]]))</f>
        <v>0</v>
      </c>
    </row>
    <row r="424" spans="1:73" ht="15" hidden="1" customHeight="1" thickBot="1" x14ac:dyDescent="0.25">
      <c r="A424" s="343"/>
      <c r="B424" s="2">
        <v>2023</v>
      </c>
      <c r="C424" s="343">
        <v>2024</v>
      </c>
      <c r="D424" s="388">
        <f>Table11[[#This Row],[Planting Year]]+9</f>
        <v>2033</v>
      </c>
      <c r="E424" s="421"/>
      <c r="F424" s="422"/>
      <c r="G424" s="346" t="s">
        <v>2246</v>
      </c>
      <c r="H424" s="423">
        <v>529231013383</v>
      </c>
      <c r="I424" s="346" t="s">
        <v>155</v>
      </c>
      <c r="J424" s="421"/>
      <c r="K424" s="346"/>
      <c r="L424" s="346"/>
      <c r="M424" s="346" t="s">
        <v>621</v>
      </c>
      <c r="N424" s="353" t="s">
        <v>2247</v>
      </c>
      <c r="O424" s="353">
        <v>17.391639900000001</v>
      </c>
      <c r="P424" s="353">
        <v>-93.775230649999997</v>
      </c>
      <c r="Q424" s="346"/>
      <c r="R424" s="346"/>
      <c r="S424" s="346"/>
      <c r="T424" s="346">
        <v>550</v>
      </c>
      <c r="U424" s="346">
        <v>550</v>
      </c>
      <c r="V424" s="387" t="str">
        <f>IF(Table11[[#This Row],['#TreesContract]]-Table11[[#This Row],['#Planted]]=0,"",Table11[[#This Row],['#TreesContract]]-Table11[[#This Row],['#Planted]])</f>
        <v/>
      </c>
      <c r="W424" s="427"/>
      <c r="X424" s="424">
        <v>1</v>
      </c>
      <c r="Y424" s="367">
        <f t="shared" si="1"/>
        <v>550</v>
      </c>
      <c r="Z424" s="367">
        <f>Table11[[#This Row],['#Planted]]*Table11[[#This Row],[USA Allocation %]]</f>
        <v>550</v>
      </c>
      <c r="AA424" s="428"/>
      <c r="AB424" s="427"/>
      <c r="AC424" s="346"/>
      <c r="AD424" s="346"/>
      <c r="AF424" s="346"/>
      <c r="AG424" s="346"/>
      <c r="AH424" s="346"/>
      <c r="AI424" s="438"/>
      <c r="AJ424" s="440"/>
      <c r="AK424" s="412"/>
      <c r="AL424" s="434"/>
      <c r="AM424" s="388">
        <f>Table11[[#This Row],['#Planted]]*Table11[[#This Row],[2024 Survival% Inventory + Estimate]]</f>
        <v>0</v>
      </c>
      <c r="AN424" s="367">
        <f>Table11[[#This Row],[2024 '#Trees Inventory + Estimate]]*Table11[[#This Row],[USA Allocation %]]</f>
        <v>0</v>
      </c>
      <c r="AO424" s="346"/>
      <c r="AP424" s="346"/>
      <c r="AR424" s="346"/>
      <c r="AS424" s="346"/>
      <c r="AT424" s="425">
        <f>IFERROR(Table11[[#This Row],['#Total Replacements]]/Table11[[#This Row],['#TreesContract]],"")</f>
        <v>0</v>
      </c>
      <c r="AU424" s="426">
        <f>IF(SUM(Table11[[#This Row],['#Replace 24]:['#Replace 16]])=0,0,SUM(Table11[[#This Row],['#Replace 24]:['#Replace 16]]))</f>
        <v>0</v>
      </c>
      <c r="AV424" s="346"/>
      <c r="AW424" s="346"/>
      <c r="AX424" s="346"/>
      <c r="AY424" s="346"/>
      <c r="AZ424" s="346"/>
      <c r="BA424" s="346"/>
      <c r="BB424" s="346"/>
      <c r="BC424" s="346"/>
      <c r="BD424" s="346"/>
      <c r="BE424" s="346"/>
      <c r="BF424" s="346"/>
      <c r="BG424" s="346"/>
      <c r="BH424" s="346"/>
      <c r="BI424" s="346"/>
      <c r="BJ424" s="346"/>
      <c r="BK424" s="346"/>
      <c r="BL424" s="429"/>
      <c r="BM424" s="430"/>
      <c r="BN424" s="431"/>
      <c r="BO424" s="429"/>
      <c r="BP424" s="429"/>
      <c r="BQ424" s="429"/>
      <c r="BR424" s="432"/>
      <c r="BS424" s="430"/>
      <c r="BT424" s="346"/>
      <c r="BU424" s="429"/>
    </row>
    <row r="425" spans="1:73" ht="15" hidden="1" customHeight="1" thickBot="1" x14ac:dyDescent="0.3">
      <c r="A425" s="441" t="s">
        <v>2248</v>
      </c>
      <c r="B425" s="442"/>
      <c r="C425" s="442"/>
      <c r="D425" s="442"/>
      <c r="E425" s="443"/>
      <c r="F425" s="444"/>
      <c r="G425" s="445"/>
      <c r="H425" s="446"/>
      <c r="I425" s="445"/>
      <c r="J425" s="447"/>
      <c r="K425" s="447"/>
      <c r="L425" s="447"/>
      <c r="M425" s="447"/>
      <c r="N425" s="445"/>
      <c r="O425" s="445"/>
      <c r="P425" s="445"/>
      <c r="Q425" s="442"/>
      <c r="R425" s="448"/>
      <c r="S425" s="442"/>
      <c r="T425" s="447">
        <f>SUBTOTAL(9,(T2:T424))</f>
        <v>167115</v>
      </c>
      <c r="U425" s="447">
        <f>SUBTOTAL(9,(U2:U424))</f>
        <v>167115</v>
      </c>
      <c r="V425" s="447"/>
      <c r="W425" s="449"/>
      <c r="X425" s="450"/>
      <c r="Y425" s="480">
        <f>SUBTOTAL(9,(Y2:Y424))</f>
        <v>122524.4</v>
      </c>
      <c r="Z425" s="480">
        <f>SUBTOTAL(9,(Z2:Z424))</f>
        <v>122524.4</v>
      </c>
      <c r="AA425" s="450"/>
      <c r="AB425" s="451"/>
      <c r="AC425" s="450"/>
      <c r="AD425" s="451"/>
      <c r="AE425" s="481"/>
      <c r="AF425" s="452"/>
      <c r="AG425" s="453"/>
      <c r="AH425" s="453"/>
      <c r="AI425" s="454"/>
      <c r="AJ425" s="452"/>
      <c r="AK425" s="452"/>
      <c r="AL425" s="452"/>
      <c r="AM425" s="480">
        <f>SUBTOTAL(9,(AM2:AM424))</f>
        <v>82743.814144118311</v>
      </c>
      <c r="AN425" s="480">
        <f>SUBTOTAL(9,(AN2:AN424))</f>
        <v>77699.652074457932</v>
      </c>
      <c r="AO425" s="453"/>
      <c r="AP425" s="453"/>
      <c r="AQ425" s="481"/>
      <c r="AR425" s="447"/>
      <c r="AS425" s="442"/>
      <c r="AT425" s="455"/>
      <c r="AU425" s="456"/>
      <c r="AV425" s="442"/>
      <c r="AW425" s="442"/>
      <c r="AX425" s="457"/>
      <c r="AY425" s="442"/>
      <c r="AZ425" s="442"/>
      <c r="BA425" s="442"/>
      <c r="BB425" s="442"/>
      <c r="BC425" s="442"/>
      <c r="BD425" s="442"/>
      <c r="BE425" s="442"/>
      <c r="BF425" s="458"/>
      <c r="BG425" s="442"/>
      <c r="BH425" s="442"/>
      <c r="BI425" s="442"/>
      <c r="BJ425" s="442"/>
      <c r="BK425" s="459"/>
      <c r="BL425" s="460"/>
      <c r="BM425" s="459"/>
      <c r="BN425" s="460"/>
      <c r="BO425" s="460"/>
      <c r="BP425" s="461"/>
      <c r="BQ425" s="460"/>
      <c r="BR425" s="460"/>
      <c r="BS425" s="460"/>
      <c r="BT425" s="460"/>
      <c r="BU425" s="462"/>
    </row>
    <row r="426" spans="1:73" ht="15" hidden="1" customHeight="1" x14ac:dyDescent="0.25">
      <c r="A426" s="189"/>
      <c r="B426" s="2"/>
      <c r="C426" s="2"/>
      <c r="D426" s="2"/>
      <c r="E426" s="465"/>
      <c r="F426" s="161"/>
      <c r="G426" s="65"/>
      <c r="H426" s="357"/>
      <c r="I426" s="65"/>
      <c r="J426" s="1"/>
      <c r="K426" s="1"/>
      <c r="L426" s="1"/>
      <c r="M426" s="1"/>
      <c r="N426" s="65"/>
      <c r="O426" s="65"/>
      <c r="P426" s="65"/>
      <c r="Q426" s="2"/>
      <c r="R426" s="86"/>
      <c r="S426" s="2"/>
      <c r="T426" s="1"/>
      <c r="U426" s="1"/>
      <c r="V426" s="1"/>
      <c r="W426" s="341"/>
      <c r="X426" s="466"/>
      <c r="Y426" s="467"/>
      <c r="Z426" s="467">
        <f>Table11[[#This Row],['#Planted]]*Table11[[#This Row],[USA Allocation %]]</f>
        <v>0</v>
      </c>
      <c r="AA426" s="466"/>
      <c r="AB426" s="467"/>
      <c r="AC426" s="466"/>
      <c r="AD426" s="467"/>
      <c r="AE426" s="482">
        <f>Table11[[#This Row],[Canada Allocation-tree '#''s]]+Table11[[#This Row],[Can trees/Allocation 2017]]</f>
        <v>0</v>
      </c>
      <c r="AF426" s="389"/>
      <c r="AG426" s="468"/>
      <c r="AH426" s="468"/>
      <c r="AI426" s="469"/>
      <c r="AJ426" s="389"/>
      <c r="AK426" s="389"/>
      <c r="AL426" s="389"/>
      <c r="AM426" s="468"/>
      <c r="AN426" s="468"/>
      <c r="AO426" s="468">
        <f>Table11[[#This Row],[2024 '#Trees Inventory + Estimate]]*Table11[[#This Row],[Canada Allocation %]]</f>
        <v>0</v>
      </c>
      <c r="AP426" s="468">
        <f>Table11[[#This Row],[2024 '#Trees Inventory + Estimate]]*Table11[[#This Row],[Canada Allocation2017 %]]</f>
        <v>0</v>
      </c>
      <c r="AQ426" s="482">
        <f>Table11[[#This Row],['#Trees as of 2024/estimate-Can allocation]]+Table11[[#This Row],['#Trees as of 2024/estimate-Can allocation 2017]]</f>
        <v>0</v>
      </c>
      <c r="AR426" s="1"/>
      <c r="AS426" s="2"/>
      <c r="AT426" s="6"/>
      <c r="AU426" s="4"/>
      <c r="AV426" s="2"/>
      <c r="AW426" s="2"/>
      <c r="AX426" s="3"/>
      <c r="AY426" s="2"/>
      <c r="AZ426" s="2"/>
      <c r="BA426" s="2"/>
      <c r="BB426" s="2"/>
      <c r="BC426" s="2"/>
      <c r="BD426" s="2"/>
      <c r="BE426" s="2"/>
      <c r="BF426" s="464"/>
      <c r="BG426" s="2"/>
      <c r="BH426" s="2"/>
      <c r="BI426" s="2"/>
      <c r="BJ426" s="2"/>
      <c r="BK426" s="470">
        <f>Table11[[#This Row],[Average MHT
(Feet)]]/16</f>
        <v>0</v>
      </c>
      <c r="BL426" s="471"/>
      <c r="BM426" s="470">
        <f>Table11[[#This Row],[Average DBH
(inches)]]/18</f>
        <v>0</v>
      </c>
      <c r="BN426" s="471">
        <f>((Table11[[#This Row],[Average DBH
(inches)]]-4)^2)*(Table11[[#This Row],[Average MHT
(Feet)]]/16)</f>
        <v>0</v>
      </c>
      <c r="BO426" s="471">
        <f>Table11[[#This Row],[Average BF]]*Table11[[#This Row],[2024 '#Trees Inventory + Estimate]]</f>
        <v>0</v>
      </c>
      <c r="BP426" s="472">
        <f>(Table11[[#This Row],[Harvest Year
(10 year)]]-Table11[[#This Row],[Year of Inventory]]+1)*(Table11[[#This Row],[Average DBH
(inches)]]/(Table11[[#This Row],[Harvest Year
(10 year)]]-Table11[[#This Row],[Year of Inventory]]+1))+Table11[[#This Row],[Average DBH
(inches)]]</f>
        <v>0</v>
      </c>
      <c r="BQ426" s="471">
        <f>((Table11[[#This Row],[Projected DBH
(Extrapolated Growth/Year)]]-4)^2)*(Table11[[#This Row],[Average MHT
(Feet)]]/16)</f>
        <v>0</v>
      </c>
      <c r="BR426" s="471">
        <f>Table11[[#This Row],[Projected Average BF]]*Table11[[#This Row],[2024 '#Trees Inventory + Estimate]]</f>
        <v>0</v>
      </c>
      <c r="BS426" s="471">
        <f>196*Table11[[#This Row],[2024 '#Trees Inventory + Estimate]]</f>
        <v>0</v>
      </c>
      <c r="BT426" s="471">
        <f>Table11[[#This Row],[ETP Offering Expected BF]]-Table11[[#This Row],[Projected Total BF]]</f>
        <v>0</v>
      </c>
      <c r="BU426" s="471">
        <f>(18-Table11[[#This Row],[Average DBH
(inches)]])/(D426-Table11[[#This Row],[Year of Inventory]]+1)</f>
        <v>18</v>
      </c>
    </row>
    <row r="427" spans="1:73" ht="15" hidden="1" customHeight="1" x14ac:dyDescent="0.25">
      <c r="A427" s="189"/>
      <c r="B427" s="2"/>
      <c r="C427" s="2"/>
      <c r="D427" s="2"/>
      <c r="E427" s="465"/>
      <c r="F427" s="161"/>
      <c r="G427" s="65"/>
      <c r="H427" s="357"/>
      <c r="I427" s="65"/>
      <c r="J427" s="1"/>
      <c r="K427" s="1"/>
      <c r="L427" s="1"/>
      <c r="M427" s="1"/>
      <c r="N427" s="65"/>
      <c r="O427" s="65"/>
      <c r="P427" s="65"/>
      <c r="Q427" s="2"/>
      <c r="R427" s="86"/>
      <c r="S427" s="2"/>
      <c r="T427" s="1"/>
      <c r="U427" s="1"/>
      <c r="V427" s="1"/>
      <c r="W427" s="341"/>
      <c r="X427" s="466"/>
      <c r="Y427" s="467"/>
      <c r="Z427" s="467">
        <f>Table11[[#This Row],['#Planted]]*Table11[[#This Row],[USA Allocation %]]</f>
        <v>0</v>
      </c>
      <c r="AA427" s="466"/>
      <c r="AB427" s="467"/>
      <c r="AC427" s="466"/>
      <c r="AD427" s="467"/>
      <c r="AE427" s="482">
        <f>Table11[[#This Row],[Canada Allocation-tree '#''s]]+Table11[[#This Row],[Can trees/Allocation 2017]]</f>
        <v>0</v>
      </c>
      <c r="AF427" s="389"/>
      <c r="AG427" s="468"/>
      <c r="AH427" s="468"/>
      <c r="AI427" s="469"/>
      <c r="AJ427" s="389"/>
      <c r="AK427" s="389"/>
      <c r="AL427" s="389"/>
      <c r="AM427" s="468"/>
      <c r="AN427" s="468"/>
      <c r="AO427" s="468">
        <f>Table11[[#This Row],[2024 '#Trees Inventory + Estimate]]*Table11[[#This Row],[Canada Allocation %]]</f>
        <v>0</v>
      </c>
      <c r="AP427" s="468">
        <f>Table11[[#This Row],[2024 '#Trees Inventory + Estimate]]*Table11[[#This Row],[Canada Allocation2017 %]]</f>
        <v>0</v>
      </c>
      <c r="AQ427" s="482">
        <f>Table11[[#This Row],['#Trees as of 2024/estimate-Can allocation]]+Table11[[#This Row],['#Trees as of 2024/estimate-Can allocation 2017]]</f>
        <v>0</v>
      </c>
      <c r="AR427" s="1"/>
      <c r="AS427" s="2"/>
      <c r="AT427" s="6"/>
      <c r="AU427" s="4"/>
      <c r="AV427" s="2"/>
      <c r="AW427" s="2"/>
      <c r="AX427" s="3"/>
      <c r="AY427" s="2"/>
      <c r="AZ427" s="2"/>
      <c r="BA427" s="2"/>
      <c r="BB427" s="2"/>
      <c r="BC427" s="2"/>
      <c r="BD427" s="2"/>
      <c r="BE427" s="2"/>
      <c r="BF427" s="464"/>
      <c r="BG427" s="2"/>
      <c r="BH427" s="2"/>
      <c r="BI427" s="2"/>
      <c r="BJ427" s="2"/>
      <c r="BK427" s="470">
        <f>Table11[[#This Row],[Average MHT
(Feet)]]/16</f>
        <v>0</v>
      </c>
      <c r="BL427" s="471"/>
      <c r="BM427" s="470">
        <f>Table11[[#This Row],[Average DBH
(inches)]]/18</f>
        <v>0</v>
      </c>
      <c r="BN427" s="471">
        <f>((Table11[[#This Row],[Average DBH
(inches)]]-4)^2)*(Table11[[#This Row],[Average MHT
(Feet)]]/16)</f>
        <v>0</v>
      </c>
      <c r="BO427" s="471">
        <f>Table11[[#This Row],[Average BF]]*Table11[[#This Row],[2024 '#Trees Inventory + Estimate]]</f>
        <v>0</v>
      </c>
      <c r="BP427" s="472">
        <f>(Table11[[#This Row],[Harvest Year
(10 year)]]-Table11[[#This Row],[Year of Inventory]]+1)*(Table11[[#This Row],[Average DBH
(inches)]]/(Table11[[#This Row],[Harvest Year
(10 year)]]-Table11[[#This Row],[Year of Inventory]]+1))+Table11[[#This Row],[Average DBH
(inches)]]</f>
        <v>0</v>
      </c>
      <c r="BQ427" s="471">
        <f>((Table11[[#This Row],[Projected DBH
(Extrapolated Growth/Year)]]-4)^2)*(Table11[[#This Row],[Average MHT
(Feet)]]/16)</f>
        <v>0</v>
      </c>
      <c r="BR427" s="471">
        <f>Table11[[#This Row],[Projected Average BF]]*Table11[[#This Row],[2024 '#Trees Inventory + Estimate]]</f>
        <v>0</v>
      </c>
      <c r="BS427" s="471">
        <f>196*Table11[[#This Row],[2024 '#Trees Inventory + Estimate]]</f>
        <v>0</v>
      </c>
      <c r="BT427" s="471">
        <f>Table11[[#This Row],[ETP Offering Expected BF]]-Table11[[#This Row],[Projected Total BF]]</f>
        <v>0</v>
      </c>
      <c r="BU427" s="471">
        <f>(18-Table11[[#This Row],[Average DBH
(inches)]])/(D427-Table11[[#This Row],[Year of Inventory]]+1)</f>
        <v>18</v>
      </c>
    </row>
    <row r="428" spans="1:73" ht="15" hidden="1" customHeight="1" x14ac:dyDescent="0.25">
      <c r="A428" s="189"/>
      <c r="B428" s="2"/>
      <c r="C428" s="2"/>
      <c r="D428" s="2"/>
      <c r="E428" s="465"/>
      <c r="F428" s="161"/>
      <c r="G428" s="65"/>
      <c r="H428" s="357"/>
      <c r="I428" s="65"/>
      <c r="J428" s="1"/>
      <c r="K428" s="1"/>
      <c r="L428" s="1"/>
      <c r="M428" s="1"/>
      <c r="N428" s="65"/>
      <c r="O428" s="65"/>
      <c r="P428" s="65"/>
      <c r="Q428" s="2"/>
      <c r="R428" s="86"/>
      <c r="S428" s="2"/>
      <c r="T428" s="1"/>
      <c r="U428" s="1"/>
      <c r="V428" s="1"/>
      <c r="W428" s="341"/>
      <c r="X428" s="466"/>
      <c r="Y428" s="467"/>
      <c r="Z428" s="467">
        <f>Table11[[#This Row],['#Planted]]*Table11[[#This Row],[USA Allocation %]]</f>
        <v>0</v>
      </c>
      <c r="AA428" s="466"/>
      <c r="AB428" s="467"/>
      <c r="AC428" s="466"/>
      <c r="AD428" s="467"/>
      <c r="AE428" s="482">
        <f>Table11[[#This Row],[Canada Allocation-tree '#''s]]+Table11[[#This Row],[Can trees/Allocation 2017]]</f>
        <v>0</v>
      </c>
      <c r="AF428" s="389"/>
      <c r="AG428" s="468"/>
      <c r="AH428" s="468"/>
      <c r="AI428" s="469"/>
      <c r="AJ428" s="389"/>
      <c r="AK428" s="389"/>
      <c r="AL428" s="389"/>
      <c r="AM428" s="468"/>
      <c r="AN428" s="468"/>
      <c r="AO428" s="468">
        <f>Table11[[#This Row],[2024 '#Trees Inventory + Estimate]]*Table11[[#This Row],[Canada Allocation %]]</f>
        <v>0</v>
      </c>
      <c r="AP428" s="468">
        <f>Table11[[#This Row],[2024 '#Trees Inventory + Estimate]]*Table11[[#This Row],[Canada Allocation2017 %]]</f>
        <v>0</v>
      </c>
      <c r="AQ428" s="482">
        <f>Table11[[#This Row],['#Trees as of 2024/estimate-Can allocation]]+Table11[[#This Row],['#Trees as of 2024/estimate-Can allocation 2017]]</f>
        <v>0</v>
      </c>
      <c r="AR428" s="1"/>
      <c r="AS428" s="2"/>
      <c r="AT428" s="6"/>
      <c r="AU428" s="4"/>
      <c r="AV428" s="2"/>
      <c r="AW428" s="2"/>
      <c r="AX428" s="3"/>
      <c r="AY428" s="2"/>
      <c r="AZ428" s="2"/>
      <c r="BA428" s="2"/>
      <c r="BB428" s="2"/>
      <c r="BC428" s="2"/>
      <c r="BD428" s="2"/>
      <c r="BE428" s="2"/>
      <c r="BF428" s="464"/>
      <c r="BG428" s="2"/>
      <c r="BH428" s="2"/>
      <c r="BI428" s="2"/>
      <c r="BJ428" s="2"/>
      <c r="BK428" s="470">
        <f>Table11[[#This Row],[Average MHT
(Feet)]]/16</f>
        <v>0</v>
      </c>
      <c r="BL428" s="471"/>
      <c r="BM428" s="470">
        <f>Table11[[#This Row],[Average DBH
(inches)]]/18</f>
        <v>0</v>
      </c>
      <c r="BN428" s="471">
        <f>((Table11[[#This Row],[Average DBH
(inches)]]-4)^2)*(Table11[[#This Row],[Average MHT
(Feet)]]/16)</f>
        <v>0</v>
      </c>
      <c r="BO428" s="471">
        <f>Table11[[#This Row],[Average BF]]*Table11[[#This Row],[2024 '#Trees Inventory + Estimate]]</f>
        <v>0</v>
      </c>
      <c r="BP428" s="472">
        <f>(Table11[[#This Row],[Harvest Year
(10 year)]]-Table11[[#This Row],[Year of Inventory]]+1)*(Table11[[#This Row],[Average DBH
(inches)]]/(Table11[[#This Row],[Harvest Year
(10 year)]]-Table11[[#This Row],[Year of Inventory]]+1))+Table11[[#This Row],[Average DBH
(inches)]]</f>
        <v>0</v>
      </c>
      <c r="BQ428" s="471">
        <f>((Table11[[#This Row],[Projected DBH
(Extrapolated Growth/Year)]]-4)^2)*(Table11[[#This Row],[Average MHT
(Feet)]]/16)</f>
        <v>0</v>
      </c>
      <c r="BR428" s="471">
        <f>Table11[[#This Row],[Projected Average BF]]*Table11[[#This Row],[2024 '#Trees Inventory + Estimate]]</f>
        <v>0</v>
      </c>
      <c r="BS428" s="471">
        <f>196*Table11[[#This Row],[2024 '#Trees Inventory + Estimate]]</f>
        <v>0</v>
      </c>
      <c r="BT428" s="471">
        <f>Table11[[#This Row],[ETP Offering Expected BF]]-Table11[[#This Row],[Projected Total BF]]</f>
        <v>0</v>
      </c>
      <c r="BU428" s="471">
        <f>(18-Table11[[#This Row],[Average DBH
(inches)]])/(D428-Table11[[#This Row],[Year of Inventory]]+1)</f>
        <v>18</v>
      </c>
    </row>
    <row r="429" spans="1:73" ht="15" hidden="1" customHeight="1" x14ac:dyDescent="0.25">
      <c r="A429" s="189"/>
      <c r="B429" s="2"/>
      <c r="C429" s="2"/>
      <c r="D429" s="2"/>
      <c r="E429" s="465"/>
      <c r="F429" s="161"/>
      <c r="G429" s="65"/>
      <c r="H429" s="357"/>
      <c r="I429" s="65"/>
      <c r="J429" s="1"/>
      <c r="K429" s="1"/>
      <c r="L429" s="1"/>
      <c r="M429" s="1"/>
      <c r="N429" s="65"/>
      <c r="O429" s="65"/>
      <c r="P429" s="65"/>
      <c r="Q429" s="2"/>
      <c r="R429" s="86"/>
      <c r="S429" s="2"/>
      <c r="T429" s="1"/>
      <c r="U429" s="1"/>
      <c r="V429" s="1"/>
      <c r="W429" s="341"/>
      <c r="X429" s="466"/>
      <c r="Y429" s="467"/>
      <c r="Z429" s="467">
        <f>Table11[[#This Row],['#Planted]]*Table11[[#This Row],[USA Allocation %]]</f>
        <v>0</v>
      </c>
      <c r="AA429" s="466"/>
      <c r="AB429" s="467"/>
      <c r="AC429" s="466"/>
      <c r="AD429" s="467"/>
      <c r="AE429" s="482">
        <f>Table11[[#This Row],[Canada Allocation-tree '#''s]]+Table11[[#This Row],[Can trees/Allocation 2017]]</f>
        <v>0</v>
      </c>
      <c r="AF429" s="389"/>
      <c r="AG429" s="468"/>
      <c r="AH429" s="468"/>
      <c r="AI429" s="469"/>
      <c r="AJ429" s="389"/>
      <c r="AK429" s="389"/>
      <c r="AL429" s="389"/>
      <c r="AM429" s="468"/>
      <c r="AN429" s="468"/>
      <c r="AO429" s="468">
        <f>Table11[[#This Row],[2024 '#Trees Inventory + Estimate]]*Table11[[#This Row],[Canada Allocation %]]</f>
        <v>0</v>
      </c>
      <c r="AP429" s="468">
        <f>Table11[[#This Row],[2024 '#Trees Inventory + Estimate]]*Table11[[#This Row],[Canada Allocation2017 %]]</f>
        <v>0</v>
      </c>
      <c r="AQ429" s="482">
        <f>Table11[[#This Row],['#Trees as of 2024/estimate-Can allocation]]+Table11[[#This Row],['#Trees as of 2024/estimate-Can allocation 2017]]</f>
        <v>0</v>
      </c>
      <c r="AR429" s="1"/>
      <c r="AS429" s="2"/>
      <c r="AT429" s="6"/>
      <c r="AU429" s="4"/>
      <c r="AV429" s="2"/>
      <c r="AW429" s="2"/>
      <c r="AX429" s="3"/>
      <c r="AY429" s="2"/>
      <c r="AZ429" s="2"/>
      <c r="BA429" s="2"/>
      <c r="BB429" s="2"/>
      <c r="BC429" s="2"/>
      <c r="BD429" s="2"/>
      <c r="BE429" s="2"/>
      <c r="BF429" s="464"/>
      <c r="BG429" s="2"/>
      <c r="BH429" s="2"/>
      <c r="BI429" s="2"/>
      <c r="BJ429" s="2"/>
      <c r="BK429" s="470">
        <f>Table11[[#This Row],[Average MHT
(Feet)]]/16</f>
        <v>0</v>
      </c>
      <c r="BL429" s="471"/>
      <c r="BM429" s="470">
        <f>Table11[[#This Row],[Average DBH
(inches)]]/18</f>
        <v>0</v>
      </c>
      <c r="BN429" s="471">
        <f>((Table11[[#This Row],[Average DBH
(inches)]]-4)^2)*(Table11[[#This Row],[Average MHT
(Feet)]]/16)</f>
        <v>0</v>
      </c>
      <c r="BO429" s="471">
        <f>Table11[[#This Row],[Average BF]]*Table11[[#This Row],[2024 '#Trees Inventory + Estimate]]</f>
        <v>0</v>
      </c>
      <c r="BP429" s="472">
        <f>(Table11[[#This Row],[Harvest Year
(10 year)]]-Table11[[#This Row],[Year of Inventory]]+1)*(Table11[[#This Row],[Average DBH
(inches)]]/(Table11[[#This Row],[Harvest Year
(10 year)]]-Table11[[#This Row],[Year of Inventory]]+1))+Table11[[#This Row],[Average DBH
(inches)]]</f>
        <v>0</v>
      </c>
      <c r="BQ429" s="471">
        <f>((Table11[[#This Row],[Projected DBH
(Extrapolated Growth/Year)]]-4)^2)*(Table11[[#This Row],[Average MHT
(Feet)]]/16)</f>
        <v>0</v>
      </c>
      <c r="BR429" s="471">
        <f>Table11[[#This Row],[Projected Average BF]]*Table11[[#This Row],[2024 '#Trees Inventory + Estimate]]</f>
        <v>0</v>
      </c>
      <c r="BS429" s="471">
        <f>196*Table11[[#This Row],[2024 '#Trees Inventory + Estimate]]</f>
        <v>0</v>
      </c>
      <c r="BT429" s="471">
        <f>Table11[[#This Row],[ETP Offering Expected BF]]-Table11[[#This Row],[Projected Total BF]]</f>
        <v>0</v>
      </c>
      <c r="BU429" s="471">
        <f>(18-Table11[[#This Row],[Average DBH
(inches)]])/(D429-Table11[[#This Row],[Year of Inventory]]+1)</f>
        <v>18</v>
      </c>
    </row>
    <row r="430" spans="1:73" ht="15" hidden="1" customHeight="1" x14ac:dyDescent="0.25">
      <c r="A430" s="189"/>
      <c r="B430" s="2"/>
      <c r="C430" s="2"/>
      <c r="D430" s="2"/>
      <c r="E430" s="465"/>
      <c r="F430" s="161"/>
      <c r="G430" s="65"/>
      <c r="H430" s="357"/>
      <c r="I430" s="65"/>
      <c r="J430" s="1"/>
      <c r="K430" s="1"/>
      <c r="L430" s="1"/>
      <c r="M430" s="1"/>
      <c r="N430" s="65"/>
      <c r="O430" s="65"/>
      <c r="P430" s="65"/>
      <c r="Q430" s="2"/>
      <c r="R430" s="86"/>
      <c r="S430" s="2"/>
      <c r="T430" s="1"/>
      <c r="U430" s="1"/>
      <c r="V430" s="1"/>
      <c r="W430" s="341"/>
      <c r="X430" s="466"/>
      <c r="Y430" s="467"/>
      <c r="Z430" s="467">
        <f>Table11[[#This Row],['#Planted]]*Table11[[#This Row],[USA Allocation %]]</f>
        <v>0</v>
      </c>
      <c r="AA430" s="466"/>
      <c r="AB430" s="467"/>
      <c r="AC430" s="466"/>
      <c r="AD430" s="467"/>
      <c r="AE430" s="482">
        <f>Table11[[#This Row],[Canada Allocation-tree '#''s]]+Table11[[#This Row],[Can trees/Allocation 2017]]</f>
        <v>0</v>
      </c>
      <c r="AF430" s="389"/>
      <c r="AG430" s="468"/>
      <c r="AH430" s="468"/>
      <c r="AI430" s="469"/>
      <c r="AJ430" s="389"/>
      <c r="AK430" s="389"/>
      <c r="AL430" s="389"/>
      <c r="AM430" s="468"/>
      <c r="AN430" s="468"/>
      <c r="AO430" s="468">
        <f>Table11[[#This Row],[2024 '#Trees Inventory + Estimate]]*Table11[[#This Row],[Canada Allocation %]]</f>
        <v>0</v>
      </c>
      <c r="AP430" s="468">
        <f>Table11[[#This Row],[2024 '#Trees Inventory + Estimate]]*Table11[[#This Row],[Canada Allocation2017 %]]</f>
        <v>0</v>
      </c>
      <c r="AQ430" s="482">
        <f>Table11[[#This Row],['#Trees as of 2024/estimate-Can allocation]]+Table11[[#This Row],['#Trees as of 2024/estimate-Can allocation 2017]]</f>
        <v>0</v>
      </c>
      <c r="AR430" s="1"/>
      <c r="AS430" s="2"/>
      <c r="AT430" s="6"/>
      <c r="AU430" s="4"/>
      <c r="AV430" s="2"/>
      <c r="AW430" s="2"/>
      <c r="AX430" s="3"/>
      <c r="AY430" s="2"/>
      <c r="AZ430" s="2"/>
      <c r="BA430" s="2"/>
      <c r="BB430" s="2"/>
      <c r="BC430" s="2"/>
      <c r="BD430" s="2"/>
      <c r="BE430" s="2"/>
      <c r="BF430" s="464"/>
      <c r="BG430" s="2"/>
      <c r="BH430" s="2"/>
      <c r="BI430" s="2"/>
      <c r="BJ430" s="2"/>
      <c r="BK430" s="470">
        <f>Table11[[#This Row],[Average MHT
(Feet)]]/16</f>
        <v>0</v>
      </c>
      <c r="BL430" s="471"/>
      <c r="BM430" s="470">
        <f>Table11[[#This Row],[Average DBH
(inches)]]/18</f>
        <v>0</v>
      </c>
      <c r="BN430" s="471">
        <f>((Table11[[#This Row],[Average DBH
(inches)]]-4)^2)*(Table11[[#This Row],[Average MHT
(Feet)]]/16)</f>
        <v>0</v>
      </c>
      <c r="BO430" s="471">
        <f>Table11[[#This Row],[Average BF]]*Table11[[#This Row],[2024 '#Trees Inventory + Estimate]]</f>
        <v>0</v>
      </c>
      <c r="BP430" s="472">
        <f>(Table11[[#This Row],[Harvest Year
(10 year)]]-Table11[[#This Row],[Year of Inventory]]+1)*(Table11[[#This Row],[Average DBH
(inches)]]/(Table11[[#This Row],[Harvest Year
(10 year)]]-Table11[[#This Row],[Year of Inventory]]+1))+Table11[[#This Row],[Average DBH
(inches)]]</f>
        <v>0</v>
      </c>
      <c r="BQ430" s="471">
        <f>((Table11[[#This Row],[Projected DBH
(Extrapolated Growth/Year)]]-4)^2)*(Table11[[#This Row],[Average MHT
(Feet)]]/16)</f>
        <v>0</v>
      </c>
      <c r="BR430" s="471">
        <f>Table11[[#This Row],[Projected Average BF]]*Table11[[#This Row],[2024 '#Trees Inventory + Estimate]]</f>
        <v>0</v>
      </c>
      <c r="BS430" s="471">
        <f>196*Table11[[#This Row],[2024 '#Trees Inventory + Estimate]]</f>
        <v>0</v>
      </c>
      <c r="BT430" s="471">
        <f>Table11[[#This Row],[ETP Offering Expected BF]]-Table11[[#This Row],[Projected Total BF]]</f>
        <v>0</v>
      </c>
      <c r="BU430" s="471">
        <f>(18-Table11[[#This Row],[Average DBH
(inches)]])/(D430-Table11[[#This Row],[Year of Inventory]]+1)</f>
        <v>18</v>
      </c>
    </row>
    <row r="431" spans="1:73" ht="15" hidden="1" customHeight="1" x14ac:dyDescent="0.25">
      <c r="A431" s="189"/>
      <c r="B431" s="2"/>
      <c r="C431" s="2"/>
      <c r="D431" s="2"/>
      <c r="E431" s="465"/>
      <c r="F431" s="161"/>
      <c r="G431" s="65"/>
      <c r="H431" s="357"/>
      <c r="I431" s="65"/>
      <c r="J431" s="1"/>
      <c r="K431" s="1"/>
      <c r="L431" s="1"/>
      <c r="M431" s="1"/>
      <c r="N431" s="65"/>
      <c r="O431" s="65"/>
      <c r="P431" s="65"/>
      <c r="Q431" s="2"/>
      <c r="R431" s="86"/>
      <c r="S431" s="2"/>
      <c r="T431" s="1"/>
      <c r="U431" s="1"/>
      <c r="V431" s="1"/>
      <c r="W431" s="341"/>
      <c r="X431" s="466"/>
      <c r="Y431" s="467"/>
      <c r="Z431" s="467">
        <f>Table11[[#This Row],['#Planted]]*Table11[[#This Row],[USA Allocation %]]</f>
        <v>0</v>
      </c>
      <c r="AA431" s="466"/>
      <c r="AB431" s="467"/>
      <c r="AC431" s="466"/>
      <c r="AD431" s="467"/>
      <c r="AE431" s="482">
        <f>Table11[[#This Row],[Canada Allocation-tree '#''s]]+Table11[[#This Row],[Can trees/Allocation 2017]]</f>
        <v>0</v>
      </c>
      <c r="AF431" s="389"/>
      <c r="AG431" s="468"/>
      <c r="AH431" s="468"/>
      <c r="AI431" s="469"/>
      <c r="AJ431" s="389"/>
      <c r="AK431" s="389"/>
      <c r="AL431" s="389"/>
      <c r="AM431" s="468"/>
      <c r="AN431" s="468"/>
      <c r="AO431" s="468">
        <f>Table11[[#This Row],[2024 '#Trees Inventory + Estimate]]*Table11[[#This Row],[Canada Allocation %]]</f>
        <v>0</v>
      </c>
      <c r="AP431" s="468">
        <f>Table11[[#This Row],[2024 '#Trees Inventory + Estimate]]*Table11[[#This Row],[Canada Allocation2017 %]]</f>
        <v>0</v>
      </c>
      <c r="AQ431" s="482">
        <f>Table11[[#This Row],['#Trees as of 2024/estimate-Can allocation]]+Table11[[#This Row],['#Trees as of 2024/estimate-Can allocation 2017]]</f>
        <v>0</v>
      </c>
      <c r="AR431" s="1"/>
      <c r="AS431" s="2"/>
      <c r="AT431" s="6"/>
      <c r="AU431" s="4"/>
      <c r="AV431" s="2"/>
      <c r="AW431" s="2"/>
      <c r="AX431" s="3"/>
      <c r="AY431" s="2"/>
      <c r="AZ431" s="2"/>
      <c r="BA431" s="2"/>
      <c r="BB431" s="2"/>
      <c r="BC431" s="2"/>
      <c r="BD431" s="2"/>
      <c r="BE431" s="2"/>
      <c r="BF431" s="464"/>
      <c r="BG431" s="2"/>
      <c r="BH431" s="2"/>
      <c r="BI431" s="2"/>
      <c r="BJ431" s="2"/>
      <c r="BK431" s="470">
        <f>Table11[[#This Row],[Average MHT
(Feet)]]/16</f>
        <v>0</v>
      </c>
      <c r="BL431" s="471"/>
      <c r="BM431" s="470">
        <f>Table11[[#This Row],[Average DBH
(inches)]]/18</f>
        <v>0</v>
      </c>
      <c r="BN431" s="471">
        <f>((Table11[[#This Row],[Average DBH
(inches)]]-4)^2)*(Table11[[#This Row],[Average MHT
(Feet)]]/16)</f>
        <v>0</v>
      </c>
      <c r="BO431" s="471">
        <f>Table11[[#This Row],[Average BF]]*Table11[[#This Row],[2024 '#Trees Inventory + Estimate]]</f>
        <v>0</v>
      </c>
      <c r="BP431" s="472">
        <f>(Table11[[#This Row],[Harvest Year
(10 year)]]-Table11[[#This Row],[Year of Inventory]]+1)*(Table11[[#This Row],[Average DBH
(inches)]]/(Table11[[#This Row],[Harvest Year
(10 year)]]-Table11[[#This Row],[Year of Inventory]]+1))+Table11[[#This Row],[Average DBH
(inches)]]</f>
        <v>0</v>
      </c>
      <c r="BQ431" s="471">
        <f>((Table11[[#This Row],[Projected DBH
(Extrapolated Growth/Year)]]-4)^2)*(Table11[[#This Row],[Average MHT
(Feet)]]/16)</f>
        <v>0</v>
      </c>
      <c r="BR431" s="471">
        <f>Table11[[#This Row],[Projected Average BF]]*Table11[[#This Row],[2024 '#Trees Inventory + Estimate]]</f>
        <v>0</v>
      </c>
      <c r="BS431" s="471">
        <f>196*Table11[[#This Row],[2024 '#Trees Inventory + Estimate]]</f>
        <v>0</v>
      </c>
      <c r="BT431" s="471">
        <f>Table11[[#This Row],[ETP Offering Expected BF]]-Table11[[#This Row],[Projected Total BF]]</f>
        <v>0</v>
      </c>
      <c r="BU431" s="471">
        <f>(18-Table11[[#This Row],[Average DBH
(inches)]])/(D431-Table11[[#This Row],[Year of Inventory]]+1)</f>
        <v>18</v>
      </c>
    </row>
    <row r="432" spans="1:73" ht="15" hidden="1" customHeight="1" x14ac:dyDescent="0.25">
      <c r="A432" s="189"/>
      <c r="B432" s="2"/>
      <c r="C432" s="2"/>
      <c r="D432" s="2"/>
      <c r="E432" s="465"/>
      <c r="F432" s="161"/>
      <c r="G432" s="65"/>
      <c r="H432" s="357"/>
      <c r="I432" s="65"/>
      <c r="J432" s="1"/>
      <c r="K432" s="1"/>
      <c r="L432" s="1"/>
      <c r="M432" s="1"/>
      <c r="N432" s="65"/>
      <c r="O432" s="65"/>
      <c r="P432" s="65"/>
      <c r="Q432" s="2"/>
      <c r="R432" s="86"/>
      <c r="S432" s="2"/>
      <c r="T432" s="1"/>
      <c r="U432" s="1"/>
      <c r="V432" s="1"/>
      <c r="W432" s="341"/>
      <c r="X432" s="466"/>
      <c r="Y432" s="467"/>
      <c r="Z432" s="467">
        <f>Table11[[#This Row],['#Planted]]*Table11[[#This Row],[USA Allocation %]]</f>
        <v>0</v>
      </c>
      <c r="AA432" s="466"/>
      <c r="AB432" s="467"/>
      <c r="AC432" s="466"/>
      <c r="AD432" s="467"/>
      <c r="AE432" s="482">
        <f>Table11[[#This Row],[Canada Allocation-tree '#''s]]+Table11[[#This Row],[Can trees/Allocation 2017]]</f>
        <v>0</v>
      </c>
      <c r="AF432" s="389"/>
      <c r="AG432" s="468"/>
      <c r="AH432" s="468"/>
      <c r="AI432" s="469"/>
      <c r="AJ432" s="389"/>
      <c r="AK432" s="389"/>
      <c r="AL432" s="389"/>
      <c r="AM432" s="468"/>
      <c r="AN432" s="468"/>
      <c r="AO432" s="468">
        <f>Table11[[#This Row],[2024 '#Trees Inventory + Estimate]]*Table11[[#This Row],[Canada Allocation %]]</f>
        <v>0</v>
      </c>
      <c r="AP432" s="468">
        <f>Table11[[#This Row],[2024 '#Trees Inventory + Estimate]]*Table11[[#This Row],[Canada Allocation2017 %]]</f>
        <v>0</v>
      </c>
      <c r="AQ432" s="482">
        <f>Table11[[#This Row],['#Trees as of 2024/estimate-Can allocation]]+Table11[[#This Row],['#Trees as of 2024/estimate-Can allocation 2017]]</f>
        <v>0</v>
      </c>
      <c r="AR432" s="1"/>
      <c r="AS432" s="2"/>
      <c r="AT432" s="6"/>
      <c r="AU432" s="4"/>
      <c r="AV432" s="2"/>
      <c r="AW432" s="2"/>
      <c r="AX432" s="3"/>
      <c r="AY432" s="2"/>
      <c r="AZ432" s="2"/>
      <c r="BA432" s="2"/>
      <c r="BB432" s="2"/>
      <c r="BC432" s="2"/>
      <c r="BD432" s="2"/>
      <c r="BE432" s="2"/>
      <c r="BF432" s="464"/>
      <c r="BG432" s="2"/>
      <c r="BH432" s="2"/>
      <c r="BI432" s="2"/>
      <c r="BJ432" s="2"/>
      <c r="BK432" s="470">
        <f>Table11[[#This Row],[Average MHT
(Feet)]]/16</f>
        <v>0</v>
      </c>
      <c r="BL432" s="471"/>
      <c r="BM432" s="470">
        <f>Table11[[#This Row],[Average DBH
(inches)]]/18</f>
        <v>0</v>
      </c>
      <c r="BN432" s="471">
        <f>((Table11[[#This Row],[Average DBH
(inches)]]-4)^2)*(Table11[[#This Row],[Average MHT
(Feet)]]/16)</f>
        <v>0</v>
      </c>
      <c r="BO432" s="471">
        <f>Table11[[#This Row],[Average BF]]*Table11[[#This Row],[2024 '#Trees Inventory + Estimate]]</f>
        <v>0</v>
      </c>
      <c r="BP432" s="472">
        <f>(Table11[[#This Row],[Harvest Year
(10 year)]]-Table11[[#This Row],[Year of Inventory]]+1)*(Table11[[#This Row],[Average DBH
(inches)]]/(Table11[[#This Row],[Harvest Year
(10 year)]]-Table11[[#This Row],[Year of Inventory]]+1))+Table11[[#This Row],[Average DBH
(inches)]]</f>
        <v>0</v>
      </c>
      <c r="BQ432" s="471">
        <f>((Table11[[#This Row],[Projected DBH
(Extrapolated Growth/Year)]]-4)^2)*(Table11[[#This Row],[Average MHT
(Feet)]]/16)</f>
        <v>0</v>
      </c>
      <c r="BR432" s="471">
        <f>Table11[[#This Row],[Projected Average BF]]*Table11[[#This Row],[2024 '#Trees Inventory + Estimate]]</f>
        <v>0</v>
      </c>
      <c r="BS432" s="471">
        <f>196*Table11[[#This Row],[2024 '#Trees Inventory + Estimate]]</f>
        <v>0</v>
      </c>
      <c r="BT432" s="471">
        <f>Table11[[#This Row],[ETP Offering Expected BF]]-Table11[[#This Row],[Projected Total BF]]</f>
        <v>0</v>
      </c>
      <c r="BU432" s="471">
        <f>(18-Table11[[#This Row],[Average DBH
(inches)]])/(D432-Table11[[#This Row],[Year of Inventory]]+1)</f>
        <v>18</v>
      </c>
    </row>
    <row r="433" spans="1:73" ht="15" hidden="1" customHeight="1" x14ac:dyDescent="0.25">
      <c r="A433" s="189"/>
      <c r="B433" s="2"/>
      <c r="C433" s="2"/>
      <c r="D433" s="2"/>
      <c r="E433" s="465"/>
      <c r="F433" s="161"/>
      <c r="G433" s="65"/>
      <c r="H433" s="357"/>
      <c r="I433" s="65"/>
      <c r="J433" s="1"/>
      <c r="K433" s="1"/>
      <c r="L433" s="1"/>
      <c r="M433" s="1"/>
      <c r="N433" s="65"/>
      <c r="O433" s="65"/>
      <c r="P433" s="65"/>
      <c r="Q433" s="2"/>
      <c r="R433" s="86"/>
      <c r="S433" s="2"/>
      <c r="T433" s="1"/>
      <c r="U433" s="1"/>
      <c r="V433" s="1"/>
      <c r="W433" s="341"/>
      <c r="X433" s="466"/>
      <c r="Y433" s="467"/>
      <c r="Z433" s="467">
        <f>Table11[[#This Row],['#Planted]]*Table11[[#This Row],[USA Allocation %]]</f>
        <v>0</v>
      </c>
      <c r="AA433" s="466"/>
      <c r="AB433" s="467"/>
      <c r="AC433" s="466"/>
      <c r="AD433" s="467"/>
      <c r="AE433" s="482">
        <f>Table11[[#This Row],[Canada Allocation-tree '#''s]]+Table11[[#This Row],[Can trees/Allocation 2017]]</f>
        <v>0</v>
      </c>
      <c r="AF433" s="389"/>
      <c r="AG433" s="468"/>
      <c r="AH433" s="468"/>
      <c r="AI433" s="469"/>
      <c r="AJ433" s="389"/>
      <c r="AK433" s="389"/>
      <c r="AL433" s="389"/>
      <c r="AM433" s="468"/>
      <c r="AN433" s="468"/>
      <c r="AO433" s="468">
        <f>Table11[[#This Row],[2024 '#Trees Inventory + Estimate]]*Table11[[#This Row],[Canada Allocation %]]</f>
        <v>0</v>
      </c>
      <c r="AP433" s="468">
        <f>Table11[[#This Row],[2024 '#Trees Inventory + Estimate]]*Table11[[#This Row],[Canada Allocation2017 %]]</f>
        <v>0</v>
      </c>
      <c r="AQ433" s="482">
        <f>Table11[[#This Row],['#Trees as of 2024/estimate-Can allocation]]+Table11[[#This Row],['#Trees as of 2024/estimate-Can allocation 2017]]</f>
        <v>0</v>
      </c>
      <c r="AR433" s="1"/>
      <c r="AS433" s="2"/>
      <c r="AT433" s="6"/>
      <c r="AU433" s="4"/>
      <c r="AV433" s="2"/>
      <c r="AW433" s="2"/>
      <c r="AX433" s="3"/>
      <c r="AY433" s="2"/>
      <c r="AZ433" s="2"/>
      <c r="BA433" s="2"/>
      <c r="BB433" s="2"/>
      <c r="BC433" s="2"/>
      <c r="BD433" s="2"/>
      <c r="BE433" s="2"/>
      <c r="BF433" s="464"/>
      <c r="BG433" s="2"/>
      <c r="BH433" s="2"/>
      <c r="BI433" s="2"/>
      <c r="BJ433" s="2"/>
      <c r="BK433" s="470">
        <f>Table11[[#This Row],[Average MHT
(Feet)]]/16</f>
        <v>0</v>
      </c>
      <c r="BL433" s="471"/>
      <c r="BM433" s="470">
        <f>Table11[[#This Row],[Average DBH
(inches)]]/18</f>
        <v>0</v>
      </c>
      <c r="BN433" s="471">
        <f>((Table11[[#This Row],[Average DBH
(inches)]]-4)^2)*(Table11[[#This Row],[Average MHT
(Feet)]]/16)</f>
        <v>0</v>
      </c>
      <c r="BO433" s="471">
        <f>Table11[[#This Row],[Average BF]]*Table11[[#This Row],[2024 '#Trees Inventory + Estimate]]</f>
        <v>0</v>
      </c>
      <c r="BP433" s="472">
        <f>(Table11[[#This Row],[Harvest Year
(10 year)]]-Table11[[#This Row],[Year of Inventory]]+1)*(Table11[[#This Row],[Average DBH
(inches)]]/(Table11[[#This Row],[Harvest Year
(10 year)]]-Table11[[#This Row],[Year of Inventory]]+1))+Table11[[#This Row],[Average DBH
(inches)]]</f>
        <v>0</v>
      </c>
      <c r="BQ433" s="471">
        <f>((Table11[[#This Row],[Projected DBH
(Extrapolated Growth/Year)]]-4)^2)*(Table11[[#This Row],[Average MHT
(Feet)]]/16)</f>
        <v>0</v>
      </c>
      <c r="BR433" s="471">
        <f>Table11[[#This Row],[Projected Average BF]]*Table11[[#This Row],[2024 '#Trees Inventory + Estimate]]</f>
        <v>0</v>
      </c>
      <c r="BS433" s="471">
        <f>196*Table11[[#This Row],[2024 '#Trees Inventory + Estimate]]</f>
        <v>0</v>
      </c>
      <c r="BT433" s="471">
        <f>Table11[[#This Row],[ETP Offering Expected BF]]-Table11[[#This Row],[Projected Total BF]]</f>
        <v>0</v>
      </c>
      <c r="BU433" s="471">
        <f>(18-Table11[[#This Row],[Average DBH
(inches)]])/(D433-Table11[[#This Row],[Year of Inventory]]+1)</f>
        <v>18</v>
      </c>
    </row>
    <row r="434" spans="1:73" ht="15" hidden="1" customHeight="1" x14ac:dyDescent="0.25">
      <c r="A434" s="189"/>
      <c r="B434" s="2"/>
      <c r="C434" s="2"/>
      <c r="D434" s="2"/>
      <c r="E434" s="465"/>
      <c r="F434" s="161"/>
      <c r="G434" s="65"/>
      <c r="H434" s="357"/>
      <c r="I434" s="65"/>
      <c r="J434" s="1"/>
      <c r="K434" s="1"/>
      <c r="L434" s="1"/>
      <c r="M434" s="1"/>
      <c r="N434" s="65"/>
      <c r="O434" s="65"/>
      <c r="P434" s="65"/>
      <c r="Q434" s="2"/>
      <c r="R434" s="86"/>
      <c r="S434" s="2"/>
      <c r="T434" s="1"/>
      <c r="U434" s="1"/>
      <c r="V434" s="1"/>
      <c r="W434" s="341"/>
      <c r="X434" s="466"/>
      <c r="Y434" s="467"/>
      <c r="Z434" s="467">
        <f>Table11[[#This Row],['#Planted]]*Table11[[#This Row],[USA Allocation %]]</f>
        <v>0</v>
      </c>
      <c r="AA434" s="466"/>
      <c r="AB434" s="467"/>
      <c r="AC434" s="466"/>
      <c r="AD434" s="467"/>
      <c r="AE434" s="482">
        <f>Table11[[#This Row],[Canada Allocation-tree '#''s]]+Table11[[#This Row],[Can trees/Allocation 2017]]</f>
        <v>0</v>
      </c>
      <c r="AF434" s="389"/>
      <c r="AG434" s="468"/>
      <c r="AH434" s="468"/>
      <c r="AI434" s="469"/>
      <c r="AJ434" s="389"/>
      <c r="AK434" s="389"/>
      <c r="AL434" s="389"/>
      <c r="AM434" s="468"/>
      <c r="AN434" s="468"/>
      <c r="AO434" s="468">
        <f>Table11[[#This Row],[2024 '#Trees Inventory + Estimate]]*Table11[[#This Row],[Canada Allocation %]]</f>
        <v>0</v>
      </c>
      <c r="AP434" s="468">
        <f>Table11[[#This Row],[2024 '#Trees Inventory + Estimate]]*Table11[[#This Row],[Canada Allocation2017 %]]</f>
        <v>0</v>
      </c>
      <c r="AQ434" s="482">
        <f>Table11[[#This Row],['#Trees as of 2024/estimate-Can allocation]]+Table11[[#This Row],['#Trees as of 2024/estimate-Can allocation 2017]]</f>
        <v>0</v>
      </c>
      <c r="AR434" s="1"/>
      <c r="AS434" s="2"/>
      <c r="AT434" s="6"/>
      <c r="AU434" s="4"/>
      <c r="AV434" s="2"/>
      <c r="AW434" s="2"/>
      <c r="AX434" s="3"/>
      <c r="AY434" s="2"/>
      <c r="AZ434" s="2"/>
      <c r="BA434" s="2"/>
      <c r="BB434" s="2"/>
      <c r="BC434" s="2"/>
      <c r="BD434" s="2"/>
      <c r="BE434" s="2"/>
      <c r="BF434" s="464"/>
      <c r="BG434" s="2"/>
      <c r="BH434" s="2"/>
      <c r="BI434" s="2"/>
      <c r="BJ434" s="2"/>
      <c r="BK434" s="470">
        <f>Table11[[#This Row],[Average MHT
(Feet)]]/16</f>
        <v>0</v>
      </c>
      <c r="BL434" s="471"/>
      <c r="BM434" s="470">
        <f>Table11[[#This Row],[Average DBH
(inches)]]/18</f>
        <v>0</v>
      </c>
      <c r="BN434" s="471">
        <f>((Table11[[#This Row],[Average DBH
(inches)]]-4)^2)*(Table11[[#This Row],[Average MHT
(Feet)]]/16)</f>
        <v>0</v>
      </c>
      <c r="BO434" s="471">
        <f>Table11[[#This Row],[Average BF]]*Table11[[#This Row],[2024 '#Trees Inventory + Estimate]]</f>
        <v>0</v>
      </c>
      <c r="BP434" s="472">
        <f>(Table11[[#This Row],[Harvest Year
(10 year)]]-Table11[[#This Row],[Year of Inventory]]+1)*(Table11[[#This Row],[Average DBH
(inches)]]/(Table11[[#This Row],[Harvest Year
(10 year)]]-Table11[[#This Row],[Year of Inventory]]+1))+Table11[[#This Row],[Average DBH
(inches)]]</f>
        <v>0</v>
      </c>
      <c r="BQ434" s="471">
        <f>((Table11[[#This Row],[Projected DBH
(Extrapolated Growth/Year)]]-4)^2)*(Table11[[#This Row],[Average MHT
(Feet)]]/16)</f>
        <v>0</v>
      </c>
      <c r="BR434" s="471">
        <f>Table11[[#This Row],[Projected Average BF]]*Table11[[#This Row],[2024 '#Trees Inventory + Estimate]]</f>
        <v>0</v>
      </c>
      <c r="BS434" s="471">
        <f>196*Table11[[#This Row],[2024 '#Trees Inventory + Estimate]]</f>
        <v>0</v>
      </c>
      <c r="BT434" s="471">
        <f>Table11[[#This Row],[ETP Offering Expected BF]]-Table11[[#This Row],[Projected Total BF]]</f>
        <v>0</v>
      </c>
      <c r="BU434" s="471">
        <f>(18-Table11[[#This Row],[Average DBH
(inches)]])/(D434-Table11[[#This Row],[Year of Inventory]]+1)</f>
        <v>18</v>
      </c>
    </row>
    <row r="435" spans="1:73" ht="15" hidden="1" customHeight="1" x14ac:dyDescent="0.25">
      <c r="A435" s="189"/>
      <c r="B435" s="2"/>
      <c r="C435" s="2"/>
      <c r="D435" s="2"/>
      <c r="E435" s="465"/>
      <c r="F435" s="161"/>
      <c r="G435" s="65"/>
      <c r="H435" s="357"/>
      <c r="I435" s="65"/>
      <c r="J435" s="1"/>
      <c r="K435" s="1"/>
      <c r="L435" s="1"/>
      <c r="M435" s="1"/>
      <c r="N435" s="65"/>
      <c r="O435" s="65"/>
      <c r="P435" s="65"/>
      <c r="Q435" s="2"/>
      <c r="R435" s="86"/>
      <c r="S435" s="2"/>
      <c r="T435" s="1"/>
      <c r="U435" s="1"/>
      <c r="V435" s="1"/>
      <c r="W435" s="341"/>
      <c r="X435" s="466"/>
      <c r="Y435" s="467"/>
      <c r="Z435" s="467">
        <f>Table11[[#This Row],['#Planted]]*Table11[[#This Row],[USA Allocation %]]</f>
        <v>0</v>
      </c>
      <c r="AA435" s="466"/>
      <c r="AB435" s="467"/>
      <c r="AC435" s="466"/>
      <c r="AD435" s="467"/>
      <c r="AE435" s="482">
        <f>Table11[[#This Row],[Canada Allocation-tree '#''s]]+Table11[[#This Row],[Can trees/Allocation 2017]]</f>
        <v>0</v>
      </c>
      <c r="AF435" s="389"/>
      <c r="AG435" s="468"/>
      <c r="AH435" s="468"/>
      <c r="AI435" s="469"/>
      <c r="AJ435" s="389"/>
      <c r="AK435" s="389"/>
      <c r="AL435" s="389"/>
      <c r="AM435" s="468"/>
      <c r="AN435" s="468"/>
      <c r="AO435" s="468">
        <f>Table11[[#This Row],[2024 '#Trees Inventory + Estimate]]*Table11[[#This Row],[Canada Allocation %]]</f>
        <v>0</v>
      </c>
      <c r="AP435" s="468">
        <f>Table11[[#This Row],[2024 '#Trees Inventory + Estimate]]*Table11[[#This Row],[Canada Allocation2017 %]]</f>
        <v>0</v>
      </c>
      <c r="AQ435" s="482">
        <f>Table11[[#This Row],['#Trees as of 2024/estimate-Can allocation]]+Table11[[#This Row],['#Trees as of 2024/estimate-Can allocation 2017]]</f>
        <v>0</v>
      </c>
      <c r="AR435" s="1"/>
      <c r="AS435" s="2"/>
      <c r="AT435" s="6"/>
      <c r="AU435" s="4"/>
      <c r="AV435" s="2"/>
      <c r="AW435" s="2"/>
      <c r="AX435" s="3"/>
      <c r="AY435" s="2"/>
      <c r="AZ435" s="2"/>
      <c r="BA435" s="2"/>
      <c r="BB435" s="2"/>
      <c r="BC435" s="2"/>
      <c r="BD435" s="2"/>
      <c r="BE435" s="2"/>
      <c r="BF435" s="464"/>
      <c r="BG435" s="2"/>
      <c r="BH435" s="2"/>
      <c r="BI435" s="2"/>
      <c r="BJ435" s="2"/>
      <c r="BK435" s="470">
        <f>Table11[[#This Row],[Average MHT
(Feet)]]/16</f>
        <v>0</v>
      </c>
      <c r="BL435" s="471"/>
      <c r="BM435" s="470">
        <f>Table11[[#This Row],[Average DBH
(inches)]]/18</f>
        <v>0</v>
      </c>
      <c r="BN435" s="471">
        <f>((Table11[[#This Row],[Average DBH
(inches)]]-4)^2)*(Table11[[#This Row],[Average MHT
(Feet)]]/16)</f>
        <v>0</v>
      </c>
      <c r="BO435" s="471">
        <f>Table11[[#This Row],[Average BF]]*Table11[[#This Row],[2024 '#Trees Inventory + Estimate]]</f>
        <v>0</v>
      </c>
      <c r="BP435" s="472">
        <f>(Table11[[#This Row],[Harvest Year
(10 year)]]-Table11[[#This Row],[Year of Inventory]]+1)*(Table11[[#This Row],[Average DBH
(inches)]]/(Table11[[#This Row],[Harvest Year
(10 year)]]-Table11[[#This Row],[Year of Inventory]]+1))+Table11[[#This Row],[Average DBH
(inches)]]</f>
        <v>0</v>
      </c>
      <c r="BQ435" s="471">
        <f>((Table11[[#This Row],[Projected DBH
(Extrapolated Growth/Year)]]-4)^2)*(Table11[[#This Row],[Average MHT
(Feet)]]/16)</f>
        <v>0</v>
      </c>
      <c r="BR435" s="471">
        <f>Table11[[#This Row],[Projected Average BF]]*Table11[[#This Row],[2024 '#Trees Inventory + Estimate]]</f>
        <v>0</v>
      </c>
      <c r="BS435" s="471">
        <f>196*Table11[[#This Row],[2024 '#Trees Inventory + Estimate]]</f>
        <v>0</v>
      </c>
      <c r="BT435" s="471">
        <f>Table11[[#This Row],[ETP Offering Expected BF]]-Table11[[#This Row],[Projected Total BF]]</f>
        <v>0</v>
      </c>
      <c r="BU435" s="471">
        <f>(18-Table11[[#This Row],[Average DBH
(inches)]])/(D435-Table11[[#This Row],[Year of Inventory]]+1)</f>
        <v>18</v>
      </c>
    </row>
    <row r="436" spans="1:73" ht="15" hidden="1" customHeight="1" x14ac:dyDescent="0.25">
      <c r="A436" s="189"/>
      <c r="B436" s="2"/>
      <c r="C436" s="2"/>
      <c r="D436" s="2"/>
      <c r="E436" s="465"/>
      <c r="F436" s="161"/>
      <c r="G436" s="65"/>
      <c r="H436" s="357"/>
      <c r="I436" s="65"/>
      <c r="J436" s="1"/>
      <c r="K436" s="1"/>
      <c r="L436" s="1"/>
      <c r="M436" s="1"/>
      <c r="N436" s="65"/>
      <c r="O436" s="65"/>
      <c r="P436" s="65"/>
      <c r="Q436" s="2"/>
      <c r="R436" s="86"/>
      <c r="S436" s="2"/>
      <c r="T436" s="1"/>
      <c r="U436" s="1"/>
      <c r="V436" s="1"/>
      <c r="W436" s="341"/>
      <c r="X436" s="466"/>
      <c r="Y436" s="467"/>
      <c r="Z436" s="467">
        <f>Table11[[#This Row],['#Planted]]*Table11[[#This Row],[USA Allocation %]]</f>
        <v>0</v>
      </c>
      <c r="AA436" s="466"/>
      <c r="AB436" s="467"/>
      <c r="AC436" s="466"/>
      <c r="AD436" s="467"/>
      <c r="AE436" s="482">
        <f>Table11[[#This Row],[Canada Allocation-tree '#''s]]+Table11[[#This Row],[Can trees/Allocation 2017]]</f>
        <v>0</v>
      </c>
      <c r="AF436" s="389"/>
      <c r="AG436" s="468"/>
      <c r="AH436" s="468"/>
      <c r="AI436" s="469"/>
      <c r="AJ436" s="389"/>
      <c r="AK436" s="389"/>
      <c r="AL436" s="389"/>
      <c r="AM436" s="468"/>
      <c r="AN436" s="468"/>
      <c r="AO436" s="468">
        <f>Table11[[#This Row],[2024 '#Trees Inventory + Estimate]]*Table11[[#This Row],[Canada Allocation %]]</f>
        <v>0</v>
      </c>
      <c r="AP436" s="468">
        <f>Table11[[#This Row],[2024 '#Trees Inventory + Estimate]]*Table11[[#This Row],[Canada Allocation2017 %]]</f>
        <v>0</v>
      </c>
      <c r="AQ436" s="482">
        <f>Table11[[#This Row],['#Trees as of 2024/estimate-Can allocation]]+Table11[[#This Row],['#Trees as of 2024/estimate-Can allocation 2017]]</f>
        <v>0</v>
      </c>
      <c r="AR436" s="1"/>
      <c r="AS436" s="2"/>
      <c r="AT436" s="6"/>
      <c r="AU436" s="4"/>
      <c r="AV436" s="2"/>
      <c r="AW436" s="2"/>
      <c r="AX436" s="3"/>
      <c r="AY436" s="2"/>
      <c r="AZ436" s="2"/>
      <c r="BA436" s="2"/>
      <c r="BB436" s="2"/>
      <c r="BC436" s="2"/>
      <c r="BD436" s="2"/>
      <c r="BE436" s="2"/>
      <c r="BF436" s="464"/>
      <c r="BG436" s="2"/>
      <c r="BH436" s="2"/>
      <c r="BI436" s="2"/>
      <c r="BJ436" s="2"/>
      <c r="BK436" s="470">
        <f>Table11[[#This Row],[Average MHT
(Feet)]]/16</f>
        <v>0</v>
      </c>
      <c r="BL436" s="471"/>
      <c r="BM436" s="470">
        <f>Table11[[#This Row],[Average DBH
(inches)]]/18</f>
        <v>0</v>
      </c>
      <c r="BN436" s="471">
        <f>((Table11[[#This Row],[Average DBH
(inches)]]-4)^2)*(Table11[[#This Row],[Average MHT
(Feet)]]/16)</f>
        <v>0</v>
      </c>
      <c r="BO436" s="471">
        <f>Table11[[#This Row],[Average BF]]*Table11[[#This Row],[2024 '#Trees Inventory + Estimate]]</f>
        <v>0</v>
      </c>
      <c r="BP436" s="472">
        <f>(Table11[[#This Row],[Harvest Year
(10 year)]]-Table11[[#This Row],[Year of Inventory]]+1)*(Table11[[#This Row],[Average DBH
(inches)]]/(Table11[[#This Row],[Harvest Year
(10 year)]]-Table11[[#This Row],[Year of Inventory]]+1))+Table11[[#This Row],[Average DBH
(inches)]]</f>
        <v>0</v>
      </c>
      <c r="BQ436" s="471">
        <f>((Table11[[#This Row],[Projected DBH
(Extrapolated Growth/Year)]]-4)^2)*(Table11[[#This Row],[Average MHT
(Feet)]]/16)</f>
        <v>0</v>
      </c>
      <c r="BR436" s="471">
        <f>Table11[[#This Row],[Projected Average BF]]*Table11[[#This Row],[2024 '#Trees Inventory + Estimate]]</f>
        <v>0</v>
      </c>
      <c r="BS436" s="471">
        <f>196*Table11[[#This Row],[2024 '#Trees Inventory + Estimate]]</f>
        <v>0</v>
      </c>
      <c r="BT436" s="471">
        <f>Table11[[#This Row],[ETP Offering Expected BF]]-Table11[[#This Row],[Projected Total BF]]</f>
        <v>0</v>
      </c>
      <c r="BU436" s="471">
        <f>(18-Table11[[#This Row],[Average DBH
(inches)]])/(D436-Table11[[#This Row],[Year of Inventory]]+1)</f>
        <v>18</v>
      </c>
    </row>
    <row r="437" spans="1:73" ht="15" hidden="1" customHeight="1" x14ac:dyDescent="0.25">
      <c r="A437" s="189"/>
      <c r="B437" s="2"/>
      <c r="C437" s="2"/>
      <c r="D437" s="2"/>
      <c r="E437" s="465"/>
      <c r="F437" s="161"/>
      <c r="G437" s="65"/>
      <c r="H437" s="357"/>
      <c r="I437" s="65"/>
      <c r="J437" s="1"/>
      <c r="K437" s="1"/>
      <c r="L437" s="1"/>
      <c r="M437" s="1"/>
      <c r="N437" s="65"/>
      <c r="O437" s="65"/>
      <c r="P437" s="65"/>
      <c r="Q437" s="2"/>
      <c r="R437" s="86"/>
      <c r="S437" s="2"/>
      <c r="T437" s="1"/>
      <c r="U437" s="1"/>
      <c r="V437" s="1"/>
      <c r="W437" s="341"/>
      <c r="X437" s="466"/>
      <c r="Y437" s="467"/>
      <c r="Z437" s="467">
        <f>Table11[[#This Row],['#Planted]]*Table11[[#This Row],[USA Allocation %]]</f>
        <v>0</v>
      </c>
      <c r="AA437" s="466"/>
      <c r="AB437" s="467"/>
      <c r="AC437" s="466"/>
      <c r="AD437" s="467"/>
      <c r="AE437" s="482">
        <f>Table11[[#This Row],[Canada Allocation-tree '#''s]]+Table11[[#This Row],[Can trees/Allocation 2017]]</f>
        <v>0</v>
      </c>
      <c r="AF437" s="389"/>
      <c r="AG437" s="468"/>
      <c r="AH437" s="468"/>
      <c r="AI437" s="469"/>
      <c r="AJ437" s="389"/>
      <c r="AK437" s="389"/>
      <c r="AL437" s="389"/>
      <c r="AM437" s="468"/>
      <c r="AN437" s="468"/>
      <c r="AO437" s="468">
        <f>Table11[[#This Row],[2024 '#Trees Inventory + Estimate]]*Table11[[#This Row],[Canada Allocation %]]</f>
        <v>0</v>
      </c>
      <c r="AP437" s="468">
        <f>Table11[[#This Row],[2024 '#Trees Inventory + Estimate]]*Table11[[#This Row],[Canada Allocation2017 %]]</f>
        <v>0</v>
      </c>
      <c r="AQ437" s="482">
        <f>Table11[[#This Row],['#Trees as of 2024/estimate-Can allocation]]+Table11[[#This Row],['#Trees as of 2024/estimate-Can allocation 2017]]</f>
        <v>0</v>
      </c>
      <c r="AR437" s="1"/>
      <c r="AS437" s="2"/>
      <c r="AT437" s="6"/>
      <c r="AU437" s="4"/>
      <c r="AV437" s="2"/>
      <c r="AW437" s="2"/>
      <c r="AX437" s="3"/>
      <c r="AY437" s="2"/>
      <c r="AZ437" s="2"/>
      <c r="BA437" s="2"/>
      <c r="BB437" s="2"/>
      <c r="BC437" s="2"/>
      <c r="BD437" s="2"/>
      <c r="BE437" s="2"/>
      <c r="BF437" s="464"/>
      <c r="BG437" s="2"/>
      <c r="BH437" s="2"/>
      <c r="BI437" s="2"/>
      <c r="BJ437" s="2"/>
      <c r="BK437" s="470">
        <f>Table11[[#This Row],[Average MHT
(Feet)]]/16</f>
        <v>0</v>
      </c>
      <c r="BL437" s="471"/>
      <c r="BM437" s="470">
        <f>Table11[[#This Row],[Average DBH
(inches)]]/18</f>
        <v>0</v>
      </c>
      <c r="BN437" s="471">
        <f>((Table11[[#This Row],[Average DBH
(inches)]]-4)^2)*(Table11[[#This Row],[Average MHT
(Feet)]]/16)</f>
        <v>0</v>
      </c>
      <c r="BO437" s="471">
        <f>Table11[[#This Row],[Average BF]]*Table11[[#This Row],[2024 '#Trees Inventory + Estimate]]</f>
        <v>0</v>
      </c>
      <c r="BP437" s="472">
        <f>(Table11[[#This Row],[Harvest Year
(10 year)]]-Table11[[#This Row],[Year of Inventory]]+1)*(Table11[[#This Row],[Average DBH
(inches)]]/(Table11[[#This Row],[Harvest Year
(10 year)]]-Table11[[#This Row],[Year of Inventory]]+1))+Table11[[#This Row],[Average DBH
(inches)]]</f>
        <v>0</v>
      </c>
      <c r="BQ437" s="471">
        <f>((Table11[[#This Row],[Projected DBH
(Extrapolated Growth/Year)]]-4)^2)*(Table11[[#This Row],[Average MHT
(Feet)]]/16)</f>
        <v>0</v>
      </c>
      <c r="BR437" s="471">
        <f>Table11[[#This Row],[Projected Average BF]]*Table11[[#This Row],[2024 '#Trees Inventory + Estimate]]</f>
        <v>0</v>
      </c>
      <c r="BS437" s="471">
        <f>196*Table11[[#This Row],[2024 '#Trees Inventory + Estimate]]</f>
        <v>0</v>
      </c>
      <c r="BT437" s="471">
        <f>Table11[[#This Row],[ETP Offering Expected BF]]-Table11[[#This Row],[Projected Total BF]]</f>
        <v>0</v>
      </c>
      <c r="BU437" s="471">
        <f>(18-Table11[[#This Row],[Average DBH
(inches)]])/(D437-Table11[[#This Row],[Year of Inventory]]+1)</f>
        <v>18</v>
      </c>
    </row>
    <row r="438" spans="1:73" ht="15" hidden="1" customHeight="1" x14ac:dyDescent="0.25">
      <c r="A438" s="189"/>
      <c r="B438" s="2"/>
      <c r="C438" s="2"/>
      <c r="D438" s="2"/>
      <c r="E438" s="465"/>
      <c r="F438" s="161"/>
      <c r="G438" s="65"/>
      <c r="H438" s="357"/>
      <c r="I438" s="65"/>
      <c r="J438" s="1"/>
      <c r="K438" s="1"/>
      <c r="L438" s="1"/>
      <c r="M438" s="1"/>
      <c r="N438" s="65"/>
      <c r="O438" s="65"/>
      <c r="P438" s="65"/>
      <c r="Q438" s="2"/>
      <c r="R438" s="86"/>
      <c r="S438" s="2"/>
      <c r="T438" s="1"/>
      <c r="U438" s="1"/>
      <c r="V438" s="1"/>
      <c r="W438" s="341"/>
      <c r="X438" s="466"/>
      <c r="Y438" s="467"/>
      <c r="Z438" s="467">
        <f>Table11[[#This Row],['#Planted]]*Table11[[#This Row],[USA Allocation %]]</f>
        <v>0</v>
      </c>
      <c r="AA438" s="466"/>
      <c r="AB438" s="467"/>
      <c r="AC438" s="466"/>
      <c r="AD438" s="467"/>
      <c r="AE438" s="482">
        <f>Table11[[#This Row],[Canada Allocation-tree '#''s]]+Table11[[#This Row],[Can trees/Allocation 2017]]</f>
        <v>0</v>
      </c>
      <c r="AF438" s="389"/>
      <c r="AG438" s="468"/>
      <c r="AH438" s="468"/>
      <c r="AI438" s="469"/>
      <c r="AJ438" s="389"/>
      <c r="AK438" s="389"/>
      <c r="AL438" s="389"/>
      <c r="AM438" s="468"/>
      <c r="AN438" s="468"/>
      <c r="AO438" s="468">
        <f>Table11[[#This Row],[2024 '#Trees Inventory + Estimate]]*Table11[[#This Row],[Canada Allocation %]]</f>
        <v>0</v>
      </c>
      <c r="AP438" s="468">
        <f>Table11[[#This Row],[2024 '#Trees Inventory + Estimate]]*Table11[[#This Row],[Canada Allocation2017 %]]</f>
        <v>0</v>
      </c>
      <c r="AQ438" s="482">
        <f>Table11[[#This Row],['#Trees as of 2024/estimate-Can allocation]]+Table11[[#This Row],['#Trees as of 2024/estimate-Can allocation 2017]]</f>
        <v>0</v>
      </c>
      <c r="AR438" s="1"/>
      <c r="AS438" s="2"/>
      <c r="AT438" s="6"/>
      <c r="AU438" s="4"/>
      <c r="AV438" s="2"/>
      <c r="AW438" s="2"/>
      <c r="AX438" s="3"/>
      <c r="AY438" s="2"/>
      <c r="AZ438" s="2"/>
      <c r="BA438" s="2"/>
      <c r="BB438" s="2"/>
      <c r="BC438" s="2"/>
      <c r="BD438" s="2"/>
      <c r="BE438" s="2"/>
      <c r="BF438" s="464"/>
      <c r="BG438" s="2"/>
      <c r="BH438" s="2"/>
      <c r="BI438" s="2"/>
      <c r="BJ438" s="2"/>
      <c r="BK438" s="470">
        <f>Table11[[#This Row],[Average MHT
(Feet)]]/16</f>
        <v>0</v>
      </c>
      <c r="BL438" s="471"/>
      <c r="BM438" s="470">
        <f>Table11[[#This Row],[Average DBH
(inches)]]/18</f>
        <v>0</v>
      </c>
      <c r="BN438" s="471">
        <f>((Table11[[#This Row],[Average DBH
(inches)]]-4)^2)*(Table11[[#This Row],[Average MHT
(Feet)]]/16)</f>
        <v>0</v>
      </c>
      <c r="BO438" s="471">
        <f>Table11[[#This Row],[Average BF]]*Table11[[#This Row],[2024 '#Trees Inventory + Estimate]]</f>
        <v>0</v>
      </c>
      <c r="BP438" s="472">
        <f>(Table11[[#This Row],[Harvest Year
(10 year)]]-Table11[[#This Row],[Year of Inventory]]+1)*(Table11[[#This Row],[Average DBH
(inches)]]/(Table11[[#This Row],[Harvest Year
(10 year)]]-Table11[[#This Row],[Year of Inventory]]+1))+Table11[[#This Row],[Average DBH
(inches)]]</f>
        <v>0</v>
      </c>
      <c r="BQ438" s="471">
        <f>((Table11[[#This Row],[Projected DBH
(Extrapolated Growth/Year)]]-4)^2)*(Table11[[#This Row],[Average MHT
(Feet)]]/16)</f>
        <v>0</v>
      </c>
      <c r="BR438" s="471">
        <f>Table11[[#This Row],[Projected Average BF]]*Table11[[#This Row],[2024 '#Trees Inventory + Estimate]]</f>
        <v>0</v>
      </c>
      <c r="BS438" s="471">
        <f>196*Table11[[#This Row],[2024 '#Trees Inventory + Estimate]]</f>
        <v>0</v>
      </c>
      <c r="BT438" s="471">
        <f>Table11[[#This Row],[ETP Offering Expected BF]]-Table11[[#This Row],[Projected Total BF]]</f>
        <v>0</v>
      </c>
      <c r="BU438" s="471">
        <f>(18-Table11[[#This Row],[Average DBH
(inches)]])/(D438-Table11[[#This Row],[Year of Inventory]]+1)</f>
        <v>18</v>
      </c>
    </row>
    <row r="439" spans="1:73" ht="15" hidden="1" customHeight="1" x14ac:dyDescent="0.25">
      <c r="A439" s="189"/>
      <c r="B439" s="2"/>
      <c r="C439" s="2"/>
      <c r="D439" s="2"/>
      <c r="E439" s="465"/>
      <c r="F439" s="161"/>
      <c r="G439" s="65"/>
      <c r="H439" s="357"/>
      <c r="I439" s="65"/>
      <c r="J439" s="1"/>
      <c r="K439" s="1"/>
      <c r="L439" s="1"/>
      <c r="M439" s="1"/>
      <c r="N439" s="65"/>
      <c r="O439" s="65"/>
      <c r="P439" s="65"/>
      <c r="Q439" s="2"/>
      <c r="R439" s="86"/>
      <c r="S439" s="2"/>
      <c r="T439" s="1"/>
      <c r="U439" s="1"/>
      <c r="V439" s="1"/>
      <c r="W439" s="341"/>
      <c r="X439" s="466"/>
      <c r="Y439" s="467"/>
      <c r="Z439" s="467">
        <f>Table11[[#This Row],['#Planted]]*Table11[[#This Row],[USA Allocation %]]</f>
        <v>0</v>
      </c>
      <c r="AA439" s="466"/>
      <c r="AB439" s="467"/>
      <c r="AC439" s="466"/>
      <c r="AD439" s="467"/>
      <c r="AE439" s="482">
        <f>Table11[[#This Row],[Canada Allocation-tree '#''s]]+Table11[[#This Row],[Can trees/Allocation 2017]]</f>
        <v>0</v>
      </c>
      <c r="AF439" s="389"/>
      <c r="AG439" s="468"/>
      <c r="AH439" s="468"/>
      <c r="AI439" s="469"/>
      <c r="AJ439" s="389"/>
      <c r="AK439" s="389"/>
      <c r="AL439" s="389"/>
      <c r="AM439" s="468"/>
      <c r="AN439" s="468"/>
      <c r="AO439" s="468">
        <f>Table11[[#This Row],[2024 '#Trees Inventory + Estimate]]*Table11[[#This Row],[Canada Allocation %]]</f>
        <v>0</v>
      </c>
      <c r="AP439" s="468">
        <f>Table11[[#This Row],[2024 '#Trees Inventory + Estimate]]*Table11[[#This Row],[Canada Allocation2017 %]]</f>
        <v>0</v>
      </c>
      <c r="AQ439" s="482">
        <f>Table11[[#This Row],['#Trees as of 2024/estimate-Can allocation]]+Table11[[#This Row],['#Trees as of 2024/estimate-Can allocation 2017]]</f>
        <v>0</v>
      </c>
      <c r="AR439" s="1"/>
      <c r="AS439" s="2"/>
      <c r="AT439" s="6"/>
      <c r="AU439" s="4"/>
      <c r="AV439" s="2"/>
      <c r="AW439" s="2"/>
      <c r="AX439" s="3"/>
      <c r="AY439" s="2"/>
      <c r="AZ439" s="2"/>
      <c r="BA439" s="2"/>
      <c r="BB439" s="2"/>
      <c r="BC439" s="2"/>
      <c r="BD439" s="2"/>
      <c r="BE439" s="2"/>
      <c r="BF439" s="464"/>
      <c r="BG439" s="2"/>
      <c r="BH439" s="2"/>
      <c r="BI439" s="2"/>
      <c r="BJ439" s="2"/>
      <c r="BK439" s="470">
        <f>Table11[[#This Row],[Average MHT
(Feet)]]/16</f>
        <v>0</v>
      </c>
      <c r="BL439" s="471"/>
      <c r="BM439" s="470">
        <f>Table11[[#This Row],[Average DBH
(inches)]]/18</f>
        <v>0</v>
      </c>
      <c r="BN439" s="471">
        <f>((Table11[[#This Row],[Average DBH
(inches)]]-4)^2)*(Table11[[#This Row],[Average MHT
(Feet)]]/16)</f>
        <v>0</v>
      </c>
      <c r="BO439" s="471">
        <f>Table11[[#This Row],[Average BF]]*Table11[[#This Row],[2024 '#Trees Inventory + Estimate]]</f>
        <v>0</v>
      </c>
      <c r="BP439" s="472">
        <f>(Table11[[#This Row],[Harvest Year
(10 year)]]-Table11[[#This Row],[Year of Inventory]]+1)*(Table11[[#This Row],[Average DBH
(inches)]]/(Table11[[#This Row],[Harvest Year
(10 year)]]-Table11[[#This Row],[Year of Inventory]]+1))+Table11[[#This Row],[Average DBH
(inches)]]</f>
        <v>0</v>
      </c>
      <c r="BQ439" s="471">
        <f>((Table11[[#This Row],[Projected DBH
(Extrapolated Growth/Year)]]-4)^2)*(Table11[[#This Row],[Average MHT
(Feet)]]/16)</f>
        <v>0</v>
      </c>
      <c r="BR439" s="471">
        <f>Table11[[#This Row],[Projected Average BF]]*Table11[[#This Row],[2024 '#Trees Inventory + Estimate]]</f>
        <v>0</v>
      </c>
      <c r="BS439" s="471">
        <f>196*Table11[[#This Row],[2024 '#Trees Inventory + Estimate]]</f>
        <v>0</v>
      </c>
      <c r="BT439" s="471">
        <f>Table11[[#This Row],[ETP Offering Expected BF]]-Table11[[#This Row],[Projected Total BF]]</f>
        <v>0</v>
      </c>
      <c r="BU439" s="471">
        <f>(18-Table11[[#This Row],[Average DBH
(inches)]])/(D439-Table11[[#This Row],[Year of Inventory]]+1)</f>
        <v>18</v>
      </c>
    </row>
    <row r="440" spans="1:73" ht="15" hidden="1" customHeight="1" x14ac:dyDescent="0.25">
      <c r="A440" s="189"/>
      <c r="B440" s="2"/>
      <c r="C440" s="2"/>
      <c r="D440" s="2"/>
      <c r="E440" s="465"/>
      <c r="F440" s="161"/>
      <c r="G440" s="65"/>
      <c r="H440" s="357"/>
      <c r="I440" s="65"/>
      <c r="J440" s="1"/>
      <c r="K440" s="1"/>
      <c r="L440" s="1"/>
      <c r="M440" s="1"/>
      <c r="N440" s="65"/>
      <c r="O440" s="65"/>
      <c r="P440" s="65"/>
      <c r="Q440" s="2"/>
      <c r="R440" s="86"/>
      <c r="S440" s="2"/>
      <c r="T440" s="1"/>
      <c r="U440" s="1"/>
      <c r="V440" s="1"/>
      <c r="W440" s="341"/>
      <c r="X440" s="466"/>
      <c r="Y440" s="467"/>
      <c r="Z440" s="467">
        <f>Table11[[#This Row],['#Planted]]*Table11[[#This Row],[USA Allocation %]]</f>
        <v>0</v>
      </c>
      <c r="AA440" s="466"/>
      <c r="AB440" s="467"/>
      <c r="AC440" s="466"/>
      <c r="AD440" s="467"/>
      <c r="AE440" s="482">
        <f>Table11[[#This Row],[Canada Allocation-tree '#''s]]+Table11[[#This Row],[Can trees/Allocation 2017]]</f>
        <v>0</v>
      </c>
      <c r="AF440" s="389"/>
      <c r="AG440" s="468"/>
      <c r="AH440" s="468"/>
      <c r="AI440" s="469"/>
      <c r="AJ440" s="389"/>
      <c r="AK440" s="389"/>
      <c r="AL440" s="389"/>
      <c r="AM440" s="468"/>
      <c r="AN440" s="468"/>
      <c r="AO440" s="468">
        <f>Table11[[#This Row],[2024 '#Trees Inventory + Estimate]]*Table11[[#This Row],[Canada Allocation %]]</f>
        <v>0</v>
      </c>
      <c r="AP440" s="468">
        <f>Table11[[#This Row],[2024 '#Trees Inventory + Estimate]]*Table11[[#This Row],[Canada Allocation2017 %]]</f>
        <v>0</v>
      </c>
      <c r="AQ440" s="482">
        <f>Table11[[#This Row],['#Trees as of 2024/estimate-Can allocation]]+Table11[[#This Row],['#Trees as of 2024/estimate-Can allocation 2017]]</f>
        <v>0</v>
      </c>
      <c r="AR440" s="1"/>
      <c r="AS440" s="2"/>
      <c r="AT440" s="6"/>
      <c r="AU440" s="4"/>
      <c r="AV440" s="2"/>
      <c r="AW440" s="2"/>
      <c r="AX440" s="3"/>
      <c r="AY440" s="2"/>
      <c r="AZ440" s="2"/>
      <c r="BA440" s="2"/>
      <c r="BB440" s="2"/>
      <c r="BC440" s="2"/>
      <c r="BD440" s="2"/>
      <c r="BE440" s="2"/>
      <c r="BF440" s="464"/>
      <c r="BG440" s="2"/>
      <c r="BH440" s="2"/>
      <c r="BI440" s="2"/>
      <c r="BJ440" s="2"/>
      <c r="BK440" s="470">
        <f>Table11[[#This Row],[Average MHT
(Feet)]]/16</f>
        <v>0</v>
      </c>
      <c r="BL440" s="471"/>
      <c r="BM440" s="470">
        <f>Table11[[#This Row],[Average DBH
(inches)]]/18</f>
        <v>0</v>
      </c>
      <c r="BN440" s="471">
        <f>((Table11[[#This Row],[Average DBH
(inches)]]-4)^2)*(Table11[[#This Row],[Average MHT
(Feet)]]/16)</f>
        <v>0</v>
      </c>
      <c r="BO440" s="471">
        <f>Table11[[#This Row],[Average BF]]*Table11[[#This Row],[2024 '#Trees Inventory + Estimate]]</f>
        <v>0</v>
      </c>
      <c r="BP440" s="472">
        <f>(Table11[[#This Row],[Harvest Year
(10 year)]]-Table11[[#This Row],[Year of Inventory]]+1)*(Table11[[#This Row],[Average DBH
(inches)]]/(Table11[[#This Row],[Harvest Year
(10 year)]]-Table11[[#This Row],[Year of Inventory]]+1))+Table11[[#This Row],[Average DBH
(inches)]]</f>
        <v>0</v>
      </c>
      <c r="BQ440" s="471">
        <f>((Table11[[#This Row],[Projected DBH
(Extrapolated Growth/Year)]]-4)^2)*(Table11[[#This Row],[Average MHT
(Feet)]]/16)</f>
        <v>0</v>
      </c>
      <c r="BR440" s="471">
        <f>Table11[[#This Row],[Projected Average BF]]*Table11[[#This Row],[2024 '#Trees Inventory + Estimate]]</f>
        <v>0</v>
      </c>
      <c r="BS440" s="471">
        <f>196*Table11[[#This Row],[2024 '#Trees Inventory + Estimate]]</f>
        <v>0</v>
      </c>
      <c r="BT440" s="471">
        <f>Table11[[#This Row],[ETP Offering Expected BF]]-Table11[[#This Row],[Projected Total BF]]</f>
        <v>0</v>
      </c>
      <c r="BU440" s="471">
        <f>(18-Table11[[#This Row],[Average DBH
(inches)]])/(D440-Table11[[#This Row],[Year of Inventory]]+1)</f>
        <v>18</v>
      </c>
    </row>
    <row r="441" spans="1:73" ht="15" hidden="1" customHeight="1" x14ac:dyDescent="0.25">
      <c r="A441" s="189"/>
      <c r="B441" s="2"/>
      <c r="C441" s="2"/>
      <c r="D441" s="2"/>
      <c r="E441" s="465"/>
      <c r="F441" s="161"/>
      <c r="G441" s="65"/>
      <c r="H441" s="357"/>
      <c r="I441" s="65"/>
      <c r="J441" s="1"/>
      <c r="K441" s="1"/>
      <c r="L441" s="1"/>
      <c r="M441" s="1"/>
      <c r="N441" s="65"/>
      <c r="O441" s="65"/>
      <c r="P441" s="65"/>
      <c r="Q441" s="2"/>
      <c r="R441" s="86"/>
      <c r="S441" s="2"/>
      <c r="T441" s="1"/>
      <c r="U441" s="1"/>
      <c r="V441" s="1"/>
      <c r="W441" s="341"/>
      <c r="X441" s="466"/>
      <c r="Y441" s="467"/>
      <c r="Z441" s="467">
        <f>Table11[[#This Row],['#Planted]]*Table11[[#This Row],[USA Allocation %]]</f>
        <v>0</v>
      </c>
      <c r="AA441" s="466"/>
      <c r="AB441" s="467"/>
      <c r="AC441" s="466"/>
      <c r="AD441" s="467"/>
      <c r="AE441" s="482">
        <f>Table11[[#This Row],[Canada Allocation-tree '#''s]]+Table11[[#This Row],[Can trees/Allocation 2017]]</f>
        <v>0</v>
      </c>
      <c r="AF441" s="389"/>
      <c r="AG441" s="468"/>
      <c r="AH441" s="468"/>
      <c r="AI441" s="469"/>
      <c r="AJ441" s="389"/>
      <c r="AK441" s="389"/>
      <c r="AL441" s="389"/>
      <c r="AM441" s="468"/>
      <c r="AN441" s="468"/>
      <c r="AO441" s="468">
        <f>Table11[[#This Row],[2024 '#Trees Inventory + Estimate]]*Table11[[#This Row],[Canada Allocation %]]</f>
        <v>0</v>
      </c>
      <c r="AP441" s="468">
        <f>Table11[[#This Row],[2024 '#Trees Inventory + Estimate]]*Table11[[#This Row],[Canada Allocation2017 %]]</f>
        <v>0</v>
      </c>
      <c r="AQ441" s="482">
        <f>Table11[[#This Row],['#Trees as of 2024/estimate-Can allocation]]+Table11[[#This Row],['#Trees as of 2024/estimate-Can allocation 2017]]</f>
        <v>0</v>
      </c>
      <c r="AR441" s="1"/>
      <c r="AS441" s="2"/>
      <c r="AT441" s="6"/>
      <c r="AU441" s="4"/>
      <c r="AV441" s="2"/>
      <c r="AW441" s="2"/>
      <c r="AX441" s="3"/>
      <c r="AY441" s="2"/>
      <c r="AZ441" s="2"/>
      <c r="BA441" s="2"/>
      <c r="BB441" s="2"/>
      <c r="BC441" s="2"/>
      <c r="BD441" s="2"/>
      <c r="BE441" s="2"/>
      <c r="BF441" s="464"/>
      <c r="BG441" s="2"/>
      <c r="BH441" s="2"/>
      <c r="BI441" s="2"/>
      <c r="BJ441" s="2"/>
      <c r="BK441" s="470">
        <f>Table11[[#This Row],[Average MHT
(Feet)]]/16</f>
        <v>0</v>
      </c>
      <c r="BL441" s="471"/>
      <c r="BM441" s="470">
        <f>Table11[[#This Row],[Average DBH
(inches)]]/18</f>
        <v>0</v>
      </c>
      <c r="BN441" s="471">
        <f>((Table11[[#This Row],[Average DBH
(inches)]]-4)^2)*(Table11[[#This Row],[Average MHT
(Feet)]]/16)</f>
        <v>0</v>
      </c>
      <c r="BO441" s="471">
        <f>Table11[[#This Row],[Average BF]]*Table11[[#This Row],[2024 '#Trees Inventory + Estimate]]</f>
        <v>0</v>
      </c>
      <c r="BP441" s="472">
        <f>(Table11[[#This Row],[Harvest Year
(10 year)]]-Table11[[#This Row],[Year of Inventory]]+1)*(Table11[[#This Row],[Average DBH
(inches)]]/(Table11[[#This Row],[Harvest Year
(10 year)]]-Table11[[#This Row],[Year of Inventory]]+1))+Table11[[#This Row],[Average DBH
(inches)]]</f>
        <v>0</v>
      </c>
      <c r="BQ441" s="471">
        <f>((Table11[[#This Row],[Projected DBH
(Extrapolated Growth/Year)]]-4)^2)*(Table11[[#This Row],[Average MHT
(Feet)]]/16)</f>
        <v>0</v>
      </c>
      <c r="BR441" s="471">
        <f>Table11[[#This Row],[Projected Average BF]]*Table11[[#This Row],[2024 '#Trees Inventory + Estimate]]</f>
        <v>0</v>
      </c>
      <c r="BS441" s="471">
        <f>196*Table11[[#This Row],[2024 '#Trees Inventory + Estimate]]</f>
        <v>0</v>
      </c>
      <c r="BT441" s="471">
        <f>Table11[[#This Row],[ETP Offering Expected BF]]-Table11[[#This Row],[Projected Total BF]]</f>
        <v>0</v>
      </c>
      <c r="BU441" s="471">
        <f>(18-Table11[[#This Row],[Average DBH
(inches)]])/(D441-Table11[[#This Row],[Year of Inventory]]+1)</f>
        <v>18</v>
      </c>
    </row>
    <row r="442" spans="1:73" ht="15" hidden="1" customHeight="1" x14ac:dyDescent="0.25">
      <c r="A442" s="189"/>
      <c r="B442" s="2"/>
      <c r="C442" s="2"/>
      <c r="D442" s="2"/>
      <c r="E442" s="465"/>
      <c r="F442" s="161"/>
      <c r="G442" s="65"/>
      <c r="H442" s="357"/>
      <c r="I442" s="65"/>
      <c r="J442" s="1"/>
      <c r="K442" s="1"/>
      <c r="L442" s="1"/>
      <c r="M442" s="1"/>
      <c r="N442" s="65"/>
      <c r="O442" s="65"/>
      <c r="P442" s="65"/>
      <c r="Q442" s="2"/>
      <c r="R442" s="86"/>
      <c r="S442" s="2"/>
      <c r="T442" s="1"/>
      <c r="U442" s="1"/>
      <c r="V442" s="1"/>
      <c r="W442" s="341"/>
      <c r="X442" s="466"/>
      <c r="Y442" s="467"/>
      <c r="Z442" s="467">
        <f>Table11[[#This Row],['#Planted]]*Table11[[#This Row],[USA Allocation %]]</f>
        <v>0</v>
      </c>
      <c r="AA442" s="466"/>
      <c r="AB442" s="467"/>
      <c r="AC442" s="466"/>
      <c r="AD442" s="467"/>
      <c r="AE442" s="482">
        <f>Table11[[#This Row],[Canada Allocation-tree '#''s]]+Table11[[#This Row],[Can trees/Allocation 2017]]</f>
        <v>0</v>
      </c>
      <c r="AF442" s="389"/>
      <c r="AG442" s="468"/>
      <c r="AH442" s="468"/>
      <c r="AI442" s="469"/>
      <c r="AJ442" s="389"/>
      <c r="AK442" s="389"/>
      <c r="AL442" s="389"/>
      <c r="AM442" s="468"/>
      <c r="AN442" s="468"/>
      <c r="AO442" s="468">
        <f>Table11[[#This Row],[2024 '#Trees Inventory + Estimate]]*Table11[[#This Row],[Canada Allocation %]]</f>
        <v>0</v>
      </c>
      <c r="AP442" s="468">
        <f>Table11[[#This Row],[2024 '#Trees Inventory + Estimate]]*Table11[[#This Row],[Canada Allocation2017 %]]</f>
        <v>0</v>
      </c>
      <c r="AQ442" s="482">
        <f>Table11[[#This Row],['#Trees as of 2024/estimate-Can allocation]]+Table11[[#This Row],['#Trees as of 2024/estimate-Can allocation 2017]]</f>
        <v>0</v>
      </c>
      <c r="AR442" s="1"/>
      <c r="AS442" s="2"/>
      <c r="AT442" s="6"/>
      <c r="AU442" s="4"/>
      <c r="AV442" s="2"/>
      <c r="AW442" s="2"/>
      <c r="AX442" s="3"/>
      <c r="AY442" s="2"/>
      <c r="AZ442" s="2"/>
      <c r="BA442" s="2"/>
      <c r="BB442" s="2"/>
      <c r="BC442" s="2"/>
      <c r="BD442" s="2"/>
      <c r="BE442" s="2"/>
      <c r="BF442" s="464"/>
      <c r="BG442" s="2"/>
      <c r="BH442" s="2"/>
      <c r="BI442" s="2"/>
      <c r="BJ442" s="2"/>
      <c r="BK442" s="470">
        <f>Table11[[#This Row],[Average MHT
(Feet)]]/16</f>
        <v>0</v>
      </c>
      <c r="BL442" s="471"/>
      <c r="BM442" s="470">
        <f>Table11[[#This Row],[Average DBH
(inches)]]/18</f>
        <v>0</v>
      </c>
      <c r="BN442" s="471">
        <f>((Table11[[#This Row],[Average DBH
(inches)]]-4)^2)*(Table11[[#This Row],[Average MHT
(Feet)]]/16)</f>
        <v>0</v>
      </c>
      <c r="BO442" s="471">
        <f>Table11[[#This Row],[Average BF]]*Table11[[#This Row],[2024 '#Trees Inventory + Estimate]]</f>
        <v>0</v>
      </c>
      <c r="BP442" s="472">
        <f>(Table11[[#This Row],[Harvest Year
(10 year)]]-Table11[[#This Row],[Year of Inventory]]+1)*(Table11[[#This Row],[Average DBH
(inches)]]/(Table11[[#This Row],[Harvest Year
(10 year)]]-Table11[[#This Row],[Year of Inventory]]+1))+Table11[[#This Row],[Average DBH
(inches)]]</f>
        <v>0</v>
      </c>
      <c r="BQ442" s="471">
        <f>((Table11[[#This Row],[Projected DBH
(Extrapolated Growth/Year)]]-4)^2)*(Table11[[#This Row],[Average MHT
(Feet)]]/16)</f>
        <v>0</v>
      </c>
      <c r="BR442" s="471">
        <f>Table11[[#This Row],[Projected Average BF]]*Table11[[#This Row],[2024 '#Trees Inventory + Estimate]]</f>
        <v>0</v>
      </c>
      <c r="BS442" s="471">
        <f>196*Table11[[#This Row],[2024 '#Trees Inventory + Estimate]]</f>
        <v>0</v>
      </c>
      <c r="BT442" s="471">
        <f>Table11[[#This Row],[ETP Offering Expected BF]]-Table11[[#This Row],[Projected Total BF]]</f>
        <v>0</v>
      </c>
      <c r="BU442" s="471">
        <f>(18-Table11[[#This Row],[Average DBH
(inches)]])/(D442-Table11[[#This Row],[Year of Inventory]]+1)</f>
        <v>18</v>
      </c>
    </row>
    <row r="443" spans="1:73" ht="15" hidden="1" customHeight="1" x14ac:dyDescent="0.25">
      <c r="A443" s="189"/>
      <c r="B443" s="2"/>
      <c r="C443" s="2"/>
      <c r="D443" s="2"/>
      <c r="E443" s="465"/>
      <c r="F443" s="161"/>
      <c r="G443" s="65"/>
      <c r="H443" s="357"/>
      <c r="I443" s="65"/>
      <c r="J443" s="1"/>
      <c r="K443" s="1"/>
      <c r="L443" s="1"/>
      <c r="M443" s="1"/>
      <c r="N443" s="65"/>
      <c r="O443" s="65"/>
      <c r="P443" s="65"/>
      <c r="Q443" s="2"/>
      <c r="R443" s="86"/>
      <c r="S443" s="2"/>
      <c r="T443" s="1"/>
      <c r="U443" s="1"/>
      <c r="V443" s="1"/>
      <c r="W443" s="341"/>
      <c r="X443" s="466"/>
      <c r="Y443" s="467"/>
      <c r="Z443" s="467">
        <f>Table11[[#This Row],['#Planted]]*Table11[[#This Row],[USA Allocation %]]</f>
        <v>0</v>
      </c>
      <c r="AA443" s="466"/>
      <c r="AB443" s="467"/>
      <c r="AC443" s="466"/>
      <c r="AD443" s="467"/>
      <c r="AE443" s="482">
        <f>Table11[[#This Row],[Canada Allocation-tree '#''s]]+Table11[[#This Row],[Can trees/Allocation 2017]]</f>
        <v>0</v>
      </c>
      <c r="AF443" s="389"/>
      <c r="AG443" s="468"/>
      <c r="AH443" s="468"/>
      <c r="AI443" s="469"/>
      <c r="AJ443" s="389"/>
      <c r="AK443" s="389"/>
      <c r="AL443" s="389"/>
      <c r="AM443" s="468"/>
      <c r="AN443" s="468"/>
      <c r="AO443" s="468">
        <f>Table11[[#This Row],[2024 '#Trees Inventory + Estimate]]*Table11[[#This Row],[Canada Allocation %]]</f>
        <v>0</v>
      </c>
      <c r="AP443" s="468">
        <f>Table11[[#This Row],[2024 '#Trees Inventory + Estimate]]*Table11[[#This Row],[Canada Allocation2017 %]]</f>
        <v>0</v>
      </c>
      <c r="AQ443" s="482">
        <f>Table11[[#This Row],['#Trees as of 2024/estimate-Can allocation]]+Table11[[#This Row],['#Trees as of 2024/estimate-Can allocation 2017]]</f>
        <v>0</v>
      </c>
      <c r="AR443" s="1"/>
      <c r="AS443" s="2"/>
      <c r="AT443" s="6"/>
      <c r="AU443" s="4"/>
      <c r="AV443" s="2"/>
      <c r="AW443" s="2"/>
      <c r="AX443" s="3"/>
      <c r="AY443" s="2"/>
      <c r="AZ443" s="2"/>
      <c r="BA443" s="2"/>
      <c r="BB443" s="2"/>
      <c r="BC443" s="2"/>
      <c r="BD443" s="2"/>
      <c r="BE443" s="2"/>
      <c r="BF443" s="464"/>
      <c r="BG443" s="2"/>
      <c r="BH443" s="2"/>
      <c r="BI443" s="2"/>
      <c r="BJ443" s="2"/>
      <c r="BK443" s="470">
        <f>Table11[[#This Row],[Average MHT
(Feet)]]/16</f>
        <v>0</v>
      </c>
      <c r="BL443" s="471"/>
      <c r="BM443" s="470">
        <f>Table11[[#This Row],[Average DBH
(inches)]]/18</f>
        <v>0</v>
      </c>
      <c r="BN443" s="471">
        <f>((Table11[[#This Row],[Average DBH
(inches)]]-4)^2)*(Table11[[#This Row],[Average MHT
(Feet)]]/16)</f>
        <v>0</v>
      </c>
      <c r="BO443" s="471">
        <f>Table11[[#This Row],[Average BF]]*Table11[[#This Row],[2024 '#Trees Inventory + Estimate]]</f>
        <v>0</v>
      </c>
      <c r="BP443" s="472">
        <f>(Table11[[#This Row],[Harvest Year
(10 year)]]-Table11[[#This Row],[Year of Inventory]]+1)*(Table11[[#This Row],[Average DBH
(inches)]]/(Table11[[#This Row],[Harvest Year
(10 year)]]-Table11[[#This Row],[Year of Inventory]]+1))+Table11[[#This Row],[Average DBH
(inches)]]</f>
        <v>0</v>
      </c>
      <c r="BQ443" s="471">
        <f>((Table11[[#This Row],[Projected DBH
(Extrapolated Growth/Year)]]-4)^2)*(Table11[[#This Row],[Average MHT
(Feet)]]/16)</f>
        <v>0</v>
      </c>
      <c r="BR443" s="471">
        <f>Table11[[#This Row],[Projected Average BF]]*Table11[[#This Row],[2024 '#Trees Inventory + Estimate]]</f>
        <v>0</v>
      </c>
      <c r="BS443" s="471">
        <f>196*Table11[[#This Row],[2024 '#Trees Inventory + Estimate]]</f>
        <v>0</v>
      </c>
      <c r="BT443" s="471">
        <f>Table11[[#This Row],[ETP Offering Expected BF]]-Table11[[#This Row],[Projected Total BF]]</f>
        <v>0</v>
      </c>
      <c r="BU443" s="471">
        <f>(18-Table11[[#This Row],[Average DBH
(inches)]])/(D443-Table11[[#This Row],[Year of Inventory]]+1)</f>
        <v>18</v>
      </c>
    </row>
    <row r="444" spans="1:73" ht="15" hidden="1" customHeight="1" x14ac:dyDescent="0.25">
      <c r="A444" s="189"/>
      <c r="B444" s="2"/>
      <c r="C444" s="2"/>
      <c r="D444" s="2"/>
      <c r="E444" s="465"/>
      <c r="F444" s="161"/>
      <c r="G444" s="65"/>
      <c r="H444" s="357"/>
      <c r="I444" s="65"/>
      <c r="J444" s="1"/>
      <c r="K444" s="1"/>
      <c r="L444" s="1"/>
      <c r="M444" s="1"/>
      <c r="N444" s="65"/>
      <c r="O444" s="65"/>
      <c r="P444" s="65"/>
      <c r="Q444" s="2"/>
      <c r="R444" s="86"/>
      <c r="S444" s="2"/>
      <c r="T444" s="1"/>
      <c r="U444" s="1"/>
      <c r="V444" s="1"/>
      <c r="W444" s="341"/>
      <c r="X444" s="466"/>
      <c r="Y444" s="467"/>
      <c r="Z444" s="467">
        <f>Table11[[#This Row],['#Planted]]*Table11[[#This Row],[USA Allocation %]]</f>
        <v>0</v>
      </c>
      <c r="AA444" s="466"/>
      <c r="AB444" s="467"/>
      <c r="AC444" s="466"/>
      <c r="AD444" s="467"/>
      <c r="AE444" s="482">
        <f>Table11[[#This Row],[Canada Allocation-tree '#''s]]+Table11[[#This Row],[Can trees/Allocation 2017]]</f>
        <v>0</v>
      </c>
      <c r="AF444" s="389"/>
      <c r="AG444" s="468"/>
      <c r="AH444" s="468"/>
      <c r="AI444" s="469"/>
      <c r="AJ444" s="389"/>
      <c r="AK444" s="389"/>
      <c r="AL444" s="389"/>
      <c r="AM444" s="468"/>
      <c r="AN444" s="468"/>
      <c r="AO444" s="468">
        <f>Table11[[#This Row],[2024 '#Trees Inventory + Estimate]]*Table11[[#This Row],[Canada Allocation %]]</f>
        <v>0</v>
      </c>
      <c r="AP444" s="468">
        <f>Table11[[#This Row],[2024 '#Trees Inventory + Estimate]]*Table11[[#This Row],[Canada Allocation2017 %]]</f>
        <v>0</v>
      </c>
      <c r="AQ444" s="482">
        <f>Table11[[#This Row],['#Trees as of 2024/estimate-Can allocation]]+Table11[[#This Row],['#Trees as of 2024/estimate-Can allocation 2017]]</f>
        <v>0</v>
      </c>
      <c r="AR444" s="1"/>
      <c r="AS444" s="2"/>
      <c r="AT444" s="6"/>
      <c r="AU444" s="4"/>
      <c r="AV444" s="2"/>
      <c r="AW444" s="2"/>
      <c r="AX444" s="3"/>
      <c r="AY444" s="2"/>
      <c r="AZ444" s="2"/>
      <c r="BA444" s="2"/>
      <c r="BB444" s="2"/>
      <c r="BC444" s="2"/>
      <c r="BD444" s="2"/>
      <c r="BE444" s="2"/>
      <c r="BF444" s="464"/>
      <c r="BG444" s="2"/>
      <c r="BH444" s="2"/>
      <c r="BI444" s="2"/>
      <c r="BJ444" s="2"/>
      <c r="BK444" s="470">
        <f>Table11[[#This Row],[Average MHT
(Feet)]]/16</f>
        <v>0</v>
      </c>
      <c r="BL444" s="471"/>
      <c r="BM444" s="470">
        <f>Table11[[#This Row],[Average DBH
(inches)]]/18</f>
        <v>0</v>
      </c>
      <c r="BN444" s="471">
        <f>((Table11[[#This Row],[Average DBH
(inches)]]-4)^2)*(Table11[[#This Row],[Average MHT
(Feet)]]/16)</f>
        <v>0</v>
      </c>
      <c r="BO444" s="471">
        <f>Table11[[#This Row],[Average BF]]*Table11[[#This Row],[2024 '#Trees Inventory + Estimate]]</f>
        <v>0</v>
      </c>
      <c r="BP444" s="472">
        <f>(Table11[[#This Row],[Harvest Year
(10 year)]]-Table11[[#This Row],[Year of Inventory]]+1)*(Table11[[#This Row],[Average DBH
(inches)]]/(Table11[[#This Row],[Harvest Year
(10 year)]]-Table11[[#This Row],[Year of Inventory]]+1))+Table11[[#This Row],[Average DBH
(inches)]]</f>
        <v>0</v>
      </c>
      <c r="BQ444" s="471">
        <f>((Table11[[#This Row],[Projected DBH
(Extrapolated Growth/Year)]]-4)^2)*(Table11[[#This Row],[Average MHT
(Feet)]]/16)</f>
        <v>0</v>
      </c>
      <c r="BR444" s="471">
        <f>Table11[[#This Row],[Projected Average BF]]*Table11[[#This Row],[2024 '#Trees Inventory + Estimate]]</f>
        <v>0</v>
      </c>
      <c r="BS444" s="471">
        <f>196*Table11[[#This Row],[2024 '#Trees Inventory + Estimate]]</f>
        <v>0</v>
      </c>
      <c r="BT444" s="471">
        <f>Table11[[#This Row],[ETP Offering Expected BF]]-Table11[[#This Row],[Projected Total BF]]</f>
        <v>0</v>
      </c>
      <c r="BU444" s="471">
        <f>(18-Table11[[#This Row],[Average DBH
(inches)]])/(D444-Table11[[#This Row],[Year of Inventory]]+1)</f>
        <v>18</v>
      </c>
    </row>
    <row r="445" spans="1:73" ht="15" hidden="1" customHeight="1" x14ac:dyDescent="0.25">
      <c r="A445" s="189"/>
      <c r="B445" s="2"/>
      <c r="C445" s="2"/>
      <c r="D445" s="2"/>
      <c r="E445" s="465"/>
      <c r="F445" s="161"/>
      <c r="G445" s="65"/>
      <c r="H445" s="357"/>
      <c r="I445" s="65"/>
      <c r="J445" s="1"/>
      <c r="K445" s="1"/>
      <c r="L445" s="1"/>
      <c r="M445" s="1"/>
      <c r="N445" s="65"/>
      <c r="O445" s="65"/>
      <c r="P445" s="65"/>
      <c r="Q445" s="2"/>
      <c r="R445" s="86"/>
      <c r="S445" s="2"/>
      <c r="T445" s="1"/>
      <c r="U445" s="1"/>
      <c r="V445" s="1"/>
      <c r="W445" s="341"/>
      <c r="X445" s="466"/>
      <c r="Y445" s="467"/>
      <c r="Z445" s="467">
        <f>Table11[[#This Row],['#Planted]]*Table11[[#This Row],[USA Allocation %]]</f>
        <v>0</v>
      </c>
      <c r="AA445" s="466"/>
      <c r="AB445" s="467"/>
      <c r="AC445" s="466"/>
      <c r="AD445" s="467"/>
      <c r="AE445" s="482">
        <f>Table11[[#This Row],[Canada Allocation-tree '#''s]]+Table11[[#This Row],[Can trees/Allocation 2017]]</f>
        <v>0</v>
      </c>
      <c r="AF445" s="389"/>
      <c r="AG445" s="468"/>
      <c r="AH445" s="468"/>
      <c r="AI445" s="469"/>
      <c r="AJ445" s="389"/>
      <c r="AK445" s="389"/>
      <c r="AL445" s="389"/>
      <c r="AM445" s="468"/>
      <c r="AN445" s="468"/>
      <c r="AO445" s="468">
        <f>Table11[[#This Row],[2024 '#Trees Inventory + Estimate]]*Table11[[#This Row],[Canada Allocation %]]</f>
        <v>0</v>
      </c>
      <c r="AP445" s="468">
        <f>Table11[[#This Row],[2024 '#Trees Inventory + Estimate]]*Table11[[#This Row],[Canada Allocation2017 %]]</f>
        <v>0</v>
      </c>
      <c r="AQ445" s="482">
        <f>Table11[[#This Row],['#Trees as of 2024/estimate-Can allocation]]+Table11[[#This Row],['#Trees as of 2024/estimate-Can allocation 2017]]</f>
        <v>0</v>
      </c>
      <c r="AR445" s="1"/>
      <c r="AS445" s="2"/>
      <c r="AT445" s="6"/>
      <c r="AU445" s="4"/>
      <c r="AV445" s="2"/>
      <c r="AW445" s="2"/>
      <c r="AX445" s="3"/>
      <c r="AY445" s="2"/>
      <c r="AZ445" s="2"/>
      <c r="BA445" s="2"/>
      <c r="BB445" s="2"/>
      <c r="BC445" s="2"/>
      <c r="BD445" s="2"/>
      <c r="BE445" s="2"/>
      <c r="BF445" s="464"/>
      <c r="BG445" s="2"/>
      <c r="BH445" s="2"/>
      <c r="BI445" s="2"/>
      <c r="BJ445" s="2"/>
      <c r="BK445" s="470">
        <f>Table11[[#This Row],[Average MHT
(Feet)]]/16</f>
        <v>0</v>
      </c>
      <c r="BL445" s="471"/>
      <c r="BM445" s="470">
        <f>Table11[[#This Row],[Average DBH
(inches)]]/18</f>
        <v>0</v>
      </c>
      <c r="BN445" s="471">
        <f>((Table11[[#This Row],[Average DBH
(inches)]]-4)^2)*(Table11[[#This Row],[Average MHT
(Feet)]]/16)</f>
        <v>0</v>
      </c>
      <c r="BO445" s="471">
        <f>Table11[[#This Row],[Average BF]]*Table11[[#This Row],[2024 '#Trees Inventory + Estimate]]</f>
        <v>0</v>
      </c>
      <c r="BP445" s="472">
        <f>(Table11[[#This Row],[Harvest Year
(10 year)]]-Table11[[#This Row],[Year of Inventory]]+1)*(Table11[[#This Row],[Average DBH
(inches)]]/(Table11[[#This Row],[Harvest Year
(10 year)]]-Table11[[#This Row],[Year of Inventory]]+1))+Table11[[#This Row],[Average DBH
(inches)]]</f>
        <v>0</v>
      </c>
      <c r="BQ445" s="471">
        <f>((Table11[[#This Row],[Projected DBH
(Extrapolated Growth/Year)]]-4)^2)*(Table11[[#This Row],[Average MHT
(Feet)]]/16)</f>
        <v>0</v>
      </c>
      <c r="BR445" s="471">
        <f>Table11[[#This Row],[Projected Average BF]]*Table11[[#This Row],[2024 '#Trees Inventory + Estimate]]</f>
        <v>0</v>
      </c>
      <c r="BS445" s="471">
        <f>196*Table11[[#This Row],[2024 '#Trees Inventory + Estimate]]</f>
        <v>0</v>
      </c>
      <c r="BT445" s="471">
        <f>Table11[[#This Row],[ETP Offering Expected BF]]-Table11[[#This Row],[Projected Total BF]]</f>
        <v>0</v>
      </c>
      <c r="BU445" s="471">
        <f>(18-Table11[[#This Row],[Average DBH
(inches)]])/(D445-Table11[[#This Row],[Year of Inventory]]+1)</f>
        <v>18</v>
      </c>
    </row>
    <row r="446" spans="1:73" ht="15" hidden="1" customHeight="1" x14ac:dyDescent="0.25">
      <c r="A446" s="189"/>
      <c r="B446" s="2"/>
      <c r="C446" s="2"/>
      <c r="D446" s="2"/>
      <c r="E446" s="465"/>
      <c r="F446" s="161"/>
      <c r="G446" s="65"/>
      <c r="H446" s="357"/>
      <c r="I446" s="65"/>
      <c r="J446" s="1"/>
      <c r="K446" s="1"/>
      <c r="L446" s="1"/>
      <c r="M446" s="1"/>
      <c r="N446" s="65"/>
      <c r="O446" s="65"/>
      <c r="P446" s="65"/>
      <c r="Q446" s="2"/>
      <c r="R446" s="86"/>
      <c r="S446" s="2"/>
      <c r="T446" s="1"/>
      <c r="U446" s="1"/>
      <c r="V446" s="1"/>
      <c r="W446" s="341"/>
      <c r="X446" s="466"/>
      <c r="Y446" s="467"/>
      <c r="Z446" s="467">
        <f>Table11[[#This Row],['#Planted]]*Table11[[#This Row],[USA Allocation %]]</f>
        <v>0</v>
      </c>
      <c r="AA446" s="466"/>
      <c r="AB446" s="467"/>
      <c r="AC446" s="466"/>
      <c r="AD446" s="467"/>
      <c r="AE446" s="482">
        <f>Table11[[#This Row],[Canada Allocation-tree '#''s]]+Table11[[#This Row],[Can trees/Allocation 2017]]</f>
        <v>0</v>
      </c>
      <c r="AF446" s="389"/>
      <c r="AG446" s="468"/>
      <c r="AH446" s="468"/>
      <c r="AI446" s="469"/>
      <c r="AJ446" s="389"/>
      <c r="AK446" s="389"/>
      <c r="AL446" s="389"/>
      <c r="AM446" s="468"/>
      <c r="AN446" s="468"/>
      <c r="AO446" s="468">
        <f>Table11[[#This Row],[2024 '#Trees Inventory + Estimate]]*Table11[[#This Row],[Canada Allocation %]]</f>
        <v>0</v>
      </c>
      <c r="AP446" s="468">
        <f>Table11[[#This Row],[2024 '#Trees Inventory + Estimate]]*Table11[[#This Row],[Canada Allocation2017 %]]</f>
        <v>0</v>
      </c>
      <c r="AQ446" s="482">
        <f>Table11[[#This Row],['#Trees as of 2024/estimate-Can allocation]]+Table11[[#This Row],['#Trees as of 2024/estimate-Can allocation 2017]]</f>
        <v>0</v>
      </c>
      <c r="AR446" s="1"/>
      <c r="AS446" s="2"/>
      <c r="AT446" s="6"/>
      <c r="AU446" s="4"/>
      <c r="AV446" s="2"/>
      <c r="AW446" s="2"/>
      <c r="AX446" s="3"/>
      <c r="AY446" s="2"/>
      <c r="AZ446" s="2"/>
      <c r="BA446" s="2"/>
      <c r="BB446" s="2"/>
      <c r="BC446" s="2"/>
      <c r="BD446" s="2"/>
      <c r="BE446" s="2"/>
      <c r="BF446" s="464"/>
      <c r="BG446" s="2"/>
      <c r="BH446" s="2"/>
      <c r="BI446" s="2"/>
      <c r="BJ446" s="2"/>
      <c r="BK446" s="470">
        <f>Table11[[#This Row],[Average MHT
(Feet)]]/16</f>
        <v>0</v>
      </c>
      <c r="BL446" s="471"/>
      <c r="BM446" s="470">
        <f>Table11[[#This Row],[Average DBH
(inches)]]/18</f>
        <v>0</v>
      </c>
      <c r="BN446" s="471">
        <f>((Table11[[#This Row],[Average DBH
(inches)]]-4)^2)*(Table11[[#This Row],[Average MHT
(Feet)]]/16)</f>
        <v>0</v>
      </c>
      <c r="BO446" s="471">
        <f>Table11[[#This Row],[Average BF]]*Table11[[#This Row],[2024 '#Trees Inventory + Estimate]]</f>
        <v>0</v>
      </c>
      <c r="BP446" s="472">
        <f>(Table11[[#This Row],[Harvest Year
(10 year)]]-Table11[[#This Row],[Year of Inventory]]+1)*(Table11[[#This Row],[Average DBH
(inches)]]/(Table11[[#This Row],[Harvest Year
(10 year)]]-Table11[[#This Row],[Year of Inventory]]+1))+Table11[[#This Row],[Average DBH
(inches)]]</f>
        <v>0</v>
      </c>
      <c r="BQ446" s="471">
        <f>((Table11[[#This Row],[Projected DBH
(Extrapolated Growth/Year)]]-4)^2)*(Table11[[#This Row],[Average MHT
(Feet)]]/16)</f>
        <v>0</v>
      </c>
      <c r="BR446" s="471">
        <f>Table11[[#This Row],[Projected Average BF]]*Table11[[#This Row],[2024 '#Trees Inventory + Estimate]]</f>
        <v>0</v>
      </c>
      <c r="BS446" s="471">
        <f>196*Table11[[#This Row],[2024 '#Trees Inventory + Estimate]]</f>
        <v>0</v>
      </c>
      <c r="BT446" s="471">
        <f>Table11[[#This Row],[ETP Offering Expected BF]]-Table11[[#This Row],[Projected Total BF]]</f>
        <v>0</v>
      </c>
      <c r="BU446" s="471">
        <f>(18-Table11[[#This Row],[Average DBH
(inches)]])/(D446-Table11[[#This Row],[Year of Inventory]]+1)</f>
        <v>18</v>
      </c>
    </row>
    <row r="447" spans="1:73" ht="15" hidden="1" customHeight="1" x14ac:dyDescent="0.25">
      <c r="A447" s="189"/>
      <c r="B447" s="2"/>
      <c r="C447" s="2"/>
      <c r="D447" s="2"/>
      <c r="E447" s="465"/>
      <c r="F447" s="161"/>
      <c r="G447" s="65"/>
      <c r="H447" s="357"/>
      <c r="I447" s="65"/>
      <c r="J447" s="1"/>
      <c r="K447" s="1"/>
      <c r="L447" s="1"/>
      <c r="M447" s="1"/>
      <c r="N447" s="65"/>
      <c r="O447" s="65"/>
      <c r="P447" s="65"/>
      <c r="Q447" s="2"/>
      <c r="R447" s="86"/>
      <c r="S447" s="2"/>
      <c r="T447" s="1"/>
      <c r="U447" s="1"/>
      <c r="V447" s="1"/>
      <c r="W447" s="341"/>
      <c r="X447" s="466"/>
      <c r="Y447" s="467"/>
      <c r="Z447" s="467">
        <f>Table11[[#This Row],['#Planted]]*Table11[[#This Row],[USA Allocation %]]</f>
        <v>0</v>
      </c>
      <c r="AA447" s="466"/>
      <c r="AB447" s="467"/>
      <c r="AC447" s="466"/>
      <c r="AD447" s="467"/>
      <c r="AE447" s="482">
        <f>Table11[[#This Row],[Canada Allocation-tree '#''s]]+Table11[[#This Row],[Can trees/Allocation 2017]]</f>
        <v>0</v>
      </c>
      <c r="AF447" s="389"/>
      <c r="AG447" s="468"/>
      <c r="AH447" s="468"/>
      <c r="AI447" s="469"/>
      <c r="AJ447" s="389"/>
      <c r="AK447" s="389"/>
      <c r="AL447" s="389"/>
      <c r="AM447" s="468"/>
      <c r="AN447" s="468"/>
      <c r="AO447" s="468">
        <f>Table11[[#This Row],[2024 '#Trees Inventory + Estimate]]*Table11[[#This Row],[Canada Allocation %]]</f>
        <v>0</v>
      </c>
      <c r="AP447" s="468">
        <f>Table11[[#This Row],[2024 '#Trees Inventory + Estimate]]*Table11[[#This Row],[Canada Allocation2017 %]]</f>
        <v>0</v>
      </c>
      <c r="AQ447" s="482">
        <f>Table11[[#This Row],['#Trees as of 2024/estimate-Can allocation]]+Table11[[#This Row],['#Trees as of 2024/estimate-Can allocation 2017]]</f>
        <v>0</v>
      </c>
      <c r="AR447" s="1"/>
      <c r="AS447" s="2"/>
      <c r="AT447" s="6"/>
      <c r="AU447" s="4"/>
      <c r="AV447" s="2"/>
      <c r="AW447" s="2"/>
      <c r="AX447" s="3"/>
      <c r="AY447" s="2"/>
      <c r="AZ447" s="2"/>
      <c r="BA447" s="2"/>
      <c r="BB447" s="2"/>
      <c r="BC447" s="2"/>
      <c r="BD447" s="2"/>
      <c r="BE447" s="2"/>
      <c r="BF447" s="464"/>
      <c r="BG447" s="2"/>
      <c r="BH447" s="2"/>
      <c r="BI447" s="2"/>
      <c r="BJ447" s="2"/>
      <c r="BK447" s="470">
        <f>Table11[[#This Row],[Average MHT
(Feet)]]/16</f>
        <v>0</v>
      </c>
      <c r="BL447" s="471"/>
      <c r="BM447" s="470">
        <f>Table11[[#This Row],[Average DBH
(inches)]]/18</f>
        <v>0</v>
      </c>
      <c r="BN447" s="471">
        <f>((Table11[[#This Row],[Average DBH
(inches)]]-4)^2)*(Table11[[#This Row],[Average MHT
(Feet)]]/16)</f>
        <v>0</v>
      </c>
      <c r="BO447" s="471">
        <f>Table11[[#This Row],[Average BF]]*Table11[[#This Row],[2024 '#Trees Inventory + Estimate]]</f>
        <v>0</v>
      </c>
      <c r="BP447" s="472">
        <f>(Table11[[#This Row],[Harvest Year
(10 year)]]-Table11[[#This Row],[Year of Inventory]]+1)*(Table11[[#This Row],[Average DBH
(inches)]]/(Table11[[#This Row],[Harvest Year
(10 year)]]-Table11[[#This Row],[Year of Inventory]]+1))+Table11[[#This Row],[Average DBH
(inches)]]</f>
        <v>0</v>
      </c>
      <c r="BQ447" s="471">
        <f>((Table11[[#This Row],[Projected DBH
(Extrapolated Growth/Year)]]-4)^2)*(Table11[[#This Row],[Average MHT
(Feet)]]/16)</f>
        <v>0</v>
      </c>
      <c r="BR447" s="471">
        <f>Table11[[#This Row],[Projected Average BF]]*Table11[[#This Row],[2024 '#Trees Inventory + Estimate]]</f>
        <v>0</v>
      </c>
      <c r="BS447" s="471">
        <f>196*Table11[[#This Row],[2024 '#Trees Inventory + Estimate]]</f>
        <v>0</v>
      </c>
      <c r="BT447" s="471">
        <f>Table11[[#This Row],[ETP Offering Expected BF]]-Table11[[#This Row],[Projected Total BF]]</f>
        <v>0</v>
      </c>
      <c r="BU447" s="471">
        <f>(18-Table11[[#This Row],[Average DBH
(inches)]])/(D447-Table11[[#This Row],[Year of Inventory]]+1)</f>
        <v>18</v>
      </c>
    </row>
    <row r="448" spans="1:73" ht="15" hidden="1" customHeight="1" x14ac:dyDescent="0.25">
      <c r="A448" s="189"/>
      <c r="B448" s="2"/>
      <c r="C448" s="2"/>
      <c r="D448" s="2"/>
      <c r="E448" s="465"/>
      <c r="F448" s="161"/>
      <c r="G448" s="65"/>
      <c r="H448" s="357"/>
      <c r="I448" s="65"/>
      <c r="J448" s="1"/>
      <c r="K448" s="1"/>
      <c r="L448" s="1"/>
      <c r="M448" s="1"/>
      <c r="N448" s="65"/>
      <c r="O448" s="65"/>
      <c r="P448" s="65"/>
      <c r="Q448" s="2"/>
      <c r="R448" s="86"/>
      <c r="S448" s="2"/>
      <c r="T448" s="1"/>
      <c r="U448" s="1"/>
      <c r="V448" s="1"/>
      <c r="W448" s="341"/>
      <c r="X448" s="466"/>
      <c r="Y448" s="467"/>
      <c r="Z448" s="467">
        <f>Table11[[#This Row],['#Planted]]*Table11[[#This Row],[USA Allocation %]]</f>
        <v>0</v>
      </c>
      <c r="AA448" s="466"/>
      <c r="AB448" s="467"/>
      <c r="AC448" s="466"/>
      <c r="AD448" s="467"/>
      <c r="AE448" s="482">
        <f>Table11[[#This Row],[Canada Allocation-tree '#''s]]+Table11[[#This Row],[Can trees/Allocation 2017]]</f>
        <v>0</v>
      </c>
      <c r="AF448" s="389"/>
      <c r="AG448" s="468"/>
      <c r="AH448" s="468"/>
      <c r="AI448" s="469"/>
      <c r="AJ448" s="389"/>
      <c r="AK448" s="389"/>
      <c r="AL448" s="389"/>
      <c r="AM448" s="468"/>
      <c r="AN448" s="468"/>
      <c r="AO448" s="468">
        <f>Table11[[#This Row],[2024 '#Trees Inventory + Estimate]]*Table11[[#This Row],[Canada Allocation %]]</f>
        <v>0</v>
      </c>
      <c r="AP448" s="468">
        <f>Table11[[#This Row],[2024 '#Trees Inventory + Estimate]]*Table11[[#This Row],[Canada Allocation2017 %]]</f>
        <v>0</v>
      </c>
      <c r="AQ448" s="482">
        <f>Table11[[#This Row],['#Trees as of 2024/estimate-Can allocation]]+Table11[[#This Row],['#Trees as of 2024/estimate-Can allocation 2017]]</f>
        <v>0</v>
      </c>
      <c r="AR448" s="1"/>
      <c r="AS448" s="2"/>
      <c r="AT448" s="6"/>
      <c r="AU448" s="4"/>
      <c r="AV448" s="2"/>
      <c r="AW448" s="2"/>
      <c r="AX448" s="3"/>
      <c r="AY448" s="2"/>
      <c r="AZ448" s="2"/>
      <c r="BA448" s="2"/>
      <c r="BB448" s="2"/>
      <c r="BC448" s="2"/>
      <c r="BD448" s="2"/>
      <c r="BE448" s="2"/>
      <c r="BF448" s="464"/>
      <c r="BG448" s="2"/>
      <c r="BH448" s="2"/>
      <c r="BI448" s="2"/>
      <c r="BJ448" s="2"/>
      <c r="BK448" s="470">
        <f>Table11[[#This Row],[Average MHT
(Feet)]]/16</f>
        <v>0</v>
      </c>
      <c r="BL448" s="471"/>
      <c r="BM448" s="470">
        <f>Table11[[#This Row],[Average DBH
(inches)]]/18</f>
        <v>0</v>
      </c>
      <c r="BN448" s="471">
        <f>((Table11[[#This Row],[Average DBH
(inches)]]-4)^2)*(Table11[[#This Row],[Average MHT
(Feet)]]/16)</f>
        <v>0</v>
      </c>
      <c r="BO448" s="471">
        <f>Table11[[#This Row],[Average BF]]*Table11[[#This Row],[2024 '#Trees Inventory + Estimate]]</f>
        <v>0</v>
      </c>
      <c r="BP448" s="472">
        <f>(Table11[[#This Row],[Harvest Year
(10 year)]]-Table11[[#This Row],[Year of Inventory]]+1)*(Table11[[#This Row],[Average DBH
(inches)]]/(Table11[[#This Row],[Harvest Year
(10 year)]]-Table11[[#This Row],[Year of Inventory]]+1))+Table11[[#This Row],[Average DBH
(inches)]]</f>
        <v>0</v>
      </c>
      <c r="BQ448" s="471">
        <f>((Table11[[#This Row],[Projected DBH
(Extrapolated Growth/Year)]]-4)^2)*(Table11[[#This Row],[Average MHT
(Feet)]]/16)</f>
        <v>0</v>
      </c>
      <c r="BR448" s="471">
        <f>Table11[[#This Row],[Projected Average BF]]*Table11[[#This Row],[2024 '#Trees Inventory + Estimate]]</f>
        <v>0</v>
      </c>
      <c r="BS448" s="471">
        <f>196*Table11[[#This Row],[2024 '#Trees Inventory + Estimate]]</f>
        <v>0</v>
      </c>
      <c r="BT448" s="471">
        <f>Table11[[#This Row],[ETP Offering Expected BF]]-Table11[[#This Row],[Projected Total BF]]</f>
        <v>0</v>
      </c>
      <c r="BU448" s="471">
        <f>(18-Table11[[#This Row],[Average DBH
(inches)]])/(D448-Table11[[#This Row],[Year of Inventory]]+1)</f>
        <v>18</v>
      </c>
    </row>
    <row r="449" spans="1:73" ht="15" hidden="1" customHeight="1" x14ac:dyDescent="0.25">
      <c r="A449" s="189"/>
      <c r="B449" s="2"/>
      <c r="C449" s="2"/>
      <c r="D449" s="2"/>
      <c r="E449" s="465"/>
      <c r="F449" s="161"/>
      <c r="G449" s="65"/>
      <c r="H449" s="357"/>
      <c r="I449" s="65"/>
      <c r="J449" s="1"/>
      <c r="K449" s="1"/>
      <c r="L449" s="1"/>
      <c r="M449" s="1"/>
      <c r="N449" s="65"/>
      <c r="O449" s="65"/>
      <c r="P449" s="65"/>
      <c r="Q449" s="2"/>
      <c r="R449" s="86"/>
      <c r="S449" s="2"/>
      <c r="T449" s="1"/>
      <c r="U449" s="1"/>
      <c r="V449" s="1"/>
      <c r="W449" s="341"/>
      <c r="X449" s="466"/>
      <c r="Y449" s="467"/>
      <c r="Z449" s="467">
        <f>Table11[[#This Row],['#Planted]]*Table11[[#This Row],[USA Allocation %]]</f>
        <v>0</v>
      </c>
      <c r="AA449" s="466"/>
      <c r="AB449" s="467"/>
      <c r="AC449" s="466"/>
      <c r="AD449" s="467"/>
      <c r="AE449" s="482">
        <f>Table11[[#This Row],[Canada Allocation-tree '#''s]]+Table11[[#This Row],[Can trees/Allocation 2017]]</f>
        <v>0</v>
      </c>
      <c r="AF449" s="389"/>
      <c r="AG449" s="468"/>
      <c r="AH449" s="468"/>
      <c r="AI449" s="469"/>
      <c r="AJ449" s="389"/>
      <c r="AK449" s="389"/>
      <c r="AL449" s="389"/>
      <c r="AM449" s="468"/>
      <c r="AN449" s="468"/>
      <c r="AO449" s="468">
        <f>Table11[[#This Row],[2024 '#Trees Inventory + Estimate]]*Table11[[#This Row],[Canada Allocation %]]</f>
        <v>0</v>
      </c>
      <c r="AP449" s="468">
        <f>Table11[[#This Row],[2024 '#Trees Inventory + Estimate]]*Table11[[#This Row],[Canada Allocation2017 %]]</f>
        <v>0</v>
      </c>
      <c r="AQ449" s="482">
        <f>Table11[[#This Row],['#Trees as of 2024/estimate-Can allocation]]+Table11[[#This Row],['#Trees as of 2024/estimate-Can allocation 2017]]</f>
        <v>0</v>
      </c>
      <c r="AR449" s="1"/>
      <c r="AS449" s="2"/>
      <c r="AT449" s="6"/>
      <c r="AU449" s="4"/>
      <c r="AV449" s="2"/>
      <c r="AW449" s="2"/>
      <c r="AX449" s="3"/>
      <c r="AY449" s="2"/>
      <c r="AZ449" s="2"/>
      <c r="BA449" s="2"/>
      <c r="BB449" s="2"/>
      <c r="BC449" s="2"/>
      <c r="BD449" s="2"/>
      <c r="BE449" s="2"/>
      <c r="BF449" s="464"/>
      <c r="BG449" s="2"/>
      <c r="BH449" s="2"/>
      <c r="BI449" s="2"/>
      <c r="BJ449" s="2"/>
      <c r="BK449" s="470">
        <f>Table11[[#This Row],[Average MHT
(Feet)]]/16</f>
        <v>0</v>
      </c>
      <c r="BL449" s="471"/>
      <c r="BM449" s="470">
        <f>Table11[[#This Row],[Average DBH
(inches)]]/18</f>
        <v>0</v>
      </c>
      <c r="BN449" s="471">
        <f>((Table11[[#This Row],[Average DBH
(inches)]]-4)^2)*(Table11[[#This Row],[Average MHT
(Feet)]]/16)</f>
        <v>0</v>
      </c>
      <c r="BO449" s="471">
        <f>Table11[[#This Row],[Average BF]]*Table11[[#This Row],[2024 '#Trees Inventory + Estimate]]</f>
        <v>0</v>
      </c>
      <c r="BP449" s="472">
        <f>(Table11[[#This Row],[Harvest Year
(10 year)]]-Table11[[#This Row],[Year of Inventory]]+1)*(Table11[[#This Row],[Average DBH
(inches)]]/(Table11[[#This Row],[Harvest Year
(10 year)]]-Table11[[#This Row],[Year of Inventory]]+1))+Table11[[#This Row],[Average DBH
(inches)]]</f>
        <v>0</v>
      </c>
      <c r="BQ449" s="471">
        <f>((Table11[[#This Row],[Projected DBH
(Extrapolated Growth/Year)]]-4)^2)*(Table11[[#This Row],[Average MHT
(Feet)]]/16)</f>
        <v>0</v>
      </c>
      <c r="BR449" s="471">
        <f>Table11[[#This Row],[Projected Average BF]]*Table11[[#This Row],[2024 '#Trees Inventory + Estimate]]</f>
        <v>0</v>
      </c>
      <c r="BS449" s="471">
        <f>196*Table11[[#This Row],[2024 '#Trees Inventory + Estimate]]</f>
        <v>0</v>
      </c>
      <c r="BT449" s="471">
        <f>Table11[[#This Row],[ETP Offering Expected BF]]-Table11[[#This Row],[Projected Total BF]]</f>
        <v>0</v>
      </c>
      <c r="BU449" s="471">
        <f>(18-Table11[[#This Row],[Average DBH
(inches)]])/(D449-Table11[[#This Row],[Year of Inventory]]+1)</f>
        <v>18</v>
      </c>
    </row>
    <row r="450" spans="1:73" ht="15" hidden="1" customHeight="1" x14ac:dyDescent="0.25">
      <c r="A450" s="189"/>
      <c r="B450" s="2"/>
      <c r="C450" s="2"/>
      <c r="D450" s="2"/>
      <c r="E450" s="465"/>
      <c r="F450" s="161"/>
      <c r="G450" s="65"/>
      <c r="H450" s="357"/>
      <c r="I450" s="65"/>
      <c r="J450" s="1"/>
      <c r="K450" s="1"/>
      <c r="L450" s="1"/>
      <c r="M450" s="1"/>
      <c r="N450" s="65"/>
      <c r="O450" s="65"/>
      <c r="P450" s="65"/>
      <c r="Q450" s="2"/>
      <c r="R450" s="86"/>
      <c r="S450" s="2"/>
      <c r="T450" s="1"/>
      <c r="U450" s="1"/>
      <c r="V450" s="1"/>
      <c r="W450" s="341"/>
      <c r="X450" s="466"/>
      <c r="Y450" s="467"/>
      <c r="Z450" s="467">
        <f>Table11[[#This Row],['#Planted]]*Table11[[#This Row],[USA Allocation %]]</f>
        <v>0</v>
      </c>
      <c r="AA450" s="466"/>
      <c r="AB450" s="467"/>
      <c r="AC450" s="466"/>
      <c r="AD450" s="467"/>
      <c r="AE450" s="482">
        <f>Table11[[#This Row],[Canada Allocation-tree '#''s]]+Table11[[#This Row],[Can trees/Allocation 2017]]</f>
        <v>0</v>
      </c>
      <c r="AF450" s="389"/>
      <c r="AG450" s="468"/>
      <c r="AH450" s="468"/>
      <c r="AI450" s="469"/>
      <c r="AJ450" s="389"/>
      <c r="AK450" s="389"/>
      <c r="AL450" s="389"/>
      <c r="AM450" s="468"/>
      <c r="AN450" s="468"/>
      <c r="AO450" s="468">
        <f>Table11[[#This Row],[2024 '#Trees Inventory + Estimate]]*Table11[[#This Row],[Canada Allocation %]]</f>
        <v>0</v>
      </c>
      <c r="AP450" s="468">
        <f>Table11[[#This Row],[2024 '#Trees Inventory + Estimate]]*Table11[[#This Row],[Canada Allocation2017 %]]</f>
        <v>0</v>
      </c>
      <c r="AQ450" s="482">
        <f>Table11[[#This Row],['#Trees as of 2024/estimate-Can allocation]]+Table11[[#This Row],['#Trees as of 2024/estimate-Can allocation 2017]]</f>
        <v>0</v>
      </c>
      <c r="AR450" s="1"/>
      <c r="AS450" s="2"/>
      <c r="AT450" s="6"/>
      <c r="AU450" s="4"/>
      <c r="AV450" s="2"/>
      <c r="AW450" s="2"/>
      <c r="AX450" s="3"/>
      <c r="AY450" s="2"/>
      <c r="AZ450" s="2"/>
      <c r="BA450" s="2"/>
      <c r="BB450" s="2"/>
      <c r="BC450" s="2"/>
      <c r="BD450" s="2"/>
      <c r="BE450" s="2"/>
      <c r="BF450" s="464"/>
      <c r="BG450" s="2"/>
      <c r="BH450" s="2"/>
      <c r="BI450" s="2"/>
      <c r="BJ450" s="2"/>
      <c r="BK450" s="470">
        <f>Table11[[#This Row],[Average MHT
(Feet)]]/16</f>
        <v>0</v>
      </c>
      <c r="BL450" s="471"/>
      <c r="BM450" s="470">
        <f>Table11[[#This Row],[Average DBH
(inches)]]/18</f>
        <v>0</v>
      </c>
      <c r="BN450" s="471">
        <f>((Table11[[#This Row],[Average DBH
(inches)]]-4)^2)*(Table11[[#This Row],[Average MHT
(Feet)]]/16)</f>
        <v>0</v>
      </c>
      <c r="BO450" s="471">
        <f>Table11[[#This Row],[Average BF]]*Table11[[#This Row],[2024 '#Trees Inventory + Estimate]]</f>
        <v>0</v>
      </c>
      <c r="BP450" s="472">
        <f>(Table11[[#This Row],[Harvest Year
(10 year)]]-Table11[[#This Row],[Year of Inventory]]+1)*(Table11[[#This Row],[Average DBH
(inches)]]/(Table11[[#This Row],[Harvest Year
(10 year)]]-Table11[[#This Row],[Year of Inventory]]+1))+Table11[[#This Row],[Average DBH
(inches)]]</f>
        <v>0</v>
      </c>
      <c r="BQ450" s="471">
        <f>((Table11[[#This Row],[Projected DBH
(Extrapolated Growth/Year)]]-4)^2)*(Table11[[#This Row],[Average MHT
(Feet)]]/16)</f>
        <v>0</v>
      </c>
      <c r="BR450" s="471">
        <f>Table11[[#This Row],[Projected Average BF]]*Table11[[#This Row],[2024 '#Trees Inventory + Estimate]]</f>
        <v>0</v>
      </c>
      <c r="BS450" s="471">
        <f>196*Table11[[#This Row],[2024 '#Trees Inventory + Estimate]]</f>
        <v>0</v>
      </c>
      <c r="BT450" s="471">
        <f>Table11[[#This Row],[ETP Offering Expected BF]]-Table11[[#This Row],[Projected Total BF]]</f>
        <v>0</v>
      </c>
      <c r="BU450" s="471">
        <f>(18-Table11[[#This Row],[Average DBH
(inches)]])/(D450-Table11[[#This Row],[Year of Inventory]]+1)</f>
        <v>18</v>
      </c>
    </row>
    <row r="451" spans="1:73" ht="15" hidden="1" customHeight="1" x14ac:dyDescent="0.25">
      <c r="A451" s="189"/>
      <c r="B451" s="2"/>
      <c r="C451" s="2"/>
      <c r="D451" s="2"/>
      <c r="E451" s="465"/>
      <c r="F451" s="161"/>
      <c r="G451" s="65"/>
      <c r="H451" s="357"/>
      <c r="I451" s="65"/>
      <c r="J451" s="1"/>
      <c r="K451" s="1"/>
      <c r="L451" s="1"/>
      <c r="M451" s="1"/>
      <c r="N451" s="65"/>
      <c r="O451" s="65"/>
      <c r="P451" s="65"/>
      <c r="Q451" s="2"/>
      <c r="R451" s="86"/>
      <c r="S451" s="2"/>
      <c r="T451" s="1"/>
      <c r="U451" s="1"/>
      <c r="V451" s="1"/>
      <c r="W451" s="341"/>
      <c r="X451" s="466"/>
      <c r="Y451" s="467"/>
      <c r="Z451" s="467">
        <f>Table11[[#This Row],['#Planted]]*Table11[[#This Row],[USA Allocation %]]</f>
        <v>0</v>
      </c>
      <c r="AA451" s="466"/>
      <c r="AB451" s="467"/>
      <c r="AC451" s="466"/>
      <c r="AD451" s="467"/>
      <c r="AE451" s="482">
        <f>Table11[[#This Row],[Canada Allocation-tree '#''s]]+Table11[[#This Row],[Can trees/Allocation 2017]]</f>
        <v>0</v>
      </c>
      <c r="AF451" s="389"/>
      <c r="AG451" s="468"/>
      <c r="AH451" s="468"/>
      <c r="AI451" s="469"/>
      <c r="AJ451" s="389"/>
      <c r="AK451" s="389"/>
      <c r="AL451" s="389"/>
      <c r="AM451" s="468"/>
      <c r="AN451" s="468"/>
      <c r="AO451" s="468">
        <f>Table11[[#This Row],[2024 '#Trees Inventory + Estimate]]*Table11[[#This Row],[Canada Allocation %]]</f>
        <v>0</v>
      </c>
      <c r="AP451" s="468">
        <f>Table11[[#This Row],[2024 '#Trees Inventory + Estimate]]*Table11[[#This Row],[Canada Allocation2017 %]]</f>
        <v>0</v>
      </c>
      <c r="AQ451" s="482">
        <f>Table11[[#This Row],['#Trees as of 2024/estimate-Can allocation]]+Table11[[#This Row],['#Trees as of 2024/estimate-Can allocation 2017]]</f>
        <v>0</v>
      </c>
      <c r="AR451" s="1"/>
      <c r="AS451" s="2"/>
      <c r="AT451" s="6"/>
      <c r="AU451" s="4"/>
      <c r="AV451" s="2"/>
      <c r="AW451" s="2"/>
      <c r="AX451" s="3"/>
      <c r="AY451" s="2"/>
      <c r="AZ451" s="2"/>
      <c r="BA451" s="2"/>
      <c r="BB451" s="2"/>
      <c r="BC451" s="2"/>
      <c r="BD451" s="2"/>
      <c r="BE451" s="2"/>
      <c r="BF451" s="464"/>
      <c r="BG451" s="2"/>
      <c r="BH451" s="2"/>
      <c r="BI451" s="2"/>
      <c r="BJ451" s="2"/>
      <c r="BK451" s="470">
        <f>Table11[[#This Row],[Average MHT
(Feet)]]/16</f>
        <v>0</v>
      </c>
      <c r="BL451" s="471"/>
      <c r="BM451" s="470">
        <f>Table11[[#This Row],[Average DBH
(inches)]]/18</f>
        <v>0</v>
      </c>
      <c r="BN451" s="471">
        <f>((Table11[[#This Row],[Average DBH
(inches)]]-4)^2)*(Table11[[#This Row],[Average MHT
(Feet)]]/16)</f>
        <v>0</v>
      </c>
      <c r="BO451" s="471">
        <f>Table11[[#This Row],[Average BF]]*Table11[[#This Row],[2024 '#Trees Inventory + Estimate]]</f>
        <v>0</v>
      </c>
      <c r="BP451" s="472">
        <f>(Table11[[#This Row],[Harvest Year
(10 year)]]-Table11[[#This Row],[Year of Inventory]]+1)*(Table11[[#This Row],[Average DBH
(inches)]]/(Table11[[#This Row],[Harvest Year
(10 year)]]-Table11[[#This Row],[Year of Inventory]]+1))+Table11[[#This Row],[Average DBH
(inches)]]</f>
        <v>0</v>
      </c>
      <c r="BQ451" s="471">
        <f>((Table11[[#This Row],[Projected DBH
(Extrapolated Growth/Year)]]-4)^2)*(Table11[[#This Row],[Average MHT
(Feet)]]/16)</f>
        <v>0</v>
      </c>
      <c r="BR451" s="471">
        <f>Table11[[#This Row],[Projected Average BF]]*Table11[[#This Row],[2024 '#Trees Inventory + Estimate]]</f>
        <v>0</v>
      </c>
      <c r="BS451" s="471">
        <f>196*Table11[[#This Row],[2024 '#Trees Inventory + Estimate]]</f>
        <v>0</v>
      </c>
      <c r="BT451" s="471">
        <f>Table11[[#This Row],[ETP Offering Expected BF]]-Table11[[#This Row],[Projected Total BF]]</f>
        <v>0</v>
      </c>
      <c r="BU451" s="471">
        <f>(18-Table11[[#This Row],[Average DBH
(inches)]])/(D451-Table11[[#This Row],[Year of Inventory]]+1)</f>
        <v>18</v>
      </c>
    </row>
    <row r="452" spans="1:73" ht="15" hidden="1" customHeight="1" x14ac:dyDescent="0.25">
      <c r="A452" s="189"/>
      <c r="B452" s="2"/>
      <c r="C452" s="2"/>
      <c r="D452" s="2"/>
      <c r="E452" s="465"/>
      <c r="F452" s="161"/>
      <c r="G452" s="65"/>
      <c r="H452" s="357"/>
      <c r="I452" s="65"/>
      <c r="J452" s="1"/>
      <c r="K452" s="1"/>
      <c r="L452" s="1"/>
      <c r="M452" s="1"/>
      <c r="N452" s="65"/>
      <c r="O452" s="65"/>
      <c r="P452" s="65"/>
      <c r="Q452" s="2"/>
      <c r="R452" s="86"/>
      <c r="S452" s="2"/>
      <c r="T452" s="1"/>
      <c r="U452" s="1"/>
      <c r="V452" s="1"/>
      <c r="W452" s="341"/>
      <c r="X452" s="466"/>
      <c r="Y452" s="467"/>
      <c r="Z452" s="467">
        <f>Table11[[#This Row],['#Planted]]*Table11[[#This Row],[USA Allocation %]]</f>
        <v>0</v>
      </c>
      <c r="AA452" s="466"/>
      <c r="AB452" s="467"/>
      <c r="AC452" s="466"/>
      <c r="AD452" s="467"/>
      <c r="AE452" s="482">
        <f>Table11[[#This Row],[Canada Allocation-tree '#''s]]+Table11[[#This Row],[Can trees/Allocation 2017]]</f>
        <v>0</v>
      </c>
      <c r="AF452" s="389"/>
      <c r="AG452" s="468"/>
      <c r="AH452" s="468"/>
      <c r="AI452" s="469"/>
      <c r="AJ452" s="389"/>
      <c r="AK452" s="389"/>
      <c r="AL452" s="389"/>
      <c r="AM452" s="468"/>
      <c r="AN452" s="468"/>
      <c r="AO452" s="468">
        <f>Table11[[#This Row],[2024 '#Trees Inventory + Estimate]]*Table11[[#This Row],[Canada Allocation %]]</f>
        <v>0</v>
      </c>
      <c r="AP452" s="468">
        <f>Table11[[#This Row],[2024 '#Trees Inventory + Estimate]]*Table11[[#This Row],[Canada Allocation2017 %]]</f>
        <v>0</v>
      </c>
      <c r="AQ452" s="482">
        <f>Table11[[#This Row],['#Trees as of 2024/estimate-Can allocation]]+Table11[[#This Row],['#Trees as of 2024/estimate-Can allocation 2017]]</f>
        <v>0</v>
      </c>
      <c r="AR452" s="1"/>
      <c r="AS452" s="2"/>
      <c r="AT452" s="6"/>
      <c r="AU452" s="4"/>
      <c r="AV452" s="2"/>
      <c r="AW452" s="2"/>
      <c r="AX452" s="3"/>
      <c r="AY452" s="2"/>
      <c r="AZ452" s="2"/>
      <c r="BA452" s="2"/>
      <c r="BB452" s="2"/>
      <c r="BC452" s="2"/>
      <c r="BD452" s="2"/>
      <c r="BE452" s="2"/>
      <c r="BF452" s="464"/>
      <c r="BG452" s="2"/>
      <c r="BH452" s="2"/>
      <c r="BI452" s="2"/>
      <c r="BJ452" s="2"/>
      <c r="BK452" s="470">
        <f>Table11[[#This Row],[Average MHT
(Feet)]]/16</f>
        <v>0</v>
      </c>
      <c r="BL452" s="471"/>
      <c r="BM452" s="470">
        <f>Table11[[#This Row],[Average DBH
(inches)]]/18</f>
        <v>0</v>
      </c>
      <c r="BN452" s="471">
        <f>((Table11[[#This Row],[Average DBH
(inches)]]-4)^2)*(Table11[[#This Row],[Average MHT
(Feet)]]/16)</f>
        <v>0</v>
      </c>
      <c r="BO452" s="471">
        <f>Table11[[#This Row],[Average BF]]*Table11[[#This Row],[2024 '#Trees Inventory + Estimate]]</f>
        <v>0</v>
      </c>
      <c r="BP452" s="472">
        <f>(Table11[[#This Row],[Harvest Year
(10 year)]]-Table11[[#This Row],[Year of Inventory]]+1)*(Table11[[#This Row],[Average DBH
(inches)]]/(Table11[[#This Row],[Harvest Year
(10 year)]]-Table11[[#This Row],[Year of Inventory]]+1))+Table11[[#This Row],[Average DBH
(inches)]]</f>
        <v>0</v>
      </c>
      <c r="BQ452" s="471">
        <f>((Table11[[#This Row],[Projected DBH
(Extrapolated Growth/Year)]]-4)^2)*(Table11[[#This Row],[Average MHT
(Feet)]]/16)</f>
        <v>0</v>
      </c>
      <c r="BR452" s="471">
        <f>Table11[[#This Row],[Projected Average BF]]*Table11[[#This Row],[2024 '#Trees Inventory + Estimate]]</f>
        <v>0</v>
      </c>
      <c r="BS452" s="471">
        <f>196*Table11[[#This Row],[2024 '#Trees Inventory + Estimate]]</f>
        <v>0</v>
      </c>
      <c r="BT452" s="471">
        <f>Table11[[#This Row],[ETP Offering Expected BF]]-Table11[[#This Row],[Projected Total BF]]</f>
        <v>0</v>
      </c>
      <c r="BU452" s="471">
        <f>(18-Table11[[#This Row],[Average DBH
(inches)]])/(D452-Table11[[#This Row],[Year of Inventory]]+1)</f>
        <v>18</v>
      </c>
    </row>
    <row r="453" spans="1:73" ht="15" hidden="1" customHeight="1" x14ac:dyDescent="0.25">
      <c r="A453" s="189"/>
      <c r="B453" s="2"/>
      <c r="C453" s="2"/>
      <c r="D453" s="2"/>
      <c r="E453" s="465"/>
      <c r="F453" s="161"/>
      <c r="G453" s="65"/>
      <c r="H453" s="357"/>
      <c r="I453" s="65"/>
      <c r="J453" s="1"/>
      <c r="K453" s="1"/>
      <c r="L453" s="1"/>
      <c r="M453" s="1"/>
      <c r="N453" s="65"/>
      <c r="O453" s="65"/>
      <c r="P453" s="65"/>
      <c r="Q453" s="2"/>
      <c r="R453" s="86"/>
      <c r="S453" s="2"/>
      <c r="T453" s="1"/>
      <c r="U453" s="1"/>
      <c r="V453" s="1"/>
      <c r="W453" s="341"/>
      <c r="X453" s="466"/>
      <c r="Y453" s="467"/>
      <c r="Z453" s="467">
        <f>Table11[[#This Row],['#Planted]]*Table11[[#This Row],[USA Allocation %]]</f>
        <v>0</v>
      </c>
      <c r="AA453" s="466"/>
      <c r="AB453" s="467"/>
      <c r="AC453" s="466"/>
      <c r="AD453" s="467"/>
      <c r="AE453" s="482">
        <f>Table11[[#This Row],[Canada Allocation-tree '#''s]]+Table11[[#This Row],[Can trees/Allocation 2017]]</f>
        <v>0</v>
      </c>
      <c r="AF453" s="389"/>
      <c r="AG453" s="468"/>
      <c r="AH453" s="468"/>
      <c r="AI453" s="469"/>
      <c r="AJ453" s="389"/>
      <c r="AK453" s="389"/>
      <c r="AL453" s="389"/>
      <c r="AM453" s="468"/>
      <c r="AN453" s="468"/>
      <c r="AO453" s="468">
        <f>Table11[[#This Row],[2024 '#Trees Inventory + Estimate]]*Table11[[#This Row],[Canada Allocation %]]</f>
        <v>0</v>
      </c>
      <c r="AP453" s="468">
        <f>Table11[[#This Row],[2024 '#Trees Inventory + Estimate]]*Table11[[#This Row],[Canada Allocation2017 %]]</f>
        <v>0</v>
      </c>
      <c r="AQ453" s="482">
        <f>Table11[[#This Row],['#Trees as of 2024/estimate-Can allocation]]+Table11[[#This Row],['#Trees as of 2024/estimate-Can allocation 2017]]</f>
        <v>0</v>
      </c>
      <c r="AR453" s="1"/>
      <c r="AS453" s="2"/>
      <c r="AT453" s="6"/>
      <c r="AU453" s="4"/>
      <c r="AV453" s="2"/>
      <c r="AW453" s="2"/>
      <c r="AX453" s="3"/>
      <c r="AY453" s="2"/>
      <c r="AZ453" s="2"/>
      <c r="BA453" s="2"/>
      <c r="BB453" s="2"/>
      <c r="BC453" s="2"/>
      <c r="BD453" s="2"/>
      <c r="BE453" s="2"/>
      <c r="BF453" s="464"/>
      <c r="BG453" s="2"/>
      <c r="BH453" s="2"/>
      <c r="BI453" s="2"/>
      <c r="BJ453" s="2"/>
      <c r="BK453" s="470">
        <f>Table11[[#This Row],[Average MHT
(Feet)]]/16</f>
        <v>0</v>
      </c>
      <c r="BL453" s="471"/>
      <c r="BM453" s="470">
        <f>Table11[[#This Row],[Average DBH
(inches)]]/18</f>
        <v>0</v>
      </c>
      <c r="BN453" s="471">
        <f>((Table11[[#This Row],[Average DBH
(inches)]]-4)^2)*(Table11[[#This Row],[Average MHT
(Feet)]]/16)</f>
        <v>0</v>
      </c>
      <c r="BO453" s="471">
        <f>Table11[[#This Row],[Average BF]]*Table11[[#This Row],[2024 '#Trees Inventory + Estimate]]</f>
        <v>0</v>
      </c>
      <c r="BP453" s="472">
        <f>(Table11[[#This Row],[Harvest Year
(10 year)]]-Table11[[#This Row],[Year of Inventory]]+1)*(Table11[[#This Row],[Average DBH
(inches)]]/(Table11[[#This Row],[Harvest Year
(10 year)]]-Table11[[#This Row],[Year of Inventory]]+1))+Table11[[#This Row],[Average DBH
(inches)]]</f>
        <v>0</v>
      </c>
      <c r="BQ453" s="471">
        <f>((Table11[[#This Row],[Projected DBH
(Extrapolated Growth/Year)]]-4)^2)*(Table11[[#This Row],[Average MHT
(Feet)]]/16)</f>
        <v>0</v>
      </c>
      <c r="BR453" s="471">
        <f>Table11[[#This Row],[Projected Average BF]]*Table11[[#This Row],[2024 '#Trees Inventory + Estimate]]</f>
        <v>0</v>
      </c>
      <c r="BS453" s="471">
        <f>196*Table11[[#This Row],[2024 '#Trees Inventory + Estimate]]</f>
        <v>0</v>
      </c>
      <c r="BT453" s="471">
        <f>Table11[[#This Row],[ETP Offering Expected BF]]-Table11[[#This Row],[Projected Total BF]]</f>
        <v>0</v>
      </c>
      <c r="BU453" s="471">
        <f>(18-Table11[[#This Row],[Average DBH
(inches)]])/(D453-Table11[[#This Row],[Year of Inventory]]+1)</f>
        <v>18</v>
      </c>
    </row>
    <row r="454" spans="1:73" ht="15" hidden="1" customHeight="1" x14ac:dyDescent="0.25">
      <c r="A454" s="189"/>
      <c r="B454" s="2"/>
      <c r="C454" s="2"/>
      <c r="D454" s="2"/>
      <c r="E454" s="465"/>
      <c r="F454" s="161"/>
      <c r="G454" s="65"/>
      <c r="H454" s="357"/>
      <c r="I454" s="65"/>
      <c r="J454" s="1"/>
      <c r="K454" s="1"/>
      <c r="L454" s="1"/>
      <c r="M454" s="1"/>
      <c r="N454" s="65"/>
      <c r="O454" s="65"/>
      <c r="P454" s="65"/>
      <c r="Q454" s="2"/>
      <c r="R454" s="86"/>
      <c r="S454" s="2"/>
      <c r="T454" s="1"/>
      <c r="U454" s="1"/>
      <c r="V454" s="1"/>
      <c r="W454" s="341"/>
      <c r="X454" s="466"/>
      <c r="Y454" s="467"/>
      <c r="Z454" s="467">
        <f>Table11[[#This Row],['#Planted]]*Table11[[#This Row],[USA Allocation %]]</f>
        <v>0</v>
      </c>
      <c r="AA454" s="466"/>
      <c r="AB454" s="467"/>
      <c r="AC454" s="466"/>
      <c r="AD454" s="467"/>
      <c r="AE454" s="482">
        <f>Table11[[#This Row],[Canada Allocation-tree '#''s]]+Table11[[#This Row],[Can trees/Allocation 2017]]</f>
        <v>0</v>
      </c>
      <c r="AF454" s="389"/>
      <c r="AG454" s="468"/>
      <c r="AH454" s="468"/>
      <c r="AI454" s="469"/>
      <c r="AJ454" s="389"/>
      <c r="AK454" s="389"/>
      <c r="AL454" s="389"/>
      <c r="AM454" s="468"/>
      <c r="AN454" s="468"/>
      <c r="AO454" s="468">
        <f>Table11[[#This Row],[2024 '#Trees Inventory + Estimate]]*Table11[[#This Row],[Canada Allocation %]]</f>
        <v>0</v>
      </c>
      <c r="AP454" s="468">
        <f>Table11[[#This Row],[2024 '#Trees Inventory + Estimate]]*Table11[[#This Row],[Canada Allocation2017 %]]</f>
        <v>0</v>
      </c>
      <c r="AQ454" s="482">
        <f>Table11[[#This Row],['#Trees as of 2024/estimate-Can allocation]]+Table11[[#This Row],['#Trees as of 2024/estimate-Can allocation 2017]]</f>
        <v>0</v>
      </c>
      <c r="AR454" s="1"/>
      <c r="AS454" s="2"/>
      <c r="AT454" s="6"/>
      <c r="AU454" s="4"/>
      <c r="AV454" s="2"/>
      <c r="AW454" s="2"/>
      <c r="AX454" s="3"/>
      <c r="AY454" s="2"/>
      <c r="AZ454" s="2"/>
      <c r="BA454" s="2"/>
      <c r="BB454" s="2"/>
      <c r="BC454" s="2"/>
      <c r="BD454" s="2"/>
      <c r="BE454" s="2"/>
      <c r="BF454" s="464"/>
      <c r="BG454" s="2"/>
      <c r="BH454" s="2"/>
      <c r="BI454" s="2"/>
      <c r="BJ454" s="2"/>
      <c r="BK454" s="470">
        <f>Table11[[#This Row],[Average MHT
(Feet)]]/16</f>
        <v>0</v>
      </c>
      <c r="BL454" s="471"/>
      <c r="BM454" s="470">
        <f>Table11[[#This Row],[Average DBH
(inches)]]/18</f>
        <v>0</v>
      </c>
      <c r="BN454" s="471">
        <f>((Table11[[#This Row],[Average DBH
(inches)]]-4)^2)*(Table11[[#This Row],[Average MHT
(Feet)]]/16)</f>
        <v>0</v>
      </c>
      <c r="BO454" s="471">
        <f>Table11[[#This Row],[Average BF]]*Table11[[#This Row],[2024 '#Trees Inventory + Estimate]]</f>
        <v>0</v>
      </c>
      <c r="BP454" s="472">
        <f>(Table11[[#This Row],[Harvest Year
(10 year)]]-Table11[[#This Row],[Year of Inventory]]+1)*(Table11[[#This Row],[Average DBH
(inches)]]/(Table11[[#This Row],[Harvest Year
(10 year)]]-Table11[[#This Row],[Year of Inventory]]+1))+Table11[[#This Row],[Average DBH
(inches)]]</f>
        <v>0</v>
      </c>
      <c r="BQ454" s="471">
        <f>((Table11[[#This Row],[Projected DBH
(Extrapolated Growth/Year)]]-4)^2)*(Table11[[#This Row],[Average MHT
(Feet)]]/16)</f>
        <v>0</v>
      </c>
      <c r="BR454" s="471">
        <f>Table11[[#This Row],[Projected Average BF]]*Table11[[#This Row],[2024 '#Trees Inventory + Estimate]]</f>
        <v>0</v>
      </c>
      <c r="BS454" s="471">
        <f>196*Table11[[#This Row],[2024 '#Trees Inventory + Estimate]]</f>
        <v>0</v>
      </c>
      <c r="BT454" s="471">
        <f>Table11[[#This Row],[ETP Offering Expected BF]]-Table11[[#This Row],[Projected Total BF]]</f>
        <v>0</v>
      </c>
      <c r="BU454" s="471">
        <f>(18-Table11[[#This Row],[Average DBH
(inches)]])/(D454-Table11[[#This Row],[Year of Inventory]]+1)</f>
        <v>18</v>
      </c>
    </row>
    <row r="455" spans="1:73" ht="15" hidden="1" customHeight="1" x14ac:dyDescent="0.25">
      <c r="A455" s="189"/>
      <c r="B455" s="2"/>
      <c r="C455" s="2"/>
      <c r="D455" s="2"/>
      <c r="E455" s="465"/>
      <c r="F455" s="161"/>
      <c r="G455" s="65"/>
      <c r="H455" s="357"/>
      <c r="I455" s="65"/>
      <c r="J455" s="1"/>
      <c r="K455" s="1"/>
      <c r="L455" s="1"/>
      <c r="M455" s="1"/>
      <c r="N455" s="65"/>
      <c r="O455" s="65"/>
      <c r="P455" s="65"/>
      <c r="Q455" s="2"/>
      <c r="R455" s="86"/>
      <c r="S455" s="2"/>
      <c r="T455" s="1"/>
      <c r="U455" s="1"/>
      <c r="V455" s="1"/>
      <c r="W455" s="341"/>
      <c r="X455" s="466"/>
      <c r="Y455" s="467"/>
      <c r="Z455" s="467">
        <f>Table11[[#This Row],['#Planted]]*Table11[[#This Row],[USA Allocation %]]</f>
        <v>0</v>
      </c>
      <c r="AA455" s="466"/>
      <c r="AB455" s="467"/>
      <c r="AC455" s="466"/>
      <c r="AD455" s="467"/>
      <c r="AE455" s="482">
        <f>Table11[[#This Row],[Canada Allocation-tree '#''s]]+Table11[[#This Row],[Can trees/Allocation 2017]]</f>
        <v>0</v>
      </c>
      <c r="AF455" s="389"/>
      <c r="AG455" s="468"/>
      <c r="AH455" s="468"/>
      <c r="AI455" s="469"/>
      <c r="AJ455" s="389"/>
      <c r="AK455" s="389"/>
      <c r="AL455" s="389"/>
      <c r="AM455" s="468"/>
      <c r="AN455" s="468"/>
      <c r="AO455" s="468">
        <f>Table11[[#This Row],[2024 '#Trees Inventory + Estimate]]*Table11[[#This Row],[Canada Allocation %]]</f>
        <v>0</v>
      </c>
      <c r="AP455" s="468">
        <f>Table11[[#This Row],[2024 '#Trees Inventory + Estimate]]*Table11[[#This Row],[Canada Allocation2017 %]]</f>
        <v>0</v>
      </c>
      <c r="AQ455" s="482">
        <f>Table11[[#This Row],['#Trees as of 2024/estimate-Can allocation]]+Table11[[#This Row],['#Trees as of 2024/estimate-Can allocation 2017]]</f>
        <v>0</v>
      </c>
      <c r="AR455" s="1"/>
      <c r="AS455" s="2"/>
      <c r="AT455" s="6"/>
      <c r="AU455" s="4"/>
      <c r="AV455" s="2"/>
      <c r="AW455" s="2"/>
      <c r="AX455" s="3"/>
      <c r="AY455" s="2"/>
      <c r="AZ455" s="2"/>
      <c r="BA455" s="2"/>
      <c r="BB455" s="2"/>
      <c r="BC455" s="2"/>
      <c r="BD455" s="2"/>
      <c r="BE455" s="2"/>
      <c r="BF455" s="464"/>
      <c r="BG455" s="2"/>
      <c r="BH455" s="2"/>
      <c r="BI455" s="2"/>
      <c r="BJ455" s="2"/>
      <c r="BK455" s="470">
        <f>Table11[[#This Row],[Average MHT
(Feet)]]/16</f>
        <v>0</v>
      </c>
      <c r="BL455" s="471"/>
      <c r="BM455" s="470">
        <f>Table11[[#This Row],[Average DBH
(inches)]]/18</f>
        <v>0</v>
      </c>
      <c r="BN455" s="471">
        <f>((Table11[[#This Row],[Average DBH
(inches)]]-4)^2)*(Table11[[#This Row],[Average MHT
(Feet)]]/16)</f>
        <v>0</v>
      </c>
      <c r="BO455" s="471">
        <f>Table11[[#This Row],[Average BF]]*Table11[[#This Row],[2024 '#Trees Inventory + Estimate]]</f>
        <v>0</v>
      </c>
      <c r="BP455" s="472">
        <f>(Table11[[#This Row],[Harvest Year
(10 year)]]-Table11[[#This Row],[Year of Inventory]]+1)*(Table11[[#This Row],[Average DBH
(inches)]]/(Table11[[#This Row],[Harvest Year
(10 year)]]-Table11[[#This Row],[Year of Inventory]]+1))+Table11[[#This Row],[Average DBH
(inches)]]</f>
        <v>0</v>
      </c>
      <c r="BQ455" s="471">
        <f>((Table11[[#This Row],[Projected DBH
(Extrapolated Growth/Year)]]-4)^2)*(Table11[[#This Row],[Average MHT
(Feet)]]/16)</f>
        <v>0</v>
      </c>
      <c r="BR455" s="471">
        <f>Table11[[#This Row],[Projected Average BF]]*Table11[[#This Row],[2024 '#Trees Inventory + Estimate]]</f>
        <v>0</v>
      </c>
      <c r="BS455" s="471">
        <f>196*Table11[[#This Row],[2024 '#Trees Inventory + Estimate]]</f>
        <v>0</v>
      </c>
      <c r="BT455" s="471">
        <f>Table11[[#This Row],[ETP Offering Expected BF]]-Table11[[#This Row],[Projected Total BF]]</f>
        <v>0</v>
      </c>
      <c r="BU455" s="471">
        <f>(18-Table11[[#This Row],[Average DBH
(inches)]])/(D455-Table11[[#This Row],[Year of Inventory]]+1)</f>
        <v>18</v>
      </c>
    </row>
    <row r="456" spans="1:73" ht="15" hidden="1" customHeight="1" x14ac:dyDescent="0.25">
      <c r="A456" s="189"/>
      <c r="B456" s="2"/>
      <c r="C456" s="2"/>
      <c r="D456" s="2"/>
      <c r="E456" s="465"/>
      <c r="F456" s="161"/>
      <c r="G456" s="65"/>
      <c r="H456" s="357"/>
      <c r="I456" s="65"/>
      <c r="J456" s="1"/>
      <c r="K456" s="1"/>
      <c r="L456" s="1"/>
      <c r="M456" s="1"/>
      <c r="N456" s="65"/>
      <c r="O456" s="65"/>
      <c r="P456" s="65"/>
      <c r="Q456" s="2"/>
      <c r="R456" s="86"/>
      <c r="S456" s="2"/>
      <c r="T456" s="1"/>
      <c r="U456" s="1"/>
      <c r="V456" s="1"/>
      <c r="W456" s="341"/>
      <c r="X456" s="466"/>
      <c r="Y456" s="467"/>
      <c r="Z456" s="467">
        <f>Table11[[#This Row],['#Planted]]*Table11[[#This Row],[USA Allocation %]]</f>
        <v>0</v>
      </c>
      <c r="AA456" s="466"/>
      <c r="AB456" s="467"/>
      <c r="AC456" s="466"/>
      <c r="AD456" s="467"/>
      <c r="AE456" s="482">
        <f>Table11[[#This Row],[Canada Allocation-tree '#''s]]+Table11[[#This Row],[Can trees/Allocation 2017]]</f>
        <v>0</v>
      </c>
      <c r="AF456" s="389"/>
      <c r="AG456" s="468"/>
      <c r="AH456" s="468"/>
      <c r="AI456" s="469"/>
      <c r="AJ456" s="389"/>
      <c r="AK456" s="389"/>
      <c r="AL456" s="389"/>
      <c r="AM456" s="468"/>
      <c r="AN456" s="468"/>
      <c r="AO456" s="468">
        <f>Table11[[#This Row],[2024 '#Trees Inventory + Estimate]]*Table11[[#This Row],[Canada Allocation %]]</f>
        <v>0</v>
      </c>
      <c r="AP456" s="468">
        <f>Table11[[#This Row],[2024 '#Trees Inventory + Estimate]]*Table11[[#This Row],[Canada Allocation2017 %]]</f>
        <v>0</v>
      </c>
      <c r="AQ456" s="482">
        <f>Table11[[#This Row],['#Trees as of 2024/estimate-Can allocation]]+Table11[[#This Row],['#Trees as of 2024/estimate-Can allocation 2017]]</f>
        <v>0</v>
      </c>
      <c r="AR456" s="1"/>
      <c r="AS456" s="2"/>
      <c r="AT456" s="6"/>
      <c r="AU456" s="4"/>
      <c r="AV456" s="2"/>
      <c r="AW456" s="2"/>
      <c r="AX456" s="3"/>
      <c r="AY456" s="2"/>
      <c r="AZ456" s="2"/>
      <c r="BA456" s="2"/>
      <c r="BB456" s="2"/>
      <c r="BC456" s="2"/>
      <c r="BD456" s="2"/>
      <c r="BE456" s="2"/>
      <c r="BF456" s="464"/>
      <c r="BG456" s="2"/>
      <c r="BH456" s="2"/>
      <c r="BI456" s="2"/>
      <c r="BJ456" s="2"/>
      <c r="BK456" s="470">
        <f>Table11[[#This Row],[Average MHT
(Feet)]]/16</f>
        <v>0</v>
      </c>
      <c r="BL456" s="471"/>
      <c r="BM456" s="470">
        <f>Table11[[#This Row],[Average DBH
(inches)]]/18</f>
        <v>0</v>
      </c>
      <c r="BN456" s="471">
        <f>((Table11[[#This Row],[Average DBH
(inches)]]-4)^2)*(Table11[[#This Row],[Average MHT
(Feet)]]/16)</f>
        <v>0</v>
      </c>
      <c r="BO456" s="471">
        <f>Table11[[#This Row],[Average BF]]*Table11[[#This Row],[2024 '#Trees Inventory + Estimate]]</f>
        <v>0</v>
      </c>
      <c r="BP456" s="472">
        <f>(Table11[[#This Row],[Harvest Year
(10 year)]]-Table11[[#This Row],[Year of Inventory]]+1)*(Table11[[#This Row],[Average DBH
(inches)]]/(Table11[[#This Row],[Harvest Year
(10 year)]]-Table11[[#This Row],[Year of Inventory]]+1))+Table11[[#This Row],[Average DBH
(inches)]]</f>
        <v>0</v>
      </c>
      <c r="BQ456" s="471">
        <f>((Table11[[#This Row],[Projected DBH
(Extrapolated Growth/Year)]]-4)^2)*(Table11[[#This Row],[Average MHT
(Feet)]]/16)</f>
        <v>0</v>
      </c>
      <c r="BR456" s="471">
        <f>Table11[[#This Row],[Projected Average BF]]*Table11[[#This Row],[2024 '#Trees Inventory + Estimate]]</f>
        <v>0</v>
      </c>
      <c r="BS456" s="471">
        <f>196*Table11[[#This Row],[2024 '#Trees Inventory + Estimate]]</f>
        <v>0</v>
      </c>
      <c r="BT456" s="471">
        <f>Table11[[#This Row],[ETP Offering Expected BF]]-Table11[[#This Row],[Projected Total BF]]</f>
        <v>0</v>
      </c>
      <c r="BU456" s="471">
        <f>(18-Table11[[#This Row],[Average DBH
(inches)]])/(D456-Table11[[#This Row],[Year of Inventory]]+1)</f>
        <v>18</v>
      </c>
    </row>
    <row r="457" spans="1:73" ht="15" hidden="1" customHeight="1" x14ac:dyDescent="0.25">
      <c r="A457" s="189"/>
      <c r="B457" s="2"/>
      <c r="C457" s="2"/>
      <c r="D457" s="2"/>
      <c r="E457" s="465"/>
      <c r="F457" s="161"/>
      <c r="G457" s="65"/>
      <c r="H457" s="357"/>
      <c r="I457" s="65"/>
      <c r="J457" s="1"/>
      <c r="K457" s="1"/>
      <c r="L457" s="1"/>
      <c r="M457" s="1"/>
      <c r="N457" s="65"/>
      <c r="O457" s="65"/>
      <c r="P457" s="65"/>
      <c r="Q457" s="2"/>
      <c r="R457" s="86"/>
      <c r="S457" s="2"/>
      <c r="T457" s="1"/>
      <c r="U457" s="1"/>
      <c r="V457" s="1"/>
      <c r="W457" s="341"/>
      <c r="X457" s="466"/>
      <c r="Y457" s="467"/>
      <c r="Z457" s="467">
        <f>Table11[[#This Row],['#Planted]]*Table11[[#This Row],[USA Allocation %]]</f>
        <v>0</v>
      </c>
      <c r="AA457" s="466"/>
      <c r="AB457" s="467"/>
      <c r="AC457" s="466"/>
      <c r="AD457" s="467"/>
      <c r="AE457" s="482">
        <f>Table11[[#This Row],[Canada Allocation-tree '#''s]]+Table11[[#This Row],[Can trees/Allocation 2017]]</f>
        <v>0</v>
      </c>
      <c r="AF457" s="389"/>
      <c r="AG457" s="468"/>
      <c r="AH457" s="468"/>
      <c r="AI457" s="469"/>
      <c r="AJ457" s="389"/>
      <c r="AK457" s="389"/>
      <c r="AL457" s="389"/>
      <c r="AM457" s="468"/>
      <c r="AN457" s="468"/>
      <c r="AO457" s="468">
        <f>Table11[[#This Row],[2024 '#Trees Inventory + Estimate]]*Table11[[#This Row],[Canada Allocation %]]</f>
        <v>0</v>
      </c>
      <c r="AP457" s="468">
        <f>Table11[[#This Row],[2024 '#Trees Inventory + Estimate]]*Table11[[#This Row],[Canada Allocation2017 %]]</f>
        <v>0</v>
      </c>
      <c r="AQ457" s="482">
        <f>Table11[[#This Row],['#Trees as of 2024/estimate-Can allocation]]+Table11[[#This Row],['#Trees as of 2024/estimate-Can allocation 2017]]</f>
        <v>0</v>
      </c>
      <c r="AR457" s="1"/>
      <c r="AS457" s="2"/>
      <c r="AT457" s="6"/>
      <c r="AU457" s="4"/>
      <c r="AV457" s="2"/>
      <c r="AW457" s="2"/>
      <c r="AX457" s="3"/>
      <c r="AY457" s="2"/>
      <c r="AZ457" s="2"/>
      <c r="BA457" s="2"/>
      <c r="BB457" s="2"/>
      <c r="BC457" s="2"/>
      <c r="BD457" s="2"/>
      <c r="BE457" s="2"/>
      <c r="BF457" s="464"/>
      <c r="BG457" s="2"/>
      <c r="BH457" s="2"/>
      <c r="BI457" s="2"/>
      <c r="BJ457" s="2"/>
      <c r="BK457" s="470">
        <f>Table11[[#This Row],[Average MHT
(Feet)]]/16</f>
        <v>0</v>
      </c>
      <c r="BL457" s="471"/>
      <c r="BM457" s="470">
        <f>Table11[[#This Row],[Average DBH
(inches)]]/18</f>
        <v>0</v>
      </c>
      <c r="BN457" s="471">
        <f>((Table11[[#This Row],[Average DBH
(inches)]]-4)^2)*(Table11[[#This Row],[Average MHT
(Feet)]]/16)</f>
        <v>0</v>
      </c>
      <c r="BO457" s="471">
        <f>Table11[[#This Row],[Average BF]]*Table11[[#This Row],[2024 '#Trees Inventory + Estimate]]</f>
        <v>0</v>
      </c>
      <c r="BP457" s="472">
        <f>(Table11[[#This Row],[Harvest Year
(10 year)]]-Table11[[#This Row],[Year of Inventory]]+1)*(Table11[[#This Row],[Average DBH
(inches)]]/(Table11[[#This Row],[Harvest Year
(10 year)]]-Table11[[#This Row],[Year of Inventory]]+1))+Table11[[#This Row],[Average DBH
(inches)]]</f>
        <v>0</v>
      </c>
      <c r="BQ457" s="471">
        <f>((Table11[[#This Row],[Projected DBH
(Extrapolated Growth/Year)]]-4)^2)*(Table11[[#This Row],[Average MHT
(Feet)]]/16)</f>
        <v>0</v>
      </c>
      <c r="BR457" s="471">
        <f>Table11[[#This Row],[Projected Average BF]]*Table11[[#This Row],[2024 '#Trees Inventory + Estimate]]</f>
        <v>0</v>
      </c>
      <c r="BS457" s="471">
        <f>196*Table11[[#This Row],[2024 '#Trees Inventory + Estimate]]</f>
        <v>0</v>
      </c>
      <c r="BT457" s="471">
        <f>Table11[[#This Row],[ETP Offering Expected BF]]-Table11[[#This Row],[Projected Total BF]]</f>
        <v>0</v>
      </c>
      <c r="BU457" s="471">
        <f>(18-Table11[[#This Row],[Average DBH
(inches)]])/(D457-Table11[[#This Row],[Year of Inventory]]+1)</f>
        <v>18</v>
      </c>
    </row>
    <row r="458" spans="1:73" ht="15" hidden="1" customHeight="1" x14ac:dyDescent="0.25">
      <c r="A458" s="189"/>
      <c r="B458" s="2"/>
      <c r="C458" s="2"/>
      <c r="D458" s="2"/>
      <c r="E458" s="465"/>
      <c r="F458" s="161"/>
      <c r="G458" s="65"/>
      <c r="H458" s="357"/>
      <c r="I458" s="65"/>
      <c r="J458" s="1"/>
      <c r="K458" s="1"/>
      <c r="L458" s="1"/>
      <c r="M458" s="1"/>
      <c r="N458" s="65"/>
      <c r="O458" s="65"/>
      <c r="P458" s="65"/>
      <c r="Q458" s="2"/>
      <c r="R458" s="86"/>
      <c r="S458" s="2"/>
      <c r="T458" s="1"/>
      <c r="U458" s="1"/>
      <c r="V458" s="1"/>
      <c r="W458" s="341"/>
      <c r="X458" s="466"/>
      <c r="Y458" s="467"/>
      <c r="Z458" s="467">
        <f>Table11[[#This Row],['#Planted]]*Table11[[#This Row],[USA Allocation %]]</f>
        <v>0</v>
      </c>
      <c r="AA458" s="466"/>
      <c r="AB458" s="467"/>
      <c r="AC458" s="466"/>
      <c r="AD458" s="467"/>
      <c r="AE458" s="482">
        <f>Table11[[#This Row],[Canada Allocation-tree '#''s]]+Table11[[#This Row],[Can trees/Allocation 2017]]</f>
        <v>0</v>
      </c>
      <c r="AF458" s="389"/>
      <c r="AG458" s="468"/>
      <c r="AH458" s="468"/>
      <c r="AI458" s="469"/>
      <c r="AJ458" s="389"/>
      <c r="AK458" s="389"/>
      <c r="AL458" s="389"/>
      <c r="AM458" s="468"/>
      <c r="AN458" s="468"/>
      <c r="AO458" s="468">
        <f>Table11[[#This Row],[2024 '#Trees Inventory + Estimate]]*Table11[[#This Row],[Canada Allocation %]]</f>
        <v>0</v>
      </c>
      <c r="AP458" s="468">
        <f>Table11[[#This Row],[2024 '#Trees Inventory + Estimate]]*Table11[[#This Row],[Canada Allocation2017 %]]</f>
        <v>0</v>
      </c>
      <c r="AQ458" s="482">
        <f>Table11[[#This Row],['#Trees as of 2024/estimate-Can allocation]]+Table11[[#This Row],['#Trees as of 2024/estimate-Can allocation 2017]]</f>
        <v>0</v>
      </c>
      <c r="AR458" s="1"/>
      <c r="AS458" s="2"/>
      <c r="AT458" s="6"/>
      <c r="AU458" s="4"/>
      <c r="AV458" s="2"/>
      <c r="AW458" s="2"/>
      <c r="AX458" s="3"/>
      <c r="AY458" s="2"/>
      <c r="AZ458" s="2"/>
      <c r="BA458" s="2"/>
      <c r="BB458" s="2"/>
      <c r="BC458" s="2"/>
      <c r="BD458" s="2"/>
      <c r="BE458" s="2"/>
      <c r="BF458" s="464"/>
      <c r="BG458" s="2"/>
      <c r="BH458" s="2"/>
      <c r="BI458" s="2"/>
      <c r="BJ458" s="2"/>
      <c r="BK458" s="470">
        <f>Table11[[#This Row],[Average MHT
(Feet)]]/16</f>
        <v>0</v>
      </c>
      <c r="BL458" s="471"/>
      <c r="BM458" s="470">
        <f>Table11[[#This Row],[Average DBH
(inches)]]/18</f>
        <v>0</v>
      </c>
      <c r="BN458" s="471">
        <f>((Table11[[#This Row],[Average DBH
(inches)]]-4)^2)*(Table11[[#This Row],[Average MHT
(Feet)]]/16)</f>
        <v>0</v>
      </c>
      <c r="BO458" s="471">
        <f>Table11[[#This Row],[Average BF]]*Table11[[#This Row],[2024 '#Trees Inventory + Estimate]]</f>
        <v>0</v>
      </c>
      <c r="BP458" s="472">
        <f>(Table11[[#This Row],[Harvest Year
(10 year)]]-Table11[[#This Row],[Year of Inventory]]+1)*(Table11[[#This Row],[Average DBH
(inches)]]/(Table11[[#This Row],[Harvest Year
(10 year)]]-Table11[[#This Row],[Year of Inventory]]+1))+Table11[[#This Row],[Average DBH
(inches)]]</f>
        <v>0</v>
      </c>
      <c r="BQ458" s="471">
        <f>((Table11[[#This Row],[Projected DBH
(Extrapolated Growth/Year)]]-4)^2)*(Table11[[#This Row],[Average MHT
(Feet)]]/16)</f>
        <v>0</v>
      </c>
      <c r="BR458" s="471">
        <f>Table11[[#This Row],[Projected Average BF]]*Table11[[#This Row],[2024 '#Trees Inventory + Estimate]]</f>
        <v>0</v>
      </c>
      <c r="BS458" s="471">
        <f>196*Table11[[#This Row],[2024 '#Trees Inventory + Estimate]]</f>
        <v>0</v>
      </c>
      <c r="BT458" s="471">
        <f>Table11[[#This Row],[ETP Offering Expected BF]]-Table11[[#This Row],[Projected Total BF]]</f>
        <v>0</v>
      </c>
      <c r="BU458" s="471">
        <f>(18-Table11[[#This Row],[Average DBH
(inches)]])/(D458-Table11[[#This Row],[Year of Inventory]]+1)</f>
        <v>18</v>
      </c>
    </row>
    <row r="459" spans="1:73" ht="15" hidden="1" customHeight="1" x14ac:dyDescent="0.25">
      <c r="A459" s="189"/>
      <c r="B459" s="2"/>
      <c r="C459" s="2"/>
      <c r="D459" s="2"/>
      <c r="E459" s="465"/>
      <c r="F459" s="161"/>
      <c r="G459" s="65"/>
      <c r="H459" s="357"/>
      <c r="I459" s="65"/>
      <c r="J459" s="1"/>
      <c r="K459" s="1"/>
      <c r="L459" s="1"/>
      <c r="M459" s="1"/>
      <c r="N459" s="65"/>
      <c r="O459" s="65"/>
      <c r="P459" s="65"/>
      <c r="Q459" s="2"/>
      <c r="R459" s="86"/>
      <c r="S459" s="2"/>
      <c r="T459" s="1"/>
      <c r="U459" s="1"/>
      <c r="V459" s="1"/>
      <c r="W459" s="341"/>
      <c r="X459" s="466"/>
      <c r="Y459" s="467"/>
      <c r="Z459" s="467">
        <f>Table11[[#This Row],['#Planted]]*Table11[[#This Row],[USA Allocation %]]</f>
        <v>0</v>
      </c>
      <c r="AA459" s="466"/>
      <c r="AB459" s="467"/>
      <c r="AC459" s="466"/>
      <c r="AD459" s="467"/>
      <c r="AE459" s="482">
        <f>Table11[[#This Row],[Canada Allocation-tree '#''s]]+Table11[[#This Row],[Can trees/Allocation 2017]]</f>
        <v>0</v>
      </c>
      <c r="AF459" s="389"/>
      <c r="AG459" s="468"/>
      <c r="AH459" s="468"/>
      <c r="AI459" s="469"/>
      <c r="AJ459" s="389"/>
      <c r="AK459" s="389"/>
      <c r="AL459" s="389"/>
      <c r="AM459" s="468"/>
      <c r="AN459" s="468"/>
      <c r="AO459" s="468">
        <f>Table11[[#This Row],[2024 '#Trees Inventory + Estimate]]*Table11[[#This Row],[Canada Allocation %]]</f>
        <v>0</v>
      </c>
      <c r="AP459" s="468">
        <f>Table11[[#This Row],[2024 '#Trees Inventory + Estimate]]*Table11[[#This Row],[Canada Allocation2017 %]]</f>
        <v>0</v>
      </c>
      <c r="AQ459" s="482">
        <f>Table11[[#This Row],['#Trees as of 2024/estimate-Can allocation]]+Table11[[#This Row],['#Trees as of 2024/estimate-Can allocation 2017]]</f>
        <v>0</v>
      </c>
      <c r="AR459" s="1"/>
      <c r="AS459" s="2"/>
      <c r="AT459" s="6"/>
      <c r="AU459" s="4"/>
      <c r="AV459" s="2"/>
      <c r="AW459" s="2"/>
      <c r="AX459" s="3"/>
      <c r="AY459" s="2"/>
      <c r="AZ459" s="2"/>
      <c r="BA459" s="2"/>
      <c r="BB459" s="2"/>
      <c r="BC459" s="2"/>
      <c r="BD459" s="2"/>
      <c r="BE459" s="2"/>
      <c r="BF459" s="464"/>
      <c r="BG459" s="2"/>
      <c r="BH459" s="2"/>
      <c r="BI459" s="2"/>
      <c r="BJ459" s="2"/>
      <c r="BK459" s="470">
        <f>Table11[[#This Row],[Average MHT
(Feet)]]/16</f>
        <v>0</v>
      </c>
      <c r="BL459" s="471"/>
      <c r="BM459" s="470">
        <f>Table11[[#This Row],[Average DBH
(inches)]]/18</f>
        <v>0</v>
      </c>
      <c r="BN459" s="471">
        <f>((Table11[[#This Row],[Average DBH
(inches)]]-4)^2)*(Table11[[#This Row],[Average MHT
(Feet)]]/16)</f>
        <v>0</v>
      </c>
      <c r="BO459" s="471">
        <f>Table11[[#This Row],[Average BF]]*Table11[[#This Row],[2024 '#Trees Inventory + Estimate]]</f>
        <v>0</v>
      </c>
      <c r="BP459" s="472">
        <f>(Table11[[#This Row],[Harvest Year
(10 year)]]-Table11[[#This Row],[Year of Inventory]]+1)*(Table11[[#This Row],[Average DBH
(inches)]]/(Table11[[#This Row],[Harvest Year
(10 year)]]-Table11[[#This Row],[Year of Inventory]]+1))+Table11[[#This Row],[Average DBH
(inches)]]</f>
        <v>0</v>
      </c>
      <c r="BQ459" s="471">
        <f>((Table11[[#This Row],[Projected DBH
(Extrapolated Growth/Year)]]-4)^2)*(Table11[[#This Row],[Average MHT
(Feet)]]/16)</f>
        <v>0</v>
      </c>
      <c r="BR459" s="471">
        <f>Table11[[#This Row],[Projected Average BF]]*Table11[[#This Row],[2024 '#Trees Inventory + Estimate]]</f>
        <v>0</v>
      </c>
      <c r="BS459" s="471">
        <f>196*Table11[[#This Row],[2024 '#Trees Inventory + Estimate]]</f>
        <v>0</v>
      </c>
      <c r="BT459" s="471">
        <f>Table11[[#This Row],[ETP Offering Expected BF]]-Table11[[#This Row],[Projected Total BF]]</f>
        <v>0</v>
      </c>
      <c r="BU459" s="471">
        <f>(18-Table11[[#This Row],[Average DBH
(inches)]])/(D459-Table11[[#This Row],[Year of Inventory]]+1)</f>
        <v>18</v>
      </c>
    </row>
    <row r="460" spans="1:73" ht="15" hidden="1" customHeight="1" x14ac:dyDescent="0.25">
      <c r="A460" s="189"/>
      <c r="B460" s="2"/>
      <c r="C460" s="2"/>
      <c r="D460" s="2"/>
      <c r="E460" s="465"/>
      <c r="F460" s="161"/>
      <c r="G460" s="65"/>
      <c r="H460" s="357"/>
      <c r="I460" s="65"/>
      <c r="J460" s="1"/>
      <c r="K460" s="1"/>
      <c r="L460" s="1"/>
      <c r="M460" s="1"/>
      <c r="N460" s="65"/>
      <c r="O460" s="65"/>
      <c r="P460" s="65"/>
      <c r="Q460" s="2"/>
      <c r="R460" s="86"/>
      <c r="S460" s="2"/>
      <c r="T460" s="1"/>
      <c r="U460" s="1"/>
      <c r="V460" s="1"/>
      <c r="W460" s="341"/>
      <c r="X460" s="466"/>
      <c r="Y460" s="467"/>
      <c r="Z460" s="467">
        <f>Table11[[#This Row],['#Planted]]*Table11[[#This Row],[USA Allocation %]]</f>
        <v>0</v>
      </c>
      <c r="AA460" s="466"/>
      <c r="AB460" s="467"/>
      <c r="AC460" s="466"/>
      <c r="AD460" s="467"/>
      <c r="AE460" s="482">
        <f>Table11[[#This Row],[Canada Allocation-tree '#''s]]+Table11[[#This Row],[Can trees/Allocation 2017]]</f>
        <v>0</v>
      </c>
      <c r="AF460" s="389"/>
      <c r="AG460" s="468"/>
      <c r="AH460" s="468"/>
      <c r="AI460" s="469"/>
      <c r="AJ460" s="389"/>
      <c r="AK460" s="389"/>
      <c r="AL460" s="389"/>
      <c r="AM460" s="468"/>
      <c r="AN460" s="468"/>
      <c r="AO460" s="468">
        <f>Table11[[#This Row],[2024 '#Trees Inventory + Estimate]]*Table11[[#This Row],[Canada Allocation %]]</f>
        <v>0</v>
      </c>
      <c r="AP460" s="468">
        <f>Table11[[#This Row],[2024 '#Trees Inventory + Estimate]]*Table11[[#This Row],[Canada Allocation2017 %]]</f>
        <v>0</v>
      </c>
      <c r="AQ460" s="482">
        <f>Table11[[#This Row],['#Trees as of 2024/estimate-Can allocation]]+Table11[[#This Row],['#Trees as of 2024/estimate-Can allocation 2017]]</f>
        <v>0</v>
      </c>
      <c r="AR460" s="1"/>
      <c r="AS460" s="2"/>
      <c r="AT460" s="6"/>
      <c r="AU460" s="4"/>
      <c r="AV460" s="2"/>
      <c r="AW460" s="2"/>
      <c r="AX460" s="3"/>
      <c r="AY460" s="2"/>
      <c r="AZ460" s="2"/>
      <c r="BA460" s="2"/>
      <c r="BB460" s="2"/>
      <c r="BC460" s="2"/>
      <c r="BD460" s="2"/>
      <c r="BE460" s="2"/>
      <c r="BF460" s="464"/>
      <c r="BG460" s="2"/>
      <c r="BH460" s="2"/>
      <c r="BI460" s="2"/>
      <c r="BJ460" s="2"/>
      <c r="BK460" s="470">
        <f>Table11[[#This Row],[Average MHT
(Feet)]]/16</f>
        <v>0</v>
      </c>
      <c r="BL460" s="471"/>
      <c r="BM460" s="470">
        <f>Table11[[#This Row],[Average DBH
(inches)]]/18</f>
        <v>0</v>
      </c>
      <c r="BN460" s="471">
        <f>((Table11[[#This Row],[Average DBH
(inches)]]-4)^2)*(Table11[[#This Row],[Average MHT
(Feet)]]/16)</f>
        <v>0</v>
      </c>
      <c r="BO460" s="471">
        <f>Table11[[#This Row],[Average BF]]*Table11[[#This Row],[2024 '#Trees Inventory + Estimate]]</f>
        <v>0</v>
      </c>
      <c r="BP460" s="472">
        <f>(Table11[[#This Row],[Harvest Year
(10 year)]]-Table11[[#This Row],[Year of Inventory]]+1)*(Table11[[#This Row],[Average DBH
(inches)]]/(Table11[[#This Row],[Harvest Year
(10 year)]]-Table11[[#This Row],[Year of Inventory]]+1))+Table11[[#This Row],[Average DBH
(inches)]]</f>
        <v>0</v>
      </c>
      <c r="BQ460" s="471">
        <f>((Table11[[#This Row],[Projected DBH
(Extrapolated Growth/Year)]]-4)^2)*(Table11[[#This Row],[Average MHT
(Feet)]]/16)</f>
        <v>0</v>
      </c>
      <c r="BR460" s="471">
        <f>Table11[[#This Row],[Projected Average BF]]*Table11[[#This Row],[2024 '#Trees Inventory + Estimate]]</f>
        <v>0</v>
      </c>
      <c r="BS460" s="471">
        <f>196*Table11[[#This Row],[2024 '#Trees Inventory + Estimate]]</f>
        <v>0</v>
      </c>
      <c r="BT460" s="471">
        <f>Table11[[#This Row],[ETP Offering Expected BF]]-Table11[[#This Row],[Projected Total BF]]</f>
        <v>0</v>
      </c>
      <c r="BU460" s="471">
        <f>(18-Table11[[#This Row],[Average DBH
(inches)]])/(D460-Table11[[#This Row],[Year of Inventory]]+1)</f>
        <v>18</v>
      </c>
    </row>
    <row r="461" spans="1:73" ht="15" hidden="1" customHeight="1" x14ac:dyDescent="0.25">
      <c r="A461" s="189"/>
      <c r="B461" s="2"/>
      <c r="C461" s="2"/>
      <c r="D461" s="2"/>
      <c r="E461" s="465"/>
      <c r="F461" s="161"/>
      <c r="G461" s="65"/>
      <c r="H461" s="357"/>
      <c r="I461" s="65"/>
      <c r="J461" s="1"/>
      <c r="K461" s="1"/>
      <c r="L461" s="1"/>
      <c r="M461" s="1"/>
      <c r="N461" s="65"/>
      <c r="O461" s="65"/>
      <c r="P461" s="65"/>
      <c r="Q461" s="2"/>
      <c r="R461" s="86"/>
      <c r="S461" s="2"/>
      <c r="T461" s="1"/>
      <c r="U461" s="1"/>
      <c r="V461" s="1"/>
      <c r="W461" s="341"/>
      <c r="X461" s="466"/>
      <c r="Y461" s="467"/>
      <c r="Z461" s="467">
        <f>Table11[[#This Row],['#Planted]]*Table11[[#This Row],[USA Allocation %]]</f>
        <v>0</v>
      </c>
      <c r="AA461" s="466"/>
      <c r="AB461" s="467"/>
      <c r="AC461" s="466"/>
      <c r="AD461" s="467"/>
      <c r="AE461" s="482">
        <f>Table11[[#This Row],[Canada Allocation-tree '#''s]]+Table11[[#This Row],[Can trees/Allocation 2017]]</f>
        <v>0</v>
      </c>
      <c r="AF461" s="389"/>
      <c r="AG461" s="468"/>
      <c r="AH461" s="468"/>
      <c r="AI461" s="469"/>
      <c r="AJ461" s="389"/>
      <c r="AK461" s="389"/>
      <c r="AL461" s="389"/>
      <c r="AM461" s="468"/>
      <c r="AN461" s="468"/>
      <c r="AO461" s="468">
        <f>Table11[[#This Row],[2024 '#Trees Inventory + Estimate]]*Table11[[#This Row],[Canada Allocation %]]</f>
        <v>0</v>
      </c>
      <c r="AP461" s="468">
        <f>Table11[[#This Row],[2024 '#Trees Inventory + Estimate]]*Table11[[#This Row],[Canada Allocation2017 %]]</f>
        <v>0</v>
      </c>
      <c r="AQ461" s="482">
        <f>Table11[[#This Row],['#Trees as of 2024/estimate-Can allocation]]+Table11[[#This Row],['#Trees as of 2024/estimate-Can allocation 2017]]</f>
        <v>0</v>
      </c>
      <c r="AR461" s="1"/>
      <c r="AS461" s="2"/>
      <c r="AT461" s="6"/>
      <c r="AU461" s="4"/>
      <c r="AV461" s="2"/>
      <c r="AW461" s="2"/>
      <c r="AX461" s="3"/>
      <c r="AY461" s="2"/>
      <c r="AZ461" s="2"/>
      <c r="BA461" s="2"/>
      <c r="BB461" s="2"/>
      <c r="BC461" s="2"/>
      <c r="BD461" s="2"/>
      <c r="BE461" s="2"/>
      <c r="BF461" s="464"/>
      <c r="BG461" s="2"/>
      <c r="BH461" s="2"/>
      <c r="BI461" s="2"/>
      <c r="BJ461" s="2"/>
      <c r="BK461" s="470">
        <f>Table11[[#This Row],[Average MHT
(Feet)]]/16</f>
        <v>0</v>
      </c>
      <c r="BL461" s="471"/>
      <c r="BM461" s="470">
        <f>Table11[[#This Row],[Average DBH
(inches)]]/18</f>
        <v>0</v>
      </c>
      <c r="BN461" s="471">
        <f>((Table11[[#This Row],[Average DBH
(inches)]]-4)^2)*(Table11[[#This Row],[Average MHT
(Feet)]]/16)</f>
        <v>0</v>
      </c>
      <c r="BO461" s="471">
        <f>Table11[[#This Row],[Average BF]]*Table11[[#This Row],[2024 '#Trees Inventory + Estimate]]</f>
        <v>0</v>
      </c>
      <c r="BP461" s="472">
        <f>(Table11[[#This Row],[Harvest Year
(10 year)]]-Table11[[#This Row],[Year of Inventory]]+1)*(Table11[[#This Row],[Average DBH
(inches)]]/(Table11[[#This Row],[Harvest Year
(10 year)]]-Table11[[#This Row],[Year of Inventory]]+1))+Table11[[#This Row],[Average DBH
(inches)]]</f>
        <v>0</v>
      </c>
      <c r="BQ461" s="471">
        <f>((Table11[[#This Row],[Projected DBH
(Extrapolated Growth/Year)]]-4)^2)*(Table11[[#This Row],[Average MHT
(Feet)]]/16)</f>
        <v>0</v>
      </c>
      <c r="BR461" s="471">
        <f>Table11[[#This Row],[Projected Average BF]]*Table11[[#This Row],[2024 '#Trees Inventory + Estimate]]</f>
        <v>0</v>
      </c>
      <c r="BS461" s="471">
        <f>196*Table11[[#This Row],[2024 '#Trees Inventory + Estimate]]</f>
        <v>0</v>
      </c>
      <c r="BT461" s="471">
        <f>Table11[[#This Row],[ETP Offering Expected BF]]-Table11[[#This Row],[Projected Total BF]]</f>
        <v>0</v>
      </c>
      <c r="BU461" s="471">
        <f>(18-Table11[[#This Row],[Average DBH
(inches)]])/(D461-Table11[[#This Row],[Year of Inventory]]+1)</f>
        <v>18</v>
      </c>
    </row>
    <row r="462" spans="1:73" ht="15" hidden="1" customHeight="1" x14ac:dyDescent="0.25">
      <c r="A462" s="189"/>
      <c r="B462" s="2"/>
      <c r="C462" s="2"/>
      <c r="D462" s="2"/>
      <c r="E462" s="465"/>
      <c r="F462" s="161"/>
      <c r="G462" s="65"/>
      <c r="H462" s="357"/>
      <c r="I462" s="65"/>
      <c r="J462" s="1"/>
      <c r="K462" s="1"/>
      <c r="L462" s="1"/>
      <c r="M462" s="1"/>
      <c r="N462" s="65"/>
      <c r="O462" s="65"/>
      <c r="P462" s="65"/>
      <c r="Q462" s="2"/>
      <c r="R462" s="86"/>
      <c r="S462" s="2"/>
      <c r="T462" s="1"/>
      <c r="U462" s="1"/>
      <c r="V462" s="1"/>
      <c r="W462" s="341"/>
      <c r="X462" s="466"/>
      <c r="Y462" s="467"/>
      <c r="Z462" s="467">
        <f>Table11[[#This Row],['#Planted]]*Table11[[#This Row],[USA Allocation %]]</f>
        <v>0</v>
      </c>
      <c r="AA462" s="466"/>
      <c r="AB462" s="467"/>
      <c r="AC462" s="466"/>
      <c r="AD462" s="467"/>
      <c r="AE462" s="482">
        <f>Table11[[#This Row],[Canada Allocation-tree '#''s]]+Table11[[#This Row],[Can trees/Allocation 2017]]</f>
        <v>0</v>
      </c>
      <c r="AF462" s="389"/>
      <c r="AG462" s="468"/>
      <c r="AH462" s="468"/>
      <c r="AI462" s="469"/>
      <c r="AJ462" s="389"/>
      <c r="AK462" s="389"/>
      <c r="AL462" s="389"/>
      <c r="AM462" s="468"/>
      <c r="AN462" s="468"/>
      <c r="AO462" s="468">
        <f>Table11[[#This Row],[2024 '#Trees Inventory + Estimate]]*Table11[[#This Row],[Canada Allocation %]]</f>
        <v>0</v>
      </c>
      <c r="AP462" s="468">
        <f>Table11[[#This Row],[2024 '#Trees Inventory + Estimate]]*Table11[[#This Row],[Canada Allocation2017 %]]</f>
        <v>0</v>
      </c>
      <c r="AQ462" s="482">
        <f>Table11[[#This Row],['#Trees as of 2024/estimate-Can allocation]]+Table11[[#This Row],['#Trees as of 2024/estimate-Can allocation 2017]]</f>
        <v>0</v>
      </c>
      <c r="AR462" s="1"/>
      <c r="AS462" s="2"/>
      <c r="AT462" s="6"/>
      <c r="AU462" s="4"/>
      <c r="AV462" s="2"/>
      <c r="AW462" s="2"/>
      <c r="AX462" s="3"/>
      <c r="AY462" s="2"/>
      <c r="AZ462" s="2"/>
      <c r="BA462" s="2"/>
      <c r="BB462" s="2"/>
      <c r="BC462" s="2"/>
      <c r="BD462" s="2"/>
      <c r="BE462" s="2"/>
      <c r="BF462" s="464"/>
      <c r="BG462" s="2"/>
      <c r="BH462" s="2"/>
      <c r="BI462" s="2"/>
      <c r="BJ462" s="2"/>
      <c r="BK462" s="470">
        <f>Table11[[#This Row],[Average MHT
(Feet)]]/16</f>
        <v>0</v>
      </c>
      <c r="BL462" s="471"/>
      <c r="BM462" s="470">
        <f>Table11[[#This Row],[Average DBH
(inches)]]/18</f>
        <v>0</v>
      </c>
      <c r="BN462" s="471">
        <f>((Table11[[#This Row],[Average DBH
(inches)]]-4)^2)*(Table11[[#This Row],[Average MHT
(Feet)]]/16)</f>
        <v>0</v>
      </c>
      <c r="BO462" s="471">
        <f>Table11[[#This Row],[Average BF]]*Table11[[#This Row],[2024 '#Trees Inventory + Estimate]]</f>
        <v>0</v>
      </c>
      <c r="BP462" s="472">
        <f>(Table11[[#This Row],[Harvest Year
(10 year)]]-Table11[[#This Row],[Year of Inventory]]+1)*(Table11[[#This Row],[Average DBH
(inches)]]/(Table11[[#This Row],[Harvest Year
(10 year)]]-Table11[[#This Row],[Year of Inventory]]+1))+Table11[[#This Row],[Average DBH
(inches)]]</f>
        <v>0</v>
      </c>
      <c r="BQ462" s="471">
        <f>((Table11[[#This Row],[Projected DBH
(Extrapolated Growth/Year)]]-4)^2)*(Table11[[#This Row],[Average MHT
(Feet)]]/16)</f>
        <v>0</v>
      </c>
      <c r="BR462" s="471">
        <f>Table11[[#This Row],[Projected Average BF]]*Table11[[#This Row],[2024 '#Trees Inventory + Estimate]]</f>
        <v>0</v>
      </c>
      <c r="BS462" s="471">
        <f>196*Table11[[#This Row],[2024 '#Trees Inventory + Estimate]]</f>
        <v>0</v>
      </c>
      <c r="BT462" s="471">
        <f>Table11[[#This Row],[ETP Offering Expected BF]]-Table11[[#This Row],[Projected Total BF]]</f>
        <v>0</v>
      </c>
      <c r="BU462" s="471">
        <f>(18-Table11[[#This Row],[Average DBH
(inches)]])/(D462-Table11[[#This Row],[Year of Inventory]]+1)</f>
        <v>18</v>
      </c>
    </row>
    <row r="463" spans="1:73" ht="15" customHeight="1" x14ac:dyDescent="0.25">
      <c r="B463" s="2"/>
      <c r="C463" s="2"/>
      <c r="D463" s="2"/>
      <c r="E463" s="97"/>
      <c r="F463" s="161"/>
      <c r="H463" s="357"/>
      <c r="J463" s="1"/>
      <c r="K463" s="1"/>
      <c r="L463" s="1"/>
      <c r="M463" s="1"/>
      <c r="Q463" s="2"/>
      <c r="R463" s="86"/>
      <c r="S463" s="2"/>
      <c r="T463" s="348"/>
      <c r="U463" s="1"/>
      <c r="V463" s="1"/>
      <c r="W463" s="2"/>
      <c r="X463" s="34"/>
      <c r="Y463" s="270"/>
      <c r="Z463" s="270"/>
      <c r="AA463" s="34"/>
      <c r="AB463" s="163"/>
      <c r="AC463" s="34"/>
      <c r="AD463" s="163"/>
      <c r="AE463" s="163"/>
      <c r="AF463" s="5"/>
      <c r="AG463" s="35"/>
      <c r="AH463" s="35"/>
      <c r="AI463" s="404"/>
      <c r="AJ463" s="5"/>
      <c r="AK463" s="5"/>
      <c r="AL463" s="5"/>
      <c r="AM463" s="35"/>
      <c r="AN463" s="35"/>
      <c r="AO463" s="35"/>
      <c r="AP463" s="35"/>
      <c r="AQ463" s="35"/>
      <c r="AR463" s="1"/>
      <c r="AS463" s="139"/>
      <c r="AT463" s="371"/>
      <c r="AU463" s="4"/>
      <c r="AV463" s="2"/>
      <c r="AW463" s="2"/>
      <c r="AX463" s="140"/>
      <c r="AY463" s="2"/>
      <c r="AZ463" s="2"/>
      <c r="BA463" s="2"/>
      <c r="BB463" s="2"/>
      <c r="BC463" s="2"/>
      <c r="BD463" s="2"/>
      <c r="BE463" s="2"/>
      <c r="BF463" s="3"/>
      <c r="BG463" s="3"/>
      <c r="BH463" s="2"/>
      <c r="BI463" s="2"/>
      <c r="BJ463" s="2"/>
      <c r="BK463" s="139"/>
      <c r="BL463" s="2"/>
      <c r="BM463" s="139"/>
      <c r="BN463" s="235"/>
      <c r="BO463" s="235"/>
      <c r="BP463" s="240"/>
      <c r="BQ463" s="235"/>
      <c r="BR463" s="235"/>
      <c r="BS463" s="235"/>
      <c r="BT463" s="243"/>
      <c r="BU463" s="235"/>
    </row>
    <row r="464" spans="1:73" ht="15" customHeight="1" x14ac:dyDescent="0.25">
      <c r="B464" s="2"/>
      <c r="C464" s="2"/>
      <c r="D464" s="2"/>
      <c r="E464" s="167"/>
      <c r="F464" s="161"/>
      <c r="G464" s="167"/>
      <c r="H464" s="359"/>
      <c r="J464" s="1"/>
      <c r="K464" s="1"/>
      <c r="L464" s="1"/>
      <c r="M464" s="1"/>
      <c r="Q464" s="2"/>
      <c r="R464" s="86"/>
      <c r="S464" s="2"/>
      <c r="T464" s="1"/>
      <c r="U464" s="1"/>
      <c r="V464" s="1"/>
      <c r="W464" s="2"/>
      <c r="X464" s="370"/>
      <c r="Y464" s="270"/>
      <c r="Z464" s="270"/>
      <c r="AA464" s="370"/>
      <c r="AB464" s="270"/>
      <c r="AC464" s="370"/>
      <c r="AD464" s="270"/>
      <c r="AE464" s="270"/>
      <c r="AF464" s="370"/>
      <c r="AG464" s="270"/>
      <c r="AH464" s="270"/>
      <c r="AI464" s="404"/>
      <c r="AJ464" s="370"/>
      <c r="AK464" s="370"/>
      <c r="AL464" s="370"/>
      <c r="AM464" s="270"/>
      <c r="AN464" s="270"/>
      <c r="AO464" s="270"/>
      <c r="AP464" s="270"/>
      <c r="AQ464" s="270"/>
      <c r="AR464" s="1"/>
      <c r="AS464" s="1"/>
      <c r="AT464" s="372"/>
      <c r="AU464" s="4"/>
      <c r="AV464" s="2"/>
      <c r="AW464" s="2"/>
      <c r="AX464" s="3"/>
      <c r="AY464" s="2"/>
      <c r="AZ464" s="2"/>
      <c r="BA464" s="2"/>
      <c r="BB464" s="2"/>
      <c r="BC464" s="2"/>
      <c r="BD464" s="2"/>
      <c r="BE464" s="2"/>
      <c r="BF464" s="73"/>
      <c r="BG464" s="2"/>
      <c r="BH464" s="2"/>
      <c r="BI464" s="3"/>
      <c r="BJ464" s="3"/>
      <c r="BK464" s="3"/>
      <c r="BL464" s="2"/>
      <c r="BM464" s="139"/>
      <c r="BN464" s="235"/>
      <c r="BO464" s="235"/>
      <c r="BP464" s="240"/>
      <c r="BQ464" s="235"/>
      <c r="BR464" s="235"/>
      <c r="BS464" s="235"/>
      <c r="BT464" s="243"/>
      <c r="BU464" s="235"/>
    </row>
    <row r="465" spans="2:73" ht="15" customHeight="1" x14ac:dyDescent="0.25">
      <c r="B465" s="2"/>
      <c r="C465" s="2"/>
      <c r="D465" s="2"/>
      <c r="E465" s="97"/>
      <c r="F465" s="161"/>
      <c r="H465" s="357"/>
      <c r="J465" s="1"/>
      <c r="K465" s="1"/>
      <c r="L465" s="1"/>
      <c r="M465" s="1"/>
      <c r="Q465" s="2"/>
      <c r="R465" s="86"/>
      <c r="S465" s="2"/>
      <c r="T465" s="348"/>
      <c r="U465" s="1"/>
      <c r="V465" s="1"/>
      <c r="W465" s="2"/>
      <c r="X465" s="34"/>
      <c r="Y465" s="270"/>
      <c r="Z465" s="270"/>
      <c r="AA465" s="34"/>
      <c r="AB465" s="163"/>
      <c r="AC465" s="34"/>
      <c r="AD465" s="163"/>
      <c r="AE465" s="163"/>
      <c r="AF465" s="5"/>
      <c r="AG465" s="35"/>
      <c r="AH465" s="35"/>
      <c r="AI465" s="404"/>
      <c r="AJ465" s="5"/>
      <c r="AK465" s="5"/>
      <c r="AL465" s="5"/>
      <c r="AM465" s="35"/>
      <c r="AN465" s="35"/>
      <c r="AO465" s="35"/>
      <c r="AP465" s="35"/>
      <c r="AQ465" s="35"/>
      <c r="AR465" s="1"/>
      <c r="AS465" s="139"/>
      <c r="AT465" s="371"/>
      <c r="AU465" s="4"/>
      <c r="AV465" s="2"/>
      <c r="AW465" s="2"/>
      <c r="AX465" s="140"/>
      <c r="AY465" s="2"/>
      <c r="AZ465" s="2"/>
      <c r="BA465" s="2"/>
      <c r="BB465" s="2"/>
      <c r="BC465" s="2"/>
      <c r="BD465" s="2"/>
      <c r="BE465" s="2"/>
      <c r="BF465" s="3"/>
      <c r="BG465" s="3"/>
      <c r="BH465" s="2"/>
      <c r="BI465" s="3"/>
      <c r="BJ465" s="3"/>
      <c r="BK465" s="3"/>
      <c r="BL465" s="2"/>
      <c r="BM465" s="139"/>
      <c r="BN465" s="235"/>
      <c r="BO465" s="235"/>
      <c r="BP465" s="240"/>
      <c r="BQ465" s="235"/>
      <c r="BR465" s="235"/>
      <c r="BS465" s="235"/>
      <c r="BT465" s="243"/>
      <c r="BU465" s="235"/>
    </row>
    <row r="466" spans="2:73" ht="15" customHeight="1" x14ac:dyDescent="0.25">
      <c r="B466" s="2"/>
      <c r="C466" s="2"/>
      <c r="D466" s="2"/>
      <c r="E466" s="167"/>
      <c r="F466" s="161"/>
      <c r="G466" s="167"/>
      <c r="H466" s="359"/>
      <c r="J466" s="1"/>
      <c r="K466" s="1"/>
      <c r="L466" s="1"/>
      <c r="M466" s="1"/>
      <c r="Q466" s="2"/>
      <c r="R466" s="86"/>
      <c r="S466" s="2"/>
      <c r="T466" s="1"/>
      <c r="U466" s="1"/>
      <c r="V466" s="1"/>
      <c r="W466" s="2"/>
      <c r="X466" s="370"/>
      <c r="Y466" s="270"/>
      <c r="Z466" s="270"/>
      <c r="AA466" s="370"/>
      <c r="AB466" s="270"/>
      <c r="AC466" s="370"/>
      <c r="AD466" s="270"/>
      <c r="AE466" s="270"/>
      <c r="AF466" s="370"/>
      <c r="AG466" s="270"/>
      <c r="AH466" s="270"/>
      <c r="AI466" s="404"/>
      <c r="AJ466" s="370"/>
      <c r="AK466" s="370"/>
      <c r="AL466" s="370"/>
      <c r="AM466" s="270"/>
      <c r="AN466" s="270"/>
      <c r="AO466" s="270"/>
      <c r="AP466" s="270"/>
      <c r="AQ466" s="270"/>
      <c r="AR466" s="1"/>
      <c r="AS466" s="1"/>
      <c r="AT466" s="372"/>
      <c r="AU466" s="4"/>
      <c r="AV466" s="2"/>
      <c r="AW466" s="2"/>
      <c r="AX466" s="3"/>
      <c r="AY466" s="2"/>
      <c r="AZ466" s="2"/>
      <c r="BA466" s="2"/>
      <c r="BB466" s="2"/>
      <c r="BC466" s="2"/>
      <c r="BD466" s="2"/>
      <c r="BE466" s="2"/>
      <c r="BF466" s="73"/>
      <c r="BG466" s="2"/>
      <c r="BH466" s="2"/>
      <c r="BI466" s="3"/>
      <c r="BJ466" s="3"/>
      <c r="BK466" s="3"/>
      <c r="BL466" s="2"/>
      <c r="BM466" s="139"/>
      <c r="BN466" s="235"/>
      <c r="BO466" s="235"/>
      <c r="BP466" s="240"/>
      <c r="BQ466" s="235"/>
      <c r="BR466" s="235"/>
      <c r="BS466" s="235"/>
      <c r="BT466" s="243"/>
      <c r="BU466" s="235"/>
    </row>
    <row r="467" spans="2:73" ht="15" customHeight="1" x14ac:dyDescent="0.25">
      <c r="B467" s="2"/>
      <c r="C467" s="2"/>
      <c r="D467" s="2"/>
      <c r="E467" s="97"/>
      <c r="F467" s="161"/>
      <c r="H467" s="357"/>
      <c r="J467" s="1"/>
      <c r="K467" s="1"/>
      <c r="L467" s="1"/>
      <c r="M467" s="1"/>
      <c r="Q467" s="2"/>
      <c r="R467" s="86"/>
      <c r="S467" s="2"/>
      <c r="T467" s="348"/>
      <c r="U467" s="1"/>
      <c r="V467" s="1"/>
      <c r="W467" s="2"/>
      <c r="X467" s="370"/>
      <c r="Y467" s="270"/>
      <c r="Z467" s="270"/>
      <c r="AA467" s="370"/>
      <c r="AB467" s="270"/>
      <c r="AC467" s="370"/>
      <c r="AD467" s="270"/>
      <c r="AE467" s="270"/>
      <c r="AF467" s="370"/>
      <c r="AG467" s="270"/>
      <c r="AH467" s="270"/>
      <c r="AI467" s="404"/>
      <c r="AJ467" s="370"/>
      <c r="AK467" s="370"/>
      <c r="AL467" s="370"/>
      <c r="AM467" s="270"/>
      <c r="AN467" s="270"/>
      <c r="AO467" s="270"/>
      <c r="AP467" s="270"/>
      <c r="AQ467" s="270"/>
      <c r="AR467" s="1"/>
      <c r="AS467" s="139"/>
      <c r="AT467" s="371"/>
      <c r="AU467" s="4"/>
      <c r="AV467" s="2"/>
      <c r="AW467" s="2"/>
      <c r="AX467" s="140"/>
      <c r="AY467" s="2"/>
      <c r="AZ467" s="2"/>
      <c r="BA467" s="2"/>
      <c r="BB467" s="2"/>
      <c r="BC467" s="2"/>
      <c r="BD467" s="2"/>
      <c r="BE467" s="2"/>
      <c r="BF467" s="3"/>
      <c r="BG467" s="3"/>
      <c r="BH467" s="2"/>
      <c r="BI467" s="3"/>
      <c r="BJ467" s="3"/>
      <c r="BK467" s="3"/>
      <c r="BL467" s="2"/>
      <c r="BM467" s="139"/>
      <c r="BN467" s="235"/>
      <c r="BO467" s="235"/>
      <c r="BP467" s="240"/>
      <c r="BQ467" s="235"/>
      <c r="BR467" s="235"/>
      <c r="BS467" s="235"/>
      <c r="BT467" s="243"/>
      <c r="BU467" s="235"/>
    </row>
    <row r="468" spans="2:73" ht="15" customHeight="1" x14ac:dyDescent="0.25">
      <c r="B468" s="2"/>
      <c r="C468" s="2"/>
      <c r="D468" s="2"/>
      <c r="E468" s="167"/>
      <c r="F468" s="161"/>
      <c r="G468" s="167"/>
      <c r="H468" s="359"/>
      <c r="J468" s="1"/>
      <c r="K468" s="1"/>
      <c r="L468" s="1"/>
      <c r="M468" s="1"/>
      <c r="Q468" s="2"/>
      <c r="R468" s="86"/>
      <c r="S468" s="2"/>
      <c r="T468" s="1"/>
      <c r="U468" s="1"/>
      <c r="V468" s="1"/>
      <c r="W468" s="2"/>
      <c r="X468" s="370"/>
      <c r="Y468" s="270"/>
      <c r="Z468" s="270"/>
      <c r="AA468" s="370"/>
      <c r="AB468" s="270"/>
      <c r="AC468" s="370"/>
      <c r="AD468" s="270"/>
      <c r="AE468" s="270"/>
      <c r="AF468" s="370"/>
      <c r="AG468" s="270"/>
      <c r="AH468" s="270"/>
      <c r="AI468" s="404"/>
      <c r="AJ468" s="370"/>
      <c r="AK468" s="370"/>
      <c r="AL468" s="370"/>
      <c r="AM468" s="270"/>
      <c r="AN468" s="270"/>
      <c r="AO468" s="270"/>
      <c r="AP468" s="270"/>
      <c r="AQ468" s="270"/>
      <c r="AR468" s="1"/>
      <c r="AS468" s="1"/>
      <c r="AT468" s="372"/>
      <c r="AU468" s="4"/>
      <c r="AV468" s="2"/>
      <c r="AW468" s="2"/>
      <c r="AX468" s="3"/>
      <c r="AY468" s="2"/>
      <c r="AZ468" s="2"/>
      <c r="BA468" s="2"/>
      <c r="BB468" s="2"/>
      <c r="BC468" s="2"/>
      <c r="BD468" s="2"/>
      <c r="BE468" s="2"/>
      <c r="BF468" s="73"/>
      <c r="BG468" s="2"/>
      <c r="BH468" s="2"/>
      <c r="BI468" s="3"/>
      <c r="BJ468" s="3"/>
      <c r="BK468" s="3"/>
      <c r="BL468" s="2"/>
      <c r="BM468" s="139"/>
      <c r="BN468" s="235"/>
      <c r="BO468" s="235"/>
      <c r="BP468" s="240"/>
      <c r="BQ468" s="235"/>
      <c r="BR468" s="235"/>
      <c r="BS468" s="235"/>
      <c r="BT468" s="243"/>
      <c r="BU468" s="235"/>
    </row>
    <row r="469" spans="2:73" ht="15" customHeight="1" x14ac:dyDescent="0.25">
      <c r="B469" s="2"/>
      <c r="C469" s="2"/>
      <c r="D469" s="2"/>
      <c r="E469" s="97"/>
      <c r="F469" s="161"/>
      <c r="H469" s="357"/>
      <c r="J469" s="1"/>
      <c r="K469" s="1"/>
      <c r="L469" s="1"/>
      <c r="M469" s="1"/>
      <c r="Q469" s="2"/>
      <c r="R469" s="86"/>
      <c r="S469" s="2"/>
      <c r="T469" s="348"/>
      <c r="U469" s="1"/>
      <c r="V469" s="1"/>
      <c r="W469" s="2"/>
      <c r="X469" s="370"/>
      <c r="Y469" s="270"/>
      <c r="Z469" s="270"/>
      <c r="AA469" s="370"/>
      <c r="AB469" s="270"/>
      <c r="AC469" s="370"/>
      <c r="AD469" s="270"/>
      <c r="AE469" s="270"/>
      <c r="AF469" s="370"/>
      <c r="AG469" s="270"/>
      <c r="AH469" s="270"/>
      <c r="AI469" s="404"/>
      <c r="AJ469" s="370"/>
      <c r="AK469" s="370"/>
      <c r="AL469" s="370"/>
      <c r="AM469" s="270"/>
      <c r="AN469" s="270"/>
      <c r="AO469" s="270"/>
      <c r="AP469" s="270"/>
      <c r="AQ469" s="270"/>
      <c r="AR469" s="1"/>
      <c r="AS469" s="139"/>
      <c r="AT469" s="371"/>
      <c r="AU469" s="4"/>
      <c r="AV469" s="2"/>
      <c r="AW469" s="2"/>
      <c r="AX469" s="140"/>
      <c r="AY469" s="2"/>
      <c r="AZ469" s="2"/>
      <c r="BA469" s="2"/>
      <c r="BB469" s="2"/>
      <c r="BC469" s="2"/>
      <c r="BD469" s="2"/>
      <c r="BE469" s="2"/>
      <c r="BF469" s="3"/>
      <c r="BG469" s="3"/>
      <c r="BH469" s="2"/>
      <c r="BI469" s="3"/>
      <c r="BJ469" s="3"/>
      <c r="BK469" s="3"/>
      <c r="BL469" s="2"/>
      <c r="BM469" s="139"/>
      <c r="BN469" s="235"/>
      <c r="BO469" s="235"/>
      <c r="BP469" s="240"/>
      <c r="BQ469" s="235"/>
      <c r="BR469" s="235"/>
      <c r="BS469" s="235"/>
      <c r="BT469" s="243"/>
      <c r="BU469" s="235"/>
    </row>
    <row r="470" spans="2:73" ht="15" customHeight="1" x14ac:dyDescent="0.25">
      <c r="B470" s="2"/>
      <c r="C470" s="2"/>
      <c r="D470" s="2"/>
      <c r="E470" s="167"/>
      <c r="F470" s="161"/>
      <c r="G470" s="167"/>
      <c r="H470" s="359"/>
      <c r="J470" s="1"/>
      <c r="K470" s="1"/>
      <c r="L470" s="1"/>
      <c r="M470" s="1"/>
      <c r="Q470" s="2"/>
      <c r="R470" s="86"/>
      <c r="S470" s="2"/>
      <c r="T470" s="1"/>
      <c r="U470" s="1"/>
      <c r="V470" s="1"/>
      <c r="W470" s="2"/>
      <c r="X470" s="370"/>
      <c r="Y470" s="270"/>
      <c r="Z470" s="270"/>
      <c r="AA470" s="370"/>
      <c r="AB470" s="270"/>
      <c r="AC470" s="370"/>
      <c r="AD470" s="270"/>
      <c r="AE470" s="270"/>
      <c r="AF470" s="370"/>
      <c r="AG470" s="270"/>
      <c r="AH470" s="270"/>
      <c r="AI470" s="404"/>
      <c r="AJ470" s="370"/>
      <c r="AK470" s="370"/>
      <c r="AL470" s="370"/>
      <c r="AM470" s="270"/>
      <c r="AN470" s="270"/>
      <c r="AO470" s="270"/>
      <c r="AP470" s="270"/>
      <c r="AQ470" s="270"/>
      <c r="AR470" s="1"/>
      <c r="AS470" s="1"/>
      <c r="AT470" s="372"/>
      <c r="AU470" s="4"/>
      <c r="AV470" s="2"/>
      <c r="AW470" s="2"/>
      <c r="AX470" s="3"/>
      <c r="AY470" s="2"/>
      <c r="AZ470" s="2"/>
      <c r="BA470" s="2"/>
      <c r="BB470" s="2"/>
      <c r="BC470" s="2"/>
      <c r="BD470" s="2"/>
      <c r="BE470" s="2"/>
      <c r="BF470" s="73"/>
      <c r="BG470" s="2"/>
      <c r="BH470" s="2"/>
      <c r="BI470" s="3"/>
      <c r="BJ470" s="3"/>
      <c r="BK470" s="3"/>
      <c r="BL470" s="2"/>
      <c r="BM470" s="139"/>
      <c r="BN470" s="235"/>
      <c r="BO470" s="235"/>
      <c r="BP470" s="240"/>
      <c r="BQ470" s="235"/>
      <c r="BR470" s="235"/>
      <c r="BS470" s="235"/>
      <c r="BT470" s="243"/>
      <c r="BU470" s="235"/>
    </row>
    <row r="471" spans="2:73" ht="15" customHeight="1" x14ac:dyDescent="0.25">
      <c r="B471" s="2"/>
      <c r="C471" s="2"/>
      <c r="D471" s="2"/>
      <c r="E471" s="97"/>
      <c r="F471" s="161"/>
      <c r="H471" s="357"/>
      <c r="J471" s="1"/>
      <c r="K471" s="1"/>
      <c r="L471" s="1"/>
      <c r="M471" s="1"/>
      <c r="Q471" s="2"/>
      <c r="R471" s="86"/>
      <c r="S471" s="2"/>
      <c r="T471" s="348"/>
      <c r="U471" s="1"/>
      <c r="V471" s="1"/>
      <c r="W471" s="2"/>
      <c r="X471" s="370"/>
      <c r="Y471" s="270"/>
      <c r="Z471" s="270"/>
      <c r="AA471" s="370"/>
      <c r="AB471" s="270"/>
      <c r="AC471" s="370"/>
      <c r="AD471" s="270"/>
      <c r="AE471" s="270"/>
      <c r="AF471" s="370"/>
      <c r="AG471" s="270"/>
      <c r="AH471" s="270"/>
      <c r="AI471" s="404"/>
      <c r="AJ471" s="370"/>
      <c r="AK471" s="370"/>
      <c r="AL471" s="370"/>
      <c r="AM471" s="270"/>
      <c r="AN471" s="270"/>
      <c r="AO471" s="270"/>
      <c r="AP471" s="270"/>
      <c r="AQ471" s="270"/>
      <c r="AR471" s="1"/>
      <c r="AS471" s="139"/>
      <c r="AT471" s="371"/>
      <c r="AU471" s="4"/>
      <c r="AV471" s="2"/>
      <c r="AW471" s="2"/>
      <c r="AX471" s="140"/>
      <c r="AY471" s="2"/>
      <c r="AZ471" s="2"/>
      <c r="BA471" s="2"/>
      <c r="BB471" s="2"/>
      <c r="BC471" s="2"/>
      <c r="BD471" s="2"/>
      <c r="BE471" s="2"/>
      <c r="BF471" s="3"/>
      <c r="BG471" s="3"/>
      <c r="BH471" s="2"/>
      <c r="BI471" s="3"/>
      <c r="BJ471" s="3"/>
      <c r="BK471" s="3"/>
      <c r="BL471" s="2"/>
      <c r="BM471" s="139"/>
      <c r="BN471" s="235"/>
      <c r="BO471" s="235"/>
      <c r="BP471" s="240"/>
      <c r="BQ471" s="235"/>
      <c r="BR471" s="235"/>
      <c r="BS471" s="235"/>
      <c r="BT471" s="243"/>
      <c r="BU471" s="235"/>
    </row>
    <row r="472" spans="2:73" ht="15" customHeight="1" x14ac:dyDescent="0.25">
      <c r="B472" s="2"/>
      <c r="C472" s="2"/>
      <c r="D472" s="2"/>
      <c r="E472" s="97"/>
      <c r="F472" s="161"/>
      <c r="H472" s="357"/>
      <c r="J472" s="1"/>
      <c r="K472" s="1"/>
      <c r="L472" s="1"/>
      <c r="M472" s="1"/>
      <c r="Q472" s="2"/>
      <c r="R472" s="86"/>
      <c r="S472" s="2"/>
      <c r="T472" s="1"/>
      <c r="U472" s="1"/>
      <c r="V472" s="1"/>
      <c r="W472" s="2"/>
      <c r="X472" s="370"/>
      <c r="Y472" s="270"/>
      <c r="Z472" s="270"/>
      <c r="AA472" s="370"/>
      <c r="AB472" s="270"/>
      <c r="AC472" s="370"/>
      <c r="AD472" s="270"/>
      <c r="AE472" s="270"/>
      <c r="AF472" s="370"/>
      <c r="AG472" s="270"/>
      <c r="AH472" s="270"/>
      <c r="AI472" s="404"/>
      <c r="AJ472" s="370"/>
      <c r="AK472" s="370"/>
      <c r="AL472" s="370"/>
      <c r="AM472" s="270"/>
      <c r="AN472" s="270"/>
      <c r="AO472" s="270"/>
      <c r="AP472" s="270"/>
      <c r="AQ472" s="270"/>
      <c r="AR472" s="1"/>
      <c r="AS472" s="2"/>
      <c r="AT472" s="371"/>
      <c r="AU472" s="4"/>
      <c r="AV472" s="2"/>
      <c r="AW472" s="2"/>
      <c r="AX472" s="3"/>
      <c r="AY472" s="2"/>
      <c r="AZ472" s="2"/>
      <c r="BA472" s="2"/>
      <c r="BB472" s="2"/>
      <c r="BC472" s="2"/>
      <c r="BD472" s="2"/>
      <c r="BE472" s="2"/>
      <c r="BF472" s="3"/>
      <c r="BG472" s="3"/>
      <c r="BH472" s="2"/>
      <c r="BI472" s="3"/>
      <c r="BJ472" s="3"/>
      <c r="BK472" s="3"/>
      <c r="BL472" s="2"/>
      <c r="BM472" s="139"/>
      <c r="BN472" s="235"/>
      <c r="BO472" s="235"/>
      <c r="BP472" s="240"/>
      <c r="BQ472" s="235"/>
      <c r="BR472" s="235"/>
      <c r="BS472" s="235"/>
      <c r="BT472" s="243"/>
      <c r="BU472" s="235"/>
    </row>
    <row r="473" spans="2:73" ht="15" customHeight="1" x14ac:dyDescent="0.25">
      <c r="B473" s="2"/>
      <c r="C473" s="2"/>
      <c r="D473" s="2"/>
      <c r="E473" s="97"/>
      <c r="F473" s="161"/>
      <c r="G473" s="97"/>
      <c r="H473" s="357"/>
      <c r="J473" s="1"/>
      <c r="K473" s="1"/>
      <c r="L473" s="1"/>
      <c r="M473" s="1"/>
      <c r="Q473" s="2"/>
      <c r="R473" s="86"/>
      <c r="S473" s="2"/>
      <c r="T473" s="1"/>
      <c r="U473" s="1"/>
      <c r="V473" s="1"/>
      <c r="W473" s="2"/>
      <c r="X473" s="370"/>
      <c r="Y473" s="270"/>
      <c r="Z473" s="270"/>
      <c r="AA473" s="370"/>
      <c r="AB473" s="270"/>
      <c r="AC473" s="370"/>
      <c r="AD473" s="270"/>
      <c r="AE473" s="270"/>
      <c r="AF473" s="370"/>
      <c r="AG473" s="270"/>
      <c r="AH473" s="270"/>
      <c r="AI473" s="404"/>
      <c r="AJ473" s="370"/>
      <c r="AK473" s="370"/>
      <c r="AL473" s="370"/>
      <c r="AM473" s="270"/>
      <c r="AN473" s="270"/>
      <c r="AO473" s="270"/>
      <c r="AP473" s="270"/>
      <c r="AQ473" s="270"/>
      <c r="AR473" s="1"/>
      <c r="AS473" s="2"/>
      <c r="AT473" s="372"/>
      <c r="AU473" s="4"/>
      <c r="AV473" s="2"/>
      <c r="AW473" s="2"/>
      <c r="AX473" s="3"/>
      <c r="AY473" s="2"/>
      <c r="AZ473" s="2"/>
      <c r="BA473" s="2"/>
      <c r="BB473" s="2"/>
      <c r="BC473" s="2"/>
      <c r="BD473" s="2"/>
      <c r="BE473" s="2"/>
      <c r="BF473" s="3"/>
      <c r="BG473" s="3"/>
      <c r="BH473" s="2"/>
      <c r="BI473" s="3"/>
      <c r="BJ473" s="3"/>
      <c r="BK473" s="3"/>
      <c r="BL473" s="2"/>
      <c r="BM473" s="139"/>
      <c r="BN473" s="235"/>
      <c r="BO473" s="235"/>
      <c r="BP473" s="240"/>
      <c r="BQ473" s="235"/>
      <c r="BR473" s="235"/>
      <c r="BS473" s="235"/>
      <c r="BT473" s="243"/>
      <c r="BU473" s="235"/>
    </row>
    <row r="474" spans="2:73" ht="15" customHeight="1" x14ac:dyDescent="0.25">
      <c r="B474" s="2"/>
      <c r="C474" s="2"/>
      <c r="D474" s="2"/>
      <c r="E474" s="97"/>
      <c r="F474" s="161"/>
      <c r="H474" s="357"/>
      <c r="J474" s="1"/>
      <c r="K474" s="1"/>
      <c r="L474" s="1"/>
      <c r="M474" s="1"/>
      <c r="Q474" s="2"/>
      <c r="R474" s="86"/>
      <c r="S474" s="2"/>
      <c r="T474" s="1"/>
      <c r="U474" s="1"/>
      <c r="V474" s="1"/>
      <c r="W474" s="2"/>
      <c r="X474" s="370"/>
      <c r="Y474" s="270"/>
      <c r="Z474" s="270"/>
      <c r="AA474" s="370"/>
      <c r="AB474" s="270"/>
      <c r="AC474" s="370"/>
      <c r="AD474" s="270"/>
      <c r="AE474" s="270"/>
      <c r="AF474" s="370"/>
      <c r="AG474" s="270"/>
      <c r="AH474" s="270"/>
      <c r="AI474" s="404"/>
      <c r="AJ474" s="370"/>
      <c r="AK474" s="370"/>
      <c r="AL474" s="370"/>
      <c r="AM474" s="270"/>
      <c r="AN474" s="270"/>
      <c r="AO474" s="270"/>
      <c r="AP474" s="270"/>
      <c r="AQ474" s="270"/>
      <c r="AR474" s="1"/>
      <c r="AS474" s="2"/>
      <c r="AT474" s="371"/>
      <c r="AU474" s="4"/>
      <c r="AV474" s="2"/>
      <c r="AW474" s="2"/>
      <c r="AX474" s="3"/>
      <c r="AY474" s="2"/>
      <c r="AZ474" s="2"/>
      <c r="BA474" s="2"/>
      <c r="BB474" s="2"/>
      <c r="BC474" s="2"/>
      <c r="BD474" s="2"/>
      <c r="BE474" s="2"/>
      <c r="BF474" s="3"/>
      <c r="BG474" s="3"/>
      <c r="BH474" s="2"/>
      <c r="BI474" s="3"/>
      <c r="BJ474" s="3"/>
      <c r="BK474" s="3"/>
      <c r="BL474" s="2"/>
      <c r="BM474" s="139"/>
      <c r="BN474" s="235"/>
      <c r="BO474" s="235"/>
      <c r="BP474" s="240"/>
      <c r="BQ474" s="235"/>
      <c r="BR474" s="235"/>
      <c r="BS474" s="235"/>
      <c r="BT474" s="243"/>
      <c r="BU474" s="235"/>
    </row>
    <row r="475" spans="2:73" ht="15" customHeight="1" x14ac:dyDescent="0.25">
      <c r="B475" s="2"/>
      <c r="C475" s="2"/>
      <c r="D475" s="2"/>
      <c r="E475" s="97"/>
      <c r="F475" s="161"/>
      <c r="G475" s="97"/>
      <c r="H475" s="357"/>
      <c r="J475" s="1"/>
      <c r="K475" s="1"/>
      <c r="L475" s="1"/>
      <c r="M475" s="1"/>
      <c r="Q475" s="2"/>
      <c r="R475" s="86"/>
      <c r="S475" s="2"/>
      <c r="T475" s="1"/>
      <c r="U475" s="1"/>
      <c r="V475" s="1"/>
      <c r="W475" s="2"/>
      <c r="X475" s="370"/>
      <c r="Y475" s="270"/>
      <c r="Z475" s="270"/>
      <c r="AA475" s="370"/>
      <c r="AB475" s="270"/>
      <c r="AC475" s="370"/>
      <c r="AD475" s="270"/>
      <c r="AE475" s="270"/>
      <c r="AF475" s="370"/>
      <c r="AG475" s="270"/>
      <c r="AH475" s="270"/>
      <c r="AI475" s="404"/>
      <c r="AJ475" s="370"/>
      <c r="AK475" s="370"/>
      <c r="AL475" s="370"/>
      <c r="AM475" s="270"/>
      <c r="AN475" s="270"/>
      <c r="AO475" s="270"/>
      <c r="AP475" s="270"/>
      <c r="AQ475" s="270"/>
      <c r="AR475" s="1"/>
      <c r="AS475" s="2"/>
      <c r="AT475" s="372"/>
      <c r="AU475" s="4"/>
      <c r="AV475" s="2"/>
      <c r="AW475" s="2"/>
      <c r="AX475" s="3"/>
      <c r="AY475" s="2"/>
      <c r="AZ475" s="2"/>
      <c r="BA475" s="2"/>
      <c r="BB475" s="2"/>
      <c r="BC475" s="2"/>
      <c r="BD475" s="2"/>
      <c r="BE475" s="2"/>
      <c r="BF475" s="3"/>
      <c r="BG475" s="3"/>
      <c r="BH475" s="2"/>
      <c r="BI475" s="3"/>
      <c r="BJ475" s="3"/>
      <c r="BK475" s="3"/>
      <c r="BL475" s="2"/>
      <c r="BM475" s="139"/>
      <c r="BN475" s="235"/>
      <c r="BO475" s="235"/>
      <c r="BP475" s="240"/>
      <c r="BQ475" s="235"/>
      <c r="BR475" s="235"/>
      <c r="BS475" s="235"/>
      <c r="BT475" s="243"/>
      <c r="BU475" s="235"/>
    </row>
    <row r="476" spans="2:73" ht="15" customHeight="1" x14ac:dyDescent="0.25">
      <c r="B476" s="2"/>
      <c r="C476" s="2"/>
      <c r="D476" s="2"/>
      <c r="E476" s="97"/>
      <c r="F476" s="161"/>
      <c r="H476" s="357"/>
      <c r="J476" s="1"/>
      <c r="K476" s="1"/>
      <c r="L476" s="1"/>
      <c r="M476" s="1"/>
      <c r="Q476" s="2"/>
      <c r="R476" s="86"/>
      <c r="S476" s="2"/>
      <c r="T476" s="1"/>
      <c r="U476" s="1"/>
      <c r="V476" s="1"/>
      <c r="W476" s="2"/>
      <c r="X476" s="370"/>
      <c r="Y476" s="270"/>
      <c r="Z476" s="270"/>
      <c r="AA476" s="370"/>
      <c r="AB476" s="270"/>
      <c r="AC476" s="370"/>
      <c r="AD476" s="270"/>
      <c r="AE476" s="270"/>
      <c r="AF476" s="370"/>
      <c r="AG476" s="270"/>
      <c r="AH476" s="270"/>
      <c r="AI476" s="404"/>
      <c r="AJ476" s="370"/>
      <c r="AK476" s="370"/>
      <c r="AL476" s="370"/>
      <c r="AM476" s="270"/>
      <c r="AN476" s="270"/>
      <c r="AO476" s="270"/>
      <c r="AP476" s="270"/>
      <c r="AQ476" s="270"/>
      <c r="AR476" s="1"/>
      <c r="AS476" s="2"/>
      <c r="AT476" s="371"/>
      <c r="AU476" s="4"/>
      <c r="AV476" s="2"/>
      <c r="AW476" s="2"/>
      <c r="AX476" s="3"/>
      <c r="AY476" s="2"/>
      <c r="AZ476" s="2"/>
      <c r="BA476" s="2"/>
      <c r="BB476" s="2"/>
      <c r="BC476" s="2"/>
      <c r="BD476" s="2"/>
      <c r="BE476" s="2"/>
      <c r="BF476" s="3"/>
      <c r="BG476" s="3"/>
      <c r="BH476" s="2"/>
      <c r="BI476" s="3"/>
      <c r="BJ476" s="3"/>
      <c r="BK476" s="3"/>
      <c r="BL476" s="2"/>
      <c r="BM476" s="139"/>
      <c r="BN476" s="235"/>
      <c r="BO476" s="235"/>
      <c r="BP476" s="240"/>
      <c r="BQ476" s="235"/>
      <c r="BR476" s="235"/>
      <c r="BS476" s="235"/>
      <c r="BT476" s="243"/>
      <c r="BU476" s="235"/>
    </row>
    <row r="477" spans="2:73" ht="15" customHeight="1" x14ac:dyDescent="0.25">
      <c r="B477" s="2"/>
      <c r="C477" s="2"/>
      <c r="D477" s="2"/>
      <c r="E477" s="97"/>
      <c r="F477" s="161"/>
      <c r="G477" s="97"/>
      <c r="H477" s="357"/>
      <c r="J477" s="1"/>
      <c r="K477" s="1"/>
      <c r="L477" s="1"/>
      <c r="M477" s="1"/>
      <c r="Q477" s="2"/>
      <c r="R477" s="86"/>
      <c r="S477" s="2"/>
      <c r="T477" s="1"/>
      <c r="U477" s="1"/>
      <c r="V477" s="1"/>
      <c r="W477" s="2"/>
      <c r="X477" s="370"/>
      <c r="Y477" s="270"/>
      <c r="Z477" s="270"/>
      <c r="AA477" s="370"/>
      <c r="AB477" s="270"/>
      <c r="AC477" s="370"/>
      <c r="AD477" s="270"/>
      <c r="AE477" s="270"/>
      <c r="AF477" s="370"/>
      <c r="AG477" s="270"/>
      <c r="AH477" s="270"/>
      <c r="AI477" s="404"/>
      <c r="AJ477" s="370"/>
      <c r="AK477" s="370"/>
      <c r="AL477" s="370"/>
      <c r="AM477" s="270"/>
      <c r="AN477" s="270"/>
      <c r="AO477" s="270"/>
      <c r="AP477" s="270"/>
      <c r="AQ477" s="270"/>
      <c r="AR477" s="1"/>
      <c r="AS477" s="2"/>
      <c r="AT477" s="372"/>
      <c r="AU477" s="4"/>
      <c r="AV477" s="2"/>
      <c r="AW477" s="2"/>
      <c r="AX477" s="3"/>
      <c r="AY477" s="2"/>
      <c r="AZ477" s="2"/>
      <c r="BA477" s="2"/>
      <c r="BB477" s="2"/>
      <c r="BC477" s="2"/>
      <c r="BD477" s="2"/>
      <c r="BE477" s="2"/>
      <c r="BF477" s="3"/>
      <c r="BG477" s="3"/>
      <c r="BH477" s="2"/>
      <c r="BI477" s="3"/>
      <c r="BJ477" s="3"/>
      <c r="BK477" s="3"/>
      <c r="BL477" s="2"/>
      <c r="BM477" s="139"/>
      <c r="BN477" s="235"/>
      <c r="BO477" s="235"/>
      <c r="BP477" s="240"/>
      <c r="BQ477" s="235"/>
      <c r="BR477" s="235"/>
      <c r="BS477" s="235"/>
      <c r="BT477" s="243"/>
      <c r="BU477" s="235"/>
    </row>
    <row r="478" spans="2:73" ht="15" customHeight="1" x14ac:dyDescent="0.25">
      <c r="BI478" s="3"/>
      <c r="BJ478" s="3"/>
      <c r="BK478" s="3"/>
    </row>
    <row r="479" spans="2:73" ht="15" customHeight="1" x14ac:dyDescent="0.25">
      <c r="BI479" s="3"/>
      <c r="BJ479" s="3"/>
      <c r="BK479" s="3"/>
    </row>
    <row r="480" spans="2:73" ht="15" customHeight="1" x14ac:dyDescent="0.25">
      <c r="BI480" s="3"/>
      <c r="BJ480" s="3"/>
      <c r="BK480" s="3"/>
    </row>
    <row r="481" spans="61:63" ht="15" customHeight="1" x14ac:dyDescent="0.25">
      <c r="BI481" s="3"/>
      <c r="BJ481" s="3"/>
      <c r="BK481" s="3"/>
    </row>
    <row r="482" spans="61:63" ht="15" customHeight="1" x14ac:dyDescent="0.25">
      <c r="BI482" s="3"/>
      <c r="BJ482" s="3"/>
      <c r="BK482" s="3"/>
    </row>
    <row r="483" spans="61:63" ht="15" customHeight="1" x14ac:dyDescent="0.25">
      <c r="BI483" s="3"/>
      <c r="BJ483" s="3"/>
      <c r="BK483" s="3"/>
    </row>
    <row r="484" spans="61:63" ht="15" customHeight="1" x14ac:dyDescent="0.25">
      <c r="BI484" s="3"/>
      <c r="BJ484" s="3"/>
      <c r="BK484" s="3"/>
    </row>
    <row r="485" spans="61:63" ht="15" customHeight="1" x14ac:dyDescent="0.25">
      <c r="BI485" s="3"/>
      <c r="BJ485" s="3"/>
      <c r="BK485" s="3"/>
    </row>
    <row r="498" spans="1:73" ht="15" customHeight="1" x14ac:dyDescent="0.25">
      <c r="B498" s="2"/>
      <c r="C498" s="2"/>
      <c r="D498" s="2"/>
      <c r="E498" s="97"/>
      <c r="F498" s="161"/>
      <c r="H498" s="357"/>
      <c r="J498" s="1"/>
      <c r="K498" s="1"/>
      <c r="L498" s="1"/>
      <c r="M498" s="1"/>
      <c r="Q498" s="2"/>
      <c r="R498" s="86"/>
      <c r="S498" s="2"/>
      <c r="T498" s="348"/>
      <c r="U498" s="1"/>
      <c r="V498" s="1"/>
      <c r="W498" s="2"/>
      <c r="X498" s="370"/>
      <c r="Y498" s="270"/>
      <c r="Z498" s="270"/>
      <c r="AA498" s="370"/>
      <c r="AB498" s="270"/>
      <c r="AC498" s="370"/>
      <c r="AD498" s="270"/>
      <c r="AE498" s="270"/>
      <c r="AF498" s="370"/>
      <c r="AG498" s="270"/>
      <c r="AH498" s="270"/>
      <c r="AI498" s="404"/>
      <c r="AJ498" s="370"/>
      <c r="AK498" s="370"/>
      <c r="AL498" s="370"/>
      <c r="AM498" s="270"/>
      <c r="AN498" s="270"/>
      <c r="AO498" s="270"/>
      <c r="AP498" s="270"/>
      <c r="AQ498" s="270"/>
      <c r="AR498" s="1"/>
      <c r="AS498" s="139"/>
      <c r="AT498" s="371"/>
      <c r="AU498" s="4"/>
      <c r="AV498" s="2"/>
      <c r="AW498" s="2"/>
      <c r="AX498" s="139"/>
      <c r="AY498" s="2"/>
      <c r="AZ498" s="2"/>
      <c r="BA498" s="2"/>
      <c r="BB498" s="2"/>
      <c r="BC498" s="2"/>
      <c r="BD498" s="2"/>
      <c r="BE498" s="2"/>
      <c r="BF498" s="2"/>
      <c r="BG498" s="2"/>
      <c r="BH498" s="2"/>
      <c r="BI498" s="2"/>
      <c r="BJ498" s="2"/>
      <c r="BK498" s="139"/>
      <c r="BL498" s="2"/>
      <c r="BM498" s="139"/>
      <c r="BN498" s="235"/>
      <c r="BO498" s="235"/>
      <c r="BP498" s="240"/>
      <c r="BQ498" s="235"/>
      <c r="BR498" s="235"/>
      <c r="BS498" s="235"/>
      <c r="BT498" s="243"/>
      <c r="BU498" s="235"/>
    </row>
    <row r="499" spans="1:73" ht="15" customHeight="1" x14ac:dyDescent="0.25">
      <c r="A499" s="317"/>
      <c r="B499" s="158"/>
      <c r="C499" s="158"/>
      <c r="D499" s="158"/>
      <c r="E499" s="373"/>
      <c r="F499" s="374"/>
      <c r="G499" s="373"/>
      <c r="H499" s="362"/>
      <c r="I499" s="318"/>
      <c r="J499" s="375"/>
      <c r="K499" s="375"/>
      <c r="L499" s="375"/>
      <c r="M499" s="375"/>
      <c r="N499" s="318"/>
      <c r="O499" s="318"/>
      <c r="P499" s="318"/>
      <c r="Q499" s="158"/>
      <c r="R499" s="376"/>
      <c r="S499" s="158"/>
      <c r="T499" s="375"/>
      <c r="U499" s="375"/>
      <c r="V499" s="375"/>
      <c r="W499" s="158"/>
      <c r="X499" s="377"/>
      <c r="Y499" s="378"/>
      <c r="Z499" s="378"/>
      <c r="AA499" s="377"/>
      <c r="AB499" s="378"/>
      <c r="AC499" s="377"/>
      <c r="AD499" s="378"/>
      <c r="AE499" s="378"/>
      <c r="AF499" s="377"/>
      <c r="AG499" s="378"/>
      <c r="AH499" s="378"/>
      <c r="AI499" s="420"/>
      <c r="AJ499" s="377"/>
      <c r="AK499" s="377"/>
      <c r="AL499" s="377"/>
      <c r="AM499" s="378"/>
      <c r="AN499" s="378"/>
      <c r="AO499" s="378"/>
      <c r="AP499" s="378"/>
      <c r="AQ499" s="378"/>
      <c r="AR499" s="375"/>
      <c r="AS499" s="375"/>
      <c r="AT499" s="379"/>
      <c r="AU499" s="380"/>
      <c r="AV499" s="158"/>
      <c r="AW499" s="158"/>
      <c r="AX499" s="158"/>
      <c r="AY499" s="158"/>
      <c r="AZ499" s="158"/>
      <c r="BA499" s="158"/>
      <c r="BB499" s="158"/>
      <c r="BC499" s="158"/>
      <c r="BD499" s="158"/>
      <c r="BE499" s="158"/>
      <c r="BF499" s="317"/>
      <c r="BG499" s="158"/>
      <c r="BH499" s="158"/>
      <c r="BI499" s="158"/>
      <c r="BJ499" s="158"/>
      <c r="BK499" s="381"/>
      <c r="BL499" s="158"/>
      <c r="BM499" s="381"/>
      <c r="BN499" s="382"/>
      <c r="BO499" s="382"/>
      <c r="BP499" s="383"/>
      <c r="BQ499" s="382"/>
      <c r="BR499" s="382"/>
      <c r="BS499" s="382"/>
      <c r="BT499" s="384"/>
      <c r="BU499" s="382"/>
    </row>
  </sheetData>
  <protectedRanges>
    <protectedRange sqref="A1:BE1" name="Range1"/>
  </protectedRanges>
  <phoneticPr fontId="11" type="noConversion"/>
  <conditionalFormatting sqref="AF2:AH361 W2:W377 AN2:AQ377 AI10:AI375 AJ141:AQ361 AM378:AM424 W424 AI424 AK424:AL424 AO424:AQ424 W463:W477 AI463:AI477 AK463:AL477 W498:W499 AI498:AI499 AK498:AL499 AN498:AQ499">
    <cfRule type="expression" dxfId="6" priority="302">
      <formula>$I2="Out of program"</formula>
    </cfRule>
  </conditionalFormatting>
  <conditionalFormatting sqref="AI2:AQ9 AJ10:AQ139 AJ140:AM140 AI377 AN463:AQ477">
    <cfRule type="expression" dxfId="5" priority="354">
      <formula>$I2="Out of program"</formula>
    </cfRule>
  </conditionalFormatting>
  <conditionalFormatting sqref="AK362:AL378">
    <cfRule type="expression" dxfId="4" priority="1">
      <formula>$I362="Out of program"</formula>
    </cfRule>
  </conditionalFormatting>
  <hyperlinks>
    <hyperlink ref="J373" r:id="rId1" xr:uid="{D815AF7C-FA1A-4898-A72C-2DC1EC58DE0A}"/>
    <hyperlink ref="L373" r:id="rId2" xr:uid="{B7127633-9E68-4ECA-8B11-5880D4E08D83}"/>
    <hyperlink ref="J2" r:id="rId3" xr:uid="{56E952D8-E94E-490D-ACE8-78A6F3C175B0}"/>
    <hyperlink ref="J317" r:id="rId4" xr:uid="{CE574E40-87FA-43F0-9A9E-0AD2C408F2B9}"/>
    <hyperlink ref="J322" r:id="rId5" xr:uid="{6FB1868B-52BF-47FE-A40C-479AF87BF2EC}"/>
    <hyperlink ref="J350" r:id="rId6" xr:uid="{260C6D97-BA49-4E18-AA10-7C7F187DAAF8}"/>
    <hyperlink ref="J351" r:id="rId7" xr:uid="{5EDAC3F3-265A-4128-AE9C-13C2113D581F}"/>
    <hyperlink ref="J352" r:id="rId8" xr:uid="{81EAEE50-B8A7-4671-8EB3-AC30FEBCB0E8}"/>
    <hyperlink ref="J346" r:id="rId9" xr:uid="{2CD291B6-AEC0-48DA-8CC8-4D71A6F207E3}"/>
    <hyperlink ref="J357" r:id="rId10" xr:uid="{0B8804F7-D73E-4196-A3F7-36C7B24C25BD}"/>
    <hyperlink ref="J348" r:id="rId11" xr:uid="{4B517C5E-332F-4D04-9811-3E5FF7AA58E1}"/>
    <hyperlink ref="J358" r:id="rId12" xr:uid="{02D41464-685C-486A-BB0F-1ED79F3D97D6}"/>
    <hyperlink ref="J349" r:id="rId13" xr:uid="{8BA6AACF-466F-4047-91AB-031F3DCBD362}"/>
    <hyperlink ref="J360" r:id="rId14" xr:uid="{E621A9A1-EAAE-4615-AC53-AADDD5FCE449}"/>
    <hyperlink ref="J240" r:id="rId15" xr:uid="{DA6CFB5D-8496-40CC-B823-4859B7FC8809}"/>
    <hyperlink ref="J319" r:id="rId16" xr:uid="{B4A0D997-D9D7-43A6-BCB4-B4655AC1CF48}"/>
    <hyperlink ref="J320" r:id="rId17" xr:uid="{5EEB4950-6FC3-481A-B360-B2998905844A}"/>
    <hyperlink ref="J323" r:id="rId18" xr:uid="{1F95B994-528C-4E95-A7B6-D75192A08D92}"/>
    <hyperlink ref="J324" r:id="rId19" xr:uid="{0C36E53F-7AAC-4C08-8A90-C45D03B0BCAB}"/>
    <hyperlink ref="J325" r:id="rId20" xr:uid="{7D369348-26F7-4BB8-A23A-2F13A50D6AD2}"/>
    <hyperlink ref="J326" r:id="rId21" xr:uid="{8525933E-83C9-415E-832A-3A143CDA0282}"/>
    <hyperlink ref="J359" r:id="rId22" xr:uid="{E887D783-17DB-4350-922A-AE1CDFFBC2D5}"/>
    <hyperlink ref="J318" r:id="rId23" xr:uid="{F6A881B6-3C46-4053-AF28-0BA88975E1D0}"/>
    <hyperlink ref="J315" r:id="rId24" xr:uid="{A51A5F81-0181-476C-BA68-0478A4213FB1}"/>
    <hyperlink ref="J347" r:id="rId25" xr:uid="{0B46D7B8-FB6A-4C7E-8EF7-5A0371139743}"/>
    <hyperlink ref="J374" r:id="rId26" xr:uid="{49324F15-4EA4-4EB8-A7C8-4CB93179E99E}"/>
    <hyperlink ref="J375" r:id="rId27" xr:uid="{F35FB4C3-456B-41FA-90E1-19C80E3E61A7}"/>
    <hyperlink ref="J409" r:id="rId28" xr:uid="{3DF34B99-A98A-427F-A13B-98A67EDCC7D4}"/>
    <hyperlink ref="J406" r:id="rId29" xr:uid="{0A663A09-2B74-42C5-B7A7-0D70606AEFFA}"/>
    <hyperlink ref="J410" r:id="rId30" xr:uid="{6251A0C3-1C60-47A8-A7FA-CC75E905D286}"/>
    <hyperlink ref="J421" r:id="rId31" xr:uid="{6DDE0F8E-3553-45C9-8F16-B58BF6D51A95}"/>
    <hyperlink ref="J399" r:id="rId32" xr:uid="{71D99CFB-B65C-41D6-843D-D50385E8070E}"/>
    <hyperlink ref="J387" r:id="rId33" xr:uid="{D1CA214D-EC20-471F-A3FC-0C8257C203A6}"/>
    <hyperlink ref="J386" r:id="rId34" xr:uid="{9312536A-7113-4141-8D80-8DDB09D11A5A}"/>
    <hyperlink ref="J395" r:id="rId35" xr:uid="{44CAE134-6371-4F96-8FA2-3CBAC7A42CD0}"/>
    <hyperlink ref="J381" r:id="rId36" xr:uid="{08137223-1836-4ED5-8AF2-1A569CD3A889}"/>
    <hyperlink ref="J390" r:id="rId37" xr:uid="{425DBC62-1DB4-4D5F-9318-196DE0243C62}"/>
    <hyperlink ref="J388" r:id="rId38" xr:uid="{4FA9F5B1-4F16-4558-97CC-E6E96228CDCD}"/>
    <hyperlink ref="J405" r:id="rId39" xr:uid="{00F66552-478B-45B7-A8FF-355690AE2BC8}"/>
    <hyperlink ref="J403" r:id="rId40" xr:uid="{E98F206D-5BA7-4583-9A3A-4DA196474034}"/>
    <hyperlink ref="J407" r:id="rId41" xr:uid="{7CB2326F-2524-45E6-8BE9-21DCB27C2579}"/>
    <hyperlink ref="J372" r:id="rId42" xr:uid="{4B91FA26-D8B8-4CA2-BD1E-3C5A78539625}"/>
    <hyperlink ref="J376" r:id="rId43" xr:uid="{5603B8AC-392D-4946-AE5A-7AD012FCDE42}"/>
    <hyperlink ref="J377" r:id="rId44" xr:uid="{613EC774-DB9E-461C-976D-2F92C780017B}"/>
    <hyperlink ref="J404" r:id="rId45" xr:uid="{303B72DD-8921-4345-A30D-5E6CF124F6EF}"/>
  </hyperlinks>
  <pageMargins left="0.7" right="0.7" top="0.75" bottom="0.75" header="0.3" footer="0.3"/>
  <pageSetup orientation="portrait" r:id="rId46"/>
  <legacyDrawing r:id="rId47"/>
  <tableParts count="1">
    <tablePart r:id="rId48"/>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4A413-3CD9-4E92-BE47-247FA2E22677}">
  <sheetPr>
    <tabColor theme="9" tint="0.79998168889431442"/>
  </sheetPr>
  <dimension ref="A1:Q72"/>
  <sheetViews>
    <sheetView showGridLines="0" topLeftCell="H11" zoomScale="90" zoomScaleNormal="90" workbookViewId="0">
      <selection activeCell="H20" sqref="H20"/>
    </sheetView>
  </sheetViews>
  <sheetFormatPr defaultRowHeight="15" x14ac:dyDescent="0.25"/>
  <cols>
    <col min="1" max="1" width="8.28515625" bestFit="1" customWidth="1"/>
    <col min="2" max="2" width="2.7109375" bestFit="1" customWidth="1"/>
    <col min="3" max="3" width="5.42578125" bestFit="1" customWidth="1"/>
    <col min="4" max="4" width="20" customWidth="1"/>
    <col min="5" max="5" width="12.5703125" customWidth="1"/>
    <col min="6" max="6" width="12" customWidth="1"/>
    <col min="7" max="7" width="10.140625" customWidth="1"/>
    <col min="8" max="8" width="15.28515625" bestFit="1" customWidth="1"/>
    <col min="9" max="9" width="19.5703125" customWidth="1"/>
    <col min="10" max="10" width="14" customWidth="1"/>
    <col min="11" max="11" width="12.5703125" bestFit="1" customWidth="1"/>
    <col min="12" max="12" width="18" customWidth="1"/>
    <col min="13" max="13" width="14.28515625" bestFit="1" customWidth="1"/>
    <col min="15" max="15" width="180.7109375" bestFit="1" customWidth="1"/>
  </cols>
  <sheetData>
    <row r="1" spans="1:17" hidden="1" x14ac:dyDescent="0.25">
      <c r="A1" s="188" t="s">
        <v>2249</v>
      </c>
      <c r="B1" s="7" t="s">
        <v>2250</v>
      </c>
      <c r="C1" s="189" t="s">
        <v>2251</v>
      </c>
      <c r="D1" s="189" t="s">
        <v>2252</v>
      </c>
      <c r="E1" s="189" t="s">
        <v>2253</v>
      </c>
    </row>
    <row r="2" spans="1:17" ht="15.75" thickBot="1" x14ac:dyDescent="0.3">
      <c r="C2" s="486" t="s">
        <v>2254</v>
      </c>
      <c r="D2" s="487"/>
      <c r="E2" s="487"/>
      <c r="F2" s="487"/>
      <c r="G2" s="487"/>
      <c r="H2" s="487"/>
      <c r="I2" s="487"/>
      <c r="J2" s="487"/>
      <c r="K2" s="487"/>
      <c r="L2" s="488"/>
    </row>
    <row r="3" spans="1:17" ht="24.75" thickBot="1" x14ac:dyDescent="0.3">
      <c r="C3" s="285"/>
      <c r="D3" s="286"/>
      <c r="E3" s="190" t="s">
        <v>213</v>
      </c>
      <c r="F3" s="191" t="s">
        <v>574</v>
      </c>
      <c r="G3" s="192" t="s">
        <v>621</v>
      </c>
      <c r="H3" s="287" t="s">
        <v>150</v>
      </c>
      <c r="I3" s="302" t="s">
        <v>51</v>
      </c>
      <c r="J3" s="302" t="s">
        <v>2255</v>
      </c>
      <c r="K3" s="302" t="s">
        <v>2256</v>
      </c>
      <c r="L3" s="303" t="s">
        <v>2257</v>
      </c>
      <c r="O3" s="65"/>
      <c r="Q3" s="65"/>
    </row>
    <row r="4" spans="1:17" x14ac:dyDescent="0.25">
      <c r="A4" s="132"/>
      <c r="B4" s="132"/>
      <c r="C4" s="288">
        <v>2016</v>
      </c>
      <c r="D4" s="289" t="s">
        <v>2258</v>
      </c>
      <c r="E4" s="290">
        <f>SUMIFS(Table11[USA trees/Allocation/Contracted],Table11[Region],E$3,Table11[ETP Year],$C4)</f>
        <v>7177</v>
      </c>
      <c r="F4" s="290">
        <f>SUMIFS(Table11[USA trees/Allocation/Contracted],Table11[Region],F$3,Table11[ETP Year],$C4)</f>
        <v>0</v>
      </c>
      <c r="G4" s="290">
        <f>SUMIFS(Table11[USA trees/Allocation/Contracted],Table11[Region],G$3,Table11[ETP Year],$C4)</f>
        <v>0</v>
      </c>
      <c r="H4" s="290">
        <f>SUMIFS(Table11[USA trees/Allocation/Contracted],Table11[Region],H$3,Table11[ETP Year],$C4)</f>
        <v>3688.9678800000002</v>
      </c>
      <c r="I4" s="297">
        <f t="shared" ref="I4:I24" si="0">E4+F4+G4+H4</f>
        <v>10865.96788</v>
      </c>
      <c r="J4" s="304"/>
      <c r="K4" s="308">
        <v>14000</v>
      </c>
      <c r="L4" s="291"/>
      <c r="M4" s="132"/>
      <c r="N4" s="132"/>
      <c r="O4" s="132"/>
      <c r="P4" s="132"/>
    </row>
    <row r="5" spans="1:17" x14ac:dyDescent="0.25">
      <c r="A5" s="132"/>
      <c r="B5" s="132"/>
      <c r="C5" s="134"/>
      <c r="D5" s="256" t="s">
        <v>2259</v>
      </c>
      <c r="E5" s="258">
        <f>SUMIFS(Table11[USA trees/Allocation/Planted],Table11[Region],E$3,Table11[ETP Year],$C4)</f>
        <v>7177</v>
      </c>
      <c r="F5" s="258">
        <f>SUMIFS(Table11[USA trees/Allocation/Planted],Table11[Region],F$3,Table11[ETP Year],$C4)</f>
        <v>0</v>
      </c>
      <c r="G5" s="258">
        <f>SUMIFS(Table11[USA trees/Allocation/Planted],Table11[Region],G$3,Table11[ETP Year],$C4)</f>
        <v>0</v>
      </c>
      <c r="H5" s="258">
        <f>SUMIFS(Table11[USA trees/Allocation/Planted],Table11[Region],H$3,Table11[ETP Year],$C4)</f>
        <v>3688.9678800000002</v>
      </c>
      <c r="I5" s="298">
        <f t="shared" si="0"/>
        <v>10865.96788</v>
      </c>
      <c r="J5" s="305"/>
      <c r="K5" s="309"/>
      <c r="L5" s="292"/>
      <c r="M5" s="132"/>
      <c r="N5" s="132"/>
      <c r="O5" s="132"/>
      <c r="P5" s="132"/>
    </row>
    <row r="6" spans="1:17" ht="15.75" thickBot="1" x14ac:dyDescent="0.3">
      <c r="C6" s="126"/>
      <c r="D6" s="256" t="s">
        <v>2260</v>
      </c>
      <c r="E6" s="284">
        <f>SUMIFS(Table11['#Trees as of 2024/estimate -US allocation ],Table11[Region],E$3,Table11[ETP Year],$C4)</f>
        <v>437.36</v>
      </c>
      <c r="F6" s="284">
        <f>SUMIFS(Table11['#Trees as of 2024/estimate -US allocation ],Table11[Region],F$3,Table11[ETP Year],$C4)</f>
        <v>0</v>
      </c>
      <c r="G6" s="284">
        <f>SUMIFS(Table11['#Trees as of 2024/estimate -US allocation ],Table11[Region],G$3,Table11[ETP Year],$C4)</f>
        <v>0</v>
      </c>
      <c r="H6" s="284">
        <f>SUMIFS(Table11['#Trees as of 2024/estimate -US allocation ],Table11[Region],H$3,Table11[ETP Year],$C4)</f>
        <v>903.16067728580379</v>
      </c>
      <c r="I6" s="298">
        <f t="shared" si="0"/>
        <v>1340.5206772858037</v>
      </c>
      <c r="J6" s="307">
        <f>IFERROR(I6/I5,"N/A")</f>
        <v>0.12336873181386615</v>
      </c>
      <c r="K6" s="298">
        <v>11000</v>
      </c>
      <c r="L6" s="296" t="s">
        <v>2261</v>
      </c>
    </row>
    <row r="7" spans="1:17" x14ac:dyDescent="0.25">
      <c r="C7" s="288">
        <v>2018</v>
      </c>
      <c r="D7" s="289" t="s">
        <v>2258</v>
      </c>
      <c r="E7" s="290">
        <f>SUMIFS(Table11[USA trees/Allocation/Contracted],Table11[Region],E$3,Table11[ETP Year],$C7)</f>
        <v>14582.4</v>
      </c>
      <c r="F7" s="290">
        <f>SUMIFS(Table11[USA trees/Allocation/Contracted],Table11[Region],F$3,Table11[ETP Year],$C7)</f>
        <v>15660</v>
      </c>
      <c r="G7" s="290">
        <f>SUMIFS(Table11[USA trees/Allocation/Contracted],Table11[Region],G$3,Table11[ETP Year],$C7)</f>
        <v>15936</v>
      </c>
      <c r="H7" s="290">
        <f>SUMIFS(Table11[USA trees/Allocation/Contracted],Table11[Region],H$3,Table11[ETP Year],$C7)</f>
        <v>18619.2</v>
      </c>
      <c r="I7" s="297">
        <f t="shared" si="0"/>
        <v>64797.600000000006</v>
      </c>
      <c r="J7" s="304"/>
      <c r="K7" s="308"/>
      <c r="L7" s="291"/>
    </row>
    <row r="8" spans="1:17" x14ac:dyDescent="0.25">
      <c r="C8" s="134"/>
      <c r="D8" s="256" t="s">
        <v>2259</v>
      </c>
      <c r="E8" s="258">
        <f>SUMIFS(Table11[USA trees/Allocation/Planted],Table11[Region],E$3,Table11[ETP Year],$C7)</f>
        <v>14582.4</v>
      </c>
      <c r="F8" s="258">
        <f>SUMIFS(Table11[USA trees/Allocation/Planted],Table11[Region],F$3,Table11[ETP Year],$C7)</f>
        <v>14660</v>
      </c>
      <c r="G8" s="258">
        <f>SUMIFS(Table11[USA trees/Allocation/Planted],Table11[Region],G$3,Table11[ETP Year],$C7)</f>
        <v>15936</v>
      </c>
      <c r="H8" s="258">
        <f>SUMIFS(Table11[USA trees/Allocation/Planted],Table11[Region],H$3,Table11[ETP Year],$C7)</f>
        <v>18619.2</v>
      </c>
      <c r="I8" s="298">
        <f t="shared" si="0"/>
        <v>63797.600000000006</v>
      </c>
      <c r="J8" s="305"/>
      <c r="K8" s="309"/>
      <c r="L8" s="292"/>
    </row>
    <row r="9" spans="1:17" ht="15.75" thickBot="1" x14ac:dyDescent="0.3">
      <c r="C9" s="127"/>
      <c r="D9" s="293" t="s">
        <v>2260</v>
      </c>
      <c r="E9" s="294">
        <f>SUMIFS(Table11['#Trees as of 2024/estimate -US allocation ],Table11[Region],E$3,Table11[ETP Year],$C7)</f>
        <v>4607.1503460628692</v>
      </c>
      <c r="F9" s="294">
        <f>SUMIFS(Table11['#Trees as of 2024/estimate -US allocation ],Table11[Region],F$3,Table11[ETP Year],$C7)</f>
        <v>5861.0748776585324</v>
      </c>
      <c r="G9" s="294">
        <f>SUMIFS(Table11['#Trees as of 2024/estimate -US allocation ],Table11[Region],G$3,Table11[ETP Year],$C7)</f>
        <v>5222.4000000000005</v>
      </c>
      <c r="H9" s="294">
        <f>SUMIFS(Table11['#Trees as of 2024/estimate -US allocation ],Table11[Region],H$3,Table11[ETP Year],$C7)</f>
        <v>9796.9389991696589</v>
      </c>
      <c r="I9" s="299">
        <f t="shared" si="0"/>
        <v>25487.564222891062</v>
      </c>
      <c r="J9" s="306">
        <f>IFERROR(I9/I8,"N/A")</f>
        <v>0.39950663070226872</v>
      </c>
      <c r="K9" s="299">
        <v>55474</v>
      </c>
      <c r="L9" s="295" t="s">
        <v>2261</v>
      </c>
    </row>
    <row r="10" spans="1:17" x14ac:dyDescent="0.25">
      <c r="C10" s="288">
        <v>2020</v>
      </c>
      <c r="D10" s="289" t="s">
        <v>2258</v>
      </c>
      <c r="E10" s="290">
        <f>SUMIFS(Table11[USA trees/Allocation/Contracted],Table11[Region],E$3,Table11[ETP Year],$C10)</f>
        <v>64850</v>
      </c>
      <c r="F10" s="290">
        <f>SUMIFS(Table11[USA trees/Allocation/Contracted],Table11[Region],F$3,Table11[ETP Year],$C10)</f>
        <v>58509</v>
      </c>
      <c r="G10" s="290">
        <f>SUMIFS(Table11[USA trees/Allocation/Contracted],Table11[Region],G$3,Table11[ETP Year],$C10)</f>
        <v>31350</v>
      </c>
      <c r="H10" s="290">
        <f>SUMIFS(Table11[USA trees/Allocation/Contracted],Table11[Region],H$3,Table11[ETP Year],$C10)</f>
        <v>88314</v>
      </c>
      <c r="I10" s="316">
        <f>SUM(E10:H10)</f>
        <v>243023</v>
      </c>
      <c r="J10" s="304"/>
      <c r="K10" s="308"/>
      <c r="L10" s="291"/>
    </row>
    <row r="11" spans="1:17" x14ac:dyDescent="0.25">
      <c r="C11" s="134"/>
      <c r="D11" s="256" t="s">
        <v>2259</v>
      </c>
      <c r="E11" s="258">
        <f>SUMIFS(Table11[USA trees/Allocation/Planted],Table11[Region],E$3,Table11[ETP Year],$C10)</f>
        <v>64850</v>
      </c>
      <c r="F11" s="258">
        <f>SUMIFS(Table11[USA trees/Allocation/Planted],Table11[Region],F$3,Table11[ETP Year],$C10)</f>
        <v>58509</v>
      </c>
      <c r="G11" s="258">
        <f>SUMIFS(Table11[USA trees/Allocation/Planted],Table11[Region],G$3,Table11[ETP Year],$C10)</f>
        <v>31350</v>
      </c>
      <c r="H11" s="258">
        <f>SUMIFS(Table11[USA trees/Allocation/Planted],Table11[Region],H$3,Table11[ETP Year],$C10)</f>
        <v>88314</v>
      </c>
      <c r="I11" s="316">
        <f>SUM(E11:H11)</f>
        <v>243023</v>
      </c>
      <c r="J11" s="305"/>
      <c r="K11" s="309"/>
      <c r="L11" s="292"/>
    </row>
    <row r="12" spans="1:17" x14ac:dyDescent="0.25">
      <c r="C12" s="127"/>
      <c r="D12" s="293" t="s">
        <v>2260</v>
      </c>
      <c r="E12" s="294">
        <f>SUMIFS(Table11['#Trees as of 2024/estimate -US allocation ],Table11[Region],E$3,Table11[ETP Year],$C10)</f>
        <v>40589.30000000001</v>
      </c>
      <c r="F12" s="294">
        <f>SUMIFS(Table11['#Trees as of 2024/estimate -US allocation ],Table11[Region],F$3,Table11[ETP Year],$C10)</f>
        <v>31939.870977241244</v>
      </c>
      <c r="G12" s="294">
        <f>SUMIFS(Table11['#Trees as of 2024/estimate -US allocation ],Table11[Region],G$3,Table11[ETP Year],$C10)</f>
        <v>6061</v>
      </c>
      <c r="H12" s="294">
        <f>SUMIFS(Table11['#Trees as of 2024/estimate -US allocation ],Table11[Region],H$3,Table11[ETP Year],$C10)</f>
        <v>58669.866916477826</v>
      </c>
      <c r="I12" s="299">
        <f t="shared" si="0"/>
        <v>137260.0378937191</v>
      </c>
      <c r="J12" s="306">
        <f>IFERROR(I12/I11,"N/A")</f>
        <v>0.56480266433102666</v>
      </c>
      <c r="K12" s="299">
        <v>241586</v>
      </c>
      <c r="L12" s="295" t="s">
        <v>2261</v>
      </c>
    </row>
    <row r="13" spans="1:17" x14ac:dyDescent="0.25">
      <c r="C13" s="288">
        <v>2021</v>
      </c>
      <c r="D13" s="289" t="s">
        <v>2258</v>
      </c>
      <c r="E13" s="290">
        <f>SUMIFS(Table11[USA trees/Allocation/Contracted],Table11[Region],E$3,Table11[ETP Year],$C13)</f>
        <v>22355</v>
      </c>
      <c r="F13" s="290">
        <f>SUMIFS(Table11[USA trees/Allocation/Contracted],Table11[Region],F$3,Table11[ETP Year],$C13)</f>
        <v>57702</v>
      </c>
      <c r="G13" s="290">
        <f>SUMIFS(Table11[USA trees/Allocation/Contracted],Table11[Region],G$3,Table11[ETP Year],$C13)</f>
        <v>67516</v>
      </c>
      <c r="H13" s="290">
        <f>SUMIFS(Table11[USA trees/Allocation/Contracted],Table11[Region],H$3,Table11[ETP Year],$C13)</f>
        <v>54045</v>
      </c>
      <c r="I13" s="297">
        <f t="shared" si="0"/>
        <v>201618</v>
      </c>
      <c r="J13" s="304"/>
      <c r="K13" s="308"/>
      <c r="L13" s="291"/>
    </row>
    <row r="14" spans="1:17" x14ac:dyDescent="0.25">
      <c r="C14" s="134"/>
      <c r="D14" s="256" t="s">
        <v>2259</v>
      </c>
      <c r="E14" s="258">
        <f>SUMIFS(Table11[USA trees/Allocation/Planted],Table11[Region],E$3,Table11[ETP Year],$C13)</f>
        <v>22355</v>
      </c>
      <c r="F14" s="283">
        <f>SUMIFS(Table11[USA trees/Allocation/Planted],Table11[Region],F$3,Table11[ETP Year],$C13)</f>
        <v>57691</v>
      </c>
      <c r="G14" s="258">
        <f>SUMIFS(Table11[USA trees/Allocation/Planted],Table11[Region],G$3,Table11[ETP Year],$C13)</f>
        <v>67516</v>
      </c>
      <c r="H14" s="258">
        <f>SUMIFS(Table11[USA trees/Allocation/Planted],Table11[Region],H$3,Table11[ETP Year],$C13)</f>
        <v>54045</v>
      </c>
      <c r="I14" s="298">
        <f t="shared" si="0"/>
        <v>201607</v>
      </c>
      <c r="J14" s="305"/>
      <c r="K14" s="309"/>
      <c r="L14" s="292"/>
    </row>
    <row r="15" spans="1:17" ht="15.75" thickBot="1" x14ac:dyDescent="0.3">
      <c r="C15" s="127"/>
      <c r="D15" s="293" t="s">
        <v>2260</v>
      </c>
      <c r="E15" s="294">
        <f>SUMIFS(Table11['#Trees as of 2024/estimate -US allocation ],Table11[Region],E$3,Table11[ETP Year],$C13)</f>
        <v>18459.841728395062</v>
      </c>
      <c r="F15" s="294">
        <f>SUMIFS(Table11['#Trees as of 2024/estimate -US allocation ],Table11[Region],F$3,Table11[ETP Year],$C13)</f>
        <v>37897.127630727839</v>
      </c>
      <c r="G15" s="294">
        <f>SUMIFS(Table11['#Trees as of 2024/estimate -US allocation ],Table11[Region],G$3,Table11[ETP Year],$C13)</f>
        <v>50824.227774082407</v>
      </c>
      <c r="H15" s="294">
        <f>SUMIFS(Table11['#Trees as of 2024/estimate -US allocation ],Table11[Region],H$3,Table11[ETP Year],$C13)</f>
        <v>40911.811101928375</v>
      </c>
      <c r="I15" s="299">
        <f t="shared" si="0"/>
        <v>148093.00823513369</v>
      </c>
      <c r="J15" s="306">
        <f>IFERROR(I15/I14,"N/A")</f>
        <v>0.73456282884589175</v>
      </c>
      <c r="K15" s="299">
        <v>201630</v>
      </c>
      <c r="L15" s="295" t="s">
        <v>2261</v>
      </c>
      <c r="O15" s="141"/>
    </row>
    <row r="16" spans="1:17" x14ac:dyDescent="0.25">
      <c r="C16" s="288">
        <v>2022</v>
      </c>
      <c r="D16" s="289" t="s">
        <v>2258</v>
      </c>
      <c r="E16" s="290">
        <f>SUMIFS(Table11[USA trees/Allocation/Contracted],Table11[Region],E$3,Table11[ETP Year],$C16)</f>
        <v>10000</v>
      </c>
      <c r="F16" s="290">
        <f>SUMIFS(Table11[USA trees/Allocation/Contracted],Table11[Region],F$3,Table11[ETP Year],$C16)</f>
        <v>12060</v>
      </c>
      <c r="G16" s="290">
        <f>SUMIFS(Table11[USA trees/Allocation/Contracted],Table11[Region],G$3,Table11[ETP Year],$C16)</f>
        <v>55242</v>
      </c>
      <c r="H16" s="290">
        <f>SUMIFS(Table11[USA trees/Allocation/Contracted],Table11[Region],H$3,Table11[ETP Year],$C16)</f>
        <v>13250</v>
      </c>
      <c r="I16" s="297">
        <f t="shared" si="0"/>
        <v>90552</v>
      </c>
      <c r="J16" s="304"/>
      <c r="K16" s="308"/>
      <c r="L16" s="291"/>
      <c r="O16" s="141"/>
    </row>
    <row r="17" spans="3:15" x14ac:dyDescent="0.25">
      <c r="C17" s="134"/>
      <c r="D17" s="256" t="s">
        <v>2259</v>
      </c>
      <c r="E17" s="258">
        <f>SUMIFS(Table11[USA trees/Allocation/Planted],Table11[Region],E$3,Table11[ETP Year],$C16)</f>
        <v>10000</v>
      </c>
      <c r="F17" s="283">
        <f>SUMIFS(Table11[USA trees/Allocation/Planted],Table11[Region],F$3,Table11[ETP Year],$C16)</f>
        <v>12060</v>
      </c>
      <c r="G17" s="258">
        <f>SUMIFS(Table11[USA trees/Allocation/Planted],Table11[Region],G$3,Table11[ETP Year],$C16)</f>
        <v>48970</v>
      </c>
      <c r="H17" s="258">
        <f>SUMIFS(Table11[USA trees/Allocation/Planted],Table11[Region],H$3,Table11[ETP Year],$C16)</f>
        <v>13250</v>
      </c>
      <c r="I17" s="298">
        <f t="shared" si="0"/>
        <v>84280</v>
      </c>
      <c r="J17" s="305"/>
      <c r="K17" s="309"/>
      <c r="L17" s="292"/>
      <c r="O17" s="141"/>
    </row>
    <row r="18" spans="3:15" ht="15.75" thickBot="1" x14ac:dyDescent="0.3">
      <c r="C18" s="127"/>
      <c r="D18" s="293" t="s">
        <v>2260</v>
      </c>
      <c r="E18" s="294">
        <f>SUMIFS(Table11['#Trees as of 2024/estimate -US allocation ],Table11[Region],E$3,Table11[ETP Year],$C16)</f>
        <v>9806</v>
      </c>
      <c r="F18" s="294">
        <f>SUMIFS(Table11['#Trees as of 2024/estimate -US allocation ],Table11[Region],F$3,Table11[ETP Year],$C16)</f>
        <v>11469</v>
      </c>
      <c r="G18" s="294">
        <f>SUMIFS(Table11['#Trees as of 2024/estimate -US allocation ],Table11[Region],G$3,Table11[ETP Year],$C16)</f>
        <v>48350</v>
      </c>
      <c r="H18" s="294">
        <f>SUMIFS(Table11['#Trees as of 2024/estimate -US allocation ],Table11[Region],H$3,Table11[ETP Year],$C16)</f>
        <v>11941</v>
      </c>
      <c r="I18" s="299">
        <f t="shared" si="0"/>
        <v>81566</v>
      </c>
      <c r="J18" s="306">
        <f>IFERROR(I18/I17,"N/A")</f>
        <v>0.96779781680113908</v>
      </c>
      <c r="K18" s="299">
        <v>87493</v>
      </c>
      <c r="L18" s="295">
        <f>K18-I16</f>
        <v>-3059</v>
      </c>
    </row>
    <row r="19" spans="3:15" x14ac:dyDescent="0.25">
      <c r="C19" s="288">
        <v>2023</v>
      </c>
      <c r="D19" s="289" t="s">
        <v>2258</v>
      </c>
      <c r="E19" s="290">
        <f>SUMIFS(Table11[USA trees/Allocation/Contracted],Table11[Region],E$3,Table11[ETP Year],$C19)</f>
        <v>3800</v>
      </c>
      <c r="F19" s="290">
        <f>SUMIFS(Table11[USA trees/Allocation/Contracted],Table11[Region],F$3,Table11[ETP Year],$C19)</f>
        <v>0</v>
      </c>
      <c r="G19" s="290">
        <f>SUMIFS(Table11[USA trees/Allocation/Contracted],Table11[Region],G$3,Table11[ETP Year],$C19)</f>
        <v>22995</v>
      </c>
      <c r="H19" s="290">
        <f>SUMIFS(Table11[USA trees/Allocation/Contracted],Table11[Region],H$3,Table11[ETP Year],$C19)</f>
        <v>6490</v>
      </c>
      <c r="I19" s="297">
        <f t="shared" si="0"/>
        <v>33285</v>
      </c>
      <c r="J19" s="304"/>
      <c r="K19" s="308"/>
      <c r="L19" s="291"/>
    </row>
    <row r="20" spans="3:15" x14ac:dyDescent="0.25">
      <c r="C20" s="134"/>
      <c r="D20" s="256" t="s">
        <v>2259</v>
      </c>
      <c r="E20" s="258">
        <f>SUMIFS(Table11[USA trees/Allocation/Planted],Table11[Region],E$3,Table11[ETP Year],$C19)</f>
        <v>3800</v>
      </c>
      <c r="F20" s="258">
        <f>SUMIFS(Table11[USA trees/Allocation/Planted],Table11[Region],F$3,Table11[ETP Year],$C19)</f>
        <v>0</v>
      </c>
      <c r="G20" s="258">
        <f>SUMIFS(Table11[USA trees/Allocation/Planted],Table11[Region],G$3,Table11[ETP Year],$C19)</f>
        <v>21070</v>
      </c>
      <c r="H20" s="258">
        <f>SUMIFS(Table11[USA trees/Allocation/Planted],Table11[Region],H$3,Table11[ETP Year],$C19)</f>
        <v>6380</v>
      </c>
      <c r="I20" s="298">
        <f>E20+F20+G20+H20</f>
        <v>31250</v>
      </c>
      <c r="J20" s="305"/>
      <c r="K20" s="309"/>
      <c r="L20" s="292"/>
    </row>
    <row r="21" spans="3:15" ht="15.75" thickBot="1" x14ac:dyDescent="0.3">
      <c r="C21" s="127"/>
      <c r="D21" s="293" t="s">
        <v>2260</v>
      </c>
      <c r="E21" s="294">
        <f>SUMIFS(Table11['#Trees as of 2024/estimate -US allocation ],Table11[Region],E$3,Table11[ETP Year],$C19)</f>
        <v>3800</v>
      </c>
      <c r="F21" s="294">
        <f>SUMIFS(Table11['#Trees as of 2024/estimate -US allocation ],Table11[Region],F$3,Table11[ETP Year],$C19)</f>
        <v>0</v>
      </c>
      <c r="G21" s="294">
        <f>SUMIFS(Table11['#Trees as of 2024/estimate -US allocation ],Table11[Region],G$3,Table11[ETP Year],$C19)</f>
        <v>19860</v>
      </c>
      <c r="H21" s="294">
        <f>SUMIFS(Table11['#Trees as of 2024/estimate -US allocation ],Table11[Region],H$3,Table11[ETP Year],$C19)</f>
        <v>6380</v>
      </c>
      <c r="I21" s="299">
        <f t="shared" si="0"/>
        <v>30040</v>
      </c>
      <c r="J21" s="306">
        <f>IFERROR(I21/I20,"N/A")</f>
        <v>0.96128000000000002</v>
      </c>
      <c r="K21" s="299">
        <v>66550</v>
      </c>
      <c r="L21" s="295">
        <f>K21-I19</f>
        <v>33265</v>
      </c>
    </row>
    <row r="22" spans="3:15" x14ac:dyDescent="0.25">
      <c r="C22" s="288">
        <v>2024</v>
      </c>
      <c r="D22" s="289" t="s">
        <v>2258</v>
      </c>
      <c r="E22" s="290">
        <f>SUMIFS(Table11[USA trees/Allocation/Contracted],Table11[Region],E$3,Table11[ETP Year],$C22)</f>
        <v>0</v>
      </c>
      <c r="F22" s="290">
        <f>SUMIFS(Table11[USA trees/Allocation/Contracted],Table11[Region],F$3,Table11[ETP Year],$C22)</f>
        <v>0</v>
      </c>
      <c r="G22" s="290">
        <f>SUMIFS(Table11[USA trees/Allocation/Contracted],Table11[Region],G$3,Table11[ETP Year],$C22)</f>
        <v>11275</v>
      </c>
      <c r="H22" s="290">
        <f>SUMIFS(Table11[USA trees/Allocation/Contracted],Table11[Region],H$3,Table11[ETP Year],$C22)</f>
        <v>3300</v>
      </c>
      <c r="I22" s="297">
        <f t="shared" si="0"/>
        <v>14575</v>
      </c>
      <c r="J22" s="304"/>
      <c r="K22" s="308"/>
      <c r="L22" s="291"/>
    </row>
    <row r="23" spans="3:15" x14ac:dyDescent="0.25">
      <c r="C23" s="134"/>
      <c r="D23" s="256" t="s">
        <v>2259</v>
      </c>
      <c r="E23" s="258">
        <f>SUMIFS(Table11[USA trees/Allocation/Planted],Table11[Region],E$3,Table11[ETP Year],$C22)</f>
        <v>0</v>
      </c>
      <c r="F23" s="258">
        <f>SUMIFS(Table11[USA trees/Allocation/Planted],Table11[Region],F$3,Table11[ETP Year],$C22)</f>
        <v>0</v>
      </c>
      <c r="G23" s="258">
        <f>SUMIFS(Table11[USA trees/Allocation/Planted],Table11[Region],G$3,Table11[ETP Year],$C22)</f>
        <v>7786</v>
      </c>
      <c r="H23" s="258">
        <f>SUMIFS(Table11[USA trees/Allocation/Planted],Table11[Region],H$3,Table11[ETP Year],$C22)</f>
        <v>3300</v>
      </c>
      <c r="I23" s="300">
        <f>SUMIFS(Table11[USA trees/Allocation/Planted],Table11[Region],I$3,Table11[ETP Year],$C22)</f>
        <v>0</v>
      </c>
      <c r="J23" s="307">
        <f>IFERROR(I23/I22,"N/A")</f>
        <v>0</v>
      </c>
      <c r="K23" s="309"/>
      <c r="L23" s="292"/>
    </row>
    <row r="24" spans="3:15" ht="15.75" thickBot="1" x14ac:dyDescent="0.3">
      <c r="C24" s="127"/>
      <c r="D24" s="293" t="s">
        <v>2260</v>
      </c>
      <c r="E24" s="294">
        <f>SUMIFS(Table11['#Trees as of 2024/estimate -US allocation ],Table11[Region],E$3,Table11[ETP Year],$C22)</f>
        <v>0</v>
      </c>
      <c r="F24" s="294">
        <f>SUMIFS(Table11['#Trees as of 2024/estimate -US allocation ],Table11[Region],F$3,Table11[ETP Year],$C22)</f>
        <v>0</v>
      </c>
      <c r="G24" s="294">
        <f>SUMIFS(Table11['#Trees as of 2024/estimate -US allocation ],Table11[Region],G$3,Table11[ETP Year],$C22)</f>
        <v>6290</v>
      </c>
      <c r="H24" s="294">
        <f>SUMIFS(Table11['#Trees as of 2024/estimate -US allocation ],Table11[Region],H$3,Table11[ETP Year],$C22)</f>
        <v>3300</v>
      </c>
      <c r="I24" s="301">
        <f t="shared" si="0"/>
        <v>9590</v>
      </c>
      <c r="J24" s="301"/>
      <c r="K24" s="310">
        <f>K72</f>
        <v>57277</v>
      </c>
      <c r="L24" s="311">
        <f>K24-I22</f>
        <v>42702</v>
      </c>
      <c r="M24" s="199"/>
    </row>
    <row r="25" spans="3:15" x14ac:dyDescent="0.25">
      <c r="E25" s="125"/>
      <c r="F25" s="125"/>
      <c r="G25" s="125"/>
      <c r="H25" s="194" t="s">
        <v>2262</v>
      </c>
      <c r="I25" s="194">
        <f>I4+I7+I10+I13+I16+I19+I22</f>
        <v>658716.56787999999</v>
      </c>
      <c r="J25" s="195"/>
      <c r="K25" s="194"/>
      <c r="L25" s="194"/>
    </row>
    <row r="26" spans="3:15" x14ac:dyDescent="0.25">
      <c r="E26" s="125"/>
      <c r="F26" s="125"/>
      <c r="G26" s="125"/>
      <c r="H26" s="194" t="s">
        <v>2263</v>
      </c>
      <c r="I26" s="194">
        <f>I5+I8+I11+I14+I17+I20+I23</f>
        <v>634823.56787999999</v>
      </c>
      <c r="J26" s="195"/>
      <c r="K26" s="194"/>
      <c r="L26" s="194"/>
    </row>
    <row r="27" spans="3:15" x14ac:dyDescent="0.25">
      <c r="E27" s="125"/>
      <c r="F27" s="125"/>
      <c r="G27" s="125"/>
      <c r="H27" s="194" t="s">
        <v>2264</v>
      </c>
      <c r="I27" s="194">
        <f>I25-I26</f>
        <v>23893</v>
      </c>
      <c r="J27" s="195"/>
      <c r="K27" s="194"/>
      <c r="L27" s="194"/>
    </row>
    <row r="28" spans="3:15" x14ac:dyDescent="0.25">
      <c r="E28" s="125"/>
      <c r="F28" s="125"/>
      <c r="G28" s="125"/>
      <c r="H28" s="228" t="s">
        <v>2265</v>
      </c>
      <c r="I28" s="194">
        <f>I6+I9+I12+I15+I18+I21+I24</f>
        <v>433377.13102902961</v>
      </c>
      <c r="J28" s="252">
        <f>I28/I26</f>
        <v>0.68267334887439213</v>
      </c>
      <c r="K28" s="194"/>
      <c r="L28" s="194"/>
    </row>
    <row r="29" spans="3:15" x14ac:dyDescent="0.25">
      <c r="I29" s="196" t="s">
        <v>2266</v>
      </c>
      <c r="J29" s="196"/>
      <c r="K29" s="197">
        <f>SUM(L4:L24)</f>
        <v>72908</v>
      </c>
      <c r="L29" s="136"/>
    </row>
    <row r="30" spans="3:15" x14ac:dyDescent="0.25">
      <c r="I30" s="255"/>
      <c r="J30" s="255"/>
      <c r="K30" s="136"/>
      <c r="L30" s="136"/>
    </row>
    <row r="31" spans="3:15" ht="15.75" thickBot="1" x14ac:dyDescent="0.3">
      <c r="C31" s="486" t="s">
        <v>2267</v>
      </c>
      <c r="D31" s="487"/>
      <c r="E31" s="487"/>
      <c r="F31" s="487"/>
      <c r="G31" s="487"/>
      <c r="H31" s="487"/>
      <c r="I31" s="487"/>
      <c r="J31" s="487"/>
      <c r="K31" s="487"/>
      <c r="L31" s="488"/>
    </row>
    <row r="32" spans="3:15" ht="24.75" thickBot="1" x14ac:dyDescent="0.3">
      <c r="C32" s="207"/>
      <c r="D32" s="133"/>
      <c r="E32" s="190" t="s">
        <v>213</v>
      </c>
      <c r="F32" s="191" t="s">
        <v>574</v>
      </c>
      <c r="G32" s="192" t="s">
        <v>621</v>
      </c>
      <c r="H32" s="201" t="s">
        <v>150</v>
      </c>
      <c r="I32" s="193" t="s">
        <v>51</v>
      </c>
      <c r="J32" s="205" t="s">
        <v>2268</v>
      </c>
      <c r="K32" s="206" t="s">
        <v>2256</v>
      </c>
      <c r="L32" s="208" t="s">
        <v>2257</v>
      </c>
    </row>
    <row r="33" spans="3:17" x14ac:dyDescent="0.25">
      <c r="C33" s="209">
        <v>2015</v>
      </c>
      <c r="D33" s="279" t="s">
        <v>2258</v>
      </c>
      <c r="E33" s="251">
        <f>SUMIFS(Table11[Canada Allocation-tree '#''s],Table11[Region],E$32,Table11[ETP Year],$C33)</f>
        <v>7925</v>
      </c>
      <c r="F33" s="251">
        <f>SUMIFS(Table11[Canada Allocation-tree '#''s],Table11[Region],F$32,Table11[ETP Year],$C33)</f>
        <v>0</v>
      </c>
      <c r="G33" s="251">
        <f>SUMIFS(Table11[Canada Allocation-tree '#''s],Table11[Region],G$32,Table11[ETP Year],$C33)</f>
        <v>0</v>
      </c>
      <c r="H33" s="251">
        <f>SUMIFS(Table11[Canada Allocation-tree '#''s],Table11[Region],H$32,Table11[ETP Year],$C33)</f>
        <v>17705</v>
      </c>
      <c r="I33" s="213">
        <f t="shared" ref="I33:I40" si="1">E33+F33+G33+H33</f>
        <v>25630</v>
      </c>
      <c r="J33" s="279"/>
      <c r="K33" s="279"/>
      <c r="L33" s="279"/>
    </row>
    <row r="34" spans="3:17" x14ac:dyDescent="0.25">
      <c r="C34" s="278"/>
      <c r="D34" s="280" t="s">
        <v>2260</v>
      </c>
      <c r="E34" s="251">
        <f>SUMIFS(Table11['#Trees as of 2024/estimate-Can allocation],Table11[Region],E$32,Table11[ETP Year],$C33)</f>
        <v>0</v>
      </c>
      <c r="F34" s="251">
        <f>SUMIFS(Table11['#Trees as of 2024/estimate-Can allocation],Table11[Region],F$32,Table11[ETP Year],$C33)</f>
        <v>0</v>
      </c>
      <c r="G34" s="251">
        <f>SUMIFS(Table11['#Trees as of 2024/estimate-Can allocation],Table11[Region],G$32,Table11[ETP Year],$C33)</f>
        <v>0</v>
      </c>
      <c r="H34" s="251">
        <f>SUMIFS(Table11['#Trees as of 2024/estimate-Can allocation],Table11[Region],H$32,Table11[ETP Year],$C33)</f>
        <v>5204.9951123072833</v>
      </c>
      <c r="I34" s="213">
        <f t="shared" si="1"/>
        <v>5204.9951123072833</v>
      </c>
      <c r="J34" s="212">
        <f>I34/I33</f>
        <v>0.20308213469790415</v>
      </c>
      <c r="K34" s="202" t="s">
        <v>2269</v>
      </c>
      <c r="L34" s="202" t="s">
        <v>2261</v>
      </c>
    </row>
    <row r="35" spans="3:17" x14ac:dyDescent="0.25">
      <c r="C35" s="209">
        <v>2016</v>
      </c>
      <c r="D35" s="210" t="s">
        <v>2258</v>
      </c>
      <c r="E35" s="251">
        <f>SUMIFS(Table11[Canada Allocation-tree '#''s],Table11[Region],E$32,Table11[ETP Year],$C35)</f>
        <v>22375</v>
      </c>
      <c r="F35" s="251">
        <f>SUMIFS(Table11[Canada Allocation-tree '#''s],Table11[Region],F$32,Table11[ETP Year],$C35)</f>
        <v>0</v>
      </c>
      <c r="G35" s="251">
        <f>SUMIFS(Table11[Canada Allocation-tree '#''s],Table11[Region],G$32,Table11[ETP Year],$C35)</f>
        <v>0</v>
      </c>
      <c r="H35" s="251">
        <f>SUMIFS(Table11[Canada Allocation-tree '#''s],Table11[Region],H$32,Table11[ETP Year],$C35)</f>
        <v>13462.39</v>
      </c>
      <c r="I35" s="213">
        <f t="shared" si="1"/>
        <v>35837.39</v>
      </c>
      <c r="J35" s="200"/>
      <c r="K35" s="211">
        <v>14000</v>
      </c>
      <c r="L35" s="211"/>
    </row>
    <row r="36" spans="3:17" x14ac:dyDescent="0.25">
      <c r="C36" s="203"/>
      <c r="D36" s="135" t="s">
        <v>2260</v>
      </c>
      <c r="E36" s="251">
        <f>SUMIFS(Table11['#Trees as of 2024/estimate-Can allocation],Table11[Region],E$32,Table11[ETP Year],$C35)</f>
        <v>1331.84</v>
      </c>
      <c r="F36" s="251">
        <f>SUMIFS(Table11['#Trees as of 2024/estimate-Can allocation],Table11[Region],F$32,Table11[ETP Year],$C35)</f>
        <v>0</v>
      </c>
      <c r="G36" s="251">
        <f>SUMIFS(Table11['#Trees as of 2024/estimate-Can allocation],Table11[Region],G$32,Table11[ETP Year],$C35)</f>
        <v>0</v>
      </c>
      <c r="H36" s="251">
        <f>SUMIFS(Table11['#Trees as of 2024/estimate-Can allocation],Table11[Region],H$32,Table11[ETP Year],$C35)</f>
        <v>4265.1859540702399</v>
      </c>
      <c r="I36" s="213">
        <f t="shared" si="1"/>
        <v>5597.02595407024</v>
      </c>
      <c r="J36" s="212">
        <f>I36/I35</f>
        <v>0.15617839229001443</v>
      </c>
      <c r="K36" s="202" t="s">
        <v>2269</v>
      </c>
      <c r="L36" s="202" t="s">
        <v>2261</v>
      </c>
    </row>
    <row r="37" spans="3:17" x14ac:dyDescent="0.25">
      <c r="C37" s="209">
        <v>2017</v>
      </c>
      <c r="D37" s="210" t="s">
        <v>2258</v>
      </c>
      <c r="E37" s="251">
        <f>SUMIFS(Table11[Can trees/Allocation 2017],Table11[Region],E$32)</f>
        <v>6877</v>
      </c>
      <c r="F37" s="251">
        <f>SUMIFS(Table11[Can trees/Allocation 2017],Table11[Region],F$32)</f>
        <v>0</v>
      </c>
      <c r="G37" s="251">
        <f>SUMIFS(Table11[Can trees/Allocation 2017],Table11[Region],G$32)</f>
        <v>0</v>
      </c>
      <c r="H37" s="251">
        <f>SUMIFS(Table11[Can trees/Allocation 2017],Table11[Region],H$32)</f>
        <v>23957.96</v>
      </c>
      <c r="I37" s="213">
        <f t="shared" si="1"/>
        <v>30834.959999999999</v>
      </c>
      <c r="J37" s="212"/>
      <c r="K37" s="202"/>
      <c r="L37" s="202"/>
      <c r="M37" s="148" t="s">
        <v>2270</v>
      </c>
    </row>
    <row r="38" spans="3:17" x14ac:dyDescent="0.25">
      <c r="C38" s="203"/>
      <c r="D38" s="135" t="s">
        <v>2260</v>
      </c>
      <c r="E38" s="251">
        <f>SUMIFS(Table11['#Trees as of 2024/estimate-Can allocation 2017],Table11[Region],E$32)</f>
        <v>1121.4000000000001</v>
      </c>
      <c r="F38" s="251">
        <f>SUMIFS(Table11['#Trees as of 2024/estimate-Can allocation 2017],Table11[Region],F$32)</f>
        <v>0</v>
      </c>
      <c r="G38" s="251">
        <f>SUMIFS(Table11['#Trees as of 2024/estimate-Can allocation 2017],Table11[Region],G$32)</f>
        <v>0</v>
      </c>
      <c r="H38" s="251">
        <f>SUMIFS(Table11['#Trees as of 2024/estimate-Can allocation 2017],Table11[Region],H$32)</f>
        <v>11650.462607478443</v>
      </c>
      <c r="I38" s="213">
        <f t="shared" si="1"/>
        <v>12771.862607478442</v>
      </c>
      <c r="J38" s="212">
        <f>I38/I37</f>
        <v>0.41420071916676537</v>
      </c>
      <c r="K38" s="202" t="s">
        <v>2269</v>
      </c>
      <c r="L38" s="202" t="s">
        <v>2261</v>
      </c>
      <c r="M38" s="148" t="s">
        <v>2270</v>
      </c>
    </row>
    <row r="39" spans="3:17" x14ac:dyDescent="0.25">
      <c r="C39" s="204">
        <v>2018</v>
      </c>
      <c r="D39" s="210" t="s">
        <v>2258</v>
      </c>
      <c r="E39" s="251">
        <f>SUMIFS(Table11[Canada Allocation-tree '#''s],Table11[Region],E$32,Table11[ETP Year],$C39)</f>
        <v>8202.6</v>
      </c>
      <c r="F39" s="251">
        <f>SUMIFS(Table11[Canada Allocation-tree '#''s],Table11[Region],F$32,Table11[ETP Year],$C39)</f>
        <v>8246.16</v>
      </c>
      <c r="G39" s="251">
        <f>SUMIFS(Table11[Canada Allocation-tree '#''s],Table11[Region],G$32,Table11[ETP Year],$C39)</f>
        <v>8964</v>
      </c>
      <c r="H39" s="251">
        <f>SUMIFS(Table11[Canada Allocation-tree '#''s],Table11[Region],H$32,Table11[ETP Year],$C39)</f>
        <v>9730.7999999999993</v>
      </c>
      <c r="I39" s="213">
        <f t="shared" si="1"/>
        <v>35143.56</v>
      </c>
      <c r="J39" s="200"/>
      <c r="K39" s="211"/>
      <c r="L39" s="211"/>
    </row>
    <row r="40" spans="3:17" x14ac:dyDescent="0.25">
      <c r="C40" s="203"/>
      <c r="D40" s="135" t="s">
        <v>2260</v>
      </c>
      <c r="E40" s="251">
        <f>SUMIFS(Table11['#Trees as of 2024/estimate-Can allocation],Table11[Region],E$32,Table11[ETP Year],$C39)</f>
        <v>2591.5220696603642</v>
      </c>
      <c r="F40" s="251">
        <f>SUMIFS(Table11['#Trees as of 2024/estimate-Can allocation],Table11[Region],F$32,Table11[ETP Year],$C39)</f>
        <v>3296.854618682924</v>
      </c>
      <c r="G40" s="251">
        <f>SUMIFS(Table11['#Trees as of 2024/estimate-Can allocation],Table11[Region],G$32,Table11[ETP Year],$C39)</f>
        <v>2937.6</v>
      </c>
      <c r="H40" s="251">
        <f>SUMIFS(Table11['#Trees as of 2024/estimate-Can allocation],Table11[Region],H$32,Table11[ETP Year],$C39)</f>
        <v>4796.4017464799972</v>
      </c>
      <c r="I40" s="213">
        <f t="shared" si="1"/>
        <v>13622.378434823284</v>
      </c>
      <c r="J40" s="212">
        <f>I40/I39</f>
        <v>0.38762090223139845</v>
      </c>
      <c r="K40" s="202" t="s">
        <v>2269</v>
      </c>
      <c r="L40" s="202" t="s">
        <v>2261</v>
      </c>
    </row>
    <row r="41" spans="3:17" x14ac:dyDescent="0.25">
      <c r="H41" s="65" t="s">
        <v>2262</v>
      </c>
      <c r="I41" s="136">
        <f>I33+I35+I37+I39</f>
        <v>127445.91</v>
      </c>
      <c r="J41" s="255"/>
      <c r="K41" s="136"/>
      <c r="L41" s="136"/>
    </row>
    <row r="42" spans="3:17" x14ac:dyDescent="0.25">
      <c r="H42" s="65" t="s">
        <v>2265</v>
      </c>
      <c r="I42" s="136">
        <f>I34+I36+I38+I40</f>
        <v>37196.26210867925</v>
      </c>
      <c r="J42" s="277">
        <f>I42/I41</f>
        <v>0.29185920606380578</v>
      </c>
      <c r="K42" s="136"/>
      <c r="L42" s="136"/>
    </row>
    <row r="43" spans="3:17" x14ac:dyDescent="0.25">
      <c r="Q43" s="65"/>
    </row>
    <row r="44" spans="3:17" x14ac:dyDescent="0.25">
      <c r="D44" s="489" t="s">
        <v>2271</v>
      </c>
      <c r="E44" s="489"/>
      <c r="F44" s="489"/>
      <c r="G44" s="489"/>
      <c r="H44" s="489"/>
      <c r="I44" s="489"/>
      <c r="J44" s="489"/>
      <c r="K44" s="489"/>
    </row>
    <row r="45" spans="3:17" x14ac:dyDescent="0.25">
      <c r="D45" s="262"/>
      <c r="E45" s="263"/>
      <c r="F45" s="265" t="s">
        <v>213</v>
      </c>
      <c r="G45" s="266" t="s">
        <v>574</v>
      </c>
      <c r="H45" s="267" t="s">
        <v>621</v>
      </c>
      <c r="I45" s="268" t="s">
        <v>150</v>
      </c>
      <c r="J45" s="274" t="s">
        <v>51</v>
      </c>
      <c r="K45" s="124" t="s">
        <v>2268</v>
      </c>
    </row>
    <row r="46" spans="3:17" x14ac:dyDescent="0.25">
      <c r="D46" s="198">
        <v>2015</v>
      </c>
      <c r="E46" s="256" t="s">
        <v>2259</v>
      </c>
      <c r="F46" s="125">
        <f>SUMIFS(Table11['#Planted],Table11[Region],F$45,Table11[Planting Year],$D46)</f>
        <v>0</v>
      </c>
      <c r="G46" s="125">
        <f>SUMIFS(Table11['#Planted],Table11[Region],G$45,Table11[Planting Year],$D46)</f>
        <v>0</v>
      </c>
      <c r="H46" s="125">
        <f>SUMIFS(Table11['#Planted],Table11[Region],H$45,Table11[Planting Year],$D46)</f>
        <v>0</v>
      </c>
      <c r="I46" s="125">
        <f>SUMIFS(Table11['#Planted],Table11[Region],I$45,Table11[Planting Year],$D46)</f>
        <v>2200</v>
      </c>
      <c r="J46" s="271">
        <f t="shared" ref="J46:J59" si="2">SUM(F46+G46+H46+I46)</f>
        <v>2200</v>
      </c>
      <c r="K46" s="129"/>
    </row>
    <row r="47" spans="3:17" x14ac:dyDescent="0.25">
      <c r="D47" s="126"/>
      <c r="E47" s="256" t="s">
        <v>2260</v>
      </c>
      <c r="F47" s="259">
        <f>SUMIFS(Table11[2024 '#Trees Inventory + Estimate],Table11[Region],F$45,Table11[Planting Year],$D46)</f>
        <v>0</v>
      </c>
      <c r="G47" s="259">
        <f>SUMIFS(Table11[2024 '#Trees Inventory + Estimate],Table11[Region],G$45,Table11[Planting Year],$D46)</f>
        <v>0</v>
      </c>
      <c r="H47" s="259">
        <f>SUMIFS(Table11[2024 '#Trees Inventory + Estimate],Table11[Region],H$45,Table11[Planting Year],$D46)</f>
        <v>0</v>
      </c>
      <c r="I47" s="259">
        <f>SUMIFS(Table11[2024 '#Trees Inventory + Estimate],Table11[Region],I$45,Table11[Planting Year],$D46)</f>
        <v>0</v>
      </c>
      <c r="J47" s="272">
        <f t="shared" si="2"/>
        <v>0</v>
      </c>
      <c r="K47" s="130">
        <f>J47/J46</f>
        <v>0</v>
      </c>
    </row>
    <row r="48" spans="3:17" x14ac:dyDescent="0.25">
      <c r="D48" s="128">
        <v>2016</v>
      </c>
      <c r="E48" s="264" t="s">
        <v>2259</v>
      </c>
      <c r="F48" s="125">
        <f>SUMIFS(Table11['#Planted],Table11[Region],F$45,Table11[Planting Year],$D48)</f>
        <v>7925</v>
      </c>
      <c r="G48" s="125">
        <f>SUMIFS(Table11['#Planted],Table11[Region],G$45,Table11[Planting Year],$D48)</f>
        <v>0</v>
      </c>
      <c r="H48" s="125">
        <f>SUMIFS(Table11['#Planted],Table11[Region],H$45,Table11[Planting Year],$D48)</f>
        <v>0</v>
      </c>
      <c r="I48" s="125">
        <f>SUMIFS(Table11['#Planted],Table11[Region],I$45,Table11[Planting Year],$D48)</f>
        <v>17705</v>
      </c>
      <c r="J48" s="273">
        <f t="shared" si="2"/>
        <v>25630</v>
      </c>
      <c r="K48" s="131"/>
    </row>
    <row r="49" spans="4:11" x14ac:dyDescent="0.25">
      <c r="D49" s="126"/>
      <c r="E49" s="256" t="s">
        <v>2260</v>
      </c>
      <c r="F49" s="259">
        <f>SUMIFS(Table11[2024 '#Trees Inventory + Estimate],Table11[Region],F$45,Table11[Planting Year],$D48)</f>
        <v>0</v>
      </c>
      <c r="G49" s="259">
        <f>SUMIFS(Table11[2024 '#Trees Inventory + Estimate],Table11[Region],G$45,Table11[Planting Year],$D48)</f>
        <v>0</v>
      </c>
      <c r="H49" s="259">
        <f>SUMIFS(Table11[2024 '#Trees Inventory + Estimate],Table11[Region],H$45,Table11[Planting Year],$D48)</f>
        <v>0</v>
      </c>
      <c r="I49" s="259">
        <f>SUMIFS(Table11[2024 '#Trees Inventory + Estimate],Table11[Region],I$45,Table11[Planting Year],$D48)</f>
        <v>6380.7082296397775</v>
      </c>
      <c r="J49" s="272">
        <f t="shared" si="2"/>
        <v>6380.7082296397775</v>
      </c>
      <c r="K49" s="130">
        <f>J49/J48</f>
        <v>0.24895467146468114</v>
      </c>
    </row>
    <row r="50" spans="4:11" x14ac:dyDescent="0.25">
      <c r="D50" s="128">
        <v>2017</v>
      </c>
      <c r="E50" s="264" t="s">
        <v>2259</v>
      </c>
      <c r="F50" s="125">
        <f>SUMIFS(Table11['#Planted],Table11[Region],F$45,Table11[Planting Year],$D50)</f>
        <v>24100</v>
      </c>
      <c r="G50" s="125">
        <f>SUMIFS(Table11['#Planted],Table11[Region],G$45,Table11[Planting Year],$D50)</f>
        <v>0</v>
      </c>
      <c r="H50" s="125">
        <f>SUMIFS(Table11['#Planted],Table11[Region],H$45,Table11[Planting Year],$D50)</f>
        <v>0</v>
      </c>
      <c r="I50" s="125">
        <f>SUMIFS(Table11['#Planted],Table11[Region],I$45,Table11[Planting Year],$D50)</f>
        <v>8301</v>
      </c>
      <c r="J50" s="273">
        <f t="shared" si="2"/>
        <v>32401</v>
      </c>
      <c r="K50" s="131"/>
    </row>
    <row r="51" spans="4:11" x14ac:dyDescent="0.25">
      <c r="D51" s="126"/>
      <c r="E51" s="257" t="s">
        <v>2260</v>
      </c>
      <c r="F51" s="259">
        <f>SUMIFS(Table11[2024 '#Trees Inventory + Estimate],Table11[Region],F$45,Table11[Planting Year],$D50)</f>
        <v>870</v>
      </c>
      <c r="G51" s="259">
        <f>SUMIFS(Table11[2024 '#Trees Inventory + Estimate],Table11[Region],G$45,Table11[Planting Year],$D50)</f>
        <v>0</v>
      </c>
      <c r="H51" s="259">
        <f>SUMIFS(Table11[2024 '#Trees Inventory + Estimate],Table11[Region],H$45,Table11[Planting Year],$D50)</f>
        <v>0</v>
      </c>
      <c r="I51" s="259">
        <f>SUMIFS(Table11[2024 '#Trees Inventory + Estimate],Table11[Region],I$45,Table11[Planting Year],$D50)</f>
        <v>0</v>
      </c>
      <c r="J51" s="272">
        <f t="shared" si="2"/>
        <v>870</v>
      </c>
      <c r="K51" s="130">
        <f>J51/J50</f>
        <v>2.6851023116570477E-2</v>
      </c>
    </row>
    <row r="52" spans="4:11" x14ac:dyDescent="0.25">
      <c r="D52" s="128">
        <v>2018</v>
      </c>
      <c r="E52" s="256" t="s">
        <v>2259</v>
      </c>
      <c r="F52" s="125">
        <f>SUMIFS(Table11['#Planted],Table11[Region],F$45,Table11[Planting Year],$D52)</f>
        <v>12300</v>
      </c>
      <c r="G52" s="125">
        <f>SUMIFS(Table11['#Planted],Table11[Region],G$45,Table11[Planting Year],$D52)</f>
        <v>0</v>
      </c>
      <c r="H52" s="125">
        <f>SUMIFS(Table11['#Planted],Table11[Region],H$45,Table11[Planting Year],$D52)</f>
        <v>0</v>
      </c>
      <c r="I52" s="125">
        <f>SUMIFS(Table11['#Planted],Table11[Region],I$45,Table11[Planting Year],$D52)</f>
        <v>15561</v>
      </c>
      <c r="J52" s="273">
        <f t="shared" si="2"/>
        <v>27861</v>
      </c>
      <c r="K52" s="131"/>
    </row>
    <row r="53" spans="4:11" x14ac:dyDescent="0.25">
      <c r="D53" s="126"/>
      <c r="E53" s="257" t="s">
        <v>2260</v>
      </c>
      <c r="F53" s="259">
        <f>SUMIFS(Table11[2024 '#Trees Inventory + Estimate],Table11[Region],F$45,Table11[Planting Year],$D52)</f>
        <v>2020</v>
      </c>
      <c r="G53" s="259">
        <f>SUMIFS(Table11[2024 '#Trees Inventory + Estimate],Table11[Region],G$45,Table11[Planting Year],$D52)</f>
        <v>0</v>
      </c>
      <c r="H53" s="259">
        <f>SUMIFS(Table11[2024 '#Trees Inventory + Estimate],Table11[Region],H$45,Table11[Planting Year],$D52)</f>
        <v>0</v>
      </c>
      <c r="I53" s="259">
        <f>SUMIFS(Table11[2024 '#Trees Inventory + Estimate],Table11[Region],I$45,Table11[Planting Year],$D52)</f>
        <v>9305.8966594159738</v>
      </c>
      <c r="J53" s="272">
        <f t="shared" si="2"/>
        <v>11325.896659415974</v>
      </c>
      <c r="K53" s="130">
        <f>J53/J52</f>
        <v>0.40651436270830099</v>
      </c>
    </row>
    <row r="54" spans="4:11" x14ac:dyDescent="0.25">
      <c r="D54" s="128">
        <v>2019</v>
      </c>
      <c r="E54" s="256" t="s">
        <v>2259</v>
      </c>
      <c r="F54" s="125">
        <f>SUMIFS(Table11['#Planted],Table11[Region],F$45,Table11[Planting Year],$D54)</f>
        <v>22785</v>
      </c>
      <c r="G54" s="125">
        <f>SUMIFS(Table11['#Planted],Table11[Region],G$45,Table11[Planting Year],$D54)</f>
        <v>22906</v>
      </c>
      <c r="H54" s="125">
        <f>SUMIFS(Table11['#Planted],Table11[Region],H$45,Table11[Planting Year],$D54)</f>
        <v>7000</v>
      </c>
      <c r="I54" s="125">
        <f>SUMIFS(Table11['#Planted],Table11[Region],I$45,Table11[Planting Year],$D54)</f>
        <v>42100</v>
      </c>
      <c r="J54" s="273">
        <f t="shared" si="2"/>
        <v>94791</v>
      </c>
      <c r="K54" s="131"/>
    </row>
    <row r="55" spans="4:11" x14ac:dyDescent="0.25">
      <c r="D55" s="126"/>
      <c r="E55" s="257" t="s">
        <v>2260</v>
      </c>
      <c r="F55" s="259">
        <f>SUMIFS(Table11[2024 '#Trees Inventory + Estimate],Table11[Region],F$45,Table11[Planting Year],$D54)</f>
        <v>7198.6724157232338</v>
      </c>
      <c r="G55" s="259">
        <f>SUMIFS(Table11[2024 '#Trees Inventory + Estimate],Table11[Region],G$45,Table11[Planting Year],$D54)</f>
        <v>9157.9294963414577</v>
      </c>
      <c r="H55" s="259">
        <f>SUMIFS(Table11[2024 '#Trees Inventory + Estimate],Table11[Region],H$45,Table11[Planting Year],$D54)</f>
        <v>0</v>
      </c>
      <c r="I55" s="259">
        <f>SUMIFS(Table11[2024 '#Trees Inventory + Estimate],Table11[Region],I$45,Table11[Planting Year],$D54)</f>
        <v>19810.376191486059</v>
      </c>
      <c r="J55" s="273">
        <f t="shared" si="2"/>
        <v>36166.978103550748</v>
      </c>
      <c r="K55" s="130">
        <f>J55/J54</f>
        <v>0.38154443041587016</v>
      </c>
    </row>
    <row r="56" spans="4:11" x14ac:dyDescent="0.25">
      <c r="D56" s="128">
        <v>2020</v>
      </c>
      <c r="E56" s="256" t="s">
        <v>2259</v>
      </c>
      <c r="F56" s="125">
        <f>SUMIFS(Table11['#Planted],Table11[Region],F$45,Table11[Planting Year],$D56)</f>
        <v>64850</v>
      </c>
      <c r="G56" s="125">
        <f>SUMIFS(Table11['#Planted],Table11[Region],G$45,Table11[Planting Year],$D56)</f>
        <v>45336</v>
      </c>
      <c r="H56" s="125">
        <f>SUMIFS(Table11['#Planted],Table11[Region],H$45,Table11[Planting Year],$D56)</f>
        <v>94250</v>
      </c>
      <c r="I56" s="125">
        <f>SUMIFS(Table11['#Planted],Table11[Region],I$45,Table11[Planting Year],$D56)</f>
        <v>57459</v>
      </c>
      <c r="J56" s="281">
        <f t="shared" si="2"/>
        <v>261895</v>
      </c>
      <c r="K56" s="131"/>
    </row>
    <row r="57" spans="4:11" x14ac:dyDescent="0.25">
      <c r="D57" s="126"/>
      <c r="E57" s="257" t="s">
        <v>2260</v>
      </c>
      <c r="F57" s="259">
        <f>SUMIFS(Table11[2024 '#Trees Inventory + Estimate],Table11[Region],F$45,Table11[Planting Year],$D56)</f>
        <v>40589.30000000001</v>
      </c>
      <c r="G57" s="259">
        <f>SUMIFS(Table11[2024 '#Trees Inventory + Estimate],Table11[Region],G$45,Table11[Planting Year],$D56)</f>
        <v>29554.733902330609</v>
      </c>
      <c r="H57" s="259">
        <f>SUMIFS(Table11[2024 '#Trees Inventory + Estimate],Table11[Region],H$45,Table11[Planting Year],$D56)</f>
        <v>17212</v>
      </c>
      <c r="I57" s="259">
        <f>SUMIFS(Table11[2024 '#Trees Inventory + Estimate],Table11[Region],I$45,Table11[Planting Year],$D56)</f>
        <v>41486.25</v>
      </c>
      <c r="J57" s="282">
        <f t="shared" si="2"/>
        <v>128842.28390233062</v>
      </c>
      <c r="K57" s="130">
        <f>J57/J56</f>
        <v>0.49196160255953958</v>
      </c>
    </row>
    <row r="58" spans="4:11" x14ac:dyDescent="0.25">
      <c r="D58" s="128">
        <v>2021</v>
      </c>
      <c r="E58" s="256" t="s">
        <v>2259</v>
      </c>
      <c r="F58" s="125">
        <f>SUMIFS(Table11['#Planted],Table11[Region],F$45,Table11[Planting Year],$D58)</f>
        <v>13055</v>
      </c>
      <c r="G58" s="125">
        <f>SUMIFS(Table11['#Planted],Table11[Region],G$45,Table11[Planting Year],$D58)</f>
        <v>43375</v>
      </c>
      <c r="H58" s="125">
        <f>SUMIFS(Table11['#Planted],Table11[Region],H$45,Table11[Planting Year],$D58)</f>
        <v>15400</v>
      </c>
      <c r="I58" s="125">
        <f>SUMIFS(Table11['#Planted],Table11[Region],I$45,Table11[Planting Year],$D58)</f>
        <v>46740</v>
      </c>
      <c r="J58" s="273">
        <f t="shared" si="2"/>
        <v>118570</v>
      </c>
      <c r="K58" s="131"/>
    </row>
    <row r="59" spans="4:11" x14ac:dyDescent="0.25">
      <c r="D59" s="126"/>
      <c r="E59" s="257" t="s">
        <v>2260</v>
      </c>
      <c r="F59" s="259">
        <f>SUMIFS(Table11[2024 '#Trees Inventory + Estimate],Table11[Region],F$45,Table11[Planting Year],$D58)</f>
        <v>10377.841728395062</v>
      </c>
      <c r="G59" s="259">
        <f>SUMIFS(Table11[2024 '#Trees Inventory + Estimate],Table11[Region],G$45,Table11[Planting Year],$D58)</f>
        <v>23410.406545346872</v>
      </c>
      <c r="H59" s="259">
        <f>SUMIFS(Table11[2024 '#Trees Inventory + Estimate],Table11[Region],H$45,Table11[Planting Year],$D58)</f>
        <v>10353.903774082408</v>
      </c>
      <c r="I59" s="259">
        <f>SUMIFS(Table11[2024 '#Trees Inventory + Estimate],Table11[Region],I$45,Table11[Planting Year],$D58)</f>
        <v>28298.668018406184</v>
      </c>
      <c r="J59" s="272">
        <f t="shared" si="2"/>
        <v>72440.820066230517</v>
      </c>
      <c r="K59" s="130">
        <f>J59/J58</f>
        <v>0.61095403614936761</v>
      </c>
    </row>
    <row r="60" spans="4:11" x14ac:dyDescent="0.25">
      <c r="D60" s="128">
        <v>2022</v>
      </c>
      <c r="E60" s="256" t="s">
        <v>2259</v>
      </c>
      <c r="F60" s="125">
        <f>SUMIFS(Table11['#Planted],Table11[Region],F$45,Table11[Planting Year],$D60)</f>
        <v>4200</v>
      </c>
      <c r="G60" s="125">
        <f>SUMIFS(Table11['#Planted],Table11[Region],G$45,Table11[Planting Year],$D60)</f>
        <v>27489</v>
      </c>
      <c r="H60" s="125">
        <f>SUMIFS(Table11['#Planted],Table11[Region],H$45,Table11[Planting Year],$D60)</f>
        <v>38366</v>
      </c>
      <c r="I60" s="125">
        <f>SUMIFS(Table11['#Planted],Table11[Region],I$45,Table11[Planting Year],$D60)</f>
        <v>26114</v>
      </c>
      <c r="J60" s="273">
        <f>SUM(F60+G60+H60+I60)</f>
        <v>96169</v>
      </c>
      <c r="K60" s="131"/>
    </row>
    <row r="61" spans="4:11" x14ac:dyDescent="0.25">
      <c r="D61" s="126"/>
      <c r="E61" s="257" t="s">
        <v>2260</v>
      </c>
      <c r="F61" s="259">
        <f>SUMIFS(Table11[2024 '#Trees Inventory + Estimate],Table11[Region],F$45,Table11[Planting Year],$D60)</f>
        <v>2982</v>
      </c>
      <c r="G61" s="259">
        <f>SUMIFS(Table11[2024 '#Trees Inventory + Estimate],Table11[Region],G$45,Table11[Planting Year],$D60)</f>
        <v>23117</v>
      </c>
      <c r="H61" s="259">
        <f>SUMIFS(Table11[2024 '#Trees Inventory + Estimate],Table11[Region],H$45,Table11[Planting Year],$D60)</f>
        <v>26709.324000000001</v>
      </c>
      <c r="I61" s="259">
        <f>SUMIFS(Table11[2024 '#Trees Inventory + Estimate],Table11[Region],I$45,Table11[Planting Year],$D60)</f>
        <v>18585.760000000002</v>
      </c>
      <c r="J61" s="272">
        <f t="shared" ref="J61:J65" si="3">SUM(F61+G61+H61+I61)</f>
        <v>71394.084000000003</v>
      </c>
      <c r="K61" s="130">
        <f>J61/J60</f>
        <v>0.74238147427965351</v>
      </c>
    </row>
    <row r="62" spans="4:11" x14ac:dyDescent="0.25">
      <c r="D62" s="128">
        <v>2023</v>
      </c>
      <c r="E62" s="256" t="s">
        <v>2259</v>
      </c>
      <c r="F62" s="125">
        <f>SUMIFS(Table11['#Planted],Table11[Region],F$45,Table11[Planting Year],$D62)</f>
        <v>10300</v>
      </c>
      <c r="G62" s="125">
        <f>SUMIFS(Table11['#Planted],Table11[Region],G$45,Table11[Planting Year],$D62)</f>
        <v>12060</v>
      </c>
      <c r="H62" s="125">
        <f>SUMIFS(Table11['#Planted],Table11[Region],H$45,Table11[Planting Year],$D62)</f>
        <v>37420</v>
      </c>
      <c r="I62" s="125">
        <f>SUMIFS(Table11['#Planted],Table11[Region],I$45,Table11[Planting Year],$D62)</f>
        <v>17546</v>
      </c>
      <c r="J62" s="273">
        <f t="shared" si="3"/>
        <v>77326</v>
      </c>
      <c r="K62" s="131"/>
    </row>
    <row r="63" spans="4:11" ht="15.75" thickBot="1" x14ac:dyDescent="0.3">
      <c r="D63" s="126"/>
      <c r="E63" s="257" t="s">
        <v>2260</v>
      </c>
      <c r="F63" s="259">
        <f>SUMIFS(Table11[2024 '#Trees Inventory + Estimate],Table11[Region],F$45,Table11[Planting Year],$D62)</f>
        <v>10106</v>
      </c>
      <c r="G63" s="259">
        <f>SUMIFS(Table11[2024 '#Trees Inventory + Estimate],Table11[Region],G$45,Table11[Planting Year],$D62)</f>
        <v>11469</v>
      </c>
      <c r="H63" s="259">
        <f>SUMIFS(Table11[2024 '#Trees Inventory + Estimate],Table11[Region],H$45,Table11[Planting Year],$D62)</f>
        <v>36800</v>
      </c>
      <c r="I63" s="259">
        <f>SUMIFS(Table11[2024 '#Trees Inventory + Estimate],Table11[Region],I$45,Table11[Planting Year],$D62)</f>
        <v>16660</v>
      </c>
      <c r="J63" s="272">
        <f t="shared" si="3"/>
        <v>75035</v>
      </c>
      <c r="K63" s="130">
        <f>J63/J62</f>
        <v>0.97037219046633727</v>
      </c>
    </row>
    <row r="64" spans="4:11" x14ac:dyDescent="0.25">
      <c r="D64" s="128">
        <v>2024</v>
      </c>
      <c r="E64" s="256" t="s">
        <v>2259</v>
      </c>
      <c r="F64" s="125">
        <f>SUMIFS(Table11['#Planted],Table11[Region],F$45,Table11[Planting Year],$D64)</f>
        <v>8600</v>
      </c>
      <c r="G64" s="125">
        <f>SUMIFS(Table11['#Planted],Table11[Region],G$45,Table11[Planting Year],$D64)</f>
        <v>0</v>
      </c>
      <c r="H64" s="125">
        <f>SUMIFS(Table11['#Planted],Table11[Region],H$45,Table11[Planting Year],$D64)</f>
        <v>55256</v>
      </c>
      <c r="I64" s="125">
        <f>SUMIFS(Table11['#Planted],Table11[Region],I$45,Table11[Planting Year],$D64)</f>
        <v>18750</v>
      </c>
      <c r="J64" s="312">
        <f t="shared" si="3"/>
        <v>82606</v>
      </c>
      <c r="K64" s="281"/>
    </row>
    <row r="65" spans="1:13" ht="15.75" thickBot="1" x14ac:dyDescent="0.3">
      <c r="D65" s="127"/>
      <c r="E65" s="257" t="s">
        <v>2260</v>
      </c>
      <c r="F65" s="259">
        <f>SUMIFS(Table11[2024 '#Trees Inventory + Estimate],Table11[Region],F$45,Table11[Planting Year],$D64)</f>
        <v>8600</v>
      </c>
      <c r="G65" s="259">
        <f>SUMIFS(Table11[2024 '#Trees Inventory + Estimate],Table11[Region],G$45,Table11[Planting Year],$D64)</f>
        <v>0</v>
      </c>
      <c r="H65" s="259">
        <f>SUMIFS(Table11[2024 '#Trees Inventory + Estimate],Table11[Region],H$45,Table11[Planting Year],$D64)</f>
        <v>54046</v>
      </c>
      <c r="I65" s="259">
        <f>SUMIFS(Table11[2024 '#Trees Inventory + Estimate],Table11[Region],I$45,Table11[Planting Year],$D64)</f>
        <v>17441</v>
      </c>
      <c r="J65" s="313">
        <f t="shared" si="3"/>
        <v>80087</v>
      </c>
      <c r="K65" s="315">
        <f>J65/J64</f>
        <v>0.96950584703290321</v>
      </c>
    </row>
    <row r="66" spans="1:13" x14ac:dyDescent="0.25">
      <c r="I66" s="260" t="s">
        <v>2263</v>
      </c>
      <c r="J66" s="261">
        <f>J46+J48+J50+J52+J54+J56+J58+J60+J62+J64</f>
        <v>819449</v>
      </c>
      <c r="K66" s="314"/>
    </row>
    <row r="67" spans="1:13" ht="15.75" thickBot="1" x14ac:dyDescent="0.3">
      <c r="I67" s="225" t="s">
        <v>2265</v>
      </c>
      <c r="J67" s="226">
        <f>J47+J49+J51+J53+J55+J57+J59+J61+J63+J65</f>
        <v>482542.77096116764</v>
      </c>
      <c r="K67" s="227">
        <f>J67/J66</f>
        <v>0.58886248071712533</v>
      </c>
    </row>
    <row r="69" spans="1:13" ht="18.75" x14ac:dyDescent="0.3">
      <c r="D69" s="214" t="s">
        <v>2272</v>
      </c>
      <c r="E69" s="167"/>
      <c r="F69" s="167"/>
      <c r="G69" s="167"/>
      <c r="H69" s="167"/>
      <c r="I69" s="167"/>
      <c r="J69" s="167"/>
      <c r="K69" s="167"/>
      <c r="L69" s="167"/>
      <c r="M69" s="167"/>
    </row>
    <row r="70" spans="1:13" ht="18.75" x14ac:dyDescent="0.3">
      <c r="D70" s="215" t="s">
        <v>2273</v>
      </c>
      <c r="E70" s="167"/>
      <c r="F70" s="167"/>
      <c r="G70" s="167"/>
      <c r="H70" s="167"/>
      <c r="I70" s="167"/>
      <c r="J70" s="167"/>
      <c r="K70" s="167"/>
      <c r="L70" s="167"/>
      <c r="M70" s="167"/>
    </row>
    <row r="71" spans="1:13" ht="39" x14ac:dyDescent="0.25">
      <c r="A71" s="167"/>
      <c r="B71" s="167"/>
      <c r="C71" s="167"/>
      <c r="D71" s="216" t="s">
        <v>2274</v>
      </c>
      <c r="E71" s="217" t="s">
        <v>2275</v>
      </c>
      <c r="F71" s="218" t="s">
        <v>2276</v>
      </c>
      <c r="G71" s="218" t="s">
        <v>2277</v>
      </c>
      <c r="H71" s="217" t="s">
        <v>2278</v>
      </c>
      <c r="I71" s="217" t="s">
        <v>2279</v>
      </c>
      <c r="J71" s="229" t="s">
        <v>2280</v>
      </c>
      <c r="K71" s="230" t="s">
        <v>2281</v>
      </c>
    </row>
    <row r="72" spans="1:13" ht="15.75" x14ac:dyDescent="0.25">
      <c r="D72" s="219" t="s">
        <v>2282</v>
      </c>
      <c r="E72" s="220">
        <v>1048315.35</v>
      </c>
      <c r="F72" s="220">
        <v>1048315.35</v>
      </c>
      <c r="G72" s="221" t="s">
        <v>2283</v>
      </c>
      <c r="H72" s="222">
        <v>818239</v>
      </c>
      <c r="I72" s="223">
        <v>409.12</v>
      </c>
      <c r="J72" s="223">
        <v>75687</v>
      </c>
      <c r="K72" s="224">
        <v>57277</v>
      </c>
    </row>
  </sheetData>
  <mergeCells count="3">
    <mergeCell ref="C2:L2"/>
    <mergeCell ref="D44:K44"/>
    <mergeCell ref="C31:L31"/>
  </mergeCells>
  <phoneticPr fontId="11" type="noConversion"/>
  <hyperlinks>
    <hyperlink ref="A1" location="May!A1" display="May" xr:uid="{25ECD9C3-BCAE-4AB5-AD40-4E6A91C31997}"/>
  </hyperlink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AB9E5-08B2-4025-A250-35BE2E036ECA}">
  <sheetPr filterMode="1">
    <tabColor rgb="FFFF0000"/>
  </sheetPr>
  <dimension ref="A1:U347"/>
  <sheetViews>
    <sheetView topLeftCell="A2" workbookViewId="0">
      <selection activeCell="F2" sqref="F2"/>
    </sheetView>
  </sheetViews>
  <sheetFormatPr defaultRowHeight="15" x14ac:dyDescent="0.25"/>
  <cols>
    <col min="1" max="1" width="12.140625" style="7" customWidth="1"/>
    <col min="2" max="2" width="9.140625" style="7"/>
    <col min="3" max="3" width="12" style="7" customWidth="1"/>
    <col min="4" max="4" width="13.5703125" style="44" customWidth="1"/>
    <col min="5" max="5" width="18" customWidth="1"/>
    <col min="6" max="7" width="9.140625" style="7"/>
    <col min="8" max="8" width="56.42578125" bestFit="1" customWidth="1"/>
    <col min="9" max="9" width="14.7109375" style="7" bestFit="1" customWidth="1"/>
    <col min="10" max="10" width="12.7109375" bestFit="1" customWidth="1"/>
    <col min="12" max="12" width="10.5703125" customWidth="1"/>
    <col min="14" max="14" width="9.42578125" customWidth="1"/>
    <col min="16" max="16" width="12.5703125" style="8" customWidth="1"/>
    <col min="17" max="17" width="10.5703125" customWidth="1"/>
    <col min="18" max="18" width="10.7109375" customWidth="1"/>
    <col min="19" max="19" width="10.85546875" customWidth="1"/>
    <col min="20" max="20" width="9" bestFit="1" customWidth="1"/>
    <col min="21" max="21" width="255.7109375" bestFit="1" customWidth="1"/>
  </cols>
  <sheetData>
    <row r="1" spans="1:21" x14ac:dyDescent="0.25">
      <c r="A1" s="175" t="s">
        <v>2284</v>
      </c>
      <c r="B1" s="175"/>
      <c r="C1" s="175"/>
      <c r="D1" s="171"/>
      <c r="E1" s="167"/>
      <c r="F1" s="179"/>
      <c r="G1" s="179"/>
      <c r="H1" s="167"/>
      <c r="I1" s="179"/>
      <c r="J1" s="167"/>
      <c r="K1" s="167"/>
      <c r="L1" s="167"/>
      <c r="M1" s="167"/>
      <c r="N1" s="167"/>
      <c r="O1" s="167"/>
      <c r="P1" s="173"/>
      <c r="Q1" s="167"/>
      <c r="R1" s="167"/>
      <c r="S1" s="167"/>
      <c r="T1" s="167"/>
      <c r="U1" s="167"/>
    </row>
    <row r="2" spans="1:21" ht="42" customHeight="1" x14ac:dyDescent="0.25">
      <c r="A2" s="176" t="s">
        <v>2285</v>
      </c>
      <c r="B2" s="180" t="s">
        <v>2286</v>
      </c>
      <c r="C2" s="180" t="s">
        <v>2287</v>
      </c>
      <c r="D2" s="246" t="s">
        <v>2288</v>
      </c>
      <c r="E2" s="169" t="s">
        <v>2289</v>
      </c>
      <c r="F2" s="180" t="s">
        <v>2290</v>
      </c>
      <c r="G2" s="180" t="s">
        <v>2291</v>
      </c>
      <c r="H2" s="169" t="s">
        <v>2292</v>
      </c>
      <c r="I2" s="180" t="s">
        <v>2293</v>
      </c>
      <c r="J2" s="180" t="s">
        <v>2294</v>
      </c>
      <c r="K2" s="182" t="s">
        <v>2295</v>
      </c>
      <c r="L2" s="182" t="s">
        <v>92</v>
      </c>
      <c r="M2" s="182" t="s">
        <v>2296</v>
      </c>
      <c r="N2" s="182" t="s">
        <v>2297</v>
      </c>
      <c r="O2" s="182" t="s">
        <v>2298</v>
      </c>
      <c r="P2" s="275" t="s">
        <v>2299</v>
      </c>
      <c r="Q2" s="183" t="s">
        <v>107</v>
      </c>
      <c r="R2" s="183" t="s">
        <v>2300</v>
      </c>
      <c r="S2" s="183" t="s">
        <v>2301</v>
      </c>
      <c r="T2" s="168" t="s">
        <v>2302</v>
      </c>
      <c r="U2" s="169" t="s">
        <v>2303</v>
      </c>
    </row>
    <row r="3" spans="1:21" hidden="1" x14ac:dyDescent="0.25">
      <c r="A3" s="177" t="b">
        <v>1</v>
      </c>
      <c r="B3" s="177" t="b">
        <v>1</v>
      </c>
      <c r="C3" s="175" t="s">
        <v>2304</v>
      </c>
      <c r="D3" s="170">
        <v>45489</v>
      </c>
      <c r="E3" s="166">
        <v>271</v>
      </c>
      <c r="F3" s="175" t="s">
        <v>1393</v>
      </c>
      <c r="G3" s="175">
        <v>10092</v>
      </c>
      <c r="H3" s="166" t="s">
        <v>1386</v>
      </c>
      <c r="I3" s="175" t="s">
        <v>147</v>
      </c>
      <c r="J3" s="166"/>
      <c r="K3" s="166"/>
      <c r="L3" s="166"/>
      <c r="M3" s="166"/>
      <c r="N3" s="166"/>
      <c r="O3" s="166"/>
      <c r="P3" s="172"/>
      <c r="Q3" s="166"/>
      <c r="R3" s="166"/>
      <c r="S3" s="166"/>
      <c r="T3" s="166" t="s">
        <v>2305</v>
      </c>
      <c r="U3" s="166" t="s">
        <v>2306</v>
      </c>
    </row>
    <row r="4" spans="1:21" hidden="1" x14ac:dyDescent="0.25">
      <c r="A4" s="178" t="b">
        <v>1</v>
      </c>
      <c r="B4" s="178" t="b">
        <v>1</v>
      </c>
      <c r="C4" s="179" t="s">
        <v>2304</v>
      </c>
      <c r="D4" s="171">
        <v>45489</v>
      </c>
      <c r="E4" s="167">
        <v>270</v>
      </c>
      <c r="F4" s="179" t="s">
        <v>1385</v>
      </c>
      <c r="G4" s="179">
        <v>10092</v>
      </c>
      <c r="H4" s="167" t="s">
        <v>1386</v>
      </c>
      <c r="I4" s="179" t="s">
        <v>147</v>
      </c>
      <c r="J4" s="167"/>
      <c r="K4" s="167"/>
      <c r="L4" s="167"/>
      <c r="M4" s="167"/>
      <c r="N4" s="167"/>
      <c r="O4" s="167"/>
      <c r="P4" s="173"/>
      <c r="Q4" s="167"/>
      <c r="R4" s="167"/>
      <c r="S4" s="167"/>
      <c r="T4" s="167" t="s">
        <v>2305</v>
      </c>
      <c r="U4" s="167" t="s">
        <v>2306</v>
      </c>
    </row>
    <row r="5" spans="1:21" hidden="1" x14ac:dyDescent="0.25">
      <c r="A5" s="177" t="b">
        <v>1</v>
      </c>
      <c r="B5" s="177" t="b">
        <v>1</v>
      </c>
      <c r="C5" s="177" t="b">
        <v>1</v>
      </c>
      <c r="D5" s="170">
        <v>45490</v>
      </c>
      <c r="E5" s="166">
        <v>269</v>
      </c>
      <c r="F5" s="175" t="s">
        <v>1274</v>
      </c>
      <c r="G5" s="175">
        <v>10062</v>
      </c>
      <c r="H5" s="166" t="s">
        <v>758</v>
      </c>
      <c r="I5" s="175" t="s">
        <v>160</v>
      </c>
      <c r="J5" s="166"/>
      <c r="K5" s="166"/>
      <c r="L5" s="166"/>
      <c r="M5" s="166"/>
      <c r="N5" s="166"/>
      <c r="O5" s="166">
        <v>-125</v>
      </c>
      <c r="P5" s="172"/>
      <c r="Q5" s="172">
        <v>0</v>
      </c>
      <c r="R5" s="172">
        <v>0</v>
      </c>
      <c r="S5" s="166">
        <v>0</v>
      </c>
      <c r="T5" s="166" t="s">
        <v>2305</v>
      </c>
      <c r="U5" s="166" t="s">
        <v>2307</v>
      </c>
    </row>
    <row r="6" spans="1:21" hidden="1" x14ac:dyDescent="0.25">
      <c r="A6" s="184" t="b">
        <v>1</v>
      </c>
      <c r="B6" s="184" t="b">
        <v>1</v>
      </c>
      <c r="C6" s="184" t="b">
        <v>1</v>
      </c>
      <c r="D6" s="171">
        <v>45490</v>
      </c>
      <c r="E6" s="167">
        <v>221</v>
      </c>
      <c r="F6" s="179" t="s">
        <v>853</v>
      </c>
      <c r="G6" s="179">
        <v>10076</v>
      </c>
      <c r="H6" s="167" t="s">
        <v>854</v>
      </c>
      <c r="I6" s="179" t="s">
        <v>160</v>
      </c>
      <c r="J6" s="167"/>
      <c r="K6" s="167"/>
      <c r="L6" s="167"/>
      <c r="M6" s="167"/>
      <c r="N6" s="167"/>
      <c r="O6" s="167">
        <v>-1045</v>
      </c>
      <c r="P6" s="173"/>
      <c r="Q6" s="173">
        <v>0</v>
      </c>
      <c r="R6" s="173">
        <v>0</v>
      </c>
      <c r="S6" s="167">
        <v>0</v>
      </c>
      <c r="T6" s="167" t="s">
        <v>2305</v>
      </c>
      <c r="U6" s="167" t="s">
        <v>2307</v>
      </c>
    </row>
    <row r="7" spans="1:21" hidden="1" x14ac:dyDescent="0.25">
      <c r="A7" s="177" t="b">
        <v>0</v>
      </c>
      <c r="B7" s="177" t="b">
        <v>0</v>
      </c>
      <c r="C7" s="177" t="b">
        <v>0</v>
      </c>
      <c r="D7" s="247" t="s">
        <v>2308</v>
      </c>
      <c r="E7" s="166">
        <v>50</v>
      </c>
      <c r="F7" s="175" t="s">
        <v>379</v>
      </c>
      <c r="G7" s="175">
        <v>20023</v>
      </c>
      <c r="H7" s="166" t="s">
        <v>380</v>
      </c>
      <c r="I7" s="175"/>
      <c r="J7" s="166" t="s">
        <v>2309</v>
      </c>
      <c r="K7" s="166"/>
      <c r="L7" s="166"/>
      <c r="M7" s="166"/>
      <c r="N7" s="166"/>
      <c r="O7" s="166"/>
      <c r="P7" s="172"/>
      <c r="Q7" s="166"/>
      <c r="R7" s="166"/>
      <c r="S7" s="166"/>
      <c r="T7" s="166" t="s">
        <v>2305</v>
      </c>
      <c r="U7" s="166" t="s">
        <v>2310</v>
      </c>
    </row>
    <row r="8" spans="1:21" hidden="1" x14ac:dyDescent="0.25">
      <c r="A8" s="184" t="b">
        <v>0</v>
      </c>
      <c r="B8" s="184" t="b">
        <v>0</v>
      </c>
      <c r="C8" s="184" t="b">
        <v>0</v>
      </c>
      <c r="D8" s="247" t="s">
        <v>2308</v>
      </c>
      <c r="E8" s="167">
        <v>76</v>
      </c>
      <c r="F8" s="179" t="s">
        <v>515</v>
      </c>
      <c r="G8" s="179">
        <v>20023</v>
      </c>
      <c r="H8" s="167" t="s">
        <v>380</v>
      </c>
      <c r="I8" s="179"/>
      <c r="J8" s="167" t="s">
        <v>2311</v>
      </c>
      <c r="K8" s="167"/>
      <c r="L8" s="167"/>
      <c r="M8" s="167"/>
      <c r="N8" s="167"/>
      <c r="O8" s="167"/>
      <c r="P8" s="173"/>
      <c r="Q8" s="167"/>
      <c r="R8" s="167"/>
      <c r="S8" s="167"/>
      <c r="T8" s="167" t="s">
        <v>2305</v>
      </c>
      <c r="U8" s="166" t="s">
        <v>2310</v>
      </c>
    </row>
    <row r="9" spans="1:21" hidden="1" x14ac:dyDescent="0.25">
      <c r="A9" s="177" t="b">
        <v>1</v>
      </c>
      <c r="B9" s="175" t="s">
        <v>2312</v>
      </c>
      <c r="C9" s="175" t="s">
        <v>2304</v>
      </c>
      <c r="D9" s="170">
        <v>45510</v>
      </c>
      <c r="E9" s="166">
        <v>121</v>
      </c>
      <c r="F9" s="175" t="s">
        <v>886</v>
      </c>
      <c r="G9" s="175">
        <v>20035</v>
      </c>
      <c r="H9" s="166" t="s">
        <v>888</v>
      </c>
      <c r="I9" s="175" t="s">
        <v>147</v>
      </c>
      <c r="J9" s="166"/>
      <c r="K9" s="166"/>
      <c r="L9" s="166"/>
      <c r="M9" s="166"/>
      <c r="N9" s="166"/>
      <c r="O9" s="166"/>
      <c r="P9" s="172"/>
      <c r="Q9" s="172">
        <v>0</v>
      </c>
      <c r="R9" s="172">
        <v>0</v>
      </c>
      <c r="S9" s="166">
        <v>0</v>
      </c>
      <c r="T9" s="166" t="s">
        <v>2305</v>
      </c>
      <c r="U9" s="166" t="s">
        <v>2306</v>
      </c>
    </row>
    <row r="10" spans="1:21" hidden="1" x14ac:dyDescent="0.25">
      <c r="A10" s="178" t="b">
        <v>1</v>
      </c>
      <c r="B10" s="178" t="b">
        <v>1</v>
      </c>
      <c r="C10" s="178" t="b">
        <v>1</v>
      </c>
      <c r="D10" s="171">
        <v>45510</v>
      </c>
      <c r="E10" s="167">
        <v>270</v>
      </c>
      <c r="F10" s="179" t="s">
        <v>1385</v>
      </c>
      <c r="G10" s="179">
        <v>10092</v>
      </c>
      <c r="H10" s="167" t="s">
        <v>1386</v>
      </c>
      <c r="I10" s="179" t="s">
        <v>160</v>
      </c>
      <c r="J10" s="167"/>
      <c r="K10" s="167"/>
      <c r="L10" s="167"/>
      <c r="M10" s="167"/>
      <c r="N10" s="167"/>
      <c r="O10" s="167">
        <v>-499</v>
      </c>
      <c r="P10" s="173"/>
      <c r="Q10" s="167"/>
      <c r="R10" s="167"/>
      <c r="S10" s="167"/>
      <c r="T10" s="167" t="s">
        <v>2305</v>
      </c>
      <c r="U10" s="167" t="s">
        <v>2307</v>
      </c>
    </row>
    <row r="11" spans="1:21" hidden="1" x14ac:dyDescent="0.25">
      <c r="A11" s="177" t="b">
        <v>1</v>
      </c>
      <c r="B11" s="177" t="b">
        <v>1</v>
      </c>
      <c r="C11" s="177" t="b">
        <v>1</v>
      </c>
      <c r="D11" s="170">
        <v>45510</v>
      </c>
      <c r="E11" s="166">
        <v>271</v>
      </c>
      <c r="F11" s="175" t="s">
        <v>1393</v>
      </c>
      <c r="G11" s="175">
        <v>10092</v>
      </c>
      <c r="H11" s="166" t="s">
        <v>1386</v>
      </c>
      <c r="I11" s="175" t="s">
        <v>160</v>
      </c>
      <c r="J11" s="166"/>
      <c r="K11" s="166"/>
      <c r="L11" s="166"/>
      <c r="M11" s="166"/>
      <c r="N11" s="166"/>
      <c r="O11" s="166">
        <v>-989</v>
      </c>
      <c r="P11" s="172"/>
      <c r="Q11" s="166"/>
      <c r="R11" s="166"/>
      <c r="S11" s="166">
        <v>0</v>
      </c>
      <c r="T11" s="166" t="s">
        <v>2305</v>
      </c>
      <c r="U11" s="166" t="s">
        <v>2307</v>
      </c>
    </row>
    <row r="12" spans="1:21" hidden="1" x14ac:dyDescent="0.25">
      <c r="A12" s="178" t="b">
        <v>1</v>
      </c>
      <c r="B12" s="178" t="b">
        <v>1</v>
      </c>
      <c r="C12" s="179" t="s">
        <v>2304</v>
      </c>
      <c r="D12" s="171">
        <v>45510</v>
      </c>
      <c r="E12" s="167">
        <v>318</v>
      </c>
      <c r="F12" s="179" t="s">
        <v>1713</v>
      </c>
      <c r="G12" s="179">
        <v>10114</v>
      </c>
      <c r="H12" s="167" t="s">
        <v>1714</v>
      </c>
      <c r="I12" s="179" t="s">
        <v>147</v>
      </c>
      <c r="J12" s="167"/>
      <c r="K12" s="167"/>
      <c r="L12" s="167"/>
      <c r="M12" s="167"/>
      <c r="N12" s="167"/>
      <c r="O12" s="167"/>
      <c r="P12" s="173"/>
      <c r="Q12" s="173">
        <v>0</v>
      </c>
      <c r="R12" s="173">
        <v>0</v>
      </c>
      <c r="S12" s="167">
        <v>0</v>
      </c>
      <c r="T12" s="167" t="s">
        <v>2305</v>
      </c>
      <c r="U12" s="167" t="s">
        <v>2306</v>
      </c>
    </row>
    <row r="13" spans="1:21" hidden="1" x14ac:dyDescent="0.25">
      <c r="A13" s="175" t="s">
        <v>2312</v>
      </c>
      <c r="B13" s="175" t="s">
        <v>2312</v>
      </c>
      <c r="C13" s="175" t="s">
        <v>2304</v>
      </c>
      <c r="D13" s="170">
        <v>45510</v>
      </c>
      <c r="E13" s="166">
        <v>291</v>
      </c>
      <c r="F13" s="175" t="s">
        <v>1751</v>
      </c>
      <c r="G13" s="175">
        <v>20089</v>
      </c>
      <c r="H13" s="166" t="s">
        <v>1752</v>
      </c>
      <c r="I13" s="175" t="s">
        <v>147</v>
      </c>
      <c r="J13" s="166"/>
      <c r="K13" s="166"/>
      <c r="L13" s="166"/>
      <c r="M13" s="166"/>
      <c r="N13" s="166"/>
      <c r="O13" s="166"/>
      <c r="P13" s="172"/>
      <c r="Q13" s="172">
        <v>0</v>
      </c>
      <c r="R13" s="172">
        <v>0</v>
      </c>
      <c r="S13" s="166">
        <v>0</v>
      </c>
      <c r="T13" s="166" t="s">
        <v>2305</v>
      </c>
      <c r="U13" s="166" t="s">
        <v>2306</v>
      </c>
    </row>
    <row r="14" spans="1:21" hidden="1" x14ac:dyDescent="0.25">
      <c r="A14" s="179" t="s">
        <v>2312</v>
      </c>
      <c r="B14" s="179" t="s">
        <v>2312</v>
      </c>
      <c r="C14" s="178" t="b">
        <v>0</v>
      </c>
      <c r="D14" s="171">
        <v>45510</v>
      </c>
      <c r="E14" s="167">
        <v>152</v>
      </c>
      <c r="F14" s="179" t="s">
        <v>1101</v>
      </c>
      <c r="G14" s="179">
        <v>30012</v>
      </c>
      <c r="H14" s="167" t="s">
        <v>1102</v>
      </c>
      <c r="I14" s="179" t="s">
        <v>147</v>
      </c>
      <c r="J14" s="167"/>
      <c r="K14" s="167"/>
      <c r="L14" s="167"/>
      <c r="M14" s="167"/>
      <c r="N14" s="167"/>
      <c r="O14" s="167"/>
      <c r="P14" s="173"/>
      <c r="Q14" s="173">
        <v>0</v>
      </c>
      <c r="R14" s="173">
        <v>0</v>
      </c>
      <c r="S14" s="167">
        <v>0</v>
      </c>
      <c r="T14" s="167" t="s">
        <v>2305</v>
      </c>
      <c r="U14" s="167" t="s">
        <v>2306</v>
      </c>
    </row>
    <row r="15" spans="1:21" hidden="1" x14ac:dyDescent="0.25">
      <c r="A15" s="175" t="s">
        <v>2312</v>
      </c>
      <c r="B15" s="175" t="s">
        <v>2312</v>
      </c>
      <c r="C15" s="175" t="s">
        <v>2304</v>
      </c>
      <c r="D15" s="170">
        <v>45510</v>
      </c>
      <c r="E15" s="166">
        <v>153</v>
      </c>
      <c r="F15" s="175" t="s">
        <v>1108</v>
      </c>
      <c r="G15" s="175">
        <v>30013</v>
      </c>
      <c r="H15" s="166" t="s">
        <v>2313</v>
      </c>
      <c r="I15" s="175" t="s">
        <v>147</v>
      </c>
      <c r="J15" s="166"/>
      <c r="K15" s="166"/>
      <c r="L15" s="166"/>
      <c r="M15" s="166"/>
      <c r="N15" s="166"/>
      <c r="O15" s="166"/>
      <c r="P15" s="172"/>
      <c r="Q15" s="172">
        <v>0</v>
      </c>
      <c r="R15" s="172">
        <v>0</v>
      </c>
      <c r="S15" s="166">
        <v>0</v>
      </c>
      <c r="T15" s="166" t="s">
        <v>2305</v>
      </c>
      <c r="U15" s="166" t="s">
        <v>2306</v>
      </c>
    </row>
    <row r="16" spans="1:21" hidden="1" x14ac:dyDescent="0.25">
      <c r="A16" s="179" t="s">
        <v>2312</v>
      </c>
      <c r="B16" s="179" t="s">
        <v>2312</v>
      </c>
      <c r="C16" s="179" t="s">
        <v>2304</v>
      </c>
      <c r="D16" s="171">
        <v>45510</v>
      </c>
      <c r="E16" s="167">
        <v>236</v>
      </c>
      <c r="F16" s="179" t="s">
        <v>1575</v>
      </c>
      <c r="G16" s="179">
        <v>30014</v>
      </c>
      <c r="H16" s="167" t="s">
        <v>2314</v>
      </c>
      <c r="I16" s="179" t="s">
        <v>147</v>
      </c>
      <c r="J16" s="167"/>
      <c r="K16" s="167"/>
      <c r="L16" s="167"/>
      <c r="M16" s="167"/>
      <c r="N16" s="167"/>
      <c r="O16" s="167"/>
      <c r="P16" s="173"/>
      <c r="Q16" s="173">
        <v>0</v>
      </c>
      <c r="R16" s="173">
        <v>0</v>
      </c>
      <c r="S16" s="167">
        <v>0</v>
      </c>
      <c r="T16" s="167" t="s">
        <v>2305</v>
      </c>
      <c r="U16" s="167" t="s">
        <v>2306</v>
      </c>
    </row>
    <row r="17" spans="1:21" hidden="1" x14ac:dyDescent="0.25">
      <c r="A17" s="175" t="s">
        <v>2312</v>
      </c>
      <c r="B17" s="175" t="s">
        <v>2312</v>
      </c>
      <c r="C17" s="175" t="s">
        <v>2304</v>
      </c>
      <c r="D17" s="170">
        <v>45510</v>
      </c>
      <c r="E17" s="166">
        <v>161</v>
      </c>
      <c r="F17" s="175" t="s">
        <v>1158</v>
      </c>
      <c r="G17" s="175">
        <v>30021</v>
      </c>
      <c r="H17" s="166" t="s">
        <v>2315</v>
      </c>
      <c r="I17" s="175" t="s">
        <v>147</v>
      </c>
      <c r="J17" s="166"/>
      <c r="K17" s="166"/>
      <c r="L17" s="166"/>
      <c r="M17" s="166"/>
      <c r="N17" s="166"/>
      <c r="O17" s="166"/>
      <c r="P17" s="172"/>
      <c r="Q17" s="172">
        <v>0</v>
      </c>
      <c r="R17" s="172">
        <v>0</v>
      </c>
      <c r="S17" s="166">
        <v>0</v>
      </c>
      <c r="T17" s="166" t="s">
        <v>2305</v>
      </c>
      <c r="U17" s="166" t="s">
        <v>2306</v>
      </c>
    </row>
    <row r="18" spans="1:21" hidden="1" x14ac:dyDescent="0.25">
      <c r="A18" s="179" t="s">
        <v>2312</v>
      </c>
      <c r="B18" s="179" t="s">
        <v>2312</v>
      </c>
      <c r="C18" s="179" t="s">
        <v>2304</v>
      </c>
      <c r="D18" s="171">
        <v>45510</v>
      </c>
      <c r="E18" s="167">
        <v>165</v>
      </c>
      <c r="F18" s="179" t="s">
        <v>1179</v>
      </c>
      <c r="G18" s="179">
        <v>30024</v>
      </c>
      <c r="H18" s="167" t="s">
        <v>1180</v>
      </c>
      <c r="I18" s="179" t="s">
        <v>147</v>
      </c>
      <c r="J18" s="167"/>
      <c r="K18" s="167"/>
      <c r="L18" s="167"/>
      <c r="M18" s="167"/>
      <c r="N18" s="167"/>
      <c r="O18" s="167"/>
      <c r="P18" s="173"/>
      <c r="Q18" s="173">
        <v>0</v>
      </c>
      <c r="R18" s="173">
        <v>0</v>
      </c>
      <c r="S18" s="167">
        <v>0</v>
      </c>
      <c r="T18" s="167" t="s">
        <v>2305</v>
      </c>
      <c r="U18" s="167" t="s">
        <v>2306</v>
      </c>
    </row>
    <row r="19" spans="1:21" hidden="1" x14ac:dyDescent="0.25">
      <c r="A19" s="175" t="s">
        <v>2312</v>
      </c>
      <c r="B19" s="175" t="s">
        <v>2312</v>
      </c>
      <c r="C19" s="175" t="s">
        <v>2304</v>
      </c>
      <c r="D19" s="170">
        <v>45510</v>
      </c>
      <c r="E19" s="166">
        <v>243</v>
      </c>
      <c r="F19" s="175" t="s">
        <v>1579</v>
      </c>
      <c r="G19" s="175">
        <v>30024</v>
      </c>
      <c r="H19" s="166" t="s">
        <v>1180</v>
      </c>
      <c r="I19" s="175" t="s">
        <v>147</v>
      </c>
      <c r="J19" s="166"/>
      <c r="K19" s="166"/>
      <c r="L19" s="166"/>
      <c r="M19" s="166"/>
      <c r="N19" s="166"/>
      <c r="O19" s="166"/>
      <c r="P19" s="172"/>
      <c r="Q19" s="172">
        <v>0</v>
      </c>
      <c r="R19" s="172">
        <v>0</v>
      </c>
      <c r="S19" s="166">
        <v>0</v>
      </c>
      <c r="T19" s="166" t="s">
        <v>2305</v>
      </c>
      <c r="U19" s="166" t="s">
        <v>2306</v>
      </c>
    </row>
    <row r="20" spans="1:21" hidden="1" x14ac:dyDescent="0.25">
      <c r="A20" s="178" t="b">
        <v>1</v>
      </c>
      <c r="B20" s="179" t="s">
        <v>2312</v>
      </c>
      <c r="C20" s="179" t="s">
        <v>2304</v>
      </c>
      <c r="D20" s="171">
        <v>45510</v>
      </c>
      <c r="E20" s="167">
        <v>95</v>
      </c>
      <c r="F20" s="179" t="s">
        <v>611</v>
      </c>
      <c r="G20" s="179">
        <v>30011</v>
      </c>
      <c r="H20" s="167" t="s">
        <v>2316</v>
      </c>
      <c r="I20" s="179" t="s">
        <v>147</v>
      </c>
      <c r="J20" s="167"/>
      <c r="K20" s="167"/>
      <c r="L20" s="167"/>
      <c r="M20" s="167"/>
      <c r="N20" s="167"/>
      <c r="O20" s="167"/>
      <c r="P20" s="173"/>
      <c r="Q20" s="173">
        <v>0</v>
      </c>
      <c r="R20" s="173">
        <v>0</v>
      </c>
      <c r="S20" s="167">
        <v>0</v>
      </c>
      <c r="T20" s="167" t="s">
        <v>2305</v>
      </c>
      <c r="U20" s="167" t="s">
        <v>2306</v>
      </c>
    </row>
    <row r="21" spans="1:21" hidden="1" x14ac:dyDescent="0.25">
      <c r="A21" s="177" t="b">
        <v>1</v>
      </c>
      <c r="B21" s="175" t="s">
        <v>2312</v>
      </c>
      <c r="C21" s="175" t="s">
        <v>2304</v>
      </c>
      <c r="D21" s="170">
        <v>45510</v>
      </c>
      <c r="E21" s="166">
        <v>247</v>
      </c>
      <c r="F21" s="175" t="s">
        <v>1632</v>
      </c>
      <c r="G21" s="175">
        <v>40020</v>
      </c>
      <c r="H21" s="166" t="s">
        <v>1633</v>
      </c>
      <c r="I21" s="175" t="s">
        <v>147</v>
      </c>
      <c r="J21" s="166"/>
      <c r="K21" s="166"/>
      <c r="L21" s="166"/>
      <c r="M21" s="166"/>
      <c r="N21" s="166"/>
      <c r="O21" s="166"/>
      <c r="P21" s="172"/>
      <c r="Q21" s="172">
        <v>0</v>
      </c>
      <c r="R21" s="172">
        <v>0</v>
      </c>
      <c r="S21" s="166">
        <v>0</v>
      </c>
      <c r="T21" s="166" t="s">
        <v>2305</v>
      </c>
      <c r="U21" s="166" t="s">
        <v>2306</v>
      </c>
    </row>
    <row r="22" spans="1:21" hidden="1" x14ac:dyDescent="0.25">
      <c r="A22" s="178" t="b">
        <v>1</v>
      </c>
      <c r="B22" s="179" t="s">
        <v>2312</v>
      </c>
      <c r="C22" s="179" t="s">
        <v>2304</v>
      </c>
      <c r="D22" s="171">
        <v>45510</v>
      </c>
      <c r="E22" s="167">
        <v>245</v>
      </c>
      <c r="F22" s="179" t="s">
        <v>1620</v>
      </c>
      <c r="G22" s="179">
        <v>40032</v>
      </c>
      <c r="H22" s="167" t="s">
        <v>1621</v>
      </c>
      <c r="I22" s="179" t="s">
        <v>147</v>
      </c>
      <c r="J22" s="167"/>
      <c r="K22" s="167"/>
      <c r="L22" s="167"/>
      <c r="M22" s="167"/>
      <c r="N22" s="167"/>
      <c r="O22" s="167"/>
      <c r="P22" s="173"/>
      <c r="Q22" s="173">
        <v>0</v>
      </c>
      <c r="R22" s="173">
        <v>0</v>
      </c>
      <c r="S22" s="167">
        <v>0</v>
      </c>
      <c r="T22" s="167" t="s">
        <v>2305</v>
      </c>
      <c r="U22" s="167" t="s">
        <v>2306</v>
      </c>
    </row>
    <row r="23" spans="1:21" hidden="1" x14ac:dyDescent="0.25">
      <c r="A23" s="177" t="b">
        <v>1</v>
      </c>
      <c r="B23" s="175" t="s">
        <v>2312</v>
      </c>
      <c r="C23" s="175" t="s">
        <v>2304</v>
      </c>
      <c r="D23" s="170">
        <v>45510</v>
      </c>
      <c r="E23" s="166">
        <v>183</v>
      </c>
      <c r="F23" s="175" t="s">
        <v>1262</v>
      </c>
      <c r="G23" s="175">
        <v>40018</v>
      </c>
      <c r="H23" s="166" t="s">
        <v>1263</v>
      </c>
      <c r="I23" s="175" t="s">
        <v>147</v>
      </c>
      <c r="J23" s="166"/>
      <c r="K23" s="166"/>
      <c r="L23" s="166"/>
      <c r="M23" s="166"/>
      <c r="N23" s="166"/>
      <c r="O23" s="166"/>
      <c r="P23" s="172"/>
      <c r="Q23" s="172">
        <v>0</v>
      </c>
      <c r="R23" s="172">
        <v>0</v>
      </c>
      <c r="S23" s="166">
        <v>0</v>
      </c>
      <c r="T23" s="166" t="s">
        <v>2305</v>
      </c>
      <c r="U23" s="166" t="s">
        <v>2306</v>
      </c>
    </row>
    <row r="24" spans="1:21" hidden="1" x14ac:dyDescent="0.25">
      <c r="A24" s="178" t="b">
        <v>1</v>
      </c>
      <c r="B24" s="179" t="s">
        <v>2312</v>
      </c>
      <c r="C24" s="179" t="s">
        <v>2304</v>
      </c>
      <c r="D24" s="171">
        <v>45510</v>
      </c>
      <c r="E24" s="167">
        <v>178</v>
      </c>
      <c r="F24" s="179" t="s">
        <v>1241</v>
      </c>
      <c r="G24" s="179">
        <v>40013</v>
      </c>
      <c r="H24" s="167" t="s">
        <v>1243</v>
      </c>
      <c r="I24" s="179" t="s">
        <v>147</v>
      </c>
      <c r="J24" s="167"/>
      <c r="K24" s="167"/>
      <c r="L24" s="167"/>
      <c r="M24" s="167"/>
      <c r="N24" s="167"/>
      <c r="O24" s="167"/>
      <c r="P24" s="173"/>
      <c r="Q24" s="173">
        <v>0</v>
      </c>
      <c r="R24" s="173">
        <v>0</v>
      </c>
      <c r="S24" s="167">
        <v>0</v>
      </c>
      <c r="T24" s="167" t="s">
        <v>2305</v>
      </c>
      <c r="U24" s="167" t="s">
        <v>2306</v>
      </c>
    </row>
    <row r="25" spans="1:21" hidden="1" x14ac:dyDescent="0.25">
      <c r="A25" s="175" t="s">
        <v>2312</v>
      </c>
      <c r="B25" s="175" t="s">
        <v>2312</v>
      </c>
      <c r="C25" s="175" t="s">
        <v>2304</v>
      </c>
      <c r="D25" s="170">
        <v>45510</v>
      </c>
      <c r="E25" s="166">
        <v>176</v>
      </c>
      <c r="F25" s="175" t="s">
        <v>1227</v>
      </c>
      <c r="G25" s="175">
        <v>40011</v>
      </c>
      <c r="H25" s="166" t="s">
        <v>1228</v>
      </c>
      <c r="I25" s="175" t="s">
        <v>147</v>
      </c>
      <c r="J25" s="166"/>
      <c r="K25" s="166"/>
      <c r="L25" s="166"/>
      <c r="M25" s="166"/>
      <c r="N25" s="166"/>
      <c r="O25" s="166"/>
      <c r="P25" s="172"/>
      <c r="Q25" s="172">
        <v>0</v>
      </c>
      <c r="R25" s="172">
        <v>0</v>
      </c>
      <c r="S25" s="166">
        <v>0</v>
      </c>
      <c r="T25" s="166" t="s">
        <v>2305</v>
      </c>
      <c r="U25" s="166" t="s">
        <v>2306</v>
      </c>
    </row>
    <row r="26" spans="1:21" hidden="1" x14ac:dyDescent="0.25">
      <c r="A26" s="178" t="b">
        <v>1</v>
      </c>
      <c r="B26" s="178" t="b">
        <v>1</v>
      </c>
      <c r="C26" s="179" t="s">
        <v>2304</v>
      </c>
      <c r="D26" s="171">
        <v>45510</v>
      </c>
      <c r="E26" s="167">
        <v>251</v>
      </c>
      <c r="F26" s="179" t="s">
        <v>1660</v>
      </c>
      <c r="G26" s="179">
        <v>40024</v>
      </c>
      <c r="H26" s="167" t="s">
        <v>2317</v>
      </c>
      <c r="I26" s="179" t="s">
        <v>147</v>
      </c>
      <c r="J26" s="167"/>
      <c r="K26" s="167"/>
      <c r="L26" s="167"/>
      <c r="M26" s="167"/>
      <c r="N26" s="167"/>
      <c r="O26" s="167"/>
      <c r="P26" s="173"/>
      <c r="Q26" s="173">
        <v>0</v>
      </c>
      <c r="R26" s="173">
        <v>0</v>
      </c>
      <c r="S26" s="167">
        <v>0</v>
      </c>
      <c r="T26" s="167" t="s">
        <v>2305</v>
      </c>
      <c r="U26" s="167" t="s">
        <v>2318</v>
      </c>
    </row>
    <row r="27" spans="1:21" hidden="1" x14ac:dyDescent="0.25">
      <c r="A27" s="177" t="b">
        <v>1</v>
      </c>
      <c r="B27" s="177" t="b">
        <v>1</v>
      </c>
      <c r="C27" s="175" t="s">
        <v>2304</v>
      </c>
      <c r="D27" s="170">
        <v>45510</v>
      </c>
      <c r="E27" s="166">
        <v>182</v>
      </c>
      <c r="F27" s="175" t="s">
        <v>1255</v>
      </c>
      <c r="G27" s="175">
        <v>40017</v>
      </c>
      <c r="H27" s="166" t="s">
        <v>1256</v>
      </c>
      <c r="I27" s="175" t="s">
        <v>147</v>
      </c>
      <c r="J27" s="166"/>
      <c r="K27" s="166"/>
      <c r="L27" s="166"/>
      <c r="M27" s="166"/>
      <c r="N27" s="166"/>
      <c r="O27" s="166"/>
      <c r="P27" s="172"/>
      <c r="Q27" s="172">
        <v>0</v>
      </c>
      <c r="R27" s="172">
        <v>0</v>
      </c>
      <c r="S27" s="166">
        <v>0</v>
      </c>
      <c r="T27" s="166" t="s">
        <v>2305</v>
      </c>
      <c r="U27" s="166" t="s">
        <v>2318</v>
      </c>
    </row>
    <row r="28" spans="1:21" hidden="1" x14ac:dyDescent="0.25">
      <c r="A28" s="178" t="b">
        <v>1</v>
      </c>
      <c r="B28" s="178" t="b">
        <v>1</v>
      </c>
      <c r="C28" s="179" t="s">
        <v>2304</v>
      </c>
      <c r="D28" s="171">
        <v>45510</v>
      </c>
      <c r="E28" s="167">
        <v>170</v>
      </c>
      <c r="F28" s="179" t="s">
        <v>1207</v>
      </c>
      <c r="G28" s="179">
        <v>40005</v>
      </c>
      <c r="H28" s="167" t="s">
        <v>1208</v>
      </c>
      <c r="I28" s="179" t="s">
        <v>147</v>
      </c>
      <c r="J28" s="167"/>
      <c r="K28" s="167"/>
      <c r="L28" s="167"/>
      <c r="M28" s="167"/>
      <c r="N28" s="167"/>
      <c r="O28" s="167"/>
      <c r="P28" s="173"/>
      <c r="Q28" s="173">
        <v>0</v>
      </c>
      <c r="R28" s="173">
        <v>0</v>
      </c>
      <c r="S28" s="167">
        <v>0</v>
      </c>
      <c r="T28" s="167" t="s">
        <v>2305</v>
      </c>
      <c r="U28" s="167" t="s">
        <v>2318</v>
      </c>
    </row>
    <row r="29" spans="1:21" hidden="1" x14ac:dyDescent="0.25">
      <c r="A29" s="177" t="b">
        <v>1</v>
      </c>
      <c r="B29" s="177" t="b">
        <v>1</v>
      </c>
      <c r="C29" s="175" t="s">
        <v>2304</v>
      </c>
      <c r="D29" s="170">
        <v>45510</v>
      </c>
      <c r="E29" s="166">
        <v>250</v>
      </c>
      <c r="F29" s="175" t="s">
        <v>1652</v>
      </c>
      <c r="G29" s="175">
        <v>40023</v>
      </c>
      <c r="H29" s="166" t="s">
        <v>1654</v>
      </c>
      <c r="I29" s="175" t="s">
        <v>147</v>
      </c>
      <c r="J29" s="166"/>
      <c r="K29" s="166"/>
      <c r="L29" s="166"/>
      <c r="M29" s="166"/>
      <c r="N29" s="166"/>
      <c r="O29" s="166"/>
      <c r="P29" s="172"/>
      <c r="Q29" s="172">
        <v>0</v>
      </c>
      <c r="R29" s="172">
        <v>0</v>
      </c>
      <c r="S29" s="166">
        <v>0</v>
      </c>
      <c r="T29" s="166" t="s">
        <v>2305</v>
      </c>
      <c r="U29" s="166" t="s">
        <v>2318</v>
      </c>
    </row>
    <row r="30" spans="1:21" hidden="1" x14ac:dyDescent="0.25">
      <c r="A30" s="178" t="b">
        <v>1</v>
      </c>
      <c r="B30" s="179" t="s">
        <v>2312</v>
      </c>
      <c r="C30" s="179" t="s">
        <v>2304</v>
      </c>
      <c r="D30" s="171">
        <v>45510</v>
      </c>
      <c r="E30" s="167">
        <v>320</v>
      </c>
      <c r="F30" s="179" t="s">
        <v>1720</v>
      </c>
      <c r="G30" s="179">
        <v>10115</v>
      </c>
      <c r="H30" s="167" t="s">
        <v>1721</v>
      </c>
      <c r="I30" s="179" t="s">
        <v>147</v>
      </c>
      <c r="J30" s="167"/>
      <c r="K30" s="167"/>
      <c r="L30" s="167"/>
      <c r="M30" s="167"/>
      <c r="N30" s="167"/>
      <c r="O30" s="167"/>
      <c r="P30" s="173"/>
      <c r="Q30" s="173">
        <v>0</v>
      </c>
      <c r="R30" s="173">
        <v>0</v>
      </c>
      <c r="S30" s="167">
        <v>0</v>
      </c>
      <c r="T30" s="167" t="s">
        <v>2305</v>
      </c>
      <c r="U30" s="167" t="s">
        <v>2306</v>
      </c>
    </row>
    <row r="31" spans="1:21" hidden="1" x14ac:dyDescent="0.25">
      <c r="A31" s="177" t="b">
        <v>1</v>
      </c>
      <c r="B31" s="175" t="s">
        <v>2312</v>
      </c>
      <c r="C31" s="175" t="s">
        <v>2304</v>
      </c>
      <c r="D31" s="170">
        <v>45510</v>
      </c>
      <c r="E31" s="166">
        <v>2</v>
      </c>
      <c r="F31" s="175" t="s">
        <v>144</v>
      </c>
      <c r="G31" s="175">
        <v>10001</v>
      </c>
      <c r="H31" s="166" t="s">
        <v>145</v>
      </c>
      <c r="I31" s="175" t="s">
        <v>147</v>
      </c>
      <c r="J31" s="166"/>
      <c r="K31" s="166"/>
      <c r="L31" s="166"/>
      <c r="M31" s="166"/>
      <c r="N31" s="166"/>
      <c r="O31" s="166"/>
      <c r="P31" s="172"/>
      <c r="Q31" s="172">
        <v>0</v>
      </c>
      <c r="R31" s="172">
        <v>0</v>
      </c>
      <c r="S31" s="166">
        <v>0</v>
      </c>
      <c r="T31" s="166" t="s">
        <v>2305</v>
      </c>
      <c r="U31" s="166" t="s">
        <v>2306</v>
      </c>
    </row>
    <row r="32" spans="1:21" hidden="1" x14ac:dyDescent="0.25">
      <c r="A32" s="178" t="b">
        <v>1</v>
      </c>
      <c r="B32" s="179" t="s">
        <v>2312</v>
      </c>
      <c r="C32" s="179" t="s">
        <v>2304</v>
      </c>
      <c r="D32" s="171">
        <v>45510</v>
      </c>
      <c r="E32" s="167">
        <v>18</v>
      </c>
      <c r="F32" s="179" t="s">
        <v>157</v>
      </c>
      <c r="G32" s="179">
        <v>10001</v>
      </c>
      <c r="H32" s="167" t="s">
        <v>145</v>
      </c>
      <c r="I32" s="179" t="s">
        <v>147</v>
      </c>
      <c r="J32" s="167"/>
      <c r="K32" s="167"/>
      <c r="L32" s="167"/>
      <c r="M32" s="167"/>
      <c r="N32" s="167"/>
      <c r="O32" s="167"/>
      <c r="P32" s="173"/>
      <c r="Q32" s="173">
        <v>0</v>
      </c>
      <c r="R32" s="173">
        <v>0</v>
      </c>
      <c r="S32" s="167">
        <v>0</v>
      </c>
      <c r="T32" s="167" t="s">
        <v>2305</v>
      </c>
      <c r="U32" s="167" t="s">
        <v>2306</v>
      </c>
    </row>
    <row r="33" spans="1:21" hidden="1" x14ac:dyDescent="0.25">
      <c r="A33" s="177" t="b">
        <v>1</v>
      </c>
      <c r="B33" s="175" t="s">
        <v>2312</v>
      </c>
      <c r="C33" s="175" t="s">
        <v>2304</v>
      </c>
      <c r="D33" s="170">
        <v>45510</v>
      </c>
      <c r="E33" s="166">
        <v>69</v>
      </c>
      <c r="F33" s="175" t="s">
        <v>342</v>
      </c>
      <c r="G33" s="175">
        <v>10025</v>
      </c>
      <c r="H33" s="166" t="s">
        <v>343</v>
      </c>
      <c r="I33" s="175" t="s">
        <v>147</v>
      </c>
      <c r="J33" s="166"/>
      <c r="K33" s="166"/>
      <c r="L33" s="166"/>
      <c r="M33" s="166"/>
      <c r="N33" s="166"/>
      <c r="O33" s="166"/>
      <c r="P33" s="172"/>
      <c r="Q33" s="172">
        <v>0</v>
      </c>
      <c r="R33" s="172">
        <v>0</v>
      </c>
      <c r="S33" s="166">
        <v>0</v>
      </c>
      <c r="T33" s="166" t="s">
        <v>2305</v>
      </c>
      <c r="U33" s="166" t="s">
        <v>2306</v>
      </c>
    </row>
    <row r="34" spans="1:21" hidden="1" x14ac:dyDescent="0.25">
      <c r="A34" s="179" t="s">
        <v>2312</v>
      </c>
      <c r="B34" s="179" t="s">
        <v>2312</v>
      </c>
      <c r="C34" s="179" t="s">
        <v>2304</v>
      </c>
      <c r="D34" s="171">
        <v>45510</v>
      </c>
      <c r="E34" s="167">
        <v>291</v>
      </c>
      <c r="F34" s="179" t="s">
        <v>1751</v>
      </c>
      <c r="G34" s="179">
        <v>20089</v>
      </c>
      <c r="H34" s="167" t="s">
        <v>1752</v>
      </c>
      <c r="I34" s="179" t="s">
        <v>147</v>
      </c>
      <c r="J34" s="167"/>
      <c r="K34" s="167"/>
      <c r="L34" s="167"/>
      <c r="M34" s="167"/>
      <c r="N34" s="167"/>
      <c r="O34" s="167"/>
      <c r="P34" s="173"/>
      <c r="Q34" s="173">
        <v>0</v>
      </c>
      <c r="R34" s="173">
        <v>0</v>
      </c>
      <c r="S34" s="167">
        <v>0</v>
      </c>
      <c r="T34" s="167" t="s">
        <v>2305</v>
      </c>
      <c r="U34" s="167" t="s">
        <v>2306</v>
      </c>
    </row>
    <row r="35" spans="1:21" hidden="1" x14ac:dyDescent="0.25">
      <c r="A35" s="175" t="s">
        <v>2312</v>
      </c>
      <c r="B35" s="175" t="s">
        <v>2312</v>
      </c>
      <c r="C35" s="175" t="s">
        <v>2304</v>
      </c>
      <c r="D35" s="170">
        <v>45510</v>
      </c>
      <c r="E35" s="166">
        <v>318</v>
      </c>
      <c r="F35" s="175" t="s">
        <v>1713</v>
      </c>
      <c r="G35" s="175">
        <v>10114</v>
      </c>
      <c r="H35" s="166" t="s">
        <v>1714</v>
      </c>
      <c r="I35" s="175" t="s">
        <v>147</v>
      </c>
      <c r="J35" s="166"/>
      <c r="K35" s="166"/>
      <c r="L35" s="166"/>
      <c r="M35" s="166"/>
      <c r="N35" s="166"/>
      <c r="O35" s="166"/>
      <c r="P35" s="172"/>
      <c r="Q35" s="172">
        <v>0</v>
      </c>
      <c r="R35" s="172">
        <v>0</v>
      </c>
      <c r="S35" s="166">
        <v>0</v>
      </c>
      <c r="T35" s="166" t="s">
        <v>2305</v>
      </c>
      <c r="U35" s="166" t="s">
        <v>2306</v>
      </c>
    </row>
    <row r="36" spans="1:21" hidden="1" x14ac:dyDescent="0.25">
      <c r="A36" s="178" t="b">
        <v>1</v>
      </c>
      <c r="B36" s="178" t="b">
        <v>1</v>
      </c>
      <c r="C36" s="178" t="b">
        <v>1</v>
      </c>
      <c r="D36" s="171">
        <v>45510</v>
      </c>
      <c r="E36" s="167">
        <v>271</v>
      </c>
      <c r="F36" s="179" t="s">
        <v>1393</v>
      </c>
      <c r="G36" s="179">
        <v>10092</v>
      </c>
      <c r="H36" s="167" t="s">
        <v>1386</v>
      </c>
      <c r="I36" s="179" t="s">
        <v>160</v>
      </c>
      <c r="J36" s="167"/>
      <c r="K36" s="167"/>
      <c r="L36" s="167"/>
      <c r="M36" s="167"/>
      <c r="N36" s="167"/>
      <c r="O36" s="167">
        <v>-989</v>
      </c>
      <c r="P36" s="173"/>
      <c r="Q36" s="173">
        <v>0</v>
      </c>
      <c r="R36" s="173">
        <v>0</v>
      </c>
      <c r="S36" s="167">
        <v>0</v>
      </c>
      <c r="T36" s="167" t="s">
        <v>2305</v>
      </c>
      <c r="U36" s="167" t="s">
        <v>2307</v>
      </c>
    </row>
    <row r="37" spans="1:21" hidden="1" x14ac:dyDescent="0.25">
      <c r="A37" s="177" t="b">
        <v>1</v>
      </c>
      <c r="B37" s="177" t="b">
        <v>1</v>
      </c>
      <c r="C37" s="177" t="b">
        <v>1</v>
      </c>
      <c r="D37" s="170">
        <v>45510</v>
      </c>
      <c r="E37" s="166">
        <v>270</v>
      </c>
      <c r="F37" s="175" t="s">
        <v>1385</v>
      </c>
      <c r="G37" s="175">
        <v>10092</v>
      </c>
      <c r="H37" s="166" t="s">
        <v>1386</v>
      </c>
      <c r="I37" s="175" t="s">
        <v>160</v>
      </c>
      <c r="J37" s="166"/>
      <c r="K37" s="166"/>
      <c r="L37" s="166"/>
      <c r="M37" s="166"/>
      <c r="N37" s="166"/>
      <c r="O37" s="166">
        <v>-499</v>
      </c>
      <c r="P37" s="172"/>
      <c r="Q37" s="172">
        <v>0</v>
      </c>
      <c r="R37" s="172">
        <v>0</v>
      </c>
      <c r="S37" s="166">
        <v>0</v>
      </c>
      <c r="T37" s="166" t="s">
        <v>2305</v>
      </c>
      <c r="U37" s="166" t="s">
        <v>2307</v>
      </c>
    </row>
    <row r="38" spans="1:21" hidden="1" x14ac:dyDescent="0.25">
      <c r="A38" s="179" t="s">
        <v>2312</v>
      </c>
      <c r="B38" s="179" t="s">
        <v>2312</v>
      </c>
      <c r="C38" s="179" t="s">
        <v>2304</v>
      </c>
      <c r="D38" s="171">
        <v>45510</v>
      </c>
      <c r="E38" s="167">
        <v>318</v>
      </c>
      <c r="F38" s="179" t="s">
        <v>886</v>
      </c>
      <c r="G38" s="179">
        <v>10014</v>
      </c>
      <c r="H38" s="167" t="s">
        <v>2319</v>
      </c>
      <c r="I38" s="179" t="s">
        <v>147</v>
      </c>
      <c r="J38" s="167"/>
      <c r="K38" s="167"/>
      <c r="L38" s="167"/>
      <c r="M38" s="167"/>
      <c r="N38" s="167"/>
      <c r="O38" s="167"/>
      <c r="P38" s="173"/>
      <c r="Q38" s="167"/>
      <c r="R38" s="167"/>
      <c r="S38" s="167"/>
      <c r="T38" s="167" t="s">
        <v>2305</v>
      </c>
      <c r="U38" s="167" t="s">
        <v>2306</v>
      </c>
    </row>
    <row r="39" spans="1:21" hidden="1" x14ac:dyDescent="0.25">
      <c r="A39" s="177" t="b">
        <v>1</v>
      </c>
      <c r="B39" s="175" t="s">
        <v>2312</v>
      </c>
      <c r="C39" s="175" t="s">
        <v>2304</v>
      </c>
      <c r="D39" s="170">
        <v>45510</v>
      </c>
      <c r="E39" s="166">
        <v>137</v>
      </c>
      <c r="F39" s="175" t="s">
        <v>999</v>
      </c>
      <c r="G39" s="175">
        <v>20051</v>
      </c>
      <c r="H39" s="166" t="s">
        <v>1000</v>
      </c>
      <c r="I39" s="175" t="s">
        <v>147</v>
      </c>
      <c r="J39" s="166"/>
      <c r="K39" s="166"/>
      <c r="L39" s="166"/>
      <c r="M39" s="166"/>
      <c r="N39" s="166"/>
      <c r="O39" s="166"/>
      <c r="P39" s="172"/>
      <c r="Q39" s="172">
        <v>0</v>
      </c>
      <c r="R39" s="172">
        <v>0</v>
      </c>
      <c r="S39" s="166">
        <v>0</v>
      </c>
      <c r="T39" s="166" t="s">
        <v>2305</v>
      </c>
      <c r="U39" s="166" t="s">
        <v>2306</v>
      </c>
    </row>
    <row r="40" spans="1:21" hidden="1" x14ac:dyDescent="0.25">
      <c r="A40" s="178" t="b">
        <v>1</v>
      </c>
      <c r="B40" s="179" t="s">
        <v>2312</v>
      </c>
      <c r="C40" s="179" t="s">
        <v>2304</v>
      </c>
      <c r="D40" s="171">
        <v>45510</v>
      </c>
      <c r="E40" s="167">
        <v>140</v>
      </c>
      <c r="F40" s="179" t="s">
        <v>1021</v>
      </c>
      <c r="G40" s="179">
        <v>20054</v>
      </c>
      <c r="H40" s="167" t="s">
        <v>1022</v>
      </c>
      <c r="I40" s="179" t="s">
        <v>147</v>
      </c>
      <c r="J40" s="167"/>
      <c r="K40" s="167"/>
      <c r="L40" s="167"/>
      <c r="M40" s="167"/>
      <c r="N40" s="167"/>
      <c r="O40" s="167"/>
      <c r="P40" s="173"/>
      <c r="Q40" s="173">
        <v>0</v>
      </c>
      <c r="R40" s="173">
        <v>0</v>
      </c>
      <c r="S40" s="167">
        <v>0</v>
      </c>
      <c r="T40" s="167" t="s">
        <v>2305</v>
      </c>
      <c r="U40" s="167" t="s">
        <v>2306</v>
      </c>
    </row>
    <row r="41" spans="1:21" hidden="1" x14ac:dyDescent="0.25">
      <c r="A41" s="177" t="b">
        <v>1</v>
      </c>
      <c r="B41" s="175" t="s">
        <v>2312</v>
      </c>
      <c r="C41" s="175" t="s">
        <v>2304</v>
      </c>
      <c r="D41" s="170">
        <v>45510</v>
      </c>
      <c r="E41" s="166">
        <v>146</v>
      </c>
      <c r="F41" s="175" t="s">
        <v>1057</v>
      </c>
      <c r="G41" s="175">
        <v>20059</v>
      </c>
      <c r="H41" s="166" t="s">
        <v>1058</v>
      </c>
      <c r="I41" s="175" t="s">
        <v>147</v>
      </c>
      <c r="J41" s="166"/>
      <c r="K41" s="166"/>
      <c r="L41" s="166"/>
      <c r="M41" s="166"/>
      <c r="N41" s="166"/>
      <c r="O41" s="166"/>
      <c r="P41" s="172"/>
      <c r="Q41" s="172">
        <v>0</v>
      </c>
      <c r="R41" s="172">
        <v>0</v>
      </c>
      <c r="S41" s="166">
        <v>0</v>
      </c>
      <c r="T41" s="166" t="s">
        <v>2305</v>
      </c>
      <c r="U41" s="166" t="s">
        <v>2306</v>
      </c>
    </row>
    <row r="42" spans="1:21" hidden="1" x14ac:dyDescent="0.25">
      <c r="A42" s="178" t="b">
        <v>1</v>
      </c>
      <c r="B42" s="179" t="s">
        <v>2312</v>
      </c>
      <c r="C42" s="179" t="s">
        <v>2304</v>
      </c>
      <c r="D42" s="171">
        <v>45510</v>
      </c>
      <c r="E42" s="167">
        <v>80</v>
      </c>
      <c r="F42" s="179" t="s">
        <v>544</v>
      </c>
      <c r="G42" s="179">
        <v>20079</v>
      </c>
      <c r="H42" s="167" t="s">
        <v>533</v>
      </c>
      <c r="I42" s="179" t="s">
        <v>147</v>
      </c>
      <c r="J42" s="167"/>
      <c r="K42" s="167"/>
      <c r="L42" s="167"/>
      <c r="M42" s="167"/>
      <c r="N42" s="167"/>
      <c r="O42" s="167"/>
      <c r="P42" s="173"/>
      <c r="Q42" s="173">
        <v>0</v>
      </c>
      <c r="R42" s="173">
        <v>0</v>
      </c>
      <c r="S42" s="167">
        <v>0</v>
      </c>
      <c r="T42" s="167" t="s">
        <v>2305</v>
      </c>
      <c r="U42" s="167" t="s">
        <v>2306</v>
      </c>
    </row>
    <row r="43" spans="1:21" hidden="1" x14ac:dyDescent="0.25">
      <c r="A43" s="177" t="b">
        <v>1</v>
      </c>
      <c r="B43" s="175" t="s">
        <v>2312</v>
      </c>
      <c r="C43" s="175" t="s">
        <v>2304</v>
      </c>
      <c r="D43" s="170">
        <v>45510</v>
      </c>
      <c r="E43" s="166">
        <v>79</v>
      </c>
      <c r="F43" s="175" t="s">
        <v>537</v>
      </c>
      <c r="G43" s="175">
        <v>20078</v>
      </c>
      <c r="H43" s="166" t="s">
        <v>2320</v>
      </c>
      <c r="I43" s="175" t="s">
        <v>147</v>
      </c>
      <c r="J43" s="166"/>
      <c r="K43" s="166"/>
      <c r="L43" s="166"/>
      <c r="M43" s="166"/>
      <c r="N43" s="166"/>
      <c r="O43" s="166"/>
      <c r="P43" s="172"/>
      <c r="Q43" s="172">
        <v>0</v>
      </c>
      <c r="R43" s="172">
        <v>0</v>
      </c>
      <c r="S43" s="166">
        <v>0</v>
      </c>
      <c r="T43" s="166" t="s">
        <v>2305</v>
      </c>
      <c r="U43" s="166" t="s">
        <v>2306</v>
      </c>
    </row>
    <row r="44" spans="1:21" hidden="1" x14ac:dyDescent="0.25">
      <c r="A44" s="179" t="s">
        <v>2312</v>
      </c>
      <c r="B44" s="179" t="s">
        <v>2312</v>
      </c>
      <c r="C44" s="179" t="s">
        <v>2304</v>
      </c>
      <c r="D44" s="171">
        <v>45510</v>
      </c>
      <c r="E44" s="167">
        <v>80</v>
      </c>
      <c r="F44" s="179" t="s">
        <v>544</v>
      </c>
      <c r="G44" s="179">
        <v>20079</v>
      </c>
      <c r="H44" s="167" t="s">
        <v>545</v>
      </c>
      <c r="I44" s="179" t="s">
        <v>147</v>
      </c>
      <c r="J44" s="167"/>
      <c r="K44" s="167"/>
      <c r="L44" s="167"/>
      <c r="M44" s="167"/>
      <c r="N44" s="167"/>
      <c r="O44" s="167"/>
      <c r="P44" s="173"/>
      <c r="Q44" s="167"/>
      <c r="R44" s="167"/>
      <c r="S44" s="167"/>
      <c r="T44" s="167" t="s">
        <v>2305</v>
      </c>
      <c r="U44" s="167" t="s">
        <v>2306</v>
      </c>
    </row>
    <row r="45" spans="1:21" hidden="1" x14ac:dyDescent="0.25">
      <c r="A45" s="175" t="s">
        <v>2304</v>
      </c>
      <c r="B45" s="177" t="b">
        <v>1</v>
      </c>
      <c r="C45" s="175" t="s">
        <v>2304</v>
      </c>
      <c r="D45" s="170">
        <v>45510</v>
      </c>
      <c r="E45" s="166">
        <v>317</v>
      </c>
      <c r="F45" s="175" t="s">
        <v>1671</v>
      </c>
      <c r="G45" s="175">
        <v>10094</v>
      </c>
      <c r="H45" s="166" t="s">
        <v>1404</v>
      </c>
      <c r="I45" s="175"/>
      <c r="J45" s="166"/>
      <c r="K45" s="166"/>
      <c r="L45" s="166"/>
      <c r="M45" s="166"/>
      <c r="N45" s="166"/>
      <c r="O45" s="166"/>
      <c r="P45" s="172"/>
      <c r="Q45" s="172">
        <v>0.5</v>
      </c>
      <c r="R45" s="172">
        <v>0.5</v>
      </c>
      <c r="S45" s="172">
        <v>0.5</v>
      </c>
      <c r="T45" s="166" t="s">
        <v>2305</v>
      </c>
      <c r="U45" s="166" t="s">
        <v>2321</v>
      </c>
    </row>
    <row r="46" spans="1:21" hidden="1" x14ac:dyDescent="0.25">
      <c r="A46" s="179" t="s">
        <v>2304</v>
      </c>
      <c r="B46" s="178" t="b">
        <v>1</v>
      </c>
      <c r="C46" s="179" t="s">
        <v>2304</v>
      </c>
      <c r="D46" s="171">
        <v>45510</v>
      </c>
      <c r="E46" s="167">
        <v>358</v>
      </c>
      <c r="F46" s="179" t="s">
        <v>1839</v>
      </c>
      <c r="G46" s="179">
        <v>10094</v>
      </c>
      <c r="H46" s="167" t="s">
        <v>1404</v>
      </c>
      <c r="I46" s="179"/>
      <c r="J46" s="167"/>
      <c r="K46" s="167"/>
      <c r="L46" s="167"/>
      <c r="M46" s="167"/>
      <c r="N46" s="167"/>
      <c r="O46" s="167"/>
      <c r="P46" s="173"/>
      <c r="Q46" s="173">
        <v>0.5</v>
      </c>
      <c r="R46" s="173">
        <v>0.5</v>
      </c>
      <c r="S46" s="173">
        <v>0.5</v>
      </c>
      <c r="T46" s="167" t="s">
        <v>2305</v>
      </c>
      <c r="U46" s="167" t="s">
        <v>2321</v>
      </c>
    </row>
    <row r="47" spans="1:21" hidden="1" x14ac:dyDescent="0.25">
      <c r="A47" s="177" t="b">
        <v>0</v>
      </c>
      <c r="B47" s="177" t="b">
        <v>0</v>
      </c>
      <c r="C47" s="177" t="b">
        <v>0</v>
      </c>
      <c r="D47" s="247" t="s">
        <v>2308</v>
      </c>
      <c r="E47" s="166">
        <v>81</v>
      </c>
      <c r="F47" s="175" t="s">
        <v>551</v>
      </c>
      <c r="G47" s="175">
        <v>20080</v>
      </c>
      <c r="H47" s="166" t="s">
        <v>552</v>
      </c>
      <c r="I47" s="175"/>
      <c r="J47" s="166"/>
      <c r="K47" s="166"/>
      <c r="L47" s="166"/>
      <c r="M47" s="166"/>
      <c r="N47" s="166"/>
      <c r="O47" s="166"/>
      <c r="P47" s="172"/>
      <c r="Q47" s="166"/>
      <c r="R47" s="166"/>
      <c r="S47" s="166"/>
      <c r="T47" s="166" t="s">
        <v>2305</v>
      </c>
      <c r="U47" s="166" t="s">
        <v>2322</v>
      </c>
    </row>
    <row r="48" spans="1:21" hidden="1" x14ac:dyDescent="0.25">
      <c r="A48" s="179" t="s">
        <v>2304</v>
      </c>
      <c r="B48" s="177" t="b">
        <v>1</v>
      </c>
      <c r="C48" s="179" t="s">
        <v>2304</v>
      </c>
      <c r="D48" s="171">
        <v>45518</v>
      </c>
      <c r="E48" s="167">
        <v>337</v>
      </c>
      <c r="F48" s="179" t="s">
        <v>1698</v>
      </c>
      <c r="G48" s="179">
        <v>10112</v>
      </c>
      <c r="H48" s="167" t="s">
        <v>1699</v>
      </c>
      <c r="I48" s="179"/>
      <c r="J48" s="167"/>
      <c r="K48" s="167"/>
      <c r="L48" s="167"/>
      <c r="M48" s="167"/>
      <c r="N48" s="167"/>
      <c r="O48" s="167"/>
      <c r="P48" s="173"/>
      <c r="Q48" s="173">
        <v>0</v>
      </c>
      <c r="R48" s="173">
        <v>0</v>
      </c>
      <c r="S48" s="167">
        <v>0</v>
      </c>
      <c r="T48" s="167" t="s">
        <v>2305</v>
      </c>
      <c r="U48" s="167" t="s">
        <v>2323</v>
      </c>
    </row>
    <row r="49" spans="1:21" hidden="1" x14ac:dyDescent="0.25">
      <c r="A49" s="175" t="s">
        <v>2304</v>
      </c>
      <c r="B49" s="175" t="s">
        <v>2304</v>
      </c>
      <c r="C49" s="175" t="s">
        <v>2304</v>
      </c>
      <c r="D49" s="170">
        <v>45524</v>
      </c>
      <c r="E49" s="166" t="s">
        <v>2324</v>
      </c>
      <c r="F49" s="175"/>
      <c r="G49" s="175"/>
      <c r="H49" s="166" t="s">
        <v>2325</v>
      </c>
      <c r="I49" s="175"/>
      <c r="J49" s="166"/>
      <c r="K49" s="166"/>
      <c r="L49" s="166"/>
      <c r="M49" s="166"/>
      <c r="N49" s="166"/>
      <c r="O49" s="166"/>
      <c r="P49" s="172"/>
      <c r="Q49" s="166"/>
      <c r="R49" s="166"/>
      <c r="S49" s="166"/>
      <c r="T49" s="166" t="s">
        <v>2305</v>
      </c>
      <c r="U49" s="166"/>
    </row>
    <row r="50" spans="1:21" hidden="1" x14ac:dyDescent="0.25">
      <c r="A50" s="179" t="s">
        <v>2304</v>
      </c>
      <c r="B50" s="179" t="s">
        <v>2304</v>
      </c>
      <c r="C50" s="179" t="s">
        <v>2304</v>
      </c>
      <c r="D50" s="170">
        <v>45524</v>
      </c>
      <c r="E50" s="167" t="s">
        <v>2326</v>
      </c>
      <c r="F50" s="179"/>
      <c r="G50" s="179"/>
      <c r="H50" s="167" t="s">
        <v>2327</v>
      </c>
      <c r="I50" s="179"/>
      <c r="J50" s="167"/>
      <c r="K50" s="167"/>
      <c r="L50" s="167"/>
      <c r="M50" s="167"/>
      <c r="N50" s="167"/>
      <c r="O50" s="167"/>
      <c r="P50" s="173"/>
      <c r="Q50" s="167"/>
      <c r="R50" s="167"/>
      <c r="S50" s="167"/>
      <c r="T50" s="167" t="s">
        <v>2305</v>
      </c>
      <c r="U50" s="167"/>
    </row>
    <row r="51" spans="1:21" hidden="1" x14ac:dyDescent="0.25">
      <c r="A51" s="177" t="s">
        <v>2304</v>
      </c>
      <c r="B51" s="177" t="b">
        <v>1</v>
      </c>
      <c r="C51" s="177" t="s">
        <v>2304</v>
      </c>
      <c r="D51" s="170">
        <v>45520</v>
      </c>
      <c r="E51" s="166">
        <v>166</v>
      </c>
      <c r="F51" s="175" t="s">
        <v>1612</v>
      </c>
      <c r="G51" s="175">
        <v>30032</v>
      </c>
      <c r="H51" s="166" t="s">
        <v>1613</v>
      </c>
      <c r="I51" s="175"/>
      <c r="J51" s="166"/>
      <c r="K51" s="166"/>
      <c r="L51" s="166"/>
      <c r="M51" s="166"/>
      <c r="N51" s="166"/>
      <c r="O51" s="166"/>
      <c r="P51" s="172"/>
      <c r="Q51" s="172">
        <v>0.3</v>
      </c>
      <c r="R51" s="172">
        <v>0.3</v>
      </c>
      <c r="S51" s="166">
        <v>350</v>
      </c>
      <c r="T51" s="166" t="s">
        <v>2305</v>
      </c>
      <c r="U51" s="166" t="s">
        <v>2328</v>
      </c>
    </row>
    <row r="52" spans="1:21" hidden="1" x14ac:dyDescent="0.25">
      <c r="A52" s="178" t="b">
        <v>1</v>
      </c>
      <c r="B52" s="178" t="b">
        <v>1</v>
      </c>
      <c r="C52" s="178" t="b">
        <v>1</v>
      </c>
      <c r="D52" s="171">
        <v>45523</v>
      </c>
      <c r="E52" s="167">
        <v>140</v>
      </c>
      <c r="F52" s="179" t="s">
        <v>1108</v>
      </c>
      <c r="G52" s="179">
        <v>30013</v>
      </c>
      <c r="H52" s="167" t="s">
        <v>2313</v>
      </c>
      <c r="I52" s="179" t="s">
        <v>160</v>
      </c>
      <c r="J52" s="167"/>
      <c r="K52" s="167"/>
      <c r="L52" s="167"/>
      <c r="M52" s="167"/>
      <c r="N52" s="167"/>
      <c r="O52" s="167">
        <v>-1089</v>
      </c>
      <c r="P52" s="173"/>
      <c r="Q52" s="173">
        <v>0</v>
      </c>
      <c r="R52" s="173">
        <v>0</v>
      </c>
      <c r="S52" s="167">
        <v>0</v>
      </c>
      <c r="T52" s="167" t="s">
        <v>2305</v>
      </c>
      <c r="U52" s="167" t="s">
        <v>2307</v>
      </c>
    </row>
    <row r="53" spans="1:21" hidden="1" x14ac:dyDescent="0.25">
      <c r="A53" s="177" t="b">
        <v>1</v>
      </c>
      <c r="B53" s="177" t="b">
        <v>1</v>
      </c>
      <c r="C53" s="177" t="b">
        <v>1</v>
      </c>
      <c r="D53" s="170">
        <v>45523</v>
      </c>
      <c r="E53" s="166">
        <v>144</v>
      </c>
      <c r="F53" s="175" t="s">
        <v>1158</v>
      </c>
      <c r="G53" s="175">
        <v>30021</v>
      </c>
      <c r="H53" s="166" t="s">
        <v>2329</v>
      </c>
      <c r="I53" s="175" t="s">
        <v>160</v>
      </c>
      <c r="J53" s="166"/>
      <c r="K53" s="166"/>
      <c r="L53" s="166"/>
      <c r="M53" s="166"/>
      <c r="N53" s="166"/>
      <c r="O53" s="166">
        <v>-1150</v>
      </c>
      <c r="P53" s="172"/>
      <c r="Q53" s="172">
        <v>0</v>
      </c>
      <c r="R53" s="172">
        <v>0</v>
      </c>
      <c r="S53" s="166">
        <v>0</v>
      </c>
      <c r="T53" s="166" t="s">
        <v>2305</v>
      </c>
      <c r="U53" s="166" t="s">
        <v>2307</v>
      </c>
    </row>
    <row r="54" spans="1:21" hidden="1" x14ac:dyDescent="0.25">
      <c r="A54" s="179" t="s">
        <v>2304</v>
      </c>
      <c r="B54" s="178" t="b">
        <v>1</v>
      </c>
      <c r="C54" s="179" t="s">
        <v>2304</v>
      </c>
      <c r="D54" s="174">
        <v>45525</v>
      </c>
      <c r="E54" s="167">
        <v>363</v>
      </c>
      <c r="F54" s="179" t="s">
        <v>2018</v>
      </c>
      <c r="G54" s="179">
        <v>10127</v>
      </c>
      <c r="H54" s="167" t="s">
        <v>2019</v>
      </c>
      <c r="I54" s="179"/>
      <c r="J54" s="167"/>
      <c r="K54" s="167">
        <v>1100</v>
      </c>
      <c r="L54" s="167"/>
      <c r="M54" s="167"/>
      <c r="N54" s="167"/>
      <c r="O54" s="167"/>
      <c r="P54" s="173"/>
      <c r="Q54" s="167"/>
      <c r="R54" s="167"/>
      <c r="S54" s="167"/>
      <c r="T54" s="167" t="s">
        <v>2305</v>
      </c>
      <c r="U54" s="167" t="s">
        <v>2330</v>
      </c>
    </row>
    <row r="55" spans="1:21" hidden="1" x14ac:dyDescent="0.25">
      <c r="A55" s="175" t="s">
        <v>2304</v>
      </c>
      <c r="B55" s="177" t="b">
        <v>1</v>
      </c>
      <c r="C55" s="175" t="s">
        <v>2304</v>
      </c>
      <c r="D55" s="170">
        <v>45525</v>
      </c>
      <c r="E55" s="166">
        <v>326</v>
      </c>
      <c r="F55" s="175" t="s">
        <v>1745</v>
      </c>
      <c r="G55" s="175">
        <v>10119</v>
      </c>
      <c r="H55" s="166" t="s">
        <v>2331</v>
      </c>
      <c r="I55" s="175"/>
      <c r="J55" s="166"/>
      <c r="K55" s="166"/>
      <c r="L55" s="166"/>
      <c r="M55" s="166"/>
      <c r="N55" s="166">
        <v>25</v>
      </c>
      <c r="O55" s="166"/>
      <c r="P55" s="172"/>
      <c r="Q55" s="166"/>
      <c r="R55" s="166"/>
      <c r="S55" s="166"/>
      <c r="T55" s="166" t="s">
        <v>2305</v>
      </c>
      <c r="U55" s="166" t="s">
        <v>2330</v>
      </c>
    </row>
    <row r="56" spans="1:21" hidden="1" x14ac:dyDescent="0.25">
      <c r="A56" s="179" t="s">
        <v>2304</v>
      </c>
      <c r="B56" s="178" t="b">
        <v>1</v>
      </c>
      <c r="C56" s="179" t="s">
        <v>2304</v>
      </c>
      <c r="D56" s="174">
        <v>45525</v>
      </c>
      <c r="E56" s="167">
        <v>369</v>
      </c>
      <c r="F56" s="179" t="s">
        <v>1999</v>
      </c>
      <c r="G56" s="179">
        <v>10115</v>
      </c>
      <c r="H56" s="167" t="s">
        <v>1721</v>
      </c>
      <c r="I56" s="179"/>
      <c r="J56" s="167"/>
      <c r="K56" s="167">
        <v>1100</v>
      </c>
      <c r="L56" s="167"/>
      <c r="M56" s="167"/>
      <c r="N56" s="167"/>
      <c r="O56" s="167"/>
      <c r="P56" s="173"/>
      <c r="Q56" s="167"/>
      <c r="R56" s="167"/>
      <c r="S56" s="167"/>
      <c r="T56" s="167" t="s">
        <v>2305</v>
      </c>
      <c r="U56" s="167" t="s">
        <v>2330</v>
      </c>
    </row>
    <row r="57" spans="1:21" hidden="1" x14ac:dyDescent="0.25">
      <c r="A57" s="175" t="s">
        <v>2304</v>
      </c>
      <c r="B57" s="177" t="b">
        <v>1</v>
      </c>
      <c r="C57" s="175" t="s">
        <v>2304</v>
      </c>
      <c r="D57" s="170">
        <v>45525</v>
      </c>
      <c r="E57" s="166">
        <v>368</v>
      </c>
      <c r="F57" s="175" t="s">
        <v>2047</v>
      </c>
      <c r="G57" s="175">
        <v>10131</v>
      </c>
      <c r="H57" s="166" t="s">
        <v>2048</v>
      </c>
      <c r="I57" s="175"/>
      <c r="J57" s="166"/>
      <c r="K57" s="166">
        <v>1870</v>
      </c>
      <c r="L57" s="166"/>
      <c r="M57" s="166"/>
      <c r="N57" s="166"/>
      <c r="O57" s="166"/>
      <c r="P57" s="172"/>
      <c r="Q57" s="166"/>
      <c r="R57" s="166"/>
      <c r="S57" s="166"/>
      <c r="T57" s="166" t="s">
        <v>2305</v>
      </c>
      <c r="U57" s="166" t="s">
        <v>2330</v>
      </c>
    </row>
    <row r="58" spans="1:21" hidden="1" x14ac:dyDescent="0.25">
      <c r="A58" s="179" t="s">
        <v>2304</v>
      </c>
      <c r="B58" s="181" t="s">
        <v>2312</v>
      </c>
      <c r="C58" s="179" t="s">
        <v>2304</v>
      </c>
      <c r="D58" s="174">
        <v>45525</v>
      </c>
      <c r="E58" s="167">
        <v>371</v>
      </c>
      <c r="F58" s="179" t="s">
        <v>1993</v>
      </c>
      <c r="G58" s="179">
        <v>10104</v>
      </c>
      <c r="H58" s="167" t="s">
        <v>1477</v>
      </c>
      <c r="I58" s="179"/>
      <c r="J58" s="167"/>
      <c r="K58" s="167">
        <v>2200</v>
      </c>
      <c r="L58" s="167"/>
      <c r="M58" s="167"/>
      <c r="N58" s="167"/>
      <c r="O58" s="167"/>
      <c r="P58" s="173"/>
      <c r="Q58" s="167"/>
      <c r="R58" s="167"/>
      <c r="S58" s="167"/>
      <c r="T58" s="167" t="s">
        <v>2305</v>
      </c>
      <c r="U58" s="167" t="s">
        <v>2332</v>
      </c>
    </row>
    <row r="59" spans="1:21" hidden="1" x14ac:dyDescent="0.25">
      <c r="A59" s="175" t="s">
        <v>2304</v>
      </c>
      <c r="B59" s="181" t="s">
        <v>2312</v>
      </c>
      <c r="C59" s="175" t="s">
        <v>2304</v>
      </c>
      <c r="D59" s="170">
        <v>45525</v>
      </c>
      <c r="E59" s="166">
        <v>367</v>
      </c>
      <c r="F59" s="175" t="s">
        <v>2041</v>
      </c>
      <c r="G59" s="175">
        <v>10130</v>
      </c>
      <c r="H59" s="166" t="s">
        <v>2042</v>
      </c>
      <c r="I59" s="175"/>
      <c r="J59" s="166"/>
      <c r="K59" s="166"/>
      <c r="L59" s="166"/>
      <c r="M59" s="166"/>
      <c r="N59" s="166"/>
      <c r="O59" s="166"/>
      <c r="P59" s="172"/>
      <c r="Q59" s="166"/>
      <c r="R59" s="166"/>
      <c r="S59" s="166"/>
      <c r="T59" s="166" t="s">
        <v>2305</v>
      </c>
      <c r="U59" s="166" t="s">
        <v>2332</v>
      </c>
    </row>
    <row r="60" spans="1:21" hidden="1" x14ac:dyDescent="0.25">
      <c r="A60" s="179" t="s">
        <v>2304</v>
      </c>
      <c r="B60" s="181" t="s">
        <v>2312</v>
      </c>
      <c r="C60" s="179" t="s">
        <v>2304</v>
      </c>
      <c r="D60" s="171">
        <v>45525</v>
      </c>
      <c r="E60" s="167">
        <v>366</v>
      </c>
      <c r="F60" s="179" t="s">
        <v>2034</v>
      </c>
      <c r="G60" s="179">
        <v>10129</v>
      </c>
      <c r="H60" s="167" t="s">
        <v>2035</v>
      </c>
      <c r="I60" s="179"/>
      <c r="J60" s="167"/>
      <c r="K60" s="167"/>
      <c r="L60" s="167"/>
      <c r="M60" s="167"/>
      <c r="N60" s="167"/>
      <c r="O60" s="167"/>
      <c r="P60" s="173"/>
      <c r="Q60" s="167"/>
      <c r="R60" s="167"/>
      <c r="S60" s="167"/>
      <c r="T60" s="167" t="s">
        <v>2305</v>
      </c>
      <c r="U60" s="167" t="s">
        <v>2333</v>
      </c>
    </row>
    <row r="61" spans="1:21" hidden="1" x14ac:dyDescent="0.25">
      <c r="A61" s="177" t="b">
        <v>1</v>
      </c>
      <c r="B61" s="177" t="b">
        <v>1</v>
      </c>
      <c r="C61" s="177" t="b">
        <v>1</v>
      </c>
      <c r="D61" s="170">
        <v>45526</v>
      </c>
      <c r="E61" s="166">
        <v>130</v>
      </c>
      <c r="F61" s="175" t="s">
        <v>953</v>
      </c>
      <c r="G61" s="175">
        <v>20044</v>
      </c>
      <c r="H61" s="166" t="s">
        <v>954</v>
      </c>
      <c r="I61" s="175" t="s">
        <v>160</v>
      </c>
      <c r="J61" s="166"/>
      <c r="K61" s="166"/>
      <c r="L61" s="166"/>
      <c r="M61" s="166"/>
      <c r="N61" s="166"/>
      <c r="O61" s="166">
        <v>-3600</v>
      </c>
      <c r="P61" s="172"/>
      <c r="Q61" s="172">
        <v>0</v>
      </c>
      <c r="R61" s="172">
        <v>0</v>
      </c>
      <c r="S61" s="166">
        <v>0</v>
      </c>
      <c r="T61" s="166" t="s">
        <v>2305</v>
      </c>
      <c r="U61" s="166" t="s">
        <v>2307</v>
      </c>
    </row>
    <row r="62" spans="1:21" hidden="1" x14ac:dyDescent="0.25">
      <c r="A62" s="179" t="s">
        <v>2304</v>
      </c>
      <c r="B62" s="179" t="s">
        <v>2304</v>
      </c>
      <c r="C62" s="179" t="s">
        <v>2304</v>
      </c>
      <c r="D62" s="171">
        <v>45526</v>
      </c>
      <c r="E62" s="167" t="s">
        <v>2334</v>
      </c>
      <c r="F62" s="179"/>
      <c r="G62" s="179"/>
      <c r="H62" s="167" t="s">
        <v>2335</v>
      </c>
      <c r="I62" s="179"/>
      <c r="J62" s="167"/>
      <c r="K62" s="167"/>
      <c r="L62" s="167"/>
      <c r="M62" s="167"/>
      <c r="N62" s="167"/>
      <c r="O62" s="167"/>
      <c r="P62" s="173"/>
      <c r="Q62" s="167"/>
      <c r="R62" s="167"/>
      <c r="S62" s="167"/>
      <c r="T62" s="167" t="s">
        <v>2305</v>
      </c>
      <c r="U62" s="167"/>
    </row>
    <row r="63" spans="1:21" hidden="1" x14ac:dyDescent="0.25">
      <c r="A63" s="177" t="s">
        <v>2304</v>
      </c>
      <c r="B63" s="177" t="b">
        <v>1</v>
      </c>
      <c r="C63" s="177" t="s">
        <v>2304</v>
      </c>
      <c r="D63" s="170">
        <v>45527</v>
      </c>
      <c r="E63" s="166" t="s">
        <v>2336</v>
      </c>
      <c r="F63" s="175"/>
      <c r="G63" s="175"/>
      <c r="H63" s="166" t="s">
        <v>2337</v>
      </c>
      <c r="I63" s="175"/>
      <c r="J63" s="166"/>
      <c r="K63" s="166"/>
      <c r="L63" s="166"/>
      <c r="M63" s="166"/>
      <c r="N63" s="166"/>
      <c r="O63" s="166"/>
      <c r="P63" s="172"/>
      <c r="Q63" s="172"/>
      <c r="R63" s="172"/>
      <c r="S63" s="166"/>
      <c r="T63" s="166" t="s">
        <v>2338</v>
      </c>
      <c r="U63" s="166"/>
    </row>
    <row r="64" spans="1:21" hidden="1" x14ac:dyDescent="0.25">
      <c r="A64" s="184" t="b">
        <v>1</v>
      </c>
      <c r="B64" s="184" t="b">
        <v>1</v>
      </c>
      <c r="C64" s="184" t="b">
        <v>1</v>
      </c>
      <c r="D64" s="171">
        <v>45530</v>
      </c>
      <c r="E64" s="167">
        <v>87</v>
      </c>
      <c r="F64" s="179" t="s">
        <v>537</v>
      </c>
      <c r="G64" s="179">
        <v>20078</v>
      </c>
      <c r="H64" s="167" t="s">
        <v>2339</v>
      </c>
      <c r="I64" s="179" t="s">
        <v>160</v>
      </c>
      <c r="J64" s="167"/>
      <c r="K64" s="167"/>
      <c r="L64" s="167"/>
      <c r="M64" s="167"/>
      <c r="N64" s="167"/>
      <c r="O64" s="167">
        <v>-1700</v>
      </c>
      <c r="P64" s="173"/>
      <c r="Q64" s="167">
        <v>0</v>
      </c>
      <c r="R64" s="167">
        <v>0</v>
      </c>
      <c r="S64" s="167">
        <v>0</v>
      </c>
      <c r="T64" s="167" t="s">
        <v>2305</v>
      </c>
      <c r="U64" s="167" t="s">
        <v>2307</v>
      </c>
    </row>
    <row r="65" spans="1:21" hidden="1" x14ac:dyDescent="0.25">
      <c r="A65" s="177" t="s">
        <v>2304</v>
      </c>
      <c r="B65" s="181" t="s">
        <v>2312</v>
      </c>
      <c r="C65" s="177" t="s">
        <v>2304</v>
      </c>
      <c r="D65" s="170">
        <v>45531</v>
      </c>
      <c r="E65" s="166">
        <v>379</v>
      </c>
      <c r="F65" s="175" t="s">
        <v>2007</v>
      </c>
      <c r="G65" s="175">
        <v>10125</v>
      </c>
      <c r="H65" s="166" t="s">
        <v>1879</v>
      </c>
      <c r="I65" s="175"/>
      <c r="J65" s="166"/>
      <c r="K65" s="166">
        <v>2200</v>
      </c>
      <c r="L65" s="166"/>
      <c r="M65" s="166"/>
      <c r="N65" s="166">
        <v>550</v>
      </c>
      <c r="O65" s="166"/>
      <c r="P65" s="172"/>
      <c r="Q65" s="172"/>
      <c r="R65" s="172"/>
      <c r="S65" s="166"/>
      <c r="T65" s="166"/>
      <c r="U65" s="166"/>
    </row>
    <row r="66" spans="1:21" hidden="1" x14ac:dyDescent="0.25">
      <c r="A66" s="178" t="s">
        <v>2304</v>
      </c>
      <c r="B66" s="178" t="b">
        <v>1</v>
      </c>
      <c r="C66" s="178" t="s">
        <v>2304</v>
      </c>
      <c r="D66" s="171">
        <v>45531</v>
      </c>
      <c r="E66" s="167">
        <v>361</v>
      </c>
      <c r="F66" s="179" t="s">
        <v>1850</v>
      </c>
      <c r="G66" s="179">
        <v>10121</v>
      </c>
      <c r="H66" s="167" t="s">
        <v>1851</v>
      </c>
      <c r="I66" s="179"/>
      <c r="J66" s="167"/>
      <c r="K66" s="167"/>
      <c r="L66" s="167"/>
      <c r="M66" s="167"/>
      <c r="N66" s="167">
        <v>475</v>
      </c>
      <c r="O66" s="167"/>
      <c r="P66" s="173"/>
      <c r="Q66" s="167"/>
      <c r="R66" s="167"/>
      <c r="S66" s="167"/>
      <c r="T66" s="167"/>
      <c r="U66" s="167"/>
    </row>
    <row r="67" spans="1:21" hidden="1" x14ac:dyDescent="0.25">
      <c r="A67" s="177" t="s">
        <v>2304</v>
      </c>
      <c r="B67" s="177" t="b">
        <v>1</v>
      </c>
      <c r="C67" s="177" t="s">
        <v>2304</v>
      </c>
      <c r="D67" s="170">
        <v>45531</v>
      </c>
      <c r="E67" s="166">
        <v>374</v>
      </c>
      <c r="F67" s="175" t="s">
        <v>2003</v>
      </c>
      <c r="G67" s="175">
        <v>10123</v>
      </c>
      <c r="H67" s="166" t="s">
        <v>1865</v>
      </c>
      <c r="I67" s="175"/>
      <c r="J67" s="166"/>
      <c r="K67" s="166">
        <v>660</v>
      </c>
      <c r="L67" s="166"/>
      <c r="M67" s="166"/>
      <c r="N67" s="166">
        <v>200</v>
      </c>
      <c r="O67" s="166"/>
      <c r="P67" s="172"/>
      <c r="Q67" s="172"/>
      <c r="R67" s="172"/>
      <c r="S67" s="166"/>
      <c r="T67" s="166"/>
      <c r="U67" s="166"/>
    </row>
    <row r="68" spans="1:21" hidden="1" x14ac:dyDescent="0.25">
      <c r="A68" s="178" t="s">
        <v>2304</v>
      </c>
      <c r="B68" s="178" t="b">
        <v>1</v>
      </c>
      <c r="C68" s="178" t="s">
        <v>2304</v>
      </c>
      <c r="D68" s="171">
        <v>45531</v>
      </c>
      <c r="E68" s="167">
        <v>328</v>
      </c>
      <c r="F68" s="179" t="s">
        <v>1732</v>
      </c>
      <c r="G68" s="179">
        <v>10117</v>
      </c>
      <c r="H68" s="167" t="s">
        <v>1733</v>
      </c>
      <c r="I68" s="179"/>
      <c r="J68" s="167"/>
      <c r="K68" s="167"/>
      <c r="L68" s="167"/>
      <c r="M68" s="167"/>
      <c r="N68" s="167">
        <v>625</v>
      </c>
      <c r="O68" s="167"/>
      <c r="P68" s="173"/>
      <c r="Q68" s="167"/>
      <c r="R68" s="167"/>
      <c r="S68" s="167"/>
      <c r="T68" s="167"/>
      <c r="U68" s="167"/>
    </row>
    <row r="69" spans="1:21" hidden="1" x14ac:dyDescent="0.25">
      <c r="A69" s="177" t="s">
        <v>2304</v>
      </c>
      <c r="B69" s="177" t="b">
        <v>1</v>
      </c>
      <c r="C69" s="177" t="s">
        <v>2304</v>
      </c>
      <c r="D69" s="170">
        <v>45531</v>
      </c>
      <c r="E69" s="166">
        <v>360</v>
      </c>
      <c r="F69" s="175" t="s">
        <v>1844</v>
      </c>
      <c r="G69" s="175">
        <v>10120</v>
      </c>
      <c r="H69" s="166" t="s">
        <v>1845</v>
      </c>
      <c r="I69" s="175"/>
      <c r="J69" s="166"/>
      <c r="K69" s="166"/>
      <c r="L69" s="166"/>
      <c r="M69" s="166"/>
      <c r="N69" s="166">
        <v>200</v>
      </c>
      <c r="O69" s="166"/>
      <c r="P69" s="172"/>
      <c r="Q69" s="172"/>
      <c r="R69" s="172"/>
      <c r="S69" s="166"/>
      <c r="T69" s="166"/>
      <c r="U69" s="166"/>
    </row>
    <row r="70" spans="1:21" hidden="1" x14ac:dyDescent="0.25">
      <c r="A70" s="178" t="s">
        <v>2304</v>
      </c>
      <c r="B70" s="178" t="b">
        <v>1</v>
      </c>
      <c r="C70" s="178" t="s">
        <v>2304</v>
      </c>
      <c r="D70" s="171">
        <v>45531</v>
      </c>
      <c r="E70" s="167">
        <v>365</v>
      </c>
      <c r="F70" s="179" t="s">
        <v>1871</v>
      </c>
      <c r="G70" s="179">
        <v>10124</v>
      </c>
      <c r="H70" s="167" t="s">
        <v>1872</v>
      </c>
      <c r="I70" s="179"/>
      <c r="J70" s="167"/>
      <c r="K70" s="167"/>
      <c r="L70" s="167"/>
      <c r="M70" s="167"/>
      <c r="N70" s="167">
        <v>200</v>
      </c>
      <c r="O70" s="167"/>
      <c r="P70" s="173"/>
      <c r="Q70" s="167"/>
      <c r="R70" s="167"/>
      <c r="S70" s="167"/>
      <c r="T70" s="167"/>
      <c r="U70" s="167"/>
    </row>
    <row r="71" spans="1:21" hidden="1" x14ac:dyDescent="0.25">
      <c r="A71" s="177" t="s">
        <v>2304</v>
      </c>
      <c r="B71" s="177" t="b">
        <v>1</v>
      </c>
      <c r="C71" s="177" t="s">
        <v>2304</v>
      </c>
      <c r="D71" s="170">
        <v>45531</v>
      </c>
      <c r="E71" s="166">
        <v>371</v>
      </c>
      <c r="F71" s="175" t="s">
        <v>2010</v>
      </c>
      <c r="G71" s="175">
        <v>10126</v>
      </c>
      <c r="H71" s="166" t="s">
        <v>2011</v>
      </c>
      <c r="I71" s="175"/>
      <c r="J71" s="166"/>
      <c r="K71" s="166">
        <v>4400</v>
      </c>
      <c r="L71" s="166"/>
      <c r="M71" s="166"/>
      <c r="N71" s="166"/>
      <c r="O71" s="166"/>
      <c r="P71" s="172"/>
      <c r="Q71" s="172"/>
      <c r="R71" s="172"/>
      <c r="S71" s="166"/>
      <c r="T71" s="166"/>
      <c r="U71" s="166"/>
    </row>
    <row r="72" spans="1:21" hidden="1" x14ac:dyDescent="0.25">
      <c r="A72" s="178" t="s">
        <v>2304</v>
      </c>
      <c r="B72" s="178" t="b">
        <v>1</v>
      </c>
      <c r="C72" s="178" t="s">
        <v>2304</v>
      </c>
      <c r="D72" s="171">
        <v>45531</v>
      </c>
      <c r="E72" s="167">
        <v>362</v>
      </c>
      <c r="F72" s="179" t="s">
        <v>1858</v>
      </c>
      <c r="G72" s="179">
        <v>10122</v>
      </c>
      <c r="H72" s="167" t="s">
        <v>1859</v>
      </c>
      <c r="I72" s="179"/>
      <c r="J72" s="167"/>
      <c r="K72" s="167"/>
      <c r="L72" s="167"/>
      <c r="M72" s="167"/>
      <c r="N72" s="167">
        <v>75</v>
      </c>
      <c r="O72" s="167"/>
      <c r="P72" s="173"/>
      <c r="Q72" s="167"/>
      <c r="R72" s="167"/>
      <c r="S72" s="167"/>
      <c r="T72" s="167"/>
      <c r="U72" s="167"/>
    </row>
    <row r="73" spans="1:21" hidden="1" x14ac:dyDescent="0.25">
      <c r="A73" s="177" t="s">
        <v>2304</v>
      </c>
      <c r="B73" s="177" t="b">
        <v>1</v>
      </c>
      <c r="C73" s="177" t="s">
        <v>2304</v>
      </c>
      <c r="D73" s="170">
        <v>45531</v>
      </c>
      <c r="E73" s="166">
        <v>317</v>
      </c>
      <c r="F73" s="175" t="s">
        <v>1669</v>
      </c>
      <c r="G73" s="175">
        <v>10082</v>
      </c>
      <c r="H73" s="166" t="s">
        <v>1314</v>
      </c>
      <c r="I73" s="175"/>
      <c r="J73" s="166"/>
      <c r="K73" s="166"/>
      <c r="L73" s="166"/>
      <c r="M73" s="166"/>
      <c r="N73" s="166">
        <v>50</v>
      </c>
      <c r="O73" s="166"/>
      <c r="P73" s="172"/>
      <c r="Q73" s="172"/>
      <c r="R73" s="172"/>
      <c r="S73" s="166"/>
      <c r="T73" s="166"/>
      <c r="U73" s="166"/>
    </row>
    <row r="74" spans="1:21" hidden="1" x14ac:dyDescent="0.25">
      <c r="A74" s="178" t="s">
        <v>2304</v>
      </c>
      <c r="B74" s="178" t="b">
        <v>1</v>
      </c>
      <c r="C74" s="178" t="s">
        <v>2304</v>
      </c>
      <c r="D74" s="171">
        <v>45531</v>
      </c>
      <c r="E74" s="167">
        <v>372</v>
      </c>
      <c r="F74" s="179" t="s">
        <v>2018</v>
      </c>
      <c r="G74" s="179">
        <v>10127</v>
      </c>
      <c r="H74" s="167" t="s">
        <v>2340</v>
      </c>
      <c r="I74" s="179"/>
      <c r="J74" s="167"/>
      <c r="K74" s="167"/>
      <c r="L74" s="167"/>
      <c r="M74" s="167"/>
      <c r="N74" s="167">
        <v>25</v>
      </c>
      <c r="O74" s="167"/>
      <c r="P74" s="173"/>
      <c r="Q74" s="167"/>
      <c r="R74" s="167"/>
      <c r="S74" s="167"/>
      <c r="T74" s="167"/>
      <c r="U74" s="167"/>
    </row>
    <row r="75" spans="1:21" hidden="1" x14ac:dyDescent="0.25">
      <c r="A75" s="178" t="s">
        <v>2304</v>
      </c>
      <c r="B75" s="178" t="b">
        <v>1</v>
      </c>
      <c r="C75" s="178" t="s">
        <v>2304</v>
      </c>
      <c r="D75" s="171">
        <v>45545</v>
      </c>
      <c r="E75" s="167" t="s">
        <v>2341</v>
      </c>
      <c r="F75" s="179"/>
      <c r="G75" s="179"/>
      <c r="H75" s="167" t="s">
        <v>2342</v>
      </c>
      <c r="I75" s="179"/>
      <c r="J75" s="167"/>
      <c r="K75" s="167"/>
      <c r="L75" s="167"/>
      <c r="M75" s="167"/>
      <c r="N75" s="167"/>
      <c r="O75" s="167"/>
      <c r="P75" s="173"/>
      <c r="Q75" s="167"/>
      <c r="R75" s="167"/>
      <c r="S75" s="167"/>
      <c r="T75" s="167"/>
      <c r="U75" s="167"/>
    </row>
    <row r="76" spans="1:21" hidden="1" x14ac:dyDescent="0.25">
      <c r="A76" s="177" t="s">
        <v>2304</v>
      </c>
      <c r="B76" s="177" t="b">
        <v>1</v>
      </c>
      <c r="C76" s="177" t="s">
        <v>2304</v>
      </c>
      <c r="D76" s="170">
        <v>45559</v>
      </c>
      <c r="E76" s="166"/>
      <c r="F76" s="175" t="s">
        <v>1893</v>
      </c>
      <c r="G76" s="175">
        <v>20093</v>
      </c>
      <c r="H76" s="166" t="s">
        <v>2343</v>
      </c>
      <c r="I76" s="175"/>
      <c r="J76" s="166"/>
      <c r="K76" s="166"/>
      <c r="L76" s="166">
        <v>355</v>
      </c>
      <c r="M76" s="166"/>
      <c r="N76" s="166">
        <v>355</v>
      </c>
      <c r="O76" s="166"/>
      <c r="P76" s="172"/>
      <c r="Q76" s="172"/>
      <c r="R76" s="172"/>
      <c r="S76" s="166"/>
      <c r="T76" s="166"/>
      <c r="U76" s="166"/>
    </row>
    <row r="77" spans="1:21" hidden="1" x14ac:dyDescent="0.25">
      <c r="A77" s="178" t="b">
        <v>1</v>
      </c>
      <c r="B77" s="178" t="b">
        <v>1</v>
      </c>
      <c r="C77" s="178" t="s">
        <v>2304</v>
      </c>
      <c r="D77" s="171">
        <v>45559</v>
      </c>
      <c r="E77" s="167"/>
      <c r="F77" s="179" t="s">
        <v>2057</v>
      </c>
      <c r="G77" s="179">
        <v>20098</v>
      </c>
      <c r="H77" s="167" t="s">
        <v>2058</v>
      </c>
      <c r="I77" s="179"/>
      <c r="J77" s="167"/>
      <c r="K77" s="167">
        <v>1200</v>
      </c>
      <c r="L77" s="167"/>
      <c r="M77" s="167"/>
      <c r="N77" s="167"/>
      <c r="O77" s="167"/>
      <c r="P77" s="173"/>
      <c r="Q77" s="167"/>
      <c r="R77" s="167"/>
      <c r="S77" s="167"/>
      <c r="T77" s="167"/>
      <c r="U77" s="167"/>
    </row>
    <row r="78" spans="1:21" hidden="1" x14ac:dyDescent="0.25">
      <c r="A78" s="177" t="b">
        <v>1</v>
      </c>
      <c r="B78" s="177" t="b">
        <v>1</v>
      </c>
      <c r="C78" s="177" t="s">
        <v>2304</v>
      </c>
      <c r="D78" s="170">
        <v>45559</v>
      </c>
      <c r="E78" s="166"/>
      <c r="F78" s="175" t="s">
        <v>2063</v>
      </c>
      <c r="G78" s="175">
        <v>20099</v>
      </c>
      <c r="H78" s="166" t="s">
        <v>2064</v>
      </c>
      <c r="I78" s="175"/>
      <c r="J78" s="166"/>
      <c r="K78" s="166">
        <v>1200</v>
      </c>
      <c r="L78" s="166"/>
      <c r="M78" s="166">
        <v>2022</v>
      </c>
      <c r="N78" s="166"/>
      <c r="O78" s="166"/>
      <c r="P78" s="172"/>
      <c r="Q78" s="172"/>
      <c r="R78" s="172"/>
      <c r="S78" s="166"/>
      <c r="T78" s="166"/>
      <c r="U78" s="166"/>
    </row>
    <row r="79" spans="1:21" hidden="1" x14ac:dyDescent="0.25">
      <c r="A79" s="178" t="b">
        <v>1</v>
      </c>
      <c r="B79" s="178" t="b">
        <v>1</v>
      </c>
      <c r="C79" s="178" t="s">
        <v>2304</v>
      </c>
      <c r="D79" s="171">
        <v>45559</v>
      </c>
      <c r="E79" s="167"/>
      <c r="F79" s="179" t="s">
        <v>2066</v>
      </c>
      <c r="G79" s="179">
        <v>20100</v>
      </c>
      <c r="H79" s="167" t="s">
        <v>2344</v>
      </c>
      <c r="I79" s="179"/>
      <c r="J79" s="167"/>
      <c r="K79" s="167">
        <v>1200</v>
      </c>
      <c r="L79" s="167"/>
      <c r="M79" s="167">
        <v>2022</v>
      </c>
      <c r="N79" s="167"/>
      <c r="O79" s="167"/>
      <c r="P79" s="173"/>
      <c r="Q79" s="167"/>
      <c r="R79" s="167"/>
      <c r="S79" s="167"/>
      <c r="T79" s="167"/>
      <c r="U79" s="167"/>
    </row>
    <row r="80" spans="1:21" hidden="1" x14ac:dyDescent="0.25">
      <c r="A80" s="177"/>
      <c r="B80" s="177" t="b">
        <v>1</v>
      </c>
      <c r="C80" s="177"/>
      <c r="D80" s="170">
        <v>45559</v>
      </c>
      <c r="E80" s="166"/>
      <c r="F80" s="175" t="s">
        <v>1886</v>
      </c>
      <c r="G80" s="175">
        <v>20092</v>
      </c>
      <c r="H80" s="166" t="s">
        <v>1887</v>
      </c>
      <c r="I80" s="175"/>
      <c r="J80" s="166"/>
      <c r="K80" s="166"/>
      <c r="L80" s="166"/>
      <c r="M80" s="166"/>
      <c r="N80" s="166">
        <v>62</v>
      </c>
      <c r="O80" s="166"/>
      <c r="P80" s="172"/>
      <c r="Q80" s="172"/>
      <c r="R80" s="172"/>
      <c r="S80" s="166"/>
      <c r="T80" s="166"/>
      <c r="U80" s="166"/>
    </row>
    <row r="81" spans="1:21" hidden="1" x14ac:dyDescent="0.25">
      <c r="A81" s="178"/>
      <c r="B81" s="178" t="b">
        <v>1</v>
      </c>
      <c r="C81" s="178"/>
      <c r="D81" s="171">
        <v>45559</v>
      </c>
      <c r="E81" s="167"/>
      <c r="F81" s="179" t="s">
        <v>1907</v>
      </c>
      <c r="G81" s="179">
        <v>20095</v>
      </c>
      <c r="H81" s="167" t="s">
        <v>2345</v>
      </c>
      <c r="I81" s="179"/>
      <c r="J81" s="167"/>
      <c r="K81" s="167"/>
      <c r="L81" s="167"/>
      <c r="M81" s="167"/>
      <c r="N81" s="167">
        <v>180</v>
      </c>
      <c r="O81" s="167"/>
      <c r="P81" s="173"/>
      <c r="Q81" s="167"/>
      <c r="R81" s="167"/>
      <c r="S81" s="167"/>
      <c r="T81" s="167"/>
      <c r="U81" s="167"/>
    </row>
    <row r="82" spans="1:21" hidden="1" x14ac:dyDescent="0.25">
      <c r="A82" s="177"/>
      <c r="B82" s="177" t="b">
        <v>1</v>
      </c>
      <c r="C82" s="177"/>
      <c r="D82" s="170"/>
      <c r="E82" s="166"/>
      <c r="F82" s="175" t="s">
        <v>1028</v>
      </c>
      <c r="G82" s="175">
        <v>20055</v>
      </c>
      <c r="H82" s="166" t="s">
        <v>1029</v>
      </c>
      <c r="I82" s="175"/>
      <c r="J82" s="166"/>
      <c r="K82" s="166"/>
      <c r="L82" s="166"/>
      <c r="M82" s="166"/>
      <c r="N82" s="166"/>
      <c r="O82" s="166"/>
      <c r="P82" s="172"/>
      <c r="Q82" s="172"/>
      <c r="R82" s="172"/>
      <c r="S82" s="166">
        <v>600</v>
      </c>
      <c r="T82" s="166"/>
      <c r="U82" s="166" t="s">
        <v>2346</v>
      </c>
    </row>
    <row r="83" spans="1:21" hidden="1" x14ac:dyDescent="0.25">
      <c r="A83" s="178"/>
      <c r="B83" s="178"/>
      <c r="C83" s="178"/>
      <c r="D83" s="171"/>
      <c r="E83" s="167"/>
      <c r="F83" s="179" t="s">
        <v>537</v>
      </c>
      <c r="G83" s="179"/>
      <c r="H83" s="167" t="s">
        <v>2347</v>
      </c>
      <c r="I83" s="179"/>
      <c r="J83" s="167"/>
      <c r="K83" s="167"/>
      <c r="L83" s="167"/>
      <c r="M83" s="167"/>
      <c r="N83" s="167"/>
      <c r="O83" s="167"/>
      <c r="P83" s="173">
        <v>0.54</v>
      </c>
      <c r="Q83" s="167"/>
      <c r="R83" s="167"/>
      <c r="S83" s="167"/>
      <c r="T83" s="167"/>
      <c r="U83" s="167" t="s">
        <v>2348</v>
      </c>
    </row>
    <row r="84" spans="1:21" hidden="1" x14ac:dyDescent="0.25">
      <c r="A84" s="177" t="s">
        <v>2304</v>
      </c>
      <c r="B84" s="177" t="b">
        <v>1</v>
      </c>
      <c r="C84" s="177" t="s">
        <v>2304</v>
      </c>
      <c r="D84" s="170">
        <v>45566</v>
      </c>
      <c r="E84" s="166"/>
      <c r="F84" s="175" t="s">
        <v>1772</v>
      </c>
      <c r="G84" s="175"/>
      <c r="H84" s="166" t="s">
        <v>2349</v>
      </c>
      <c r="I84" s="175"/>
      <c r="J84" s="166"/>
      <c r="K84" s="166"/>
      <c r="L84" s="166"/>
      <c r="M84" s="166"/>
      <c r="N84" s="166"/>
      <c r="O84" s="166"/>
      <c r="P84" s="172">
        <v>0.82</v>
      </c>
      <c r="Q84" s="172"/>
      <c r="R84" s="172"/>
      <c r="S84" s="166"/>
      <c r="T84" s="166"/>
      <c r="U84" s="166"/>
    </row>
    <row r="85" spans="1:21" hidden="1" x14ac:dyDescent="0.25">
      <c r="A85" s="178"/>
      <c r="B85" s="178" t="b">
        <v>1</v>
      </c>
      <c r="C85" s="178"/>
      <c r="D85" s="171">
        <v>45566</v>
      </c>
      <c r="E85" s="167"/>
      <c r="F85" s="179" t="s">
        <v>1677</v>
      </c>
      <c r="G85" s="179"/>
      <c r="H85" s="167" t="s">
        <v>2350</v>
      </c>
      <c r="I85" s="179"/>
      <c r="J85" s="167"/>
      <c r="K85" s="167"/>
      <c r="L85" s="167"/>
      <c r="M85" s="167"/>
      <c r="N85" s="167"/>
      <c r="O85" s="167"/>
      <c r="P85" s="173">
        <v>0.94299999999999995</v>
      </c>
      <c r="Q85" s="167"/>
      <c r="R85" s="167"/>
      <c r="S85" s="167"/>
      <c r="T85" s="167"/>
      <c r="U85" s="167"/>
    </row>
    <row r="86" spans="1:21" hidden="1" x14ac:dyDescent="0.25">
      <c r="A86" s="177"/>
      <c r="B86" s="177" t="b">
        <v>1</v>
      </c>
      <c r="C86" s="177"/>
      <c r="D86" s="170">
        <v>45566</v>
      </c>
      <c r="E86" s="166"/>
      <c r="F86" s="175" t="s">
        <v>624</v>
      </c>
      <c r="G86" s="175"/>
      <c r="H86" s="166" t="s">
        <v>418</v>
      </c>
      <c r="I86" s="175"/>
      <c r="J86" s="166"/>
      <c r="K86" s="166"/>
      <c r="L86" s="166"/>
      <c r="M86" s="166"/>
      <c r="N86" s="166"/>
      <c r="O86" s="166"/>
      <c r="P86" s="172">
        <v>0.96099999999999997</v>
      </c>
      <c r="Q86" s="172"/>
      <c r="R86" s="172"/>
      <c r="S86" s="166"/>
      <c r="T86" s="166"/>
      <c r="U86" s="166"/>
    </row>
    <row r="87" spans="1:21" hidden="1" x14ac:dyDescent="0.25">
      <c r="A87" s="178"/>
      <c r="B87" s="178" t="b">
        <v>1</v>
      </c>
      <c r="C87" s="178"/>
      <c r="D87" s="171">
        <v>45566</v>
      </c>
      <c r="E87" s="167"/>
      <c r="F87" s="179" t="s">
        <v>1668</v>
      </c>
      <c r="G87" s="179"/>
      <c r="H87" s="167" t="s">
        <v>2351</v>
      </c>
      <c r="I87" s="179"/>
      <c r="J87" s="167"/>
      <c r="K87" s="167"/>
      <c r="L87" s="167"/>
      <c r="M87" s="167"/>
      <c r="N87" s="167"/>
      <c r="O87" s="167"/>
      <c r="P87" s="173">
        <v>0</v>
      </c>
      <c r="Q87" s="167"/>
      <c r="R87" s="167"/>
      <c r="S87" s="167"/>
      <c r="T87" s="167"/>
      <c r="U87" s="167"/>
    </row>
    <row r="88" spans="1:21" hidden="1" x14ac:dyDescent="0.25">
      <c r="A88" s="177"/>
      <c r="B88" s="177" t="b">
        <v>1</v>
      </c>
      <c r="C88" s="177"/>
      <c r="D88" s="170">
        <v>45566</v>
      </c>
      <c r="E88" s="166"/>
      <c r="F88" s="175" t="s">
        <v>1116</v>
      </c>
      <c r="G88" s="175"/>
      <c r="H88" s="166" t="s">
        <v>2352</v>
      </c>
      <c r="I88" s="175"/>
      <c r="J88" s="166"/>
      <c r="K88" s="166"/>
      <c r="L88" s="166"/>
      <c r="M88" s="166"/>
      <c r="N88" s="166"/>
      <c r="O88" s="166"/>
      <c r="P88" s="172">
        <v>0.92700000000000005</v>
      </c>
      <c r="Q88" s="172"/>
      <c r="R88" s="172"/>
      <c r="S88" s="166"/>
      <c r="T88" s="166"/>
      <c r="U88" s="166"/>
    </row>
    <row r="89" spans="1:21" x14ac:dyDescent="0.25">
      <c r="A89" s="178"/>
      <c r="B89" s="178" t="b">
        <v>1</v>
      </c>
      <c r="C89" s="178"/>
      <c r="D89" s="171">
        <v>45566</v>
      </c>
      <c r="E89" s="167"/>
      <c r="F89" s="179" t="s">
        <v>1780</v>
      </c>
      <c r="G89" s="179"/>
      <c r="H89" s="167" t="s">
        <v>2353</v>
      </c>
      <c r="I89" s="179"/>
      <c r="J89" s="167"/>
      <c r="K89" s="167"/>
      <c r="L89" s="167"/>
      <c r="M89" s="167"/>
      <c r="N89" s="167"/>
      <c r="O89" s="167"/>
      <c r="P89" s="173">
        <v>0.94299999999999995</v>
      </c>
      <c r="Q89" s="167"/>
      <c r="R89" s="167"/>
      <c r="S89" s="167"/>
      <c r="T89" s="167"/>
      <c r="U89" s="167"/>
    </row>
    <row r="90" spans="1:21" hidden="1" x14ac:dyDescent="0.25">
      <c r="A90" s="177"/>
      <c r="B90" s="177" t="b">
        <v>1</v>
      </c>
      <c r="C90" s="177"/>
      <c r="D90" s="170">
        <v>45566</v>
      </c>
      <c r="E90" s="166"/>
      <c r="F90" s="175" t="s">
        <v>662</v>
      </c>
      <c r="G90" s="175"/>
      <c r="H90" s="166" t="s">
        <v>2354</v>
      </c>
      <c r="I90" s="175"/>
      <c r="J90" s="166"/>
      <c r="K90" s="166"/>
      <c r="L90" s="166"/>
      <c r="M90" s="166"/>
      <c r="N90" s="166"/>
      <c r="O90" s="166"/>
      <c r="P90" s="172">
        <v>0.96399999999999997</v>
      </c>
      <c r="Q90" s="172"/>
      <c r="R90" s="172"/>
      <c r="S90" s="166"/>
      <c r="T90" s="166"/>
      <c r="U90" s="166"/>
    </row>
    <row r="91" spans="1:21" hidden="1" x14ac:dyDescent="0.25">
      <c r="A91" s="178"/>
      <c r="B91" s="178" t="b">
        <v>1</v>
      </c>
      <c r="C91" s="178"/>
      <c r="D91" s="171">
        <v>45566</v>
      </c>
      <c r="E91" s="167"/>
      <c r="F91" s="179" t="s">
        <v>1785</v>
      </c>
      <c r="G91" s="179"/>
      <c r="H91" s="167" t="s">
        <v>1786</v>
      </c>
      <c r="I91" s="179"/>
      <c r="J91" s="167"/>
      <c r="K91" s="167"/>
      <c r="L91" s="167"/>
      <c r="M91" s="167"/>
      <c r="N91" s="167"/>
      <c r="O91" s="167"/>
      <c r="P91" s="173">
        <v>0.97699999999999998</v>
      </c>
      <c r="Q91" s="167"/>
      <c r="R91" s="167"/>
      <c r="S91" s="167"/>
      <c r="T91" s="167"/>
      <c r="U91" s="167"/>
    </row>
    <row r="92" spans="1:21" hidden="1" x14ac:dyDescent="0.25">
      <c r="A92" s="177"/>
      <c r="B92" s="177" t="b">
        <v>1</v>
      </c>
      <c r="C92" s="177"/>
      <c r="D92" s="170">
        <v>45566</v>
      </c>
      <c r="E92" s="166"/>
      <c r="F92" s="175" t="s">
        <v>1790</v>
      </c>
      <c r="G92" s="175"/>
      <c r="H92" s="166" t="s">
        <v>2355</v>
      </c>
      <c r="I92" s="175"/>
      <c r="J92" s="166"/>
      <c r="K92" s="166"/>
      <c r="L92" s="166"/>
      <c r="M92" s="166"/>
      <c r="N92" s="166"/>
      <c r="O92" s="166"/>
      <c r="P92" s="172">
        <v>0.96199999999999997</v>
      </c>
      <c r="Q92" s="172"/>
      <c r="R92" s="172"/>
      <c r="S92" s="166"/>
      <c r="T92" s="166"/>
      <c r="U92" s="166"/>
    </row>
    <row r="93" spans="1:21" hidden="1" x14ac:dyDescent="0.25">
      <c r="A93" s="178"/>
      <c r="B93" s="178" t="b">
        <v>1</v>
      </c>
      <c r="C93" s="178"/>
      <c r="D93" s="171">
        <v>45566</v>
      </c>
      <c r="E93" s="167"/>
      <c r="F93" s="179" t="s">
        <v>676</v>
      </c>
      <c r="G93" s="179"/>
      <c r="H93" s="167" t="s">
        <v>2356</v>
      </c>
      <c r="I93" s="179"/>
      <c r="J93" s="167"/>
      <c r="K93" s="167"/>
      <c r="L93" s="167"/>
      <c r="M93" s="167"/>
      <c r="N93" s="167"/>
      <c r="O93" s="167"/>
      <c r="P93" s="173">
        <v>0.99299999999999999</v>
      </c>
      <c r="Q93" s="167"/>
      <c r="R93" s="167"/>
      <c r="S93" s="167"/>
      <c r="T93" s="167"/>
      <c r="U93" s="167"/>
    </row>
    <row r="94" spans="1:21" hidden="1" x14ac:dyDescent="0.25">
      <c r="A94" s="177"/>
      <c r="B94" s="177" t="b">
        <v>1</v>
      </c>
      <c r="C94" s="177"/>
      <c r="D94" s="170">
        <v>45566</v>
      </c>
      <c r="E94" s="166"/>
      <c r="F94" s="175" t="s">
        <v>626</v>
      </c>
      <c r="G94" s="175"/>
      <c r="H94" s="166" t="s">
        <v>2357</v>
      </c>
      <c r="I94" s="175"/>
      <c r="J94" s="166"/>
      <c r="K94" s="166"/>
      <c r="L94" s="166"/>
      <c r="M94" s="166"/>
      <c r="N94" s="166"/>
      <c r="O94" s="166"/>
      <c r="P94" s="172">
        <v>0.88900000000000001</v>
      </c>
      <c r="Q94" s="172"/>
      <c r="R94" s="172"/>
      <c r="S94" s="166"/>
      <c r="T94" s="166"/>
      <c r="U94" s="166"/>
    </row>
    <row r="95" spans="1:21" hidden="1" x14ac:dyDescent="0.25">
      <c r="A95" s="178"/>
      <c r="B95" s="178" t="b">
        <v>1</v>
      </c>
      <c r="C95" s="178"/>
      <c r="D95" s="171">
        <v>45566</v>
      </c>
      <c r="E95" s="167"/>
      <c r="F95" s="179" t="s">
        <v>1685</v>
      </c>
      <c r="G95" s="179"/>
      <c r="H95" s="167" t="s">
        <v>2358</v>
      </c>
      <c r="I95" s="179"/>
      <c r="J95" s="167"/>
      <c r="K95" s="167"/>
      <c r="L95" s="167"/>
      <c r="M95" s="167"/>
      <c r="N95" s="167"/>
      <c r="O95" s="167"/>
      <c r="P95" s="173">
        <v>0.97599999999999998</v>
      </c>
      <c r="Q95" s="167"/>
      <c r="R95" s="167"/>
      <c r="S95" s="167"/>
      <c r="T95" s="167"/>
      <c r="U95" s="167"/>
    </row>
    <row r="96" spans="1:21" hidden="1" x14ac:dyDescent="0.25">
      <c r="A96" s="177"/>
      <c r="B96" s="177" t="b">
        <v>1</v>
      </c>
      <c r="C96" s="177"/>
      <c r="D96" s="170">
        <v>45566</v>
      </c>
      <c r="E96" s="166"/>
      <c r="F96" s="175" t="s">
        <v>1927</v>
      </c>
      <c r="G96" s="175"/>
      <c r="H96" s="166" t="s">
        <v>2359</v>
      </c>
      <c r="I96" s="175"/>
      <c r="J96" s="166"/>
      <c r="K96" s="166"/>
      <c r="L96" s="166"/>
      <c r="M96" s="166"/>
      <c r="N96" s="166"/>
      <c r="O96" s="166"/>
      <c r="P96" s="172">
        <v>0.85499999999999998</v>
      </c>
      <c r="Q96" s="172"/>
      <c r="R96" s="172"/>
      <c r="S96" s="166"/>
      <c r="T96" s="166"/>
      <c r="U96" s="166"/>
    </row>
    <row r="97" spans="1:21" hidden="1" x14ac:dyDescent="0.25">
      <c r="A97" s="178"/>
      <c r="B97" s="178" t="b">
        <v>1</v>
      </c>
      <c r="C97" s="178"/>
      <c r="D97" s="171">
        <v>45566</v>
      </c>
      <c r="E97" s="167"/>
      <c r="F97" s="179" t="s">
        <v>1691</v>
      </c>
      <c r="G97" s="179"/>
      <c r="H97" s="167" t="s">
        <v>2360</v>
      </c>
      <c r="I97" s="179"/>
      <c r="J97" s="167"/>
      <c r="K97" s="167"/>
      <c r="L97" s="167"/>
      <c r="M97" s="167"/>
      <c r="N97" s="167"/>
      <c r="O97" s="167"/>
      <c r="P97" s="173">
        <v>0.97499999999999998</v>
      </c>
      <c r="Q97" s="167"/>
      <c r="R97" s="167"/>
      <c r="S97" s="167"/>
      <c r="T97" s="167"/>
      <c r="U97" s="167"/>
    </row>
    <row r="98" spans="1:21" hidden="1" x14ac:dyDescent="0.25">
      <c r="A98" s="177"/>
      <c r="B98" s="177" t="b">
        <v>1</v>
      </c>
      <c r="C98" s="177"/>
      <c r="D98" s="170">
        <v>45566</v>
      </c>
      <c r="E98" s="166"/>
      <c r="F98" s="175" t="s">
        <v>628</v>
      </c>
      <c r="G98" s="175"/>
      <c r="H98" s="166" t="s">
        <v>2361</v>
      </c>
      <c r="I98" s="175"/>
      <c r="J98" s="166"/>
      <c r="K98" s="166"/>
      <c r="L98" s="166"/>
      <c r="M98" s="166"/>
      <c r="N98" s="166"/>
      <c r="O98" s="166"/>
      <c r="P98" s="172">
        <v>0.40899999999999997</v>
      </c>
      <c r="Q98" s="172"/>
      <c r="R98" s="172"/>
      <c r="S98" s="166"/>
      <c r="T98" s="166"/>
      <c r="U98" s="166"/>
    </row>
    <row r="99" spans="1:21" hidden="1" x14ac:dyDescent="0.25">
      <c r="A99" s="178"/>
      <c r="B99" s="178" t="b">
        <v>1</v>
      </c>
      <c r="C99" s="178"/>
      <c r="D99" s="171">
        <v>45566</v>
      </c>
      <c r="E99" s="167"/>
      <c r="F99" s="179" t="s">
        <v>908</v>
      </c>
      <c r="G99" s="179"/>
      <c r="H99" s="167" t="s">
        <v>2362</v>
      </c>
      <c r="I99" s="179"/>
      <c r="J99" s="167"/>
      <c r="K99" s="167"/>
      <c r="L99" s="167"/>
      <c r="M99" s="167"/>
      <c r="N99" s="167"/>
      <c r="O99" s="167"/>
      <c r="P99" s="173">
        <v>0.69499999999999995</v>
      </c>
      <c r="Q99" s="167"/>
      <c r="R99" s="167"/>
      <c r="S99" s="167"/>
      <c r="T99" s="167"/>
      <c r="U99" s="167"/>
    </row>
    <row r="100" spans="1:21" hidden="1" x14ac:dyDescent="0.25">
      <c r="A100" s="177"/>
      <c r="B100" s="177" t="b">
        <v>1</v>
      </c>
      <c r="C100" s="177"/>
      <c r="D100" s="170">
        <v>45566</v>
      </c>
      <c r="E100" s="166"/>
      <c r="F100" s="175" t="s">
        <v>923</v>
      </c>
      <c r="G100" s="175"/>
      <c r="H100" s="166" t="s">
        <v>924</v>
      </c>
      <c r="I100" s="175"/>
      <c r="J100" s="166"/>
      <c r="K100" s="166"/>
      <c r="L100" s="166"/>
      <c r="M100" s="166"/>
      <c r="N100" s="166"/>
      <c r="O100" s="166"/>
      <c r="P100" s="172">
        <v>0.58899999999999997</v>
      </c>
      <c r="Q100" s="172"/>
      <c r="R100" s="172"/>
      <c r="S100" s="166"/>
      <c r="T100" s="166"/>
      <c r="U100" s="166"/>
    </row>
    <row r="101" spans="1:21" hidden="1" x14ac:dyDescent="0.25">
      <c r="A101" s="178"/>
      <c r="B101" s="178" t="b">
        <v>1</v>
      </c>
      <c r="C101" s="178"/>
      <c r="D101" s="171">
        <v>45566</v>
      </c>
      <c r="E101" s="167"/>
      <c r="F101" s="179" t="s">
        <v>862</v>
      </c>
      <c r="G101" s="179"/>
      <c r="H101" s="167" t="s">
        <v>2363</v>
      </c>
      <c r="I101" s="179"/>
      <c r="J101" s="167"/>
      <c r="K101" s="167"/>
      <c r="L101" s="167"/>
      <c r="M101" s="167"/>
      <c r="N101" s="167"/>
      <c r="O101" s="167"/>
      <c r="P101" s="173">
        <v>0.89</v>
      </c>
      <c r="Q101" s="167"/>
      <c r="R101" s="167"/>
      <c r="S101" s="167"/>
      <c r="T101" s="167"/>
      <c r="U101" s="167"/>
    </row>
    <row r="102" spans="1:21" hidden="1" x14ac:dyDescent="0.25">
      <c r="A102" s="177"/>
      <c r="B102" s="177" t="b">
        <v>1</v>
      </c>
      <c r="C102" s="177"/>
      <c r="D102" s="170">
        <v>45566</v>
      </c>
      <c r="E102" s="166"/>
      <c r="F102" s="175" t="s">
        <v>990</v>
      </c>
      <c r="G102" s="175"/>
      <c r="H102" s="166" t="s">
        <v>2364</v>
      </c>
      <c r="I102" s="175"/>
      <c r="J102" s="166"/>
      <c r="K102" s="166"/>
      <c r="L102" s="166"/>
      <c r="M102" s="166"/>
      <c r="N102" s="166"/>
      <c r="O102" s="166"/>
      <c r="P102" s="172">
        <v>0.95299999999999996</v>
      </c>
      <c r="Q102" s="172"/>
      <c r="R102" s="172"/>
      <c r="S102" s="166"/>
      <c r="T102" s="166"/>
      <c r="U102" s="166"/>
    </row>
    <row r="103" spans="1:21" hidden="1" x14ac:dyDescent="0.25">
      <c r="A103" s="178"/>
      <c r="B103" s="178" t="b">
        <v>1</v>
      </c>
      <c r="C103" s="178"/>
      <c r="D103" s="171">
        <v>45566</v>
      </c>
      <c r="E103" s="167"/>
      <c r="F103" s="179" t="s">
        <v>937</v>
      </c>
      <c r="G103" s="179"/>
      <c r="H103" s="167" t="s">
        <v>2365</v>
      </c>
      <c r="I103" s="179"/>
      <c r="J103" s="167"/>
      <c r="K103" s="167"/>
      <c r="L103" s="167"/>
      <c r="M103" s="167"/>
      <c r="N103" s="167"/>
      <c r="O103" s="167"/>
      <c r="P103" s="173">
        <v>1</v>
      </c>
      <c r="Q103" s="167"/>
      <c r="R103" s="167"/>
      <c r="S103" s="167"/>
      <c r="T103" s="167"/>
      <c r="U103" s="167"/>
    </row>
    <row r="104" spans="1:21" hidden="1" x14ac:dyDescent="0.25">
      <c r="A104" s="177"/>
      <c r="B104" s="177" t="b">
        <v>1</v>
      </c>
      <c r="C104" s="177"/>
      <c r="D104" s="170">
        <v>45566</v>
      </c>
      <c r="E104" s="166"/>
      <c r="F104" s="175" t="s">
        <v>1914</v>
      </c>
      <c r="G104" s="175"/>
      <c r="H104" s="166" t="s">
        <v>2366</v>
      </c>
      <c r="I104" s="175"/>
      <c r="J104" s="166"/>
      <c r="K104" s="166"/>
      <c r="L104" s="166"/>
      <c r="M104" s="166"/>
      <c r="N104" s="166"/>
      <c r="O104" s="166"/>
      <c r="P104" s="172">
        <v>0.93100000000000005</v>
      </c>
      <c r="Q104" s="172"/>
      <c r="R104" s="172"/>
      <c r="S104" s="166"/>
      <c r="T104" s="166"/>
      <c r="U104" s="166"/>
    </row>
    <row r="105" spans="1:21" hidden="1" x14ac:dyDescent="0.25">
      <c r="A105" s="178"/>
      <c r="B105" s="178" t="b">
        <v>1</v>
      </c>
      <c r="C105" s="178"/>
      <c r="D105" s="171">
        <v>45566</v>
      </c>
      <c r="E105" s="167"/>
      <c r="F105" s="179" t="s">
        <v>945</v>
      </c>
      <c r="G105" s="179"/>
      <c r="H105" s="167" t="s">
        <v>2367</v>
      </c>
      <c r="I105" s="179"/>
      <c r="J105" s="167"/>
      <c r="K105" s="167"/>
      <c r="L105" s="167"/>
      <c r="M105" s="167"/>
      <c r="N105" s="167"/>
      <c r="O105" s="167"/>
      <c r="P105" s="173">
        <v>0.84899999999999998</v>
      </c>
      <c r="Q105" s="167"/>
      <c r="R105" s="167"/>
      <c r="S105" s="167"/>
      <c r="T105" s="167"/>
      <c r="U105" s="167"/>
    </row>
    <row r="106" spans="1:21" hidden="1" x14ac:dyDescent="0.25">
      <c r="A106" s="177"/>
      <c r="B106" s="177" t="b">
        <v>1</v>
      </c>
      <c r="C106" s="177"/>
      <c r="D106" s="170">
        <v>45566</v>
      </c>
      <c r="E106" s="166"/>
      <c r="F106" s="175" t="s">
        <v>1147</v>
      </c>
      <c r="G106" s="175"/>
      <c r="H106" s="166" t="s">
        <v>1148</v>
      </c>
      <c r="I106" s="175"/>
      <c r="J106" s="166"/>
      <c r="K106" s="166"/>
      <c r="L106" s="166"/>
      <c r="M106" s="166"/>
      <c r="N106" s="166"/>
      <c r="O106" s="166"/>
      <c r="P106" s="172">
        <v>0.94099999999999995</v>
      </c>
      <c r="Q106" s="172"/>
      <c r="R106" s="172"/>
      <c r="S106" s="166"/>
      <c r="T106" s="166"/>
      <c r="U106" s="166"/>
    </row>
    <row r="107" spans="1:21" hidden="1" x14ac:dyDescent="0.25">
      <c r="A107" s="178"/>
      <c r="B107" s="178" t="b">
        <v>1</v>
      </c>
      <c r="C107" s="178"/>
      <c r="D107" s="171">
        <v>45566</v>
      </c>
      <c r="E107" s="167"/>
      <c r="F107" s="179" t="s">
        <v>1794</v>
      </c>
      <c r="G107" s="179"/>
      <c r="H107" s="167" t="s">
        <v>1795</v>
      </c>
      <c r="I107" s="179"/>
      <c r="J107" s="167"/>
      <c r="K107" s="167"/>
      <c r="L107" s="167"/>
      <c r="M107" s="167"/>
      <c r="N107" s="167"/>
      <c r="O107" s="167"/>
      <c r="P107" s="173">
        <v>0.80800000000000005</v>
      </c>
      <c r="Q107" s="167"/>
      <c r="R107" s="167"/>
      <c r="S107" s="167"/>
      <c r="T107" s="167"/>
      <c r="U107" s="167"/>
    </row>
    <row r="108" spans="1:21" hidden="1" x14ac:dyDescent="0.25">
      <c r="A108" s="177"/>
      <c r="B108" s="177" t="b">
        <v>1</v>
      </c>
      <c r="C108" s="177"/>
      <c r="D108" s="170">
        <v>45566</v>
      </c>
      <c r="E108" s="166"/>
      <c r="F108" s="175" t="s">
        <v>1525</v>
      </c>
      <c r="G108" s="175"/>
      <c r="H108" s="166" t="s">
        <v>2368</v>
      </c>
      <c r="I108" s="175"/>
      <c r="J108" s="166"/>
      <c r="K108" s="166"/>
      <c r="L108" s="166"/>
      <c r="M108" s="166"/>
      <c r="N108" s="166"/>
      <c r="O108" s="166"/>
      <c r="P108" s="172">
        <v>0.97799999999999998</v>
      </c>
      <c r="Q108" s="172"/>
      <c r="R108" s="172"/>
      <c r="S108" s="166"/>
      <c r="T108" s="166"/>
      <c r="U108" s="166"/>
    </row>
    <row r="109" spans="1:21" hidden="1" x14ac:dyDescent="0.25">
      <c r="A109" s="178"/>
      <c r="B109" s="178" t="b">
        <v>1</v>
      </c>
      <c r="C109" s="178"/>
      <c r="D109" s="171">
        <v>45566</v>
      </c>
      <c r="E109" s="167"/>
      <c r="F109" s="179" t="s">
        <v>705</v>
      </c>
      <c r="G109" s="179"/>
      <c r="H109" s="167" t="s">
        <v>2369</v>
      </c>
      <c r="I109" s="179"/>
      <c r="J109" s="167"/>
      <c r="K109" s="167"/>
      <c r="L109" s="167"/>
      <c r="M109" s="167"/>
      <c r="N109" s="167"/>
      <c r="O109" s="167"/>
      <c r="P109" s="173">
        <v>0.99</v>
      </c>
      <c r="Q109" s="167"/>
      <c r="R109" s="167"/>
      <c r="S109" s="167"/>
      <c r="T109" s="167"/>
      <c r="U109" s="167"/>
    </row>
    <row r="110" spans="1:21" hidden="1" x14ac:dyDescent="0.25">
      <c r="A110" s="177"/>
      <c r="B110" s="177" t="b">
        <v>1</v>
      </c>
      <c r="C110" s="177"/>
      <c r="D110" s="170">
        <v>45566</v>
      </c>
      <c r="E110" s="166"/>
      <c r="F110" s="175" t="s">
        <v>961</v>
      </c>
      <c r="G110" s="175"/>
      <c r="H110" s="166" t="s">
        <v>962</v>
      </c>
      <c r="I110" s="175"/>
      <c r="J110" s="166"/>
      <c r="K110" s="166"/>
      <c r="L110" s="166"/>
      <c r="M110" s="166"/>
      <c r="N110" s="166"/>
      <c r="O110" s="166"/>
      <c r="P110" s="172">
        <v>0.67200000000000004</v>
      </c>
      <c r="Q110" s="172"/>
      <c r="R110" s="172"/>
      <c r="S110" s="166"/>
      <c r="T110" s="166"/>
      <c r="U110" s="166"/>
    </row>
    <row r="111" spans="1:21" hidden="1" x14ac:dyDescent="0.25">
      <c r="A111" s="178"/>
      <c r="B111" s="178" t="b">
        <v>1</v>
      </c>
      <c r="C111" s="178"/>
      <c r="D111" s="171">
        <v>45566</v>
      </c>
      <c r="E111" s="167"/>
      <c r="F111" s="179" t="s">
        <v>720</v>
      </c>
      <c r="G111" s="179"/>
      <c r="H111" s="167" t="s">
        <v>2370</v>
      </c>
      <c r="I111" s="179"/>
      <c r="J111" s="167"/>
      <c r="K111" s="167"/>
      <c r="L111" s="167"/>
      <c r="M111" s="167"/>
      <c r="N111" s="167"/>
      <c r="O111" s="167"/>
      <c r="P111" s="173">
        <v>0.65400000000000003</v>
      </c>
      <c r="Q111" s="167"/>
      <c r="R111" s="167"/>
      <c r="S111" s="167"/>
      <c r="T111" s="167"/>
      <c r="U111" s="167"/>
    </row>
    <row r="112" spans="1:21" hidden="1" x14ac:dyDescent="0.25">
      <c r="A112" s="177"/>
      <c r="B112" s="177" t="b">
        <v>1</v>
      </c>
      <c r="C112" s="177"/>
      <c r="D112" s="170">
        <v>45566</v>
      </c>
      <c r="E112" s="166"/>
      <c r="F112" s="175" t="s">
        <v>1799</v>
      </c>
      <c r="G112" s="175"/>
      <c r="H112" s="166" t="s">
        <v>2371</v>
      </c>
      <c r="I112" s="175"/>
      <c r="J112" s="166"/>
      <c r="K112" s="166"/>
      <c r="L112" s="166"/>
      <c r="M112" s="166"/>
      <c r="N112" s="166"/>
      <c r="O112" s="166"/>
      <c r="P112" s="172">
        <v>0.246</v>
      </c>
      <c r="Q112" s="172"/>
      <c r="R112" s="172"/>
      <c r="S112" s="166"/>
      <c r="T112" s="166"/>
      <c r="U112" s="166"/>
    </row>
    <row r="113" spans="1:21" hidden="1" x14ac:dyDescent="0.25">
      <c r="A113" s="178"/>
      <c r="B113" s="178" t="b">
        <v>1</v>
      </c>
      <c r="C113" s="178"/>
      <c r="D113" s="171">
        <v>45566</v>
      </c>
      <c r="E113" s="167"/>
      <c r="F113" s="179" t="s">
        <v>1757</v>
      </c>
      <c r="G113" s="179"/>
      <c r="H113" s="167" t="s">
        <v>2372</v>
      </c>
      <c r="I113" s="179"/>
      <c r="J113" s="167"/>
      <c r="K113" s="167"/>
      <c r="L113" s="167"/>
      <c r="M113" s="167"/>
      <c r="N113" s="167"/>
      <c r="O113" s="167"/>
      <c r="P113" s="173">
        <v>0.98199999999999998</v>
      </c>
      <c r="Q113" s="167"/>
      <c r="R113" s="167"/>
      <c r="S113" s="167"/>
      <c r="T113" s="167"/>
      <c r="U113" s="167"/>
    </row>
    <row r="114" spans="1:21" hidden="1" x14ac:dyDescent="0.25">
      <c r="A114" s="177"/>
      <c r="B114" s="177" t="b">
        <v>1</v>
      </c>
      <c r="C114" s="177"/>
      <c r="D114" s="170">
        <v>45566</v>
      </c>
      <c r="E114" s="166"/>
      <c r="F114" s="175" t="s">
        <v>630</v>
      </c>
      <c r="G114" s="175"/>
      <c r="H114" s="166" t="s">
        <v>2373</v>
      </c>
      <c r="I114" s="175"/>
      <c r="J114" s="166"/>
      <c r="K114" s="166"/>
      <c r="L114" s="166"/>
      <c r="M114" s="166"/>
      <c r="N114" s="166"/>
      <c r="O114" s="166"/>
      <c r="P114" s="172">
        <v>0.93300000000000005</v>
      </c>
      <c r="Q114" s="172"/>
      <c r="R114" s="172"/>
      <c r="S114" s="166"/>
      <c r="T114" s="166"/>
      <c r="U114" s="166"/>
    </row>
    <row r="115" spans="1:21" hidden="1" x14ac:dyDescent="0.25">
      <c r="A115" s="178"/>
      <c r="B115" s="178" t="b">
        <v>1</v>
      </c>
      <c r="C115" s="178"/>
      <c r="D115" s="171">
        <v>45566</v>
      </c>
      <c r="E115" s="167"/>
      <c r="F115" s="179" t="s">
        <v>742</v>
      </c>
      <c r="G115" s="179"/>
      <c r="H115" s="167" t="s">
        <v>2374</v>
      </c>
      <c r="I115" s="179"/>
      <c r="J115" s="167"/>
      <c r="K115" s="167"/>
      <c r="L115" s="167"/>
      <c r="M115" s="167"/>
      <c r="N115" s="167"/>
      <c r="O115" s="167"/>
      <c r="P115" s="173">
        <v>0.77500000000000002</v>
      </c>
      <c r="Q115" s="167"/>
      <c r="R115" s="167"/>
      <c r="S115" s="167"/>
      <c r="T115" s="167"/>
      <c r="U115" s="167"/>
    </row>
    <row r="116" spans="1:21" hidden="1" x14ac:dyDescent="0.25">
      <c r="A116" s="177"/>
      <c r="B116" s="177" t="b">
        <v>1</v>
      </c>
      <c r="C116" s="177"/>
      <c r="D116" s="170">
        <v>45566</v>
      </c>
      <c r="E116" s="166"/>
      <c r="F116" s="175" t="s">
        <v>975</v>
      </c>
      <c r="G116" s="175"/>
      <c r="H116" s="166" t="s">
        <v>976</v>
      </c>
      <c r="I116" s="175"/>
      <c r="J116" s="166"/>
      <c r="K116" s="166"/>
      <c r="L116" s="166"/>
      <c r="M116" s="166"/>
      <c r="N116" s="166"/>
      <c r="O116" s="166"/>
      <c r="P116" s="172">
        <v>0.95</v>
      </c>
      <c r="Q116" s="172"/>
      <c r="R116" s="172"/>
      <c r="S116" s="166"/>
      <c r="T116" s="166"/>
      <c r="U116" s="166"/>
    </row>
    <row r="117" spans="1:21" hidden="1" x14ac:dyDescent="0.25">
      <c r="A117" s="178"/>
      <c r="B117" s="178" t="b">
        <v>1</v>
      </c>
      <c r="C117" s="178"/>
      <c r="D117" s="171">
        <v>45566</v>
      </c>
      <c r="E117" s="167"/>
      <c r="F117" s="179" t="s">
        <v>982</v>
      </c>
      <c r="G117" s="179"/>
      <c r="H117" s="167" t="s">
        <v>983</v>
      </c>
      <c r="I117" s="179"/>
      <c r="J117" s="167"/>
      <c r="K117" s="167"/>
      <c r="L117" s="167"/>
      <c r="M117" s="167"/>
      <c r="N117" s="167"/>
      <c r="O117" s="167"/>
      <c r="P117" s="173">
        <v>0.85</v>
      </c>
      <c r="Q117" s="167"/>
      <c r="R117" s="167"/>
      <c r="S117" s="167"/>
      <c r="T117" s="167"/>
      <c r="U117" s="167"/>
    </row>
    <row r="118" spans="1:21" hidden="1" x14ac:dyDescent="0.25">
      <c r="A118" s="177"/>
      <c r="B118" s="177" t="b">
        <v>1</v>
      </c>
      <c r="C118" s="177"/>
      <c r="D118" s="170">
        <v>45566</v>
      </c>
      <c r="E118" s="166"/>
      <c r="F118" s="175" t="s">
        <v>1805</v>
      </c>
      <c r="G118" s="175"/>
      <c r="H118" s="166" t="s">
        <v>2375</v>
      </c>
      <c r="I118" s="175"/>
      <c r="J118" s="166"/>
      <c r="K118" s="166"/>
      <c r="L118" s="166"/>
      <c r="M118" s="166"/>
      <c r="N118" s="166"/>
      <c r="O118" s="166"/>
      <c r="P118" s="172">
        <v>0.97199999999999998</v>
      </c>
      <c r="Q118" s="172"/>
      <c r="R118" s="172"/>
      <c r="S118" s="166"/>
      <c r="T118" s="166"/>
      <c r="U118" s="166"/>
    </row>
    <row r="119" spans="1:21" hidden="1" x14ac:dyDescent="0.25">
      <c r="A119" s="178"/>
      <c r="B119" s="178" t="b">
        <v>1</v>
      </c>
      <c r="C119" s="178"/>
      <c r="D119" s="171">
        <v>45566</v>
      </c>
      <c r="E119" s="167"/>
      <c r="F119" s="179" t="s">
        <v>750</v>
      </c>
      <c r="G119" s="179"/>
      <c r="H119" s="167" t="s">
        <v>2376</v>
      </c>
      <c r="I119" s="179"/>
      <c r="J119" s="167"/>
      <c r="K119" s="167"/>
      <c r="L119" s="167"/>
      <c r="M119" s="167"/>
      <c r="N119" s="167"/>
      <c r="O119" s="167"/>
      <c r="P119" s="173">
        <v>1</v>
      </c>
      <c r="Q119" s="167"/>
      <c r="R119" s="167"/>
      <c r="S119" s="167"/>
      <c r="T119" s="167"/>
      <c r="U119" s="167"/>
    </row>
    <row r="120" spans="1:21" hidden="1" x14ac:dyDescent="0.25">
      <c r="A120" s="177"/>
      <c r="B120" s="177" t="b">
        <v>1</v>
      </c>
      <c r="C120" s="177"/>
      <c r="D120" s="170">
        <v>45566</v>
      </c>
      <c r="E120" s="166"/>
      <c r="F120" s="175" t="s">
        <v>1811</v>
      </c>
      <c r="G120" s="175"/>
      <c r="H120" s="166" t="s">
        <v>2377</v>
      </c>
      <c r="I120" s="175"/>
      <c r="J120" s="166"/>
      <c r="K120" s="166"/>
      <c r="L120" s="166"/>
      <c r="M120" s="166"/>
      <c r="N120" s="166"/>
      <c r="O120" s="166"/>
      <c r="P120" s="172">
        <v>0.88200000000000001</v>
      </c>
      <c r="Q120" s="172"/>
      <c r="R120" s="172"/>
      <c r="S120" s="166"/>
      <c r="T120" s="166"/>
      <c r="U120" s="166"/>
    </row>
    <row r="121" spans="1:21" hidden="1" x14ac:dyDescent="0.25">
      <c r="A121" s="178"/>
      <c r="B121" s="178" t="b">
        <v>1</v>
      </c>
      <c r="C121" s="178"/>
      <c r="D121" s="171">
        <v>45566</v>
      </c>
      <c r="E121" s="167"/>
      <c r="F121" s="179" t="s">
        <v>764</v>
      </c>
      <c r="G121" s="179"/>
      <c r="H121" s="167" t="s">
        <v>2378</v>
      </c>
      <c r="I121" s="179"/>
      <c r="J121" s="167"/>
      <c r="K121" s="167"/>
      <c r="L121" s="167"/>
      <c r="M121" s="167"/>
      <c r="N121" s="167"/>
      <c r="O121" s="167"/>
      <c r="P121" s="173">
        <v>0.99099999999999999</v>
      </c>
      <c r="Q121" s="167"/>
      <c r="R121" s="167"/>
      <c r="S121" s="167"/>
      <c r="T121" s="167"/>
      <c r="U121" s="167"/>
    </row>
    <row r="122" spans="1:21" hidden="1" x14ac:dyDescent="0.25">
      <c r="A122" s="177"/>
      <c r="B122" s="177" t="b">
        <v>1</v>
      </c>
      <c r="C122" s="177"/>
      <c r="D122" s="170">
        <v>45566</v>
      </c>
      <c r="E122" s="166"/>
      <c r="F122" s="175" t="s">
        <v>1770</v>
      </c>
      <c r="G122" s="175"/>
      <c r="H122" s="166" t="s">
        <v>2379</v>
      </c>
      <c r="I122" s="175"/>
      <c r="J122" s="166"/>
      <c r="K122" s="166"/>
      <c r="L122" s="166"/>
      <c r="M122" s="166"/>
      <c r="N122" s="166"/>
      <c r="O122" s="166"/>
      <c r="P122" s="172">
        <v>0.85499999999999998</v>
      </c>
      <c r="Q122" s="172"/>
      <c r="R122" s="172"/>
      <c r="S122" s="166"/>
      <c r="T122" s="166"/>
      <c r="U122" s="166"/>
    </row>
    <row r="123" spans="1:21" hidden="1" x14ac:dyDescent="0.25">
      <c r="A123" s="178"/>
      <c r="B123" s="178" t="b">
        <v>1</v>
      </c>
      <c r="C123" s="178"/>
      <c r="D123" s="171">
        <v>45566</v>
      </c>
      <c r="E123" s="167"/>
      <c r="F123" s="179" t="s">
        <v>776</v>
      </c>
      <c r="G123" s="179"/>
      <c r="H123" s="167" t="s">
        <v>2380</v>
      </c>
      <c r="I123" s="179"/>
      <c r="J123" s="167"/>
      <c r="K123" s="167"/>
      <c r="L123" s="167"/>
      <c r="M123" s="167"/>
      <c r="N123" s="167"/>
      <c r="O123" s="167"/>
      <c r="P123" s="173">
        <v>0.95699999999999996</v>
      </c>
      <c r="Q123" s="167"/>
      <c r="R123" s="167"/>
      <c r="S123" s="167"/>
      <c r="T123" s="167"/>
      <c r="U123" s="167"/>
    </row>
    <row r="124" spans="1:21" hidden="1" x14ac:dyDescent="0.25">
      <c r="A124" s="177"/>
      <c r="B124" s="177" t="b">
        <v>1</v>
      </c>
      <c r="C124" s="177"/>
      <c r="D124" s="170">
        <v>45566</v>
      </c>
      <c r="E124" s="166"/>
      <c r="F124" s="175" t="s">
        <v>1706</v>
      </c>
      <c r="G124" s="175"/>
      <c r="H124" s="166" t="s">
        <v>2381</v>
      </c>
      <c r="I124" s="175"/>
      <c r="J124" s="166"/>
      <c r="K124" s="166"/>
      <c r="L124" s="166"/>
      <c r="M124" s="166"/>
      <c r="N124" s="166"/>
      <c r="O124" s="166"/>
      <c r="P124" s="172">
        <v>0.67200000000000004</v>
      </c>
      <c r="Q124" s="172"/>
      <c r="R124" s="172"/>
      <c r="S124" s="166"/>
      <c r="T124" s="166"/>
      <c r="U124" s="166"/>
    </row>
    <row r="125" spans="1:21" hidden="1" x14ac:dyDescent="0.25">
      <c r="A125" s="178"/>
      <c r="B125" s="178" t="b">
        <v>1</v>
      </c>
      <c r="C125" s="178"/>
      <c r="D125" s="171">
        <v>45566</v>
      </c>
      <c r="E125" s="167"/>
      <c r="F125" s="179" t="s">
        <v>999</v>
      </c>
      <c r="G125" s="179"/>
      <c r="H125" s="167" t="s">
        <v>1000</v>
      </c>
      <c r="I125" s="179"/>
      <c r="J125" s="167"/>
      <c r="K125" s="167"/>
      <c r="L125" s="167"/>
      <c r="M125" s="167"/>
      <c r="N125" s="167"/>
      <c r="O125" s="167"/>
      <c r="P125" s="173">
        <v>0.45400000000000001</v>
      </c>
      <c r="Q125" s="167"/>
      <c r="R125" s="167"/>
      <c r="S125" s="167"/>
      <c r="T125" s="167"/>
      <c r="U125" s="167"/>
    </row>
    <row r="126" spans="1:21" hidden="1" x14ac:dyDescent="0.25">
      <c r="A126" s="177"/>
      <c r="B126" s="177" t="b">
        <v>1</v>
      </c>
      <c r="C126" s="177"/>
      <c r="D126" s="170">
        <v>45566</v>
      </c>
      <c r="E126" s="166"/>
      <c r="F126" s="175" t="s">
        <v>1816</v>
      </c>
      <c r="G126" s="175"/>
      <c r="H126" s="166" t="s">
        <v>2382</v>
      </c>
      <c r="I126" s="175"/>
      <c r="J126" s="166"/>
      <c r="K126" s="166"/>
      <c r="L126" s="166"/>
      <c r="M126" s="166"/>
      <c r="N126" s="166"/>
      <c r="O126" s="166"/>
      <c r="P126" s="172">
        <v>0.93899999999999995</v>
      </c>
      <c r="Q126" s="172"/>
      <c r="R126" s="172"/>
      <c r="S126" s="166"/>
      <c r="T126" s="166"/>
      <c r="U126" s="166"/>
    </row>
    <row r="127" spans="1:21" hidden="1" x14ac:dyDescent="0.25">
      <c r="A127" s="178"/>
      <c r="B127" s="178" t="b">
        <v>1</v>
      </c>
      <c r="C127" s="178"/>
      <c r="D127" s="171">
        <v>45566</v>
      </c>
      <c r="E127" s="167"/>
      <c r="F127" s="179" t="s">
        <v>1021</v>
      </c>
      <c r="G127" s="179"/>
      <c r="H127" s="167" t="s">
        <v>1022</v>
      </c>
      <c r="I127" s="179"/>
      <c r="J127" s="167"/>
      <c r="K127" s="167"/>
      <c r="L127" s="167"/>
      <c r="M127" s="167"/>
      <c r="N127" s="167"/>
      <c r="O127" s="167"/>
      <c r="P127" s="173">
        <v>0.40600000000000003</v>
      </c>
      <c r="Q127" s="167"/>
      <c r="R127" s="167"/>
      <c r="S127" s="167"/>
      <c r="T127" s="167"/>
      <c r="U127" s="167"/>
    </row>
    <row r="128" spans="1:21" hidden="1" x14ac:dyDescent="0.25">
      <c r="A128" s="177"/>
      <c r="B128" s="177" t="b">
        <v>1</v>
      </c>
      <c r="C128" s="177"/>
      <c r="D128" s="170">
        <v>45566</v>
      </c>
      <c r="E128" s="166"/>
      <c r="F128" s="175" t="s">
        <v>894</v>
      </c>
      <c r="G128" s="175"/>
      <c r="H128" s="166" t="s">
        <v>2383</v>
      </c>
      <c r="I128" s="175"/>
      <c r="J128" s="166"/>
      <c r="K128" s="166"/>
      <c r="L128" s="166"/>
      <c r="M128" s="166"/>
      <c r="N128" s="166"/>
      <c r="O128" s="166"/>
      <c r="P128" s="172">
        <v>0.93200000000000005</v>
      </c>
      <c r="Q128" s="172"/>
      <c r="R128" s="172"/>
      <c r="S128" s="166"/>
      <c r="T128" s="166"/>
      <c r="U128" s="166"/>
    </row>
    <row r="129" spans="1:21" hidden="1" x14ac:dyDescent="0.25">
      <c r="A129" s="178"/>
      <c r="B129" s="178" t="b">
        <v>1</v>
      </c>
      <c r="C129" s="178"/>
      <c r="D129" s="171">
        <v>45566</v>
      </c>
      <c r="E129" s="167"/>
      <c r="F129" s="179" t="s">
        <v>1028</v>
      </c>
      <c r="G129" s="179"/>
      <c r="H129" s="167" t="s">
        <v>1029</v>
      </c>
      <c r="I129" s="179"/>
      <c r="J129" s="167"/>
      <c r="K129" s="167"/>
      <c r="L129" s="167"/>
      <c r="M129" s="167"/>
      <c r="N129" s="167"/>
      <c r="O129" s="167"/>
      <c r="P129" s="173">
        <v>0.61799999999999999</v>
      </c>
      <c r="Q129" s="167"/>
      <c r="R129" s="167"/>
      <c r="S129" s="167"/>
      <c r="T129" s="167"/>
      <c r="U129" s="167"/>
    </row>
    <row r="130" spans="1:21" hidden="1" x14ac:dyDescent="0.25">
      <c r="A130" s="177"/>
      <c r="B130" s="177" t="b">
        <v>1</v>
      </c>
      <c r="C130" s="177"/>
      <c r="D130" s="170">
        <v>45566</v>
      </c>
      <c r="E130" s="166"/>
      <c r="F130" s="175" t="s">
        <v>953</v>
      </c>
      <c r="G130" s="175"/>
      <c r="H130" s="166" t="s">
        <v>2384</v>
      </c>
      <c r="I130" s="175"/>
      <c r="J130" s="166"/>
      <c r="K130" s="166"/>
      <c r="L130" s="166"/>
      <c r="M130" s="166"/>
      <c r="N130" s="166"/>
      <c r="O130" s="166"/>
      <c r="P130" s="172">
        <v>0.373</v>
      </c>
      <c r="Q130" s="172"/>
      <c r="R130" s="172"/>
      <c r="S130" s="166"/>
      <c r="T130" s="166"/>
      <c r="U130" s="166" t="s">
        <v>2385</v>
      </c>
    </row>
    <row r="131" spans="1:21" hidden="1" x14ac:dyDescent="0.25">
      <c r="A131" s="178"/>
      <c r="B131" s="178" t="b">
        <v>1</v>
      </c>
      <c r="C131" s="178"/>
      <c r="D131" s="171">
        <v>45566</v>
      </c>
      <c r="E131" s="167"/>
      <c r="F131" s="179" t="s">
        <v>1036</v>
      </c>
      <c r="G131" s="179"/>
      <c r="H131" s="167" t="s">
        <v>2386</v>
      </c>
      <c r="I131" s="179"/>
      <c r="J131" s="167"/>
      <c r="K131" s="167"/>
      <c r="L131" s="167"/>
      <c r="M131" s="167"/>
      <c r="N131" s="167"/>
      <c r="O131" s="167"/>
      <c r="P131" s="173">
        <v>0.78100000000000003</v>
      </c>
      <c r="Q131" s="167"/>
      <c r="R131" s="167"/>
      <c r="S131" s="167"/>
      <c r="T131" s="167"/>
      <c r="U131" s="167"/>
    </row>
    <row r="132" spans="1:21" hidden="1" x14ac:dyDescent="0.25">
      <c r="A132" s="177"/>
      <c r="B132" s="177" t="b">
        <v>1</v>
      </c>
      <c r="C132" s="177"/>
      <c r="D132" s="170">
        <v>45566</v>
      </c>
      <c r="E132" s="166"/>
      <c r="F132" s="175" t="s">
        <v>1057</v>
      </c>
      <c r="G132" s="175"/>
      <c r="H132" s="166" t="s">
        <v>1058</v>
      </c>
      <c r="I132" s="175"/>
      <c r="J132" s="166"/>
      <c r="K132" s="166"/>
      <c r="L132" s="166"/>
      <c r="M132" s="166"/>
      <c r="N132" s="166"/>
      <c r="O132" s="166"/>
      <c r="P132" s="172">
        <v>0.24099999999999999</v>
      </c>
      <c r="Q132" s="172"/>
      <c r="R132" s="172"/>
      <c r="S132" s="166"/>
      <c r="T132" s="166"/>
      <c r="U132" s="166"/>
    </row>
    <row r="133" spans="1:21" hidden="1" x14ac:dyDescent="0.25">
      <c r="A133" s="178"/>
      <c r="B133" s="178" t="b">
        <v>1</v>
      </c>
      <c r="C133" s="178"/>
      <c r="D133" s="171">
        <v>45566</v>
      </c>
      <c r="E133" s="167"/>
      <c r="F133" s="179" t="s">
        <v>886</v>
      </c>
      <c r="G133" s="179"/>
      <c r="H133" s="167" t="s">
        <v>887</v>
      </c>
      <c r="I133" s="179"/>
      <c r="J133" s="167"/>
      <c r="K133" s="167"/>
      <c r="L133" s="167"/>
      <c r="M133" s="167"/>
      <c r="N133" s="167"/>
      <c r="O133" s="167"/>
      <c r="P133" s="173">
        <v>0.52800000000000002</v>
      </c>
      <c r="Q133" s="167"/>
      <c r="R133" s="167"/>
      <c r="S133" s="167"/>
      <c r="T133" s="167"/>
      <c r="U133" s="167"/>
    </row>
    <row r="134" spans="1:21" hidden="1" x14ac:dyDescent="0.25">
      <c r="A134" s="177"/>
      <c r="B134" s="177" t="b">
        <v>1</v>
      </c>
      <c r="C134" s="177"/>
      <c r="D134" s="170">
        <v>45566</v>
      </c>
      <c r="E134" s="166"/>
      <c r="F134" s="175" t="s">
        <v>861</v>
      </c>
      <c r="G134" s="175"/>
      <c r="H134" s="166" t="s">
        <v>400</v>
      </c>
      <c r="I134" s="175"/>
      <c r="J134" s="166"/>
      <c r="K134" s="166"/>
      <c r="L134" s="166"/>
      <c r="M134" s="166"/>
      <c r="N134" s="166"/>
      <c r="O134" s="166"/>
      <c r="P134" s="172">
        <v>0.64300000000000002</v>
      </c>
      <c r="Q134" s="172"/>
      <c r="R134" s="172"/>
      <c r="S134" s="166"/>
      <c r="T134" s="166"/>
      <c r="U134" s="166"/>
    </row>
    <row r="135" spans="1:21" hidden="1" x14ac:dyDescent="0.25">
      <c r="A135" s="178"/>
      <c r="B135" s="178" t="b">
        <v>1</v>
      </c>
      <c r="C135" s="178"/>
      <c r="D135" s="171">
        <v>45566</v>
      </c>
      <c r="E135" s="167"/>
      <c r="F135" s="179" t="s">
        <v>1043</v>
      </c>
      <c r="G135" s="179"/>
      <c r="H135" s="167" t="s">
        <v>1045</v>
      </c>
      <c r="I135" s="179"/>
      <c r="J135" s="167"/>
      <c r="K135" s="167"/>
      <c r="L135" s="167"/>
      <c r="M135" s="167"/>
      <c r="N135" s="167"/>
      <c r="O135" s="167"/>
      <c r="P135" s="173">
        <v>0.88500000000000001</v>
      </c>
      <c r="Q135" s="167"/>
      <c r="R135" s="167"/>
      <c r="S135" s="167"/>
      <c r="T135" s="167"/>
      <c r="U135" s="167"/>
    </row>
    <row r="136" spans="1:21" hidden="1" x14ac:dyDescent="0.25">
      <c r="A136" s="177"/>
      <c r="B136" s="177" t="b">
        <v>1</v>
      </c>
      <c r="C136" s="177"/>
      <c r="D136" s="170">
        <v>45566</v>
      </c>
      <c r="E136" s="166"/>
      <c r="F136" s="175" t="s">
        <v>788</v>
      </c>
      <c r="G136" s="175"/>
      <c r="H136" s="166" t="s">
        <v>2387</v>
      </c>
      <c r="I136" s="175"/>
      <c r="J136" s="166"/>
      <c r="K136" s="166"/>
      <c r="L136" s="166"/>
      <c r="M136" s="166"/>
      <c r="N136" s="166"/>
      <c r="O136" s="166"/>
      <c r="P136" s="172">
        <v>0.78100000000000003</v>
      </c>
      <c r="Q136" s="172"/>
      <c r="R136" s="172"/>
      <c r="S136" s="166"/>
      <c r="T136" s="166"/>
      <c r="U136" s="166"/>
    </row>
    <row r="137" spans="1:21" hidden="1" x14ac:dyDescent="0.25">
      <c r="A137" s="178"/>
      <c r="B137" s="178" t="b">
        <v>1</v>
      </c>
      <c r="C137" s="178"/>
      <c r="D137" s="171">
        <v>45566</v>
      </c>
      <c r="E137" s="167"/>
      <c r="F137" s="179" t="s">
        <v>1545</v>
      </c>
      <c r="G137" s="179"/>
      <c r="H137" s="167" t="s">
        <v>2388</v>
      </c>
      <c r="I137" s="179"/>
      <c r="J137" s="167"/>
      <c r="K137" s="167"/>
      <c r="L137" s="167"/>
      <c r="M137" s="167"/>
      <c r="N137" s="167"/>
      <c r="O137" s="167"/>
      <c r="P137" s="173">
        <v>0.95</v>
      </c>
      <c r="Q137" s="167"/>
      <c r="R137" s="167"/>
      <c r="S137" s="167"/>
      <c r="T137" s="167"/>
      <c r="U137" s="167"/>
    </row>
    <row r="138" spans="1:21" hidden="1" x14ac:dyDescent="0.25">
      <c r="A138" s="177"/>
      <c r="B138" s="177" t="b">
        <v>1</v>
      </c>
      <c r="C138" s="177"/>
      <c r="D138" s="170">
        <v>45566</v>
      </c>
      <c r="E138" s="166"/>
      <c r="F138" s="175" t="s">
        <v>1050</v>
      </c>
      <c r="G138" s="175"/>
      <c r="H138" s="166" t="s">
        <v>2389</v>
      </c>
      <c r="I138" s="175"/>
      <c r="J138" s="166"/>
      <c r="K138" s="166"/>
      <c r="L138" s="166"/>
      <c r="M138" s="166"/>
      <c r="N138" s="166"/>
      <c r="O138" s="166"/>
      <c r="P138" s="172">
        <v>0.95799999999999996</v>
      </c>
      <c r="Q138" s="172"/>
      <c r="R138" s="172"/>
      <c r="S138" s="166"/>
      <c r="T138" s="166"/>
      <c r="U138" s="166"/>
    </row>
    <row r="139" spans="1:21" hidden="1" x14ac:dyDescent="0.25">
      <c r="A139" s="178"/>
      <c r="B139" s="178" t="b">
        <v>1</v>
      </c>
      <c r="C139" s="178"/>
      <c r="D139" s="171">
        <v>45566</v>
      </c>
      <c r="E139" s="167"/>
      <c r="F139" s="179" t="s">
        <v>1820</v>
      </c>
      <c r="G139" s="179"/>
      <c r="H139" s="167" t="s">
        <v>2390</v>
      </c>
      <c r="I139" s="179"/>
      <c r="J139" s="167"/>
      <c r="K139" s="167"/>
      <c r="L139" s="167"/>
      <c r="M139" s="167"/>
      <c r="N139" s="167"/>
      <c r="O139" s="167"/>
      <c r="P139" s="173">
        <v>0</v>
      </c>
      <c r="Q139" s="167"/>
      <c r="R139" s="167"/>
      <c r="S139" s="167"/>
      <c r="T139" s="167"/>
      <c r="U139" s="167"/>
    </row>
    <row r="140" spans="1:21" hidden="1" x14ac:dyDescent="0.25">
      <c r="A140" s="177"/>
      <c r="B140" s="177" t="b">
        <v>1</v>
      </c>
      <c r="C140" s="177"/>
      <c r="D140" s="170">
        <v>45566</v>
      </c>
      <c r="E140" s="166"/>
      <c r="F140" s="175" t="s">
        <v>796</v>
      </c>
      <c r="G140" s="175"/>
      <c r="H140" s="166" t="s">
        <v>2391</v>
      </c>
      <c r="I140" s="175"/>
      <c r="J140" s="166"/>
      <c r="K140" s="166"/>
      <c r="L140" s="166"/>
      <c r="M140" s="166"/>
      <c r="N140" s="166"/>
      <c r="O140" s="166"/>
      <c r="P140" s="172">
        <v>0.71899999999999997</v>
      </c>
      <c r="Q140" s="172"/>
      <c r="R140" s="172"/>
      <c r="S140" s="166"/>
      <c r="T140" s="166"/>
      <c r="U140" s="166"/>
    </row>
    <row r="141" spans="1:21" hidden="1" x14ac:dyDescent="0.25">
      <c r="A141" s="178"/>
      <c r="B141" s="178" t="b">
        <v>1</v>
      </c>
      <c r="C141" s="178"/>
      <c r="D141" s="171">
        <v>45566</v>
      </c>
      <c r="E141" s="167"/>
      <c r="F141" s="179" t="s">
        <v>1823</v>
      </c>
      <c r="G141" s="179"/>
      <c r="H141" s="167" t="s">
        <v>2392</v>
      </c>
      <c r="I141" s="179"/>
      <c r="J141" s="167"/>
      <c r="K141" s="167"/>
      <c r="L141" s="167"/>
      <c r="M141" s="167"/>
      <c r="N141" s="167"/>
      <c r="O141" s="167"/>
      <c r="P141" s="173">
        <v>0.93</v>
      </c>
      <c r="Q141" s="167"/>
      <c r="R141" s="167"/>
      <c r="S141" s="167"/>
      <c r="T141" s="167"/>
      <c r="U141" s="167"/>
    </row>
    <row r="142" spans="1:21" hidden="1" x14ac:dyDescent="0.25">
      <c r="A142" s="177"/>
      <c r="B142" s="177" t="b">
        <v>1</v>
      </c>
      <c r="C142" s="177"/>
      <c r="D142" s="170">
        <v>45566</v>
      </c>
      <c r="E142" s="166"/>
      <c r="F142" s="175" t="s">
        <v>1552</v>
      </c>
      <c r="G142" s="175"/>
      <c r="H142" s="166" t="s">
        <v>2393</v>
      </c>
      <c r="I142" s="175"/>
      <c r="J142" s="166"/>
      <c r="K142" s="166"/>
      <c r="L142" s="166"/>
      <c r="M142" s="166"/>
      <c r="N142" s="166"/>
      <c r="O142" s="166"/>
      <c r="P142" s="172">
        <v>0.86299999999999999</v>
      </c>
      <c r="Q142" s="172"/>
      <c r="R142" s="172"/>
      <c r="S142" s="166"/>
      <c r="T142" s="166"/>
      <c r="U142" s="166"/>
    </row>
    <row r="143" spans="1:21" hidden="1" x14ac:dyDescent="0.25">
      <c r="A143" s="178"/>
      <c r="B143" s="178" t="b">
        <v>1</v>
      </c>
      <c r="C143" s="178"/>
      <c r="D143" s="171">
        <v>45566</v>
      </c>
      <c r="E143" s="167"/>
      <c r="F143" s="179" t="s">
        <v>728</v>
      </c>
      <c r="G143" s="179"/>
      <c r="H143" s="167" t="s">
        <v>2394</v>
      </c>
      <c r="I143" s="179"/>
      <c r="J143" s="167"/>
      <c r="K143" s="167"/>
      <c r="L143" s="167"/>
      <c r="M143" s="167"/>
      <c r="N143" s="167"/>
      <c r="O143" s="167"/>
      <c r="P143" s="173">
        <v>0.61699999999999999</v>
      </c>
      <c r="Q143" s="167"/>
      <c r="R143" s="167"/>
      <c r="S143" s="167"/>
      <c r="T143" s="167"/>
      <c r="U143" s="167"/>
    </row>
    <row r="144" spans="1:21" hidden="1" x14ac:dyDescent="0.25">
      <c r="A144" s="177"/>
      <c r="B144" s="177" t="b">
        <v>1</v>
      </c>
      <c r="C144" s="177"/>
      <c r="D144" s="170">
        <v>45566</v>
      </c>
      <c r="E144" s="166"/>
      <c r="F144" s="175" t="s">
        <v>1771</v>
      </c>
      <c r="G144" s="175"/>
      <c r="H144" s="166" t="s">
        <v>2395</v>
      </c>
      <c r="I144" s="175"/>
      <c r="J144" s="166"/>
      <c r="K144" s="166"/>
      <c r="L144" s="166"/>
      <c r="M144" s="166"/>
      <c r="N144" s="166"/>
      <c r="O144" s="166"/>
      <c r="P144" s="172">
        <v>0.97599999999999998</v>
      </c>
      <c r="Q144" s="172"/>
      <c r="R144" s="172"/>
      <c r="S144" s="166"/>
      <c r="T144" s="166"/>
      <c r="U144" s="166"/>
    </row>
    <row r="145" spans="1:21" hidden="1" x14ac:dyDescent="0.25">
      <c r="A145" s="178"/>
      <c r="B145" s="178" t="b">
        <v>1</v>
      </c>
      <c r="C145" s="178"/>
      <c r="D145" s="171">
        <v>45566</v>
      </c>
      <c r="E145" s="167"/>
      <c r="F145" s="179" t="s">
        <v>816</v>
      </c>
      <c r="G145" s="179"/>
      <c r="H145" s="167" t="s">
        <v>2396</v>
      </c>
      <c r="I145" s="179"/>
      <c r="J145" s="167"/>
      <c r="K145" s="167"/>
      <c r="L145" s="167"/>
      <c r="M145" s="167"/>
      <c r="N145" s="167"/>
      <c r="O145" s="167"/>
      <c r="P145" s="173">
        <v>0.2</v>
      </c>
      <c r="Q145" s="167"/>
      <c r="R145" s="167"/>
      <c r="S145" s="167"/>
      <c r="T145" s="167"/>
      <c r="U145" s="167"/>
    </row>
    <row r="146" spans="1:21" hidden="1" x14ac:dyDescent="0.25">
      <c r="A146" s="177"/>
      <c r="B146" s="177" t="b">
        <v>1</v>
      </c>
      <c r="C146" s="177"/>
      <c r="D146" s="170">
        <v>45566</v>
      </c>
      <c r="E146" s="166"/>
      <c r="F146" s="175" t="s">
        <v>1726</v>
      </c>
      <c r="G146" s="175"/>
      <c r="H146" s="166" t="s">
        <v>2397</v>
      </c>
      <c r="I146" s="175"/>
      <c r="J146" s="166"/>
      <c r="K146" s="166"/>
      <c r="L146" s="166"/>
      <c r="M146" s="166"/>
      <c r="N146" s="166"/>
      <c r="O146" s="166"/>
      <c r="P146" s="172">
        <v>0.41299999999999998</v>
      </c>
      <c r="Q146" s="172"/>
      <c r="R146" s="172"/>
      <c r="S146" s="166"/>
      <c r="T146" s="166"/>
      <c r="U146" s="166"/>
    </row>
    <row r="147" spans="1:21" hidden="1" x14ac:dyDescent="0.25">
      <c r="A147" s="178"/>
      <c r="B147" s="178" t="b">
        <v>1</v>
      </c>
      <c r="C147" s="178"/>
      <c r="D147" s="171">
        <v>45566</v>
      </c>
      <c r="E147" s="167"/>
      <c r="F147" s="179" t="s">
        <v>822</v>
      </c>
      <c r="G147" s="179"/>
      <c r="H147" s="167" t="s">
        <v>2398</v>
      </c>
      <c r="I147" s="179"/>
      <c r="J147" s="167"/>
      <c r="K147" s="167"/>
      <c r="L147" s="167"/>
      <c r="M147" s="167"/>
      <c r="N147" s="167"/>
      <c r="O147" s="167"/>
      <c r="P147" s="173">
        <v>0.97899999999999998</v>
      </c>
      <c r="Q147" s="167"/>
      <c r="R147" s="167"/>
      <c r="S147" s="167"/>
      <c r="T147" s="167"/>
      <c r="U147" s="167"/>
    </row>
    <row r="148" spans="1:21" hidden="1" x14ac:dyDescent="0.25">
      <c r="A148" s="177"/>
      <c r="B148" s="177" t="b">
        <v>1</v>
      </c>
      <c r="C148" s="177"/>
      <c r="D148" s="170">
        <v>45566</v>
      </c>
      <c r="E148" s="166"/>
      <c r="F148" s="175" t="s">
        <v>1065</v>
      </c>
      <c r="G148" s="175"/>
      <c r="H148" s="166" t="s">
        <v>2399</v>
      </c>
      <c r="I148" s="175"/>
      <c r="J148" s="166"/>
      <c r="K148" s="166"/>
      <c r="L148" s="166"/>
      <c r="M148" s="166"/>
      <c r="N148" s="166"/>
      <c r="O148" s="166"/>
      <c r="P148" s="172">
        <v>0.94699999999999995</v>
      </c>
      <c r="Q148" s="172"/>
      <c r="R148" s="172"/>
      <c r="S148" s="166"/>
      <c r="T148" s="166"/>
      <c r="U148" s="166"/>
    </row>
    <row r="149" spans="1:21" hidden="1" x14ac:dyDescent="0.25">
      <c r="A149" s="178"/>
      <c r="B149" s="178" t="b">
        <v>1</v>
      </c>
      <c r="C149" s="178"/>
      <c r="D149" s="171">
        <v>45566</v>
      </c>
      <c r="E149" s="167"/>
      <c r="F149" s="179" t="s">
        <v>831</v>
      </c>
      <c r="G149" s="179"/>
      <c r="H149" s="167" t="s">
        <v>2400</v>
      </c>
      <c r="I149" s="179"/>
      <c r="J149" s="167"/>
      <c r="K149" s="167"/>
      <c r="L149" s="167"/>
      <c r="M149" s="167"/>
      <c r="N149" s="167"/>
      <c r="O149" s="167"/>
      <c r="P149" s="173">
        <v>0.97499999999999998</v>
      </c>
      <c r="Q149" s="167"/>
      <c r="R149" s="167"/>
      <c r="S149" s="167"/>
      <c r="T149" s="167"/>
      <c r="U149" s="167"/>
    </row>
    <row r="150" spans="1:21" hidden="1" x14ac:dyDescent="0.25">
      <c r="A150" s="177"/>
      <c r="B150" s="177" t="b">
        <v>1</v>
      </c>
      <c r="C150" s="177"/>
      <c r="D150" s="170">
        <v>45566</v>
      </c>
      <c r="E150" s="166"/>
      <c r="F150" s="175" t="s">
        <v>1674</v>
      </c>
      <c r="G150" s="175"/>
      <c r="H150" s="166" t="s">
        <v>2401</v>
      </c>
      <c r="I150" s="175"/>
      <c r="J150" s="166"/>
      <c r="K150" s="166"/>
      <c r="L150" s="166"/>
      <c r="M150" s="166"/>
      <c r="N150" s="166"/>
      <c r="O150" s="166"/>
      <c r="P150" s="172">
        <v>0.72599999999999998</v>
      </c>
      <c r="Q150" s="172"/>
      <c r="R150" s="172"/>
      <c r="S150" s="166"/>
      <c r="T150" s="166"/>
      <c r="U150" s="166"/>
    </row>
    <row r="151" spans="1:21" hidden="1" x14ac:dyDescent="0.25">
      <c r="A151" s="178"/>
      <c r="B151" s="178" t="b">
        <v>1</v>
      </c>
      <c r="C151" s="178"/>
      <c r="D151" s="171">
        <v>45566</v>
      </c>
      <c r="E151" s="167"/>
      <c r="F151" s="179" t="s">
        <v>1676</v>
      </c>
      <c r="G151" s="179"/>
      <c r="H151" s="167" t="s">
        <v>2402</v>
      </c>
      <c r="I151" s="179"/>
      <c r="J151" s="167"/>
      <c r="K151" s="167"/>
      <c r="L151" s="167"/>
      <c r="M151" s="167"/>
      <c r="N151" s="167"/>
      <c r="O151" s="167"/>
      <c r="P151" s="173">
        <v>0.06</v>
      </c>
      <c r="Q151" s="167"/>
      <c r="R151" s="167"/>
      <c r="S151" s="167"/>
      <c r="T151" s="167"/>
      <c r="U151" s="167"/>
    </row>
    <row r="152" spans="1:21" hidden="1" x14ac:dyDescent="0.25">
      <c r="A152" s="177"/>
      <c r="B152" s="177" t="b">
        <v>1</v>
      </c>
      <c r="C152" s="177"/>
      <c r="D152" s="170">
        <v>45566</v>
      </c>
      <c r="E152" s="166"/>
      <c r="F152" s="175" t="s">
        <v>633</v>
      </c>
      <c r="G152" s="175"/>
      <c r="H152" s="166" t="s">
        <v>2403</v>
      </c>
      <c r="I152" s="175"/>
      <c r="J152" s="166"/>
      <c r="K152" s="166"/>
      <c r="L152" s="166"/>
      <c r="M152" s="166"/>
      <c r="N152" s="166"/>
      <c r="O152" s="166"/>
      <c r="P152" s="172">
        <v>0.91300000000000003</v>
      </c>
      <c r="Q152" s="172"/>
      <c r="R152" s="172"/>
      <c r="S152" s="166"/>
      <c r="T152" s="166"/>
      <c r="U152" s="166"/>
    </row>
    <row r="153" spans="1:21" hidden="1" x14ac:dyDescent="0.25">
      <c r="A153" s="178"/>
      <c r="B153" s="178" t="b">
        <v>1</v>
      </c>
      <c r="C153" s="178"/>
      <c r="D153" s="171">
        <v>45566</v>
      </c>
      <c r="E153" s="167"/>
      <c r="F153" s="179" t="s">
        <v>1828</v>
      </c>
      <c r="G153" s="179"/>
      <c r="H153" s="167" t="s">
        <v>1829</v>
      </c>
      <c r="I153" s="179"/>
      <c r="J153" s="167"/>
      <c r="K153" s="167"/>
      <c r="L153" s="167"/>
      <c r="M153" s="167"/>
      <c r="N153" s="167"/>
      <c r="O153" s="167"/>
      <c r="P153" s="173">
        <v>0.66</v>
      </c>
      <c r="Q153" s="167"/>
      <c r="R153" s="167"/>
      <c r="S153" s="167"/>
      <c r="T153" s="167"/>
      <c r="U153" s="167"/>
    </row>
    <row r="154" spans="1:21" hidden="1" x14ac:dyDescent="0.25">
      <c r="A154" s="177"/>
      <c r="B154" s="177" t="b">
        <v>1</v>
      </c>
      <c r="C154" s="177"/>
      <c r="D154" s="170">
        <v>45566</v>
      </c>
      <c r="E154" s="166"/>
      <c r="F154" s="175" t="s">
        <v>1739</v>
      </c>
      <c r="G154" s="175"/>
      <c r="H154" s="166" t="s">
        <v>2404</v>
      </c>
      <c r="I154" s="175"/>
      <c r="J154" s="166"/>
      <c r="K154" s="166"/>
      <c r="L154" s="166"/>
      <c r="M154" s="166"/>
      <c r="N154" s="166"/>
      <c r="O154" s="166"/>
      <c r="P154" s="172">
        <v>0.99199999999999999</v>
      </c>
      <c r="Q154" s="172"/>
      <c r="R154" s="172"/>
      <c r="S154" s="166"/>
      <c r="T154" s="166"/>
      <c r="U154" s="166"/>
    </row>
    <row r="155" spans="1:21" hidden="1" x14ac:dyDescent="0.25">
      <c r="A155" s="178"/>
      <c r="B155" s="178" t="b">
        <v>1</v>
      </c>
      <c r="C155" s="178"/>
      <c r="D155" s="171">
        <v>45566</v>
      </c>
      <c r="E155" s="167"/>
      <c r="F155" s="179" t="s">
        <v>1773</v>
      </c>
      <c r="G155" s="179"/>
      <c r="H155" s="167" t="s">
        <v>2405</v>
      </c>
      <c r="I155" s="179"/>
      <c r="J155" s="167"/>
      <c r="K155" s="167"/>
      <c r="L155" s="167"/>
      <c r="M155" s="167"/>
      <c r="N155" s="167"/>
      <c r="O155" s="167"/>
      <c r="P155" s="173">
        <v>0.93500000000000005</v>
      </c>
      <c r="Q155" s="167"/>
      <c r="R155" s="167"/>
      <c r="S155" s="167"/>
      <c r="T155" s="167"/>
      <c r="U155" s="167"/>
    </row>
    <row r="156" spans="1:21" hidden="1" x14ac:dyDescent="0.25">
      <c r="A156" s="177"/>
      <c r="B156" s="177" t="b">
        <v>1</v>
      </c>
      <c r="C156" s="177"/>
      <c r="D156" s="170">
        <v>45566</v>
      </c>
      <c r="E156" s="166"/>
      <c r="F156" s="175" t="s">
        <v>1931</v>
      </c>
      <c r="G156" s="175"/>
      <c r="H156" s="166" t="s">
        <v>2405</v>
      </c>
      <c r="I156" s="175"/>
      <c r="J156" s="166"/>
      <c r="K156" s="166"/>
      <c r="L156" s="166"/>
      <c r="M156" s="166"/>
      <c r="N156" s="166"/>
      <c r="O156" s="166"/>
      <c r="P156" s="172">
        <v>0.72799999999999998</v>
      </c>
      <c r="Q156" s="172"/>
      <c r="R156" s="172"/>
      <c r="S156" s="166"/>
      <c r="T156" s="166"/>
      <c r="U156" s="166"/>
    </row>
    <row r="157" spans="1:21" hidden="1" x14ac:dyDescent="0.25">
      <c r="A157" s="178"/>
      <c r="B157" s="178" t="b">
        <v>1</v>
      </c>
      <c r="C157" s="178"/>
      <c r="D157" s="171">
        <v>45566</v>
      </c>
      <c r="E157" s="167"/>
      <c r="F157" s="179" t="s">
        <v>1832</v>
      </c>
      <c r="G157" s="179"/>
      <c r="H157" s="167" t="s">
        <v>2406</v>
      </c>
      <c r="I157" s="179"/>
      <c r="J157" s="167"/>
      <c r="K157" s="167"/>
      <c r="L157" s="167"/>
      <c r="M157" s="167"/>
      <c r="N157" s="167"/>
      <c r="O157" s="167"/>
      <c r="P157" s="173">
        <v>0.12</v>
      </c>
      <c r="Q157" s="167"/>
      <c r="R157" s="167"/>
      <c r="S157" s="167"/>
      <c r="T157" s="167"/>
      <c r="U157" s="167"/>
    </row>
    <row r="158" spans="1:21" hidden="1" x14ac:dyDescent="0.25">
      <c r="A158" s="177"/>
      <c r="B158" s="177" t="b">
        <v>1</v>
      </c>
      <c r="C158" s="177"/>
      <c r="D158" s="170">
        <v>45566</v>
      </c>
      <c r="E158" s="166"/>
      <c r="F158" s="175" t="s">
        <v>1532</v>
      </c>
      <c r="G158" s="175"/>
      <c r="H158" s="166" t="s">
        <v>2407</v>
      </c>
      <c r="I158" s="175"/>
      <c r="J158" s="166"/>
      <c r="K158" s="166"/>
      <c r="L158" s="166"/>
      <c r="M158" s="166"/>
      <c r="N158" s="166"/>
      <c r="O158" s="166"/>
      <c r="P158" s="172">
        <v>0.879</v>
      </c>
      <c r="Q158" s="172"/>
      <c r="R158" s="172"/>
      <c r="S158" s="166"/>
      <c r="T158" s="166"/>
      <c r="U158" s="166"/>
    </row>
    <row r="159" spans="1:21" hidden="1" x14ac:dyDescent="0.25">
      <c r="A159" s="178"/>
      <c r="B159" s="178" t="b">
        <v>1</v>
      </c>
      <c r="C159" s="178"/>
      <c r="D159" s="171">
        <v>45566</v>
      </c>
      <c r="E159" s="167"/>
      <c r="F159" s="179" t="s">
        <v>1072</v>
      </c>
      <c r="G159" s="179"/>
      <c r="H159" s="167" t="s">
        <v>2408</v>
      </c>
      <c r="I159" s="179"/>
      <c r="J159" s="167"/>
      <c r="K159" s="167"/>
      <c r="L159" s="167"/>
      <c r="M159" s="167"/>
      <c r="N159" s="167"/>
      <c r="O159" s="167"/>
      <c r="P159" s="173">
        <v>0.82699999999999996</v>
      </c>
      <c r="Q159" s="167"/>
      <c r="R159" s="167"/>
      <c r="S159" s="167"/>
      <c r="T159" s="167"/>
      <c r="U159" s="167"/>
    </row>
    <row r="160" spans="1:21" hidden="1" x14ac:dyDescent="0.25">
      <c r="A160" s="177"/>
      <c r="B160" s="177" t="b">
        <v>1</v>
      </c>
      <c r="C160" s="177"/>
      <c r="D160" s="170">
        <v>45566</v>
      </c>
      <c r="E160" s="166"/>
      <c r="F160" s="175" t="s">
        <v>1086</v>
      </c>
      <c r="G160" s="175"/>
      <c r="H160" s="166" t="s">
        <v>2409</v>
      </c>
      <c r="I160" s="175"/>
      <c r="J160" s="166"/>
      <c r="K160" s="166"/>
      <c r="L160" s="166"/>
      <c r="M160" s="166"/>
      <c r="N160" s="166"/>
      <c r="O160" s="166"/>
      <c r="P160" s="172">
        <v>0.75700000000000001</v>
      </c>
      <c r="Q160" s="172"/>
      <c r="R160" s="172"/>
      <c r="S160" s="166"/>
      <c r="T160" s="166"/>
      <c r="U160" s="166"/>
    </row>
    <row r="161" spans="1:21" hidden="1" x14ac:dyDescent="0.25">
      <c r="A161" s="178"/>
      <c r="B161" s="178" t="b">
        <v>1</v>
      </c>
      <c r="C161" s="178"/>
      <c r="D161" s="171">
        <v>45566</v>
      </c>
      <c r="E161" s="167"/>
      <c r="F161" s="179" t="s">
        <v>1900</v>
      </c>
      <c r="G161" s="179"/>
      <c r="H161" s="167" t="s">
        <v>1901</v>
      </c>
      <c r="I161" s="179"/>
      <c r="J161" s="167"/>
      <c r="K161" s="167"/>
      <c r="L161" s="167"/>
      <c r="M161" s="167"/>
      <c r="N161" s="167"/>
      <c r="O161" s="167"/>
      <c r="P161" s="173">
        <v>0.95299999999999996</v>
      </c>
      <c r="Q161" s="167"/>
      <c r="R161" s="167"/>
      <c r="S161" s="167"/>
      <c r="T161" s="167"/>
      <c r="U161" s="167"/>
    </row>
    <row r="162" spans="1:21" hidden="1" x14ac:dyDescent="0.25">
      <c r="A162" s="177"/>
      <c r="B162" s="177" t="b">
        <v>1</v>
      </c>
      <c r="C162" s="177"/>
      <c r="D162" s="170">
        <v>45566</v>
      </c>
      <c r="E162" s="166"/>
      <c r="F162" s="175" t="s">
        <v>1093</v>
      </c>
      <c r="G162" s="175"/>
      <c r="H162" s="166" t="s">
        <v>1094</v>
      </c>
      <c r="I162" s="175"/>
      <c r="J162" s="166"/>
      <c r="K162" s="166"/>
      <c r="L162" s="166"/>
      <c r="M162" s="166"/>
      <c r="N162" s="166"/>
      <c r="O162" s="166"/>
      <c r="P162" s="172">
        <v>0.57999999999999996</v>
      </c>
      <c r="Q162" s="172"/>
      <c r="R162" s="172"/>
      <c r="S162" s="166"/>
      <c r="T162" s="166"/>
      <c r="U162" s="166"/>
    </row>
    <row r="163" spans="1:21" hidden="1" x14ac:dyDescent="0.25">
      <c r="A163" s="178" t="b">
        <v>1</v>
      </c>
      <c r="B163" s="178" t="b">
        <v>1</v>
      </c>
      <c r="C163" s="178" t="b">
        <v>1</v>
      </c>
      <c r="D163" s="171">
        <v>45589</v>
      </c>
      <c r="E163" s="167">
        <v>82</v>
      </c>
      <c r="F163" s="179" t="s">
        <v>532</v>
      </c>
      <c r="G163" s="179">
        <v>20077</v>
      </c>
      <c r="H163" t="s">
        <v>533</v>
      </c>
      <c r="I163" s="179" t="s">
        <v>160</v>
      </c>
      <c r="J163" s="167"/>
      <c r="K163" s="167"/>
      <c r="L163" s="167"/>
      <c r="M163" s="167"/>
      <c r="N163" s="167"/>
      <c r="O163" s="167"/>
      <c r="P163" s="173"/>
      <c r="Q163" s="167"/>
      <c r="R163" s="167"/>
      <c r="S163" s="167"/>
      <c r="T163" s="167"/>
      <c r="U163" s="167" t="s">
        <v>2410</v>
      </c>
    </row>
    <row r="164" spans="1:21" hidden="1" x14ac:dyDescent="0.25">
      <c r="A164" s="177"/>
      <c r="B164" s="177" t="b">
        <v>1</v>
      </c>
      <c r="C164" s="177"/>
      <c r="D164" s="170">
        <v>45593</v>
      </c>
      <c r="E164" s="166">
        <v>252</v>
      </c>
      <c r="F164" s="175" t="s">
        <v>1285</v>
      </c>
      <c r="G164" s="175">
        <v>10078</v>
      </c>
      <c r="H164" s="166" t="s">
        <v>1286</v>
      </c>
      <c r="I164" s="175"/>
      <c r="J164" s="166"/>
      <c r="K164" s="166"/>
      <c r="L164" s="166"/>
      <c r="M164" s="166"/>
      <c r="N164" s="166"/>
      <c r="O164" s="166"/>
      <c r="P164" s="172"/>
      <c r="Q164" s="172"/>
      <c r="R164" s="172"/>
      <c r="S164" s="166"/>
      <c r="T164" s="166"/>
      <c r="U164" s="166" t="s">
        <v>2411</v>
      </c>
    </row>
    <row r="165" spans="1:21" hidden="1" x14ac:dyDescent="0.25">
      <c r="A165" s="178"/>
      <c r="B165" s="178" t="b">
        <v>1</v>
      </c>
      <c r="C165" s="178"/>
      <c r="D165" s="171">
        <v>45593</v>
      </c>
      <c r="E165" s="167">
        <v>317</v>
      </c>
      <c r="F165" s="179" t="s">
        <v>1839</v>
      </c>
      <c r="G165" s="179">
        <v>10094</v>
      </c>
      <c r="H165" s="167" t="s">
        <v>1404</v>
      </c>
      <c r="I165" s="179"/>
      <c r="J165" s="167"/>
      <c r="K165" s="167"/>
      <c r="L165" s="167"/>
      <c r="M165" s="167"/>
      <c r="N165" s="167"/>
      <c r="O165" s="167"/>
      <c r="P165" s="173"/>
      <c r="Q165" s="167"/>
      <c r="R165" s="167"/>
      <c r="S165" s="167"/>
      <c r="T165" s="167"/>
      <c r="U165" s="167" t="s">
        <v>2412</v>
      </c>
    </row>
    <row r="166" spans="1:21" hidden="1" x14ac:dyDescent="0.25">
      <c r="A166" s="177"/>
      <c r="B166" s="177" t="b">
        <v>1</v>
      </c>
      <c r="C166" s="177"/>
      <c r="D166" s="170">
        <v>45593</v>
      </c>
      <c r="E166" s="166">
        <v>358</v>
      </c>
      <c r="F166" s="175" t="s">
        <v>1671</v>
      </c>
      <c r="G166" s="175">
        <v>10094</v>
      </c>
      <c r="H166" s="166" t="s">
        <v>1404</v>
      </c>
      <c r="I166" s="175"/>
      <c r="J166" s="166"/>
      <c r="K166" s="166"/>
      <c r="L166" s="166"/>
      <c r="M166" s="166"/>
      <c r="N166" s="166"/>
      <c r="O166" s="166"/>
      <c r="P166" s="172"/>
      <c r="Q166" s="172"/>
      <c r="R166" s="172"/>
      <c r="S166" s="166"/>
      <c r="T166" s="166"/>
      <c r="U166" s="166" t="s">
        <v>2413</v>
      </c>
    </row>
    <row r="167" spans="1:21" hidden="1" x14ac:dyDescent="0.25">
      <c r="A167" s="385" t="b">
        <v>0</v>
      </c>
      <c r="B167" s="385" t="b">
        <v>1</v>
      </c>
      <c r="C167" s="385" t="b">
        <v>0</v>
      </c>
      <c r="D167" s="171">
        <v>45597</v>
      </c>
      <c r="E167" s="167">
        <v>375</v>
      </c>
      <c r="F167" s="179" t="s">
        <v>2054</v>
      </c>
      <c r="G167" s="179">
        <v>20091</v>
      </c>
      <c r="H167" s="167" t="s">
        <v>2414</v>
      </c>
      <c r="I167" s="179"/>
      <c r="J167" s="167"/>
      <c r="K167" s="167"/>
      <c r="L167" s="167"/>
      <c r="M167" s="167"/>
      <c r="N167" s="167"/>
      <c r="O167" s="167">
        <v>800</v>
      </c>
      <c r="P167" s="173"/>
      <c r="Q167" s="167"/>
      <c r="R167" s="167"/>
      <c r="S167" s="167"/>
      <c r="T167" s="167"/>
      <c r="U167" s="167"/>
    </row>
    <row r="168" spans="1:21" hidden="1" x14ac:dyDescent="0.25">
      <c r="A168" s="386" t="b">
        <v>0</v>
      </c>
      <c r="B168" s="386" t="b">
        <v>1</v>
      </c>
      <c r="C168" s="386" t="b">
        <v>0</v>
      </c>
      <c r="D168" s="170">
        <v>45597</v>
      </c>
      <c r="E168" s="166">
        <v>376</v>
      </c>
      <c r="F168" s="175" t="s">
        <v>2072</v>
      </c>
      <c r="G168" s="175">
        <v>20101</v>
      </c>
      <c r="H168" s="166" t="s">
        <v>2073</v>
      </c>
      <c r="I168" s="175"/>
      <c r="J168" s="166">
        <v>1800</v>
      </c>
      <c r="K168" s="166"/>
      <c r="L168" s="166"/>
      <c r="M168" s="166"/>
      <c r="N168" s="166"/>
      <c r="O168" s="166"/>
      <c r="P168" s="172"/>
      <c r="Q168" s="172">
        <v>1</v>
      </c>
      <c r="R168" s="363">
        <v>1800</v>
      </c>
      <c r="S168" s="166"/>
      <c r="T168" s="166"/>
      <c r="U168" s="166"/>
    </row>
    <row r="169" spans="1:21" hidden="1" x14ac:dyDescent="0.25">
      <c r="A169" s="385" t="b">
        <v>0</v>
      </c>
      <c r="B169" s="385" t="b">
        <v>1</v>
      </c>
      <c r="C169" s="385" t="b">
        <v>0</v>
      </c>
      <c r="D169" s="171">
        <v>45597</v>
      </c>
      <c r="E169" s="167">
        <v>375</v>
      </c>
      <c r="F169" s="167" t="s">
        <v>2054</v>
      </c>
      <c r="G169" s="167">
        <v>20091</v>
      </c>
      <c r="H169" s="167" t="s">
        <v>1766</v>
      </c>
      <c r="I169" s="167"/>
      <c r="J169" s="167">
        <v>800</v>
      </c>
      <c r="K169" s="167"/>
      <c r="L169" s="167"/>
      <c r="M169" s="167"/>
      <c r="N169" s="167"/>
      <c r="O169" s="167"/>
      <c r="P169" s="167"/>
      <c r="Q169" s="167"/>
      <c r="R169" s="167"/>
      <c r="S169" s="167"/>
      <c r="T169" s="167"/>
      <c r="U169" s="167" t="s">
        <v>2415</v>
      </c>
    </row>
    <row r="170" spans="1:21" hidden="1" x14ac:dyDescent="0.25">
      <c r="A170" s="386" t="b">
        <v>0</v>
      </c>
      <c r="B170" s="386" t="b">
        <v>1</v>
      </c>
      <c r="C170" s="386" t="b">
        <v>0</v>
      </c>
      <c r="D170" s="170">
        <v>45597</v>
      </c>
      <c r="E170" s="166"/>
      <c r="F170" s="166" t="s">
        <v>2077</v>
      </c>
      <c r="G170" s="166">
        <v>20102</v>
      </c>
      <c r="H170" s="166" t="s">
        <v>2078</v>
      </c>
      <c r="I170" s="166"/>
      <c r="J170" s="166">
        <v>2400</v>
      </c>
      <c r="K170" s="166"/>
      <c r="L170" s="166"/>
      <c r="M170" s="166"/>
      <c r="N170" s="166"/>
      <c r="O170" s="166"/>
      <c r="P170" s="166"/>
      <c r="Q170" s="166"/>
      <c r="R170" s="166"/>
      <c r="S170" s="166"/>
      <c r="T170" s="166"/>
      <c r="U170" s="166" t="s">
        <v>2415</v>
      </c>
    </row>
    <row r="171" spans="1:21" hidden="1" x14ac:dyDescent="0.25">
      <c r="A171" s="385" t="b">
        <v>0</v>
      </c>
      <c r="B171" s="385" t="b">
        <v>1</v>
      </c>
      <c r="C171" s="385" t="b">
        <v>0</v>
      </c>
      <c r="D171" s="171">
        <v>45643</v>
      </c>
      <c r="E171" s="167">
        <v>364</v>
      </c>
      <c r="F171" s="179" t="s">
        <v>2026</v>
      </c>
      <c r="G171" s="179">
        <v>10128</v>
      </c>
      <c r="H171" s="167" t="s">
        <v>2027</v>
      </c>
      <c r="I171" s="179"/>
      <c r="J171" s="167"/>
      <c r="K171" s="167">
        <v>1100</v>
      </c>
      <c r="L171" s="167"/>
      <c r="M171" s="167"/>
      <c r="N171" s="167"/>
      <c r="O171" s="167"/>
      <c r="P171" s="173"/>
      <c r="Q171" s="167"/>
      <c r="R171" s="167"/>
      <c r="S171" s="167"/>
      <c r="T171" s="167"/>
      <c r="U171" s="167"/>
    </row>
    <row r="172" spans="1:21" hidden="1" x14ac:dyDescent="0.25">
      <c r="A172" s="386" t="b">
        <v>0</v>
      </c>
      <c r="B172" s="386" t="b">
        <v>1</v>
      </c>
      <c r="C172" s="386" t="b">
        <v>0</v>
      </c>
      <c r="D172" s="170">
        <v>45643</v>
      </c>
      <c r="E172" s="166">
        <v>357</v>
      </c>
      <c r="F172" s="175" t="s">
        <v>1837</v>
      </c>
      <c r="G172" s="175">
        <v>10061</v>
      </c>
      <c r="H172" s="166" t="s">
        <v>2376</v>
      </c>
      <c r="I172" s="175"/>
      <c r="J172" s="166"/>
      <c r="K172" s="166"/>
      <c r="L172" s="166"/>
      <c r="M172" s="166"/>
      <c r="N172" s="166">
        <v>90</v>
      </c>
      <c r="O172" s="166"/>
      <c r="P172" s="172"/>
      <c r="Q172" s="172"/>
      <c r="R172" s="172"/>
      <c r="S172" s="166"/>
      <c r="T172" s="166"/>
      <c r="U172" s="166"/>
    </row>
    <row r="173" spans="1:21" hidden="1" x14ac:dyDescent="0.25">
      <c r="A173" s="385" t="b">
        <v>0</v>
      </c>
      <c r="B173" s="385" t="b">
        <v>1</v>
      </c>
      <c r="C173" s="385" t="b">
        <v>0</v>
      </c>
      <c r="D173" s="171">
        <v>45643</v>
      </c>
      <c r="E173" s="167">
        <v>361</v>
      </c>
      <c r="F173" s="179" t="s">
        <v>1986</v>
      </c>
      <c r="G173" s="179">
        <v>10089</v>
      </c>
      <c r="H173" s="167" t="s">
        <v>1369</v>
      </c>
      <c r="I173" s="179"/>
      <c r="J173" s="167"/>
      <c r="K173" s="167">
        <v>1320</v>
      </c>
      <c r="L173" s="167"/>
      <c r="M173" s="167"/>
      <c r="N173" s="167"/>
      <c r="O173" s="167"/>
      <c r="P173" s="173"/>
      <c r="Q173" s="167"/>
      <c r="R173" s="167"/>
      <c r="S173" s="167"/>
      <c r="T173" s="167"/>
      <c r="U173" s="167"/>
    </row>
    <row r="174" spans="1:21" hidden="1" x14ac:dyDescent="0.25">
      <c r="A174" s="386" t="b">
        <v>0</v>
      </c>
      <c r="B174" s="386" t="b">
        <v>1</v>
      </c>
      <c r="C174" s="386" t="b">
        <v>0</v>
      </c>
      <c r="D174" s="170">
        <v>45643</v>
      </c>
      <c r="E174" s="166">
        <v>310</v>
      </c>
      <c r="F174" s="175" t="s">
        <v>1677</v>
      </c>
      <c r="G174" s="175">
        <v>10109</v>
      </c>
      <c r="H174" s="166" t="s">
        <v>1678</v>
      </c>
      <c r="I174" s="175"/>
      <c r="J174" s="166"/>
      <c r="K174" s="166"/>
      <c r="L174" s="166"/>
      <c r="M174" s="166"/>
      <c r="N174" s="166">
        <v>100</v>
      </c>
      <c r="O174" s="166"/>
      <c r="P174" s="172"/>
      <c r="Q174" s="172"/>
      <c r="R174" s="172"/>
      <c r="S174" s="166"/>
      <c r="T174" s="166"/>
      <c r="U174" s="166"/>
    </row>
    <row r="175" spans="1:21" hidden="1" x14ac:dyDescent="0.25">
      <c r="A175" s="385" t="b">
        <v>0</v>
      </c>
      <c r="B175" s="385" t="b">
        <v>1</v>
      </c>
      <c r="C175" s="385" t="b">
        <v>0</v>
      </c>
      <c r="D175" s="171">
        <v>45643</v>
      </c>
      <c r="E175" s="167">
        <v>371</v>
      </c>
      <c r="F175" s="179" t="s">
        <v>1993</v>
      </c>
      <c r="G175" s="179">
        <v>10104</v>
      </c>
      <c r="H175" s="167" t="s">
        <v>1477</v>
      </c>
      <c r="I175" s="179"/>
      <c r="J175" s="167"/>
      <c r="K175" s="167"/>
      <c r="L175" s="167"/>
      <c r="M175" s="167"/>
      <c r="N175" s="167">
        <v>100</v>
      </c>
      <c r="O175" s="167"/>
      <c r="P175" s="173"/>
      <c r="Q175" s="167"/>
      <c r="R175" s="167"/>
      <c r="S175" s="167"/>
      <c r="T175" s="167"/>
      <c r="U175" s="167"/>
    </row>
    <row r="176" spans="1:21" hidden="1" x14ac:dyDescent="0.25">
      <c r="A176" s="386" t="b">
        <v>0</v>
      </c>
      <c r="B176" s="386" t="b">
        <v>1</v>
      </c>
      <c r="C176" s="386" t="b">
        <v>0</v>
      </c>
      <c r="D176" s="170">
        <v>45643</v>
      </c>
      <c r="E176" s="166">
        <v>265</v>
      </c>
      <c r="F176" s="175" t="s">
        <v>1379</v>
      </c>
      <c r="G176" s="175">
        <v>10091</v>
      </c>
      <c r="H176" s="166" t="s">
        <v>1380</v>
      </c>
      <c r="I176" s="175"/>
      <c r="J176" s="166"/>
      <c r="K176" s="166"/>
      <c r="L176" s="166"/>
      <c r="M176" s="166"/>
      <c r="N176" s="166"/>
      <c r="O176" s="166"/>
      <c r="P176" s="172"/>
      <c r="Q176" s="172"/>
      <c r="R176" s="172"/>
      <c r="S176" s="166"/>
      <c r="T176" s="166"/>
      <c r="U176" s="166"/>
    </row>
    <row r="177" spans="1:21" hidden="1" x14ac:dyDescent="0.25">
      <c r="A177" s="386"/>
      <c r="B177" s="386" t="b">
        <v>1</v>
      </c>
      <c r="C177" s="386"/>
      <c r="D177" s="166"/>
      <c r="E177" s="166">
        <v>368</v>
      </c>
      <c r="F177" s="166" t="s">
        <v>2047</v>
      </c>
      <c r="G177" s="166">
        <v>10131</v>
      </c>
      <c r="H177" s="166" t="s">
        <v>2048</v>
      </c>
      <c r="I177" s="166"/>
      <c r="J177" s="166"/>
      <c r="K177" s="166"/>
      <c r="L177" s="166"/>
      <c r="M177" s="166"/>
      <c r="N177" s="166"/>
      <c r="O177" s="166"/>
      <c r="P177" s="166"/>
      <c r="Q177" s="172">
        <v>0.3</v>
      </c>
      <c r="R177" s="166">
        <v>561</v>
      </c>
      <c r="S177" s="166"/>
      <c r="T177" s="166"/>
      <c r="U177" s="166" t="s">
        <v>2416</v>
      </c>
    </row>
    <row r="178" spans="1:21" hidden="1" x14ac:dyDescent="0.25">
      <c r="A178" s="385" t="b">
        <v>0</v>
      </c>
      <c r="B178" s="385" t="b">
        <v>1</v>
      </c>
      <c r="C178" s="385" t="b">
        <v>0</v>
      </c>
      <c r="D178" s="167"/>
      <c r="E178" s="167">
        <v>64</v>
      </c>
      <c r="F178" s="167" t="s">
        <v>349</v>
      </c>
      <c r="G178" s="167">
        <v>10026</v>
      </c>
      <c r="H178" s="167" t="s">
        <v>350</v>
      </c>
      <c r="I178" s="167"/>
      <c r="J178" s="167"/>
      <c r="K178" s="167"/>
      <c r="L178" s="167"/>
      <c r="M178" s="167"/>
      <c r="N178" s="167"/>
      <c r="O178" s="167"/>
      <c r="P178" s="167"/>
      <c r="Q178" s="167"/>
      <c r="R178" s="167">
        <v>2313</v>
      </c>
      <c r="S178" s="167"/>
      <c r="T178" s="167"/>
      <c r="U178" s="167" t="s">
        <v>2417</v>
      </c>
    </row>
    <row r="179" spans="1:21" hidden="1" x14ac:dyDescent="0.25">
      <c r="A179" s="386" t="b">
        <v>0</v>
      </c>
      <c r="B179" s="386" t="b">
        <v>1</v>
      </c>
      <c r="C179" s="386" t="b">
        <v>0</v>
      </c>
      <c r="D179" s="170">
        <v>45643</v>
      </c>
      <c r="E179" s="166">
        <v>377</v>
      </c>
      <c r="F179" s="166" t="s">
        <v>2077</v>
      </c>
      <c r="G179" s="166">
        <v>20102</v>
      </c>
      <c r="H179" s="166" t="s">
        <v>2078</v>
      </c>
      <c r="I179" s="166"/>
      <c r="J179" s="166"/>
      <c r="K179" s="166">
        <v>2400</v>
      </c>
      <c r="L179" s="166"/>
      <c r="M179" s="166"/>
      <c r="N179" s="166">
        <v>140</v>
      </c>
      <c r="O179" s="166"/>
      <c r="P179" s="166"/>
      <c r="Q179" s="172"/>
      <c r="R179" s="166"/>
      <c r="S179" s="166"/>
      <c r="T179" s="166"/>
      <c r="U179" s="166"/>
    </row>
    <row r="180" spans="1:21" hidden="1" x14ac:dyDescent="0.25">
      <c r="A180" s="385" t="b">
        <v>0</v>
      </c>
      <c r="B180" s="385" t="b">
        <v>1</v>
      </c>
      <c r="C180" s="385" t="b">
        <v>0</v>
      </c>
      <c r="D180" s="171">
        <v>45643</v>
      </c>
      <c r="E180" s="167">
        <v>333</v>
      </c>
      <c r="F180" s="167" t="s">
        <v>1914</v>
      </c>
      <c r="G180" s="167">
        <v>20096</v>
      </c>
      <c r="H180" s="167" t="s">
        <v>1915</v>
      </c>
      <c r="I180" s="167"/>
      <c r="J180" s="167"/>
      <c r="K180" s="167"/>
      <c r="L180" s="167"/>
      <c r="M180" s="167"/>
      <c r="N180" s="167"/>
      <c r="O180" s="167"/>
      <c r="P180" s="167"/>
      <c r="Q180" s="167"/>
      <c r="R180" s="167"/>
      <c r="S180" s="167"/>
      <c r="T180" s="167"/>
      <c r="U180" s="167"/>
    </row>
    <row r="181" spans="1:21" ht="15.75" hidden="1" x14ac:dyDescent="0.25">
      <c r="A181" s="386"/>
      <c r="B181" s="386" t="b">
        <v>1</v>
      </c>
      <c r="C181" s="386"/>
      <c r="D181" s="170">
        <v>45300</v>
      </c>
      <c r="E181" s="166">
        <v>176</v>
      </c>
      <c r="F181" s="166" t="s">
        <v>1216</v>
      </c>
      <c r="G181" s="166">
        <v>40006</v>
      </c>
      <c r="H181" s="166" t="s">
        <v>1215</v>
      </c>
      <c r="I181" s="166"/>
      <c r="J181" s="166"/>
      <c r="K181" s="166"/>
      <c r="L181" s="166"/>
      <c r="M181" s="166" t="s">
        <v>2418</v>
      </c>
      <c r="N181" s="166"/>
      <c r="O181" s="166"/>
      <c r="P181" s="166"/>
      <c r="Q181" s="172"/>
      <c r="R181" s="166"/>
      <c r="S181" s="166"/>
      <c r="T181" s="166"/>
      <c r="U181" s="340" t="s">
        <v>2419</v>
      </c>
    </row>
    <row r="182" spans="1:21" ht="15.75" hidden="1" x14ac:dyDescent="0.25">
      <c r="A182" s="385"/>
      <c r="B182" s="385" t="b">
        <v>1</v>
      </c>
      <c r="C182" s="385"/>
      <c r="D182" s="171">
        <v>45300</v>
      </c>
      <c r="E182" s="167">
        <v>177</v>
      </c>
      <c r="F182" s="167" t="s">
        <v>1218</v>
      </c>
      <c r="G182" s="167">
        <v>40007</v>
      </c>
      <c r="H182" s="167" t="s">
        <v>1219</v>
      </c>
      <c r="I182" s="167"/>
      <c r="J182" s="167"/>
      <c r="K182" s="167"/>
      <c r="L182" s="167"/>
      <c r="M182" s="167" t="s">
        <v>2418</v>
      </c>
      <c r="N182" s="167"/>
      <c r="O182" s="167"/>
      <c r="P182" s="167"/>
      <c r="Q182" s="167"/>
      <c r="R182" s="167"/>
      <c r="S182" s="167"/>
      <c r="T182" s="167"/>
      <c r="U182" s="340" t="s">
        <v>2420</v>
      </c>
    </row>
    <row r="183" spans="1:21" ht="15.75" hidden="1" x14ac:dyDescent="0.25">
      <c r="A183" s="386"/>
      <c r="B183" s="386" t="b">
        <v>1</v>
      </c>
      <c r="C183" s="386"/>
      <c r="D183" s="170">
        <v>45300</v>
      </c>
      <c r="E183" s="166">
        <v>179</v>
      </c>
      <c r="F183" s="166" t="s">
        <v>1221</v>
      </c>
      <c r="G183" s="166">
        <v>40009</v>
      </c>
      <c r="H183" s="166" t="s">
        <v>1222</v>
      </c>
      <c r="I183" s="166"/>
      <c r="J183" s="166"/>
      <c r="K183" s="166"/>
      <c r="L183" s="166"/>
      <c r="M183" s="166" t="s">
        <v>2418</v>
      </c>
      <c r="N183" s="166"/>
      <c r="O183" s="166"/>
      <c r="P183" s="166"/>
      <c r="Q183" s="172"/>
      <c r="R183" s="166"/>
      <c r="S183" s="166"/>
      <c r="T183" s="166"/>
      <c r="U183" s="340" t="s">
        <v>2421</v>
      </c>
    </row>
    <row r="184" spans="1:21" hidden="1" x14ac:dyDescent="0.25">
      <c r="A184" s="385"/>
      <c r="B184" s="385" t="b">
        <v>1</v>
      </c>
      <c r="C184" s="385"/>
      <c r="D184" s="171">
        <v>45300</v>
      </c>
      <c r="E184" s="167">
        <v>181</v>
      </c>
      <c r="F184" s="167" t="s">
        <v>1227</v>
      </c>
      <c r="G184" s="167">
        <v>40011</v>
      </c>
      <c r="H184" s="167" t="s">
        <v>1228</v>
      </c>
      <c r="I184" s="167"/>
      <c r="J184" s="167"/>
      <c r="K184" s="167"/>
      <c r="L184" s="167"/>
      <c r="M184" s="167" t="s">
        <v>2418</v>
      </c>
      <c r="N184" s="167"/>
      <c r="O184" s="167"/>
      <c r="P184" s="167"/>
      <c r="Q184" s="167"/>
      <c r="R184" s="167"/>
      <c r="S184" s="167"/>
      <c r="T184" s="167"/>
      <c r="U184" s="167"/>
    </row>
    <row r="185" spans="1:21" hidden="1" x14ac:dyDescent="0.25">
      <c r="A185" s="386"/>
      <c r="B185" s="386" t="b">
        <v>1</v>
      </c>
      <c r="C185" s="386"/>
      <c r="D185" s="170">
        <v>45300</v>
      </c>
      <c r="E185" s="166">
        <v>184</v>
      </c>
      <c r="F185" s="166" t="s">
        <v>1249</v>
      </c>
      <c r="G185" s="166">
        <v>40014</v>
      </c>
      <c r="H185" s="166" t="s">
        <v>1250</v>
      </c>
      <c r="I185" s="166"/>
      <c r="J185" s="166"/>
      <c r="K185" s="166"/>
      <c r="L185" s="166"/>
      <c r="M185" s="166" t="s">
        <v>2418</v>
      </c>
      <c r="N185" s="166"/>
      <c r="O185" s="166"/>
      <c r="P185" s="166"/>
      <c r="Q185" s="172"/>
      <c r="R185" s="166"/>
      <c r="S185" s="166"/>
      <c r="T185" s="166"/>
      <c r="U185" s="166"/>
    </row>
    <row r="186" spans="1:21" hidden="1" x14ac:dyDescent="0.25">
      <c r="A186" s="385"/>
      <c r="B186" s="385" t="b">
        <v>1</v>
      </c>
      <c r="C186" s="385"/>
      <c r="D186" s="171">
        <v>45300</v>
      </c>
      <c r="E186" s="167">
        <v>185</v>
      </c>
      <c r="F186" s="167" t="s">
        <v>1253</v>
      </c>
      <c r="G186" s="167">
        <v>40016</v>
      </c>
      <c r="H186" s="167" t="s">
        <v>1254</v>
      </c>
      <c r="I186" s="167"/>
      <c r="J186" s="167"/>
      <c r="K186" s="167"/>
      <c r="L186" s="167"/>
      <c r="M186" s="167" t="s">
        <v>2418</v>
      </c>
      <c r="N186" s="167"/>
      <c r="O186" s="167"/>
      <c r="P186" s="167"/>
      <c r="Q186" s="167"/>
      <c r="R186" s="167"/>
      <c r="S186" s="167"/>
      <c r="T186" s="167"/>
      <c r="U186" s="167"/>
    </row>
    <row r="187" spans="1:21" hidden="1" x14ac:dyDescent="0.25">
      <c r="A187" s="386"/>
      <c r="B187" s="386" t="b">
        <v>1</v>
      </c>
      <c r="C187" s="386"/>
      <c r="D187" s="170">
        <v>45672</v>
      </c>
      <c r="E187" s="166">
        <v>378</v>
      </c>
      <c r="F187" s="166"/>
      <c r="G187" s="166"/>
      <c r="H187" s="166" t="s">
        <v>2209</v>
      </c>
      <c r="I187" s="166" t="s">
        <v>155</v>
      </c>
      <c r="J187" s="166">
        <v>2475</v>
      </c>
      <c r="K187" s="166">
        <v>1000</v>
      </c>
      <c r="L187" s="166" t="str">
        <f>IF(Table11[[#This Row],['#TreesContract]]-Table11[[#This Row],['#Planted]]=0,"",Table11[[#This Row],['#TreesContract]]-Table11[[#This Row],['#Planted]])</f>
        <v/>
      </c>
      <c r="M187" s="166"/>
      <c r="N187" s="166"/>
      <c r="O187" s="166"/>
      <c r="P187" s="166"/>
      <c r="Q187" s="172"/>
      <c r="R187" s="166"/>
      <c r="S187" s="166"/>
      <c r="T187" s="166"/>
      <c r="U187" s="166" t="s">
        <v>2422</v>
      </c>
    </row>
    <row r="188" spans="1:21" hidden="1" x14ac:dyDescent="0.25">
      <c r="A188" s="385"/>
      <c r="B188" s="385" t="b">
        <v>1</v>
      </c>
      <c r="C188" s="385"/>
      <c r="D188" s="171">
        <v>45672</v>
      </c>
      <c r="E188" s="167">
        <v>379</v>
      </c>
      <c r="F188" s="167"/>
      <c r="G188" s="167"/>
      <c r="H188" s="167" t="s">
        <v>2205</v>
      </c>
      <c r="I188" s="167" t="s">
        <v>155</v>
      </c>
      <c r="J188" s="167">
        <v>2200</v>
      </c>
      <c r="K188" s="167">
        <v>1150</v>
      </c>
      <c r="L188" s="167" t="str">
        <f>IF(Table11[[#This Row],['#TreesContract]]-Table11[[#This Row],['#Planted]]=0,"",Table11[[#This Row],['#TreesContract]]-Table11[[#This Row],['#Planted]])</f>
        <v/>
      </c>
      <c r="M188" s="167"/>
      <c r="N188" s="167"/>
      <c r="O188" s="167"/>
      <c r="P188" s="167"/>
      <c r="Q188" s="167"/>
      <c r="R188" s="167"/>
      <c r="S188" s="167"/>
      <c r="T188" s="167"/>
      <c r="U188" s="166" t="s">
        <v>2422</v>
      </c>
    </row>
    <row r="189" spans="1:21" hidden="1" x14ac:dyDescent="0.25">
      <c r="A189" s="386"/>
      <c r="B189" s="386" t="b">
        <v>1</v>
      </c>
      <c r="C189" s="386"/>
      <c r="D189" s="170">
        <v>45672</v>
      </c>
      <c r="E189" s="166">
        <v>380</v>
      </c>
      <c r="F189" s="166"/>
      <c r="G189" s="166"/>
      <c r="H189" s="166" t="s">
        <v>2234</v>
      </c>
      <c r="I189" s="166" t="s">
        <v>155</v>
      </c>
      <c r="J189" s="166">
        <v>550</v>
      </c>
      <c r="K189" s="166">
        <v>550</v>
      </c>
      <c r="L189" s="166" t="str">
        <f>IF(Table11[[#This Row],['#TreesContract]]-Table11[[#This Row],['#Planted]]=0,"",Table11[[#This Row],['#TreesContract]]-Table11[[#This Row],['#Planted]])</f>
        <v/>
      </c>
      <c r="M189" s="166"/>
      <c r="N189" s="166"/>
      <c r="O189" s="166"/>
      <c r="P189" s="166"/>
      <c r="Q189" s="172"/>
      <c r="R189" s="166"/>
      <c r="S189" s="166"/>
      <c r="T189" s="166"/>
      <c r="U189" s="166" t="s">
        <v>2422</v>
      </c>
    </row>
    <row r="190" spans="1:21" hidden="1" x14ac:dyDescent="0.25">
      <c r="A190" s="385"/>
      <c r="B190" s="385" t="b">
        <v>1</v>
      </c>
      <c r="C190" s="385"/>
      <c r="D190" s="171">
        <v>45672</v>
      </c>
      <c r="E190" s="167">
        <v>381</v>
      </c>
      <c r="F190" s="167"/>
      <c r="G190" s="167"/>
      <c r="H190" s="167" t="s">
        <v>2230</v>
      </c>
      <c r="I190" s="167" t="s">
        <v>155</v>
      </c>
      <c r="J190" s="167">
        <v>1100</v>
      </c>
      <c r="K190" s="167">
        <v>550</v>
      </c>
      <c r="L190" s="167" t="str">
        <f>IF(Table11[[#This Row],['#TreesContract]]-Table11[[#This Row],['#Planted]]=0,"",Table11[[#This Row],['#TreesContract]]-Table11[[#This Row],['#Planted]])</f>
        <v/>
      </c>
      <c r="M190" s="167"/>
      <c r="N190" s="167"/>
      <c r="O190" s="167"/>
      <c r="P190" s="167"/>
      <c r="Q190" s="167"/>
      <c r="R190" s="167"/>
      <c r="S190" s="167"/>
      <c r="T190" s="167"/>
      <c r="U190" s="166" t="s">
        <v>2422</v>
      </c>
    </row>
    <row r="191" spans="1:21" hidden="1" x14ac:dyDescent="0.25">
      <c r="A191" s="386"/>
      <c r="B191" s="386" t="b">
        <v>1</v>
      </c>
      <c r="C191" s="386"/>
      <c r="D191" s="170">
        <v>45672</v>
      </c>
      <c r="E191" s="166">
        <v>382</v>
      </c>
      <c r="F191" s="166"/>
      <c r="G191" s="166"/>
      <c r="H191" s="166" t="s">
        <v>2226</v>
      </c>
      <c r="I191" s="166" t="s">
        <v>155</v>
      </c>
      <c r="J191" s="166">
        <v>1650</v>
      </c>
      <c r="K191" s="166">
        <v>670</v>
      </c>
      <c r="L191" s="166" t="str">
        <f>IF(Table11[[#This Row],['#TreesContract]]-Table11[[#This Row],['#Planted]]=0,"",Table11[[#This Row],['#TreesContract]]-Table11[[#This Row],['#Planted]])</f>
        <v/>
      </c>
      <c r="M191" s="166"/>
      <c r="N191" s="166"/>
      <c r="O191" s="166"/>
      <c r="P191" s="166"/>
      <c r="Q191" s="172"/>
      <c r="R191" s="166"/>
      <c r="S191" s="166"/>
      <c r="T191" s="166"/>
      <c r="U191" s="166" t="s">
        <v>2422</v>
      </c>
    </row>
    <row r="192" spans="1:21" hidden="1" x14ac:dyDescent="0.25">
      <c r="A192" s="385"/>
      <c r="B192" s="385" t="b">
        <v>1</v>
      </c>
      <c r="C192" s="385"/>
      <c r="D192" s="171">
        <v>45672</v>
      </c>
      <c r="E192" s="167">
        <v>383</v>
      </c>
      <c r="F192" s="167"/>
      <c r="G192" s="167"/>
      <c r="H192" s="167" t="s">
        <v>2223</v>
      </c>
      <c r="I192" s="167" t="s">
        <v>155</v>
      </c>
      <c r="J192" s="167">
        <v>550</v>
      </c>
      <c r="K192" s="167">
        <v>1000</v>
      </c>
      <c r="L192" s="167" t="str">
        <f>IF(Table11[[#This Row],['#TreesContract]]-Table11[[#This Row],['#Planted]]=0,"",Table11[[#This Row],['#TreesContract]]-Table11[[#This Row],['#Planted]])</f>
        <v/>
      </c>
      <c r="M192" s="167"/>
      <c r="N192" s="167"/>
      <c r="O192" s="167"/>
      <c r="P192" s="167"/>
      <c r="Q192" s="167"/>
      <c r="R192" s="167"/>
      <c r="S192" s="167"/>
      <c r="T192" s="167"/>
      <c r="U192" s="166" t="s">
        <v>2422</v>
      </c>
    </row>
    <row r="193" spans="1:21" hidden="1" x14ac:dyDescent="0.25">
      <c r="A193" s="386"/>
      <c r="B193" s="386" t="b">
        <v>1</v>
      </c>
      <c r="C193" s="386"/>
      <c r="D193" s="170">
        <v>45672</v>
      </c>
      <c r="E193" s="166">
        <v>384</v>
      </c>
      <c r="F193" s="166"/>
      <c r="G193" s="166"/>
      <c r="H193" s="166" t="s">
        <v>2216</v>
      </c>
      <c r="I193" s="166" t="s">
        <v>155</v>
      </c>
      <c r="J193" s="166">
        <v>1100</v>
      </c>
      <c r="K193" s="166">
        <v>1100</v>
      </c>
      <c r="L193" s="166" t="str">
        <f>IF(Table11[[#This Row],['#TreesContract]]-Table11[[#This Row],['#Planted]]=0,"",Table11[[#This Row],['#TreesContract]]-Table11[[#This Row],['#Planted]])</f>
        <v/>
      </c>
      <c r="M193" s="166"/>
      <c r="N193" s="166"/>
      <c r="O193" s="166"/>
      <c r="P193" s="166"/>
      <c r="Q193" s="172"/>
      <c r="R193" s="166"/>
      <c r="S193" s="166"/>
      <c r="T193" s="166"/>
      <c r="U193" s="166" t="s">
        <v>2422</v>
      </c>
    </row>
    <row r="194" spans="1:21" hidden="1" x14ac:dyDescent="0.25">
      <c r="A194" s="385"/>
      <c r="B194" s="385" t="b">
        <v>1</v>
      </c>
      <c r="C194" s="385"/>
      <c r="D194" s="171">
        <v>45672</v>
      </c>
      <c r="E194" s="167">
        <v>385</v>
      </c>
      <c r="F194" s="167"/>
      <c r="G194" s="167"/>
      <c r="H194" s="167" t="s">
        <v>2201</v>
      </c>
      <c r="I194" s="167" t="s">
        <v>155</v>
      </c>
      <c r="J194" s="167">
        <v>1100</v>
      </c>
      <c r="K194" s="167">
        <v>1100</v>
      </c>
      <c r="L194" s="167" t="str">
        <f>IF(Table11[[#This Row],['#TreesContract]]-Table11[[#This Row],['#Planted]]=0,"",Table11[[#This Row],['#TreesContract]]-Table11[[#This Row],['#Planted]])</f>
        <v/>
      </c>
      <c r="M194" s="167"/>
      <c r="N194" s="167"/>
      <c r="O194" s="167"/>
      <c r="P194" s="167"/>
      <c r="Q194" s="167"/>
      <c r="R194" s="167"/>
      <c r="S194" s="167"/>
      <c r="T194" s="167"/>
      <c r="U194" s="166" t="s">
        <v>2422</v>
      </c>
    </row>
    <row r="195" spans="1:21" hidden="1" x14ac:dyDescent="0.25">
      <c r="A195" s="386"/>
      <c r="B195" s="386" t="b">
        <v>1</v>
      </c>
      <c r="C195" s="386"/>
      <c r="D195" s="170">
        <v>45672</v>
      </c>
      <c r="E195" s="166">
        <v>386</v>
      </c>
      <c r="F195" s="166"/>
      <c r="G195" s="166"/>
      <c r="H195" s="166" t="s">
        <v>2190</v>
      </c>
      <c r="I195" s="166" t="s">
        <v>155</v>
      </c>
      <c r="J195" s="166">
        <v>2750</v>
      </c>
      <c r="K195" s="166">
        <v>2750</v>
      </c>
      <c r="L195" s="166" t="str">
        <f>IF(Table11[[#This Row],['#TreesContract]]-Table11[[#This Row],['#Planted]]=0,"",Table11[[#This Row],['#TreesContract]]-Table11[[#This Row],['#Planted]])</f>
        <v/>
      </c>
      <c r="M195" s="166"/>
      <c r="N195" s="166"/>
      <c r="O195" s="166"/>
      <c r="P195" s="166"/>
      <c r="Q195" s="172"/>
      <c r="R195" s="166"/>
      <c r="S195" s="166"/>
      <c r="T195" s="166"/>
      <c r="U195" s="166" t="s">
        <v>2422</v>
      </c>
    </row>
    <row r="196" spans="1:21" hidden="1" x14ac:dyDescent="0.25">
      <c r="A196" s="385"/>
      <c r="B196" s="385" t="b">
        <v>1</v>
      </c>
      <c r="C196" s="385"/>
      <c r="D196" s="171">
        <v>45672</v>
      </c>
      <c r="E196" s="167">
        <v>387</v>
      </c>
      <c r="F196" s="167"/>
      <c r="G196" s="167"/>
      <c r="H196" s="167" t="s">
        <v>2179</v>
      </c>
      <c r="I196" s="167" t="s">
        <v>155</v>
      </c>
      <c r="J196" s="167">
        <v>2750</v>
      </c>
      <c r="K196" s="167">
        <v>2750</v>
      </c>
      <c r="L196" s="167" t="str">
        <f>IF(Table11[[#This Row],['#TreesContract]]-Table11[[#This Row],['#Planted]]=0,"",Table11[[#This Row],['#TreesContract]]-Table11[[#This Row],['#Planted]])</f>
        <v/>
      </c>
      <c r="M196" s="167"/>
      <c r="N196" s="167"/>
      <c r="O196" s="167"/>
      <c r="P196" s="167"/>
      <c r="Q196" s="167"/>
      <c r="R196" s="167"/>
      <c r="S196" s="167"/>
      <c r="T196" s="167"/>
      <c r="U196" s="166" t="s">
        <v>2422</v>
      </c>
    </row>
    <row r="197" spans="1:21" hidden="1" x14ac:dyDescent="0.25">
      <c r="A197" s="386"/>
      <c r="B197" s="386" t="b">
        <v>1</v>
      </c>
      <c r="C197" s="386"/>
      <c r="D197" s="170">
        <v>45672</v>
      </c>
      <c r="E197" s="166">
        <v>388</v>
      </c>
      <c r="F197" s="166"/>
      <c r="G197" s="166"/>
      <c r="H197" s="166" t="s">
        <v>2423</v>
      </c>
      <c r="I197" s="166" t="s">
        <v>155</v>
      </c>
      <c r="J197" s="166">
        <v>5500</v>
      </c>
      <c r="K197" s="166">
        <v>1980</v>
      </c>
      <c r="L197" s="166" t="str">
        <f>IF(Table11[[#This Row],['#TreesContract]]-Table11[[#This Row],['#Planted]]=0,"",Table11[[#This Row],['#TreesContract]]-Table11[[#This Row],['#Planted]])</f>
        <v/>
      </c>
      <c r="M197" s="166"/>
      <c r="N197" s="166"/>
      <c r="O197" s="166"/>
      <c r="P197" s="166"/>
      <c r="Q197" s="172"/>
      <c r="R197" s="166"/>
      <c r="S197" s="166"/>
      <c r="T197" s="166"/>
      <c r="U197" s="166" t="s">
        <v>2422</v>
      </c>
    </row>
    <row r="198" spans="1:21" hidden="1" x14ac:dyDescent="0.25">
      <c r="A198" s="385"/>
      <c r="B198" s="385" t="b">
        <v>1</v>
      </c>
      <c r="C198" s="385"/>
      <c r="D198" s="171">
        <v>45672</v>
      </c>
      <c r="E198" s="167">
        <v>389</v>
      </c>
      <c r="F198" s="167"/>
      <c r="G198" s="167"/>
      <c r="H198" s="167" t="s">
        <v>2121</v>
      </c>
      <c r="I198" s="167" t="s">
        <v>155</v>
      </c>
      <c r="J198" s="167">
        <v>550</v>
      </c>
      <c r="K198" s="167">
        <v>550</v>
      </c>
      <c r="L198" s="167" t="str">
        <f>IF(Table11[[#This Row],['#TreesContract]]-Table11[[#This Row],['#Planted]]=0,"",Table11[[#This Row],['#TreesContract]]-Table11[[#This Row],['#Planted]])</f>
        <v/>
      </c>
      <c r="M198" s="167"/>
      <c r="N198" s="167"/>
      <c r="O198" s="167"/>
      <c r="P198" s="167"/>
      <c r="Q198" s="167"/>
      <c r="R198" s="167"/>
      <c r="S198" s="167"/>
      <c r="T198" s="167"/>
      <c r="U198" s="166" t="s">
        <v>2422</v>
      </c>
    </row>
    <row r="199" spans="1:21" hidden="1" x14ac:dyDescent="0.25">
      <c r="A199" s="386"/>
      <c r="B199" s="386" t="b">
        <v>1</v>
      </c>
      <c r="C199" s="386"/>
      <c r="D199" s="170">
        <v>45672</v>
      </c>
      <c r="E199" s="166">
        <v>390</v>
      </c>
      <c r="F199" s="166"/>
      <c r="G199" s="166"/>
      <c r="H199" s="166" t="s">
        <v>2097</v>
      </c>
      <c r="I199" s="166" t="s">
        <v>155</v>
      </c>
      <c r="J199" s="166">
        <v>550</v>
      </c>
      <c r="K199" s="166">
        <v>550</v>
      </c>
      <c r="L199" s="166" t="str">
        <f>IF(Table11[[#This Row],['#TreesContract]]-Table11[[#This Row],['#Planted]]=0,"",Table11[[#This Row],['#TreesContract]]-Table11[[#This Row],['#Planted]])</f>
        <v/>
      </c>
      <c r="M199" s="166"/>
      <c r="N199" s="166"/>
      <c r="O199" s="166"/>
      <c r="P199" s="166"/>
      <c r="Q199" s="172"/>
      <c r="R199" s="166"/>
      <c r="S199" s="166"/>
      <c r="T199" s="166"/>
      <c r="U199" s="166" t="s">
        <v>2422</v>
      </c>
    </row>
    <row r="200" spans="1:21" hidden="1" x14ac:dyDescent="0.25">
      <c r="A200" s="385"/>
      <c r="B200" s="385" t="b">
        <v>1</v>
      </c>
      <c r="C200" s="385"/>
      <c r="D200" s="171">
        <v>45672</v>
      </c>
      <c r="E200" s="167">
        <v>391</v>
      </c>
      <c r="F200" s="167"/>
      <c r="G200" s="167"/>
      <c r="H200" s="167" t="s">
        <v>2100</v>
      </c>
      <c r="I200" s="167" t="s">
        <v>155</v>
      </c>
      <c r="J200" s="167">
        <v>550</v>
      </c>
      <c r="K200" s="167">
        <v>550</v>
      </c>
      <c r="L200" s="167" t="str">
        <f>IF(Table11[[#This Row],['#TreesContract]]-Table11[[#This Row],['#Planted]]=0,"",Table11[[#This Row],['#TreesContract]]-Table11[[#This Row],['#Planted]])</f>
        <v/>
      </c>
      <c r="M200" s="167"/>
      <c r="N200" s="167"/>
      <c r="O200" s="167"/>
      <c r="P200" s="167"/>
      <c r="Q200" s="167"/>
      <c r="R200" s="167"/>
      <c r="S200" s="167"/>
      <c r="T200" s="167"/>
      <c r="U200" s="166" t="s">
        <v>2422</v>
      </c>
    </row>
    <row r="201" spans="1:21" hidden="1" x14ac:dyDescent="0.25">
      <c r="A201" s="386"/>
      <c r="B201" s="386" t="b">
        <v>1</v>
      </c>
      <c r="C201" s="386"/>
      <c r="D201" s="170">
        <v>45672</v>
      </c>
      <c r="E201" s="166">
        <v>392</v>
      </c>
      <c r="F201" s="166"/>
      <c r="G201" s="166"/>
      <c r="H201" s="166" t="s">
        <v>2137</v>
      </c>
      <c r="I201" s="166" t="s">
        <v>155</v>
      </c>
      <c r="J201" s="166">
        <v>550</v>
      </c>
      <c r="K201" s="166">
        <v>550</v>
      </c>
      <c r="L201" s="166" t="str">
        <f>IF(Table11[[#This Row],['#TreesContract]]-Table11[[#This Row],['#Planted]]=0,"",Table11[[#This Row],['#TreesContract]]-Table11[[#This Row],['#Planted]])</f>
        <v/>
      </c>
      <c r="M201" s="166"/>
      <c r="N201" s="166"/>
      <c r="O201" s="166"/>
      <c r="P201" s="166"/>
      <c r="Q201" s="172"/>
      <c r="R201" s="166"/>
      <c r="S201" s="166"/>
      <c r="T201" s="166"/>
      <c r="U201" s="166" t="s">
        <v>2422</v>
      </c>
    </row>
    <row r="202" spans="1:21" hidden="1" x14ac:dyDescent="0.25">
      <c r="A202" s="385"/>
      <c r="B202" s="385" t="b">
        <v>1</v>
      </c>
      <c r="C202" s="385"/>
      <c r="D202" s="171">
        <v>45672</v>
      </c>
      <c r="E202" s="167">
        <v>393</v>
      </c>
      <c r="F202" s="167"/>
      <c r="G202" s="167"/>
      <c r="H202" s="167" t="s">
        <v>2161</v>
      </c>
      <c r="I202" s="167" t="s">
        <v>155</v>
      </c>
      <c r="J202" s="167">
        <v>550</v>
      </c>
      <c r="K202" s="167">
        <v>550</v>
      </c>
      <c r="L202" s="167" t="str">
        <f>IF(Table11[[#This Row],['#TreesContract]]-Table11[[#This Row],['#Planted]]=0,"",Table11[[#This Row],['#TreesContract]]-Table11[[#This Row],['#Planted]])</f>
        <v/>
      </c>
      <c r="M202" s="167"/>
      <c r="N202" s="167"/>
      <c r="O202" s="167"/>
      <c r="P202" s="167"/>
      <c r="Q202" s="167"/>
      <c r="R202" s="167"/>
      <c r="S202" s="167"/>
      <c r="T202" s="167"/>
      <c r="U202" s="166" t="s">
        <v>2422</v>
      </c>
    </row>
    <row r="203" spans="1:21" hidden="1" x14ac:dyDescent="0.25">
      <c r="A203" s="386"/>
      <c r="B203" s="386" t="b">
        <v>1</v>
      </c>
      <c r="C203" s="386"/>
      <c r="D203" s="170">
        <v>45672</v>
      </c>
      <c r="E203" s="166">
        <v>394</v>
      </c>
      <c r="F203" s="166"/>
      <c r="G203" s="166"/>
      <c r="H203" s="166" t="s">
        <v>2084</v>
      </c>
      <c r="I203" s="166" t="s">
        <v>155</v>
      </c>
      <c r="J203" s="166">
        <v>550</v>
      </c>
      <c r="K203" s="166">
        <v>550</v>
      </c>
      <c r="L203" s="166" t="str">
        <f>IF(Table11[[#This Row],['#TreesContract]]-Table11[[#This Row],['#Planted]]=0,"",Table11[[#This Row],['#TreesContract]]-Table11[[#This Row],['#Planted]])</f>
        <v/>
      </c>
      <c r="M203" s="166"/>
      <c r="N203" s="166"/>
      <c r="O203" s="166"/>
      <c r="P203" s="166"/>
      <c r="Q203" s="172"/>
      <c r="R203" s="166"/>
      <c r="S203" s="166"/>
      <c r="T203" s="166"/>
      <c r="U203" s="166" t="s">
        <v>2422</v>
      </c>
    </row>
    <row r="204" spans="1:21" hidden="1" x14ac:dyDescent="0.25">
      <c r="A204" s="385"/>
      <c r="B204" s="385" t="b">
        <v>1</v>
      </c>
      <c r="C204" s="385"/>
      <c r="D204" s="171">
        <v>45672</v>
      </c>
      <c r="E204" s="167">
        <v>395</v>
      </c>
      <c r="F204" s="167"/>
      <c r="G204" s="167"/>
      <c r="H204" s="167" t="s">
        <v>2196</v>
      </c>
      <c r="I204" s="167" t="s">
        <v>155</v>
      </c>
      <c r="J204" s="167">
        <v>1100</v>
      </c>
      <c r="K204" s="167">
        <v>1100</v>
      </c>
      <c r="L204" s="167" t="str">
        <f>IF(Table11[[#This Row],['#TreesContract]]-Table11[[#This Row],['#Planted]]=0,"",Table11[[#This Row],['#TreesContract]]-Table11[[#This Row],['#Planted]])</f>
        <v/>
      </c>
      <c r="M204" s="167"/>
      <c r="N204" s="167"/>
      <c r="O204" s="167"/>
      <c r="P204" s="167"/>
      <c r="Q204" s="167"/>
      <c r="R204" s="167"/>
      <c r="S204" s="167"/>
      <c r="T204" s="167"/>
      <c r="U204" s="166" t="s">
        <v>2422</v>
      </c>
    </row>
    <row r="205" spans="1:21" hidden="1" x14ac:dyDescent="0.25">
      <c r="A205" s="386"/>
      <c r="B205" s="386" t="b">
        <v>1</v>
      </c>
      <c r="C205" s="386"/>
      <c r="D205" s="170">
        <v>45672</v>
      </c>
      <c r="E205" s="166">
        <v>396</v>
      </c>
      <c r="F205" s="166"/>
      <c r="G205" s="166"/>
      <c r="H205" s="166" t="s">
        <v>2195</v>
      </c>
      <c r="I205" s="166" t="s">
        <v>155</v>
      </c>
      <c r="J205" s="166">
        <v>2750</v>
      </c>
      <c r="K205" s="166">
        <v>2750</v>
      </c>
      <c r="L205" s="166" t="str">
        <f>IF(Table11[[#This Row],['#TreesContract]]-Table11[[#This Row],['#Planted]]=0,"",Table11[[#This Row],['#TreesContract]]-Table11[[#This Row],['#Planted]])</f>
        <v/>
      </c>
      <c r="M205" s="166"/>
      <c r="N205" s="166"/>
      <c r="O205" s="166"/>
      <c r="P205" s="166"/>
      <c r="Q205" s="172"/>
      <c r="R205" s="166"/>
      <c r="S205" s="166"/>
      <c r="T205" s="166"/>
      <c r="U205" s="166" t="s">
        <v>2422</v>
      </c>
    </row>
    <row r="206" spans="1:21" hidden="1" x14ac:dyDescent="0.25">
      <c r="A206" s="385"/>
      <c r="B206" s="385" t="b">
        <v>1</v>
      </c>
      <c r="C206" s="385"/>
      <c r="D206" s="171">
        <v>45672</v>
      </c>
      <c r="E206" s="167">
        <v>397</v>
      </c>
      <c r="F206" s="167"/>
      <c r="G206" s="167"/>
      <c r="H206" s="167" t="s">
        <v>2092</v>
      </c>
      <c r="I206" s="167" t="s">
        <v>155</v>
      </c>
      <c r="J206" s="167">
        <v>550</v>
      </c>
      <c r="K206" s="167">
        <v>550</v>
      </c>
      <c r="L206" s="167" t="str">
        <f>IF(Table11[[#This Row],['#TreesContract]]-Table11[[#This Row],['#Planted]]=0,"",Table11[[#This Row],['#TreesContract]]-Table11[[#This Row],['#Planted]])</f>
        <v/>
      </c>
      <c r="M206" s="167"/>
      <c r="N206" s="167"/>
      <c r="O206" s="167"/>
      <c r="P206" s="167"/>
      <c r="Q206" s="167"/>
      <c r="R206" s="167"/>
      <c r="S206" s="167"/>
      <c r="T206" s="167"/>
      <c r="U206" s="166" t="s">
        <v>2422</v>
      </c>
    </row>
    <row r="207" spans="1:21" hidden="1" x14ac:dyDescent="0.25">
      <c r="A207" s="386"/>
      <c r="B207" s="386" t="b">
        <v>1</v>
      </c>
      <c r="C207" s="386"/>
      <c r="D207" s="170">
        <v>45672</v>
      </c>
      <c r="E207" s="166">
        <v>398</v>
      </c>
      <c r="F207" s="166"/>
      <c r="G207" s="166"/>
      <c r="H207" s="166" t="s">
        <v>2149</v>
      </c>
      <c r="I207" s="166" t="s">
        <v>155</v>
      </c>
      <c r="J207" s="166">
        <v>1100</v>
      </c>
      <c r="K207" s="166">
        <v>1100</v>
      </c>
      <c r="L207" s="166" t="str">
        <f>IF(Table11[[#This Row],['#TreesContract]]-Table11[[#This Row],['#Planted]]=0,"",Table11[[#This Row],['#TreesContract]]-Table11[[#This Row],['#Planted]])</f>
        <v/>
      </c>
      <c r="M207" s="166"/>
      <c r="N207" s="166"/>
      <c r="O207" s="166"/>
      <c r="P207" s="166"/>
      <c r="Q207" s="172"/>
      <c r="R207" s="166"/>
      <c r="S207" s="166"/>
      <c r="T207" s="166"/>
      <c r="U207" s="166" t="s">
        <v>2422</v>
      </c>
    </row>
    <row r="208" spans="1:21" hidden="1" x14ac:dyDescent="0.25">
      <c r="A208" s="385"/>
      <c r="B208" s="385" t="b">
        <v>1</v>
      </c>
      <c r="C208" s="385"/>
      <c r="D208" s="171">
        <v>45672</v>
      </c>
      <c r="E208" s="167">
        <v>399</v>
      </c>
      <c r="F208" s="167"/>
      <c r="G208" s="167"/>
      <c r="H208" s="167" t="s">
        <v>2106</v>
      </c>
      <c r="I208" s="167" t="s">
        <v>155</v>
      </c>
      <c r="J208" s="167">
        <v>550</v>
      </c>
      <c r="K208" s="167">
        <v>550</v>
      </c>
      <c r="L208" s="167" t="str">
        <f>IF(Table11[[#This Row],['#TreesContract]]-Table11[[#This Row],['#Planted]]=0,"",Table11[[#This Row],['#TreesContract]]-Table11[[#This Row],['#Planted]])</f>
        <v/>
      </c>
      <c r="M208" s="167"/>
      <c r="N208" s="167"/>
      <c r="O208" s="167"/>
      <c r="P208" s="167"/>
      <c r="Q208" s="167"/>
      <c r="R208" s="167"/>
      <c r="S208" s="167"/>
      <c r="T208" s="167"/>
      <c r="U208" s="166" t="s">
        <v>2422</v>
      </c>
    </row>
    <row r="209" spans="1:21" hidden="1" x14ac:dyDescent="0.25">
      <c r="A209" s="386"/>
      <c r="B209" s="386" t="b">
        <v>1</v>
      </c>
      <c r="C209" s="386"/>
      <c r="D209" s="170">
        <v>45672</v>
      </c>
      <c r="E209" s="166">
        <v>400</v>
      </c>
      <c r="F209" s="166"/>
      <c r="G209" s="166"/>
      <c r="H209" s="166" t="s">
        <v>2143</v>
      </c>
      <c r="I209" s="166" t="s">
        <v>155</v>
      </c>
      <c r="J209" s="166">
        <v>1100</v>
      </c>
      <c r="K209" s="166">
        <v>1100</v>
      </c>
      <c r="L209" s="166" t="str">
        <f>IF(Table11[[#This Row],['#TreesContract]]-Table11[[#This Row],['#Planted]]=0,"",Table11[[#This Row],['#TreesContract]]-Table11[[#This Row],['#Planted]])</f>
        <v/>
      </c>
      <c r="M209" s="166"/>
      <c r="N209" s="166"/>
      <c r="O209" s="166"/>
      <c r="P209" s="166"/>
      <c r="Q209" s="172"/>
      <c r="R209" s="166"/>
      <c r="S209" s="166"/>
      <c r="T209" s="166"/>
      <c r="U209" s="166" t="s">
        <v>2422</v>
      </c>
    </row>
    <row r="210" spans="1:21" hidden="1" x14ac:dyDescent="0.25">
      <c r="A210" s="385"/>
      <c r="B210" s="385" t="b">
        <v>1</v>
      </c>
      <c r="C210" s="385"/>
      <c r="D210" s="171">
        <v>45672</v>
      </c>
      <c r="E210" s="167">
        <v>401</v>
      </c>
      <c r="F210" s="167"/>
      <c r="G210" s="167"/>
      <c r="H210" s="167" t="s">
        <v>2133</v>
      </c>
      <c r="I210" s="167" t="s">
        <v>155</v>
      </c>
      <c r="J210" s="167">
        <v>1100</v>
      </c>
      <c r="K210" s="167">
        <v>1100</v>
      </c>
      <c r="L210" s="167" t="str">
        <f>IF(Table11[[#This Row],['#TreesContract]]-Table11[[#This Row],['#Planted]]=0,"",Table11[[#This Row],['#TreesContract]]-Table11[[#This Row],['#Planted]])</f>
        <v/>
      </c>
      <c r="M210" s="167"/>
      <c r="N210" s="167"/>
      <c r="O210" s="167"/>
      <c r="P210" s="167"/>
      <c r="Q210" s="167"/>
      <c r="R210" s="167"/>
      <c r="S210" s="167"/>
      <c r="T210" s="167"/>
      <c r="U210" s="166" t="s">
        <v>2422</v>
      </c>
    </row>
    <row r="211" spans="1:21" hidden="1" x14ac:dyDescent="0.25">
      <c r="A211" s="386"/>
      <c r="B211" s="386" t="b">
        <v>1</v>
      </c>
      <c r="C211" s="386"/>
      <c r="D211" s="170">
        <v>45672</v>
      </c>
      <c r="E211" s="166">
        <v>402</v>
      </c>
      <c r="F211" s="166"/>
      <c r="G211" s="166"/>
      <c r="H211" s="166" t="s">
        <v>2155</v>
      </c>
      <c r="I211" s="166" t="s">
        <v>155</v>
      </c>
      <c r="J211" s="166">
        <v>1100</v>
      </c>
      <c r="K211" s="166">
        <v>1100</v>
      </c>
      <c r="L211" s="166" t="str">
        <f>IF(Table11[[#This Row],['#TreesContract]]-Table11[[#This Row],['#Planted]]=0,"",Table11[[#This Row],['#TreesContract]]-Table11[[#This Row],['#Planted]])</f>
        <v/>
      </c>
      <c r="M211" s="166"/>
      <c r="N211" s="166"/>
      <c r="O211" s="166"/>
      <c r="P211" s="166"/>
      <c r="Q211" s="172"/>
      <c r="R211" s="166"/>
      <c r="S211" s="166"/>
      <c r="T211" s="166"/>
      <c r="U211" s="166" t="s">
        <v>2422</v>
      </c>
    </row>
    <row r="212" spans="1:21" hidden="1" x14ac:dyDescent="0.25">
      <c r="A212" s="385"/>
      <c r="B212" s="385" t="b">
        <v>1</v>
      </c>
      <c r="C212" s="385"/>
      <c r="D212" s="171">
        <v>45672</v>
      </c>
      <c r="E212" s="167">
        <v>403</v>
      </c>
      <c r="F212" s="167"/>
      <c r="G212" s="167"/>
      <c r="H212" s="167" t="s">
        <v>2088</v>
      </c>
      <c r="I212" s="167" t="s">
        <v>155</v>
      </c>
      <c r="J212" s="167">
        <v>550</v>
      </c>
      <c r="K212" s="167">
        <v>550</v>
      </c>
      <c r="L212" s="167" t="str">
        <f>IF(Table11[[#This Row],['#TreesContract]]-Table11[[#This Row],['#Planted]]=0,"",Table11[[#This Row],['#TreesContract]]-Table11[[#This Row],['#Planted]])</f>
        <v/>
      </c>
      <c r="M212" s="167"/>
      <c r="N212" s="167"/>
      <c r="O212" s="167"/>
      <c r="P212" s="167"/>
      <c r="Q212" s="167"/>
      <c r="R212" s="167"/>
      <c r="S212" s="167"/>
      <c r="T212" s="167"/>
      <c r="U212" s="166" t="s">
        <v>2422</v>
      </c>
    </row>
    <row r="213" spans="1:21" hidden="1" x14ac:dyDescent="0.25">
      <c r="A213" s="386"/>
      <c r="B213" s="386" t="b">
        <v>1</v>
      </c>
      <c r="C213" s="386"/>
      <c r="D213" s="170">
        <v>45672</v>
      </c>
      <c r="E213" s="166">
        <v>404</v>
      </c>
      <c r="F213" s="166"/>
      <c r="G213" s="166"/>
      <c r="H213" s="166" t="s">
        <v>1969</v>
      </c>
      <c r="I213" s="166" t="s">
        <v>155</v>
      </c>
      <c r="J213" s="166">
        <v>1100</v>
      </c>
      <c r="K213" s="166">
        <v>1100</v>
      </c>
      <c r="L213" s="166" t="str">
        <f>IF(Table11[[#This Row],['#TreesContract]]-Table11[[#This Row],['#Planted]]=0,"",Table11[[#This Row],['#TreesContract]]-Table11[[#This Row],['#Planted]])</f>
        <v/>
      </c>
      <c r="M213" s="166"/>
      <c r="N213" s="166"/>
      <c r="O213" s="166"/>
      <c r="P213" s="166"/>
      <c r="Q213" s="172"/>
      <c r="R213" s="166"/>
      <c r="S213" s="166"/>
      <c r="T213" s="166"/>
      <c r="U213" s="166" t="s">
        <v>2422</v>
      </c>
    </row>
    <row r="214" spans="1:21" hidden="1" x14ac:dyDescent="0.25">
      <c r="A214" s="385"/>
      <c r="B214" s="385" t="b">
        <v>1</v>
      </c>
      <c r="C214" s="385"/>
      <c r="D214" s="171">
        <v>45672</v>
      </c>
      <c r="E214" s="167">
        <v>405</v>
      </c>
      <c r="F214" s="167"/>
      <c r="G214" s="167"/>
      <c r="H214" s="167" t="s">
        <v>2169</v>
      </c>
      <c r="I214" s="167" t="s">
        <v>155</v>
      </c>
      <c r="J214" s="167">
        <v>5500</v>
      </c>
      <c r="K214" s="167">
        <v>2220</v>
      </c>
      <c r="L214" s="167" t="str">
        <f>IF(Table11[[#This Row],['#TreesContract]]-Table11[[#This Row],['#Planted]]=0,"",Table11[[#This Row],['#TreesContract]]-Table11[[#This Row],['#Planted]])</f>
        <v/>
      </c>
      <c r="M214" s="167"/>
      <c r="N214" s="167"/>
      <c r="O214" s="167"/>
      <c r="P214" s="167"/>
      <c r="Q214" s="167"/>
      <c r="R214" s="167"/>
      <c r="S214" s="167"/>
      <c r="T214" s="167"/>
      <c r="U214" s="166" t="s">
        <v>2422</v>
      </c>
    </row>
    <row r="215" spans="1:21" hidden="1" x14ac:dyDescent="0.25">
      <c r="A215" s="386"/>
      <c r="B215" s="386" t="b">
        <v>1</v>
      </c>
      <c r="C215" s="386"/>
      <c r="D215" s="170">
        <v>45672</v>
      </c>
      <c r="E215" s="166">
        <v>406</v>
      </c>
      <c r="F215" s="166"/>
      <c r="G215" s="166"/>
      <c r="H215" s="166" t="s">
        <v>2109</v>
      </c>
      <c r="I215" s="166" t="s">
        <v>155</v>
      </c>
      <c r="J215" s="166">
        <v>2475</v>
      </c>
      <c r="K215" s="166">
        <v>1820</v>
      </c>
      <c r="L215" s="166" t="str">
        <f>IF(Table11[[#This Row],['#TreesContract]]-Table11[[#This Row],['#Planted]]=0,"",Table11[[#This Row],['#TreesContract]]-Table11[[#This Row],['#Planted]])</f>
        <v/>
      </c>
      <c r="M215" s="166"/>
      <c r="N215" s="166"/>
      <c r="O215" s="166"/>
      <c r="P215" s="166"/>
      <c r="Q215" s="172"/>
      <c r="R215" s="166"/>
      <c r="S215" s="166"/>
      <c r="T215" s="166"/>
      <c r="U215" s="166" t="s">
        <v>2422</v>
      </c>
    </row>
    <row r="216" spans="1:21" hidden="1" x14ac:dyDescent="0.25">
      <c r="A216" s="385"/>
      <c r="B216" s="385" t="b">
        <v>1</v>
      </c>
      <c r="C216" s="385"/>
      <c r="D216" s="171">
        <v>45672</v>
      </c>
      <c r="E216" s="167">
        <v>407</v>
      </c>
      <c r="F216" s="167"/>
      <c r="G216" s="167"/>
      <c r="H216" s="167" t="s">
        <v>2140</v>
      </c>
      <c r="I216" s="167" t="s">
        <v>155</v>
      </c>
      <c r="J216" s="167">
        <v>1100</v>
      </c>
      <c r="K216" s="167">
        <v>1100</v>
      </c>
      <c r="L216" s="167" t="str">
        <f>IF(Table11[[#This Row],['#TreesContract]]-Table11[[#This Row],['#Planted]]=0,"",Table11[[#This Row],['#TreesContract]]-Table11[[#This Row],['#Planted]])</f>
        <v/>
      </c>
      <c r="M216" s="167"/>
      <c r="N216" s="167"/>
      <c r="O216" s="167"/>
      <c r="P216" s="167"/>
      <c r="Q216" s="167"/>
      <c r="R216" s="167"/>
      <c r="S216" s="167"/>
      <c r="T216" s="167"/>
      <c r="U216" s="166" t="s">
        <v>2422</v>
      </c>
    </row>
    <row r="217" spans="1:21" hidden="1" x14ac:dyDescent="0.25">
      <c r="A217" s="386"/>
      <c r="B217" s="386" t="b">
        <v>1</v>
      </c>
      <c r="C217" s="386"/>
      <c r="D217" s="170">
        <v>45672</v>
      </c>
      <c r="E217" s="166">
        <v>408</v>
      </c>
      <c r="F217" s="166"/>
      <c r="G217" s="166"/>
      <c r="H217" s="166" t="s">
        <v>2093</v>
      </c>
      <c r="I217" s="166" t="s">
        <v>155</v>
      </c>
      <c r="J217" s="166">
        <v>1100</v>
      </c>
      <c r="K217" s="166">
        <v>1100</v>
      </c>
      <c r="L217" s="166" t="str">
        <f>IF(Table11[[#This Row],['#TreesContract]]-Table11[[#This Row],['#Planted]]=0,"",Table11[[#This Row],['#TreesContract]]-Table11[[#This Row],['#Planted]])</f>
        <v/>
      </c>
      <c r="M217" s="166"/>
      <c r="N217" s="166"/>
      <c r="O217" s="166"/>
      <c r="P217" s="166"/>
      <c r="Q217" s="172"/>
      <c r="R217" s="166"/>
      <c r="S217" s="166"/>
      <c r="T217" s="166"/>
      <c r="U217" s="166" t="s">
        <v>2422</v>
      </c>
    </row>
    <row r="218" spans="1:21" hidden="1" x14ac:dyDescent="0.25">
      <c r="A218" s="385"/>
      <c r="B218" s="385" t="b">
        <v>1</v>
      </c>
      <c r="C218" s="385"/>
      <c r="D218" s="171">
        <v>45672</v>
      </c>
      <c r="E218" s="167">
        <v>409</v>
      </c>
      <c r="F218" s="167"/>
      <c r="G218" s="167"/>
      <c r="H218" s="167" t="s">
        <v>2124</v>
      </c>
      <c r="I218" s="167" t="s">
        <v>155</v>
      </c>
      <c r="J218" s="167">
        <v>2750</v>
      </c>
      <c r="K218" s="167">
        <v>1100</v>
      </c>
      <c r="L218" s="167" t="str">
        <f>IF(Table11[[#This Row],['#TreesContract]]-Table11[[#This Row],['#Planted]]=0,"",Table11[[#This Row],['#TreesContract]]-Table11[[#This Row],['#Planted]])</f>
        <v/>
      </c>
      <c r="M218" s="167"/>
      <c r="N218" s="167"/>
      <c r="O218" s="167"/>
      <c r="P218" s="167"/>
      <c r="Q218" s="167"/>
      <c r="R218" s="167"/>
      <c r="S218" s="167"/>
      <c r="T218" s="167"/>
      <c r="U218" s="166" t="s">
        <v>2422</v>
      </c>
    </row>
    <row r="219" spans="1:21" hidden="1" x14ac:dyDescent="0.25">
      <c r="A219" s="386"/>
      <c r="B219" s="386" t="b">
        <v>1</v>
      </c>
      <c r="C219" s="386"/>
      <c r="D219" s="170">
        <v>45672</v>
      </c>
      <c r="E219" s="166">
        <v>410</v>
      </c>
      <c r="F219" s="166"/>
      <c r="G219" s="166"/>
      <c r="H219" s="166" t="s">
        <v>2241</v>
      </c>
      <c r="I219" s="166" t="s">
        <v>155</v>
      </c>
      <c r="J219" s="166">
        <v>550</v>
      </c>
      <c r="K219" s="166">
        <v>550</v>
      </c>
      <c r="L219" s="166" t="str">
        <f>IF(Table11[[#This Row],['#TreesContract]]-Table11[[#This Row],['#Planted]]=0,"",Table11[[#This Row],['#TreesContract]]-Table11[[#This Row],['#Planted]])</f>
        <v/>
      </c>
      <c r="M219" s="166"/>
      <c r="N219" s="166"/>
      <c r="O219" s="166"/>
      <c r="P219" s="166"/>
      <c r="Q219" s="172"/>
      <c r="R219" s="166"/>
      <c r="S219" s="166"/>
      <c r="T219" s="166"/>
      <c r="U219" s="166" t="s">
        <v>2422</v>
      </c>
    </row>
    <row r="220" spans="1:21" hidden="1" x14ac:dyDescent="0.25">
      <c r="A220" s="385"/>
      <c r="B220" s="385" t="b">
        <v>1</v>
      </c>
      <c r="C220" s="385"/>
      <c r="D220" s="171">
        <v>45672</v>
      </c>
      <c r="E220" s="167">
        <v>411</v>
      </c>
      <c r="F220" s="167"/>
      <c r="G220" s="167"/>
      <c r="H220" s="167" t="s">
        <v>2220</v>
      </c>
      <c r="I220" s="167" t="s">
        <v>155</v>
      </c>
      <c r="J220" s="167">
        <v>1650</v>
      </c>
      <c r="K220" s="167">
        <v>1660</v>
      </c>
      <c r="L220" s="167"/>
      <c r="M220" s="167"/>
      <c r="N220" s="167"/>
      <c r="O220" s="167"/>
      <c r="P220" s="167"/>
      <c r="Q220" s="167"/>
      <c r="R220" s="167"/>
      <c r="S220" s="167"/>
      <c r="T220" s="167"/>
      <c r="U220" s="166" t="s">
        <v>2422</v>
      </c>
    </row>
    <row r="221" spans="1:21" hidden="1" x14ac:dyDescent="0.25">
      <c r="A221" s="386"/>
      <c r="B221" s="386" t="b">
        <v>1</v>
      </c>
      <c r="C221" s="386"/>
      <c r="D221" s="170">
        <v>45672</v>
      </c>
      <c r="E221" s="166">
        <v>412</v>
      </c>
      <c r="F221" s="166"/>
      <c r="G221" s="166"/>
      <c r="H221" s="166" t="s">
        <v>2092</v>
      </c>
      <c r="I221" s="166" t="s">
        <v>155</v>
      </c>
      <c r="J221" s="166">
        <v>550</v>
      </c>
      <c r="K221" s="166">
        <v>550</v>
      </c>
      <c r="L221" s="166"/>
      <c r="M221" s="166"/>
      <c r="N221" s="166"/>
      <c r="O221" s="166"/>
      <c r="P221" s="166"/>
      <c r="Q221" s="172"/>
      <c r="R221" s="166"/>
      <c r="S221" s="166"/>
      <c r="T221" s="166"/>
      <c r="U221" s="166" t="s">
        <v>2422</v>
      </c>
    </row>
    <row r="222" spans="1:21" hidden="1" x14ac:dyDescent="0.25">
      <c r="A222" s="385"/>
      <c r="B222" s="385" t="b">
        <v>1</v>
      </c>
      <c r="C222" s="385"/>
      <c r="D222" s="171">
        <v>45672</v>
      </c>
      <c r="E222" s="167">
        <v>413</v>
      </c>
      <c r="F222" s="167"/>
      <c r="G222" s="167"/>
      <c r="H222" s="167" t="s">
        <v>2213</v>
      </c>
      <c r="I222" s="167" t="s">
        <v>155</v>
      </c>
      <c r="J222" s="167">
        <v>550</v>
      </c>
      <c r="K222" s="167">
        <v>400</v>
      </c>
      <c r="L222" s="167" t="str">
        <f>IF(Table11[[#This Row],['#TreesContract]]-Table11[[#This Row],['#Planted]]=0,"",Table11[[#This Row],['#TreesContract]]-Table11[[#This Row],['#Planted]])</f>
        <v/>
      </c>
      <c r="M222" s="167"/>
      <c r="N222" s="167"/>
      <c r="O222" s="167"/>
      <c r="P222" s="167"/>
      <c r="Q222" s="167"/>
      <c r="R222" s="167"/>
      <c r="S222" s="167"/>
      <c r="T222" s="167"/>
      <c r="U222" s="166" t="s">
        <v>2422</v>
      </c>
    </row>
    <row r="223" spans="1:21" hidden="1" x14ac:dyDescent="0.25">
      <c r="A223" s="386"/>
      <c r="B223" s="386" t="b">
        <v>1</v>
      </c>
      <c r="C223" s="386"/>
      <c r="D223" s="170">
        <v>45672</v>
      </c>
      <c r="E223" s="166">
        <v>414</v>
      </c>
      <c r="F223" s="166"/>
      <c r="G223" s="166"/>
      <c r="H223" s="166" t="s">
        <v>2146</v>
      </c>
      <c r="I223" s="166" t="s">
        <v>155</v>
      </c>
      <c r="J223" s="166">
        <v>825</v>
      </c>
      <c r="K223" s="166">
        <v>550</v>
      </c>
      <c r="L223" s="166" t="str">
        <f>IF(Table11[[#This Row],['#TreesContract]]-Table11[[#This Row],['#Planted]]=0,"",Table11[[#This Row],['#TreesContract]]-Table11[[#This Row],['#Planted]])</f>
        <v/>
      </c>
      <c r="M223" s="166"/>
      <c r="N223" s="166"/>
      <c r="O223" s="166"/>
      <c r="P223" s="166"/>
      <c r="Q223" s="172"/>
      <c r="R223" s="166"/>
      <c r="S223" s="166"/>
      <c r="T223" s="166"/>
      <c r="U223" s="166" t="s">
        <v>2422</v>
      </c>
    </row>
    <row r="224" spans="1:21" hidden="1" x14ac:dyDescent="0.25">
      <c r="A224" s="385"/>
      <c r="B224" s="385" t="b">
        <v>1</v>
      </c>
      <c r="C224" s="385"/>
      <c r="D224" s="171">
        <v>45672</v>
      </c>
      <c r="E224" s="167">
        <v>415</v>
      </c>
      <c r="F224" s="167"/>
      <c r="G224" s="167"/>
      <c r="H224" s="167" t="s">
        <v>2103</v>
      </c>
      <c r="I224" s="167" t="s">
        <v>155</v>
      </c>
      <c r="J224" s="167">
        <v>550</v>
      </c>
      <c r="K224" s="167">
        <v>550</v>
      </c>
      <c r="L224" s="167" t="str">
        <f>IF(Table11[[#This Row],['#TreesContract]]-Table11[[#This Row],['#Planted]]=0,"",Table11[[#This Row],['#TreesContract]]-Table11[[#This Row],['#Planted]])</f>
        <v/>
      </c>
      <c r="M224" s="167"/>
      <c r="N224" s="167"/>
      <c r="O224" s="167"/>
      <c r="P224" s="167"/>
      <c r="Q224" s="167"/>
      <c r="R224" s="167"/>
      <c r="S224" s="167"/>
      <c r="T224" s="167"/>
      <c r="U224" s="166" t="s">
        <v>2422</v>
      </c>
    </row>
    <row r="225" spans="1:21" hidden="1" x14ac:dyDescent="0.25">
      <c r="A225" s="386"/>
      <c r="B225" s="386" t="b">
        <v>1</v>
      </c>
      <c r="C225" s="386"/>
      <c r="D225" s="170">
        <v>45672</v>
      </c>
      <c r="E225" s="166">
        <v>416</v>
      </c>
      <c r="F225" s="166"/>
      <c r="G225" s="166"/>
      <c r="H225" s="166" t="s">
        <v>2246</v>
      </c>
      <c r="I225" s="166" t="s">
        <v>155</v>
      </c>
      <c r="J225" s="166">
        <v>550</v>
      </c>
      <c r="K225" s="166">
        <v>550</v>
      </c>
      <c r="L225" s="166" t="str">
        <f>IF(Table11[[#This Row],['#TreesContract]]-Table11[[#This Row],['#Planted]]=0,"",Table11[[#This Row],['#TreesContract]]-Table11[[#This Row],['#Planted]])</f>
        <v/>
      </c>
      <c r="M225" s="166"/>
      <c r="N225" s="166"/>
      <c r="O225" s="166"/>
      <c r="P225" s="166"/>
      <c r="Q225" s="172"/>
      <c r="R225" s="166"/>
      <c r="S225" s="166"/>
      <c r="T225" s="166"/>
      <c r="U225" s="166" t="s">
        <v>2422</v>
      </c>
    </row>
    <row r="226" spans="1:21" hidden="1" x14ac:dyDescent="0.25">
      <c r="A226" s="385"/>
      <c r="B226" s="385" t="b">
        <v>1</v>
      </c>
      <c r="C226" s="385"/>
      <c r="D226" s="171">
        <v>45672</v>
      </c>
      <c r="E226" s="167">
        <v>417</v>
      </c>
      <c r="F226" s="167"/>
      <c r="G226" s="167"/>
      <c r="H226" s="167" t="s">
        <v>2244</v>
      </c>
      <c r="I226" s="167" t="s">
        <v>155</v>
      </c>
      <c r="J226" s="167">
        <v>550</v>
      </c>
      <c r="K226" s="167">
        <v>1650</v>
      </c>
      <c r="L226" s="167" t="str">
        <f>IF(Table11[[#This Row],['#TreesContract]]-Table11[[#This Row],['#Planted]]=0,"",Table11[[#This Row],['#TreesContract]]-Table11[[#This Row],['#Planted]])</f>
        <v/>
      </c>
      <c r="M226" s="167"/>
      <c r="N226" s="167"/>
      <c r="O226" s="167"/>
      <c r="P226" s="167"/>
      <c r="Q226" s="167"/>
      <c r="R226" s="167"/>
      <c r="S226" s="167"/>
      <c r="T226" s="167"/>
      <c r="U226" s="166" t="s">
        <v>2422</v>
      </c>
    </row>
    <row r="227" spans="1:21" hidden="1" x14ac:dyDescent="0.25">
      <c r="A227" s="386"/>
      <c r="B227" s="386" t="b">
        <v>1</v>
      </c>
      <c r="C227" s="386"/>
      <c r="D227" s="170">
        <v>45672</v>
      </c>
      <c r="E227" s="166">
        <v>418</v>
      </c>
      <c r="F227" s="166"/>
      <c r="G227" s="166"/>
      <c r="H227" s="166" t="s">
        <v>2117</v>
      </c>
      <c r="I227" s="166" t="s">
        <v>155</v>
      </c>
      <c r="J227" s="166">
        <v>550</v>
      </c>
      <c r="K227" s="166">
        <v>550</v>
      </c>
      <c r="L227" s="166" t="str">
        <f>IF(Table11[[#This Row],['#TreesContract]]-Table11[[#This Row],['#Planted]]=0,"",Table11[[#This Row],['#TreesContract]]-Table11[[#This Row],['#Planted]])</f>
        <v/>
      </c>
      <c r="M227" s="166"/>
      <c r="N227" s="166"/>
      <c r="O227" s="166"/>
      <c r="P227" s="166"/>
      <c r="Q227" s="172"/>
      <c r="R227" s="166"/>
      <c r="S227" s="166"/>
      <c r="T227" s="166"/>
      <c r="U227" s="166" t="s">
        <v>2422</v>
      </c>
    </row>
    <row r="228" spans="1:21" hidden="1" x14ac:dyDescent="0.25">
      <c r="A228" s="385"/>
      <c r="B228" s="385" t="b">
        <v>1</v>
      </c>
      <c r="C228" s="385"/>
      <c r="D228" s="171">
        <v>45672</v>
      </c>
      <c r="E228" s="167">
        <v>419</v>
      </c>
      <c r="F228" s="167"/>
      <c r="G228" s="167"/>
      <c r="H228" s="167" t="s">
        <v>2158</v>
      </c>
      <c r="I228" s="167" t="s">
        <v>155</v>
      </c>
      <c r="J228" s="167">
        <v>550</v>
      </c>
      <c r="K228" s="167">
        <v>550</v>
      </c>
      <c r="L228" s="167" t="str">
        <f>IF(Table11[[#This Row],['#TreesContract]]-Table11[[#This Row],['#Planted]]=0,"",Table11[[#This Row],['#TreesContract]]-Table11[[#This Row],['#Planted]])</f>
        <v/>
      </c>
      <c r="M228" s="167"/>
      <c r="N228" s="167"/>
      <c r="O228" s="167"/>
      <c r="P228" s="167"/>
      <c r="Q228" s="167"/>
      <c r="R228" s="167"/>
      <c r="S228" s="167"/>
      <c r="T228" s="167"/>
      <c r="U228" s="166" t="s">
        <v>2422</v>
      </c>
    </row>
    <row r="229" spans="1:21" hidden="1" x14ac:dyDescent="0.25">
      <c r="A229" s="386"/>
      <c r="B229" s="386" t="b">
        <v>1</v>
      </c>
      <c r="C229" s="386"/>
      <c r="D229" s="170">
        <v>45672</v>
      </c>
      <c r="E229" s="166">
        <v>420</v>
      </c>
      <c r="F229" s="166"/>
      <c r="G229" s="166"/>
      <c r="H229" s="166" t="s">
        <v>2130</v>
      </c>
      <c r="I229" s="166" t="s">
        <v>155</v>
      </c>
      <c r="J229" s="166">
        <v>550</v>
      </c>
      <c r="K229" s="166">
        <v>550</v>
      </c>
      <c r="L229" s="166" t="str">
        <f>IF(Table11[[#This Row],['#TreesContract]]-Table11[[#This Row],['#Planted]]=0,"",Table11[[#This Row],['#TreesContract]]-Table11[[#This Row],['#Planted]])</f>
        <v/>
      </c>
      <c r="M229" s="166"/>
      <c r="N229" s="166"/>
      <c r="O229" s="166"/>
      <c r="P229" s="166"/>
      <c r="Q229" s="172"/>
      <c r="R229" s="166"/>
      <c r="S229" s="166"/>
      <c r="T229" s="166"/>
      <c r="U229" s="166" t="s">
        <v>2422</v>
      </c>
    </row>
    <row r="230" spans="1:21" hidden="1" x14ac:dyDescent="0.25">
      <c r="A230" s="385"/>
      <c r="B230" s="385" t="b">
        <v>1</v>
      </c>
      <c r="C230" s="385"/>
      <c r="D230" s="171">
        <v>45672</v>
      </c>
      <c r="E230" s="167">
        <v>421</v>
      </c>
      <c r="F230" s="167"/>
      <c r="G230" s="167"/>
      <c r="H230" s="167" t="s">
        <v>2127</v>
      </c>
      <c r="I230" s="167" t="s">
        <v>155</v>
      </c>
      <c r="J230" s="167">
        <v>550</v>
      </c>
      <c r="K230" s="167">
        <v>550</v>
      </c>
      <c r="L230" s="167" t="str">
        <f>IF(Table11[[#This Row],['#TreesContract]]-Table11[[#This Row],['#Planted]]=0,"",Table11[[#This Row],['#TreesContract]]-Table11[[#This Row],['#Planted]])</f>
        <v/>
      </c>
      <c r="M230" s="167"/>
      <c r="N230" s="167"/>
      <c r="O230" s="167"/>
      <c r="P230" s="167"/>
      <c r="Q230" s="167"/>
      <c r="R230" s="167"/>
      <c r="S230" s="167"/>
      <c r="T230" s="167"/>
      <c r="U230" s="166" t="s">
        <v>2422</v>
      </c>
    </row>
    <row r="231" spans="1:21" hidden="1" x14ac:dyDescent="0.25">
      <c r="A231" s="386"/>
      <c r="B231" s="386" t="b">
        <v>1</v>
      </c>
      <c r="C231" s="386"/>
      <c r="D231" s="170">
        <v>45672</v>
      </c>
      <c r="E231" s="166">
        <v>422</v>
      </c>
      <c r="F231" s="166" t="s">
        <v>2173</v>
      </c>
      <c r="G231" s="166">
        <v>40074</v>
      </c>
      <c r="H231" s="166" t="s">
        <v>2174</v>
      </c>
      <c r="I231" s="166" t="s">
        <v>155</v>
      </c>
      <c r="J231" s="166">
        <v>2200</v>
      </c>
      <c r="K231" s="166">
        <v>2200</v>
      </c>
      <c r="L231" s="166" t="str">
        <f>IF(Table11[[#This Row],['#TreesContract]]-Table11[[#This Row],['#Planted]]=0,"",Table11[[#This Row],['#TreesContract]]-Table11[[#This Row],['#Planted]])</f>
        <v/>
      </c>
      <c r="M231" s="166"/>
      <c r="N231" s="166"/>
      <c r="O231" s="166"/>
      <c r="P231" s="166"/>
      <c r="Q231" s="172"/>
      <c r="R231" s="166"/>
      <c r="S231" s="166"/>
      <c r="T231" s="166"/>
      <c r="U231" s="166" t="s">
        <v>2422</v>
      </c>
    </row>
    <row r="232" spans="1:21" hidden="1" x14ac:dyDescent="0.25">
      <c r="A232" s="385"/>
      <c r="B232" s="385" t="b">
        <v>1</v>
      </c>
      <c r="C232" s="385"/>
      <c r="D232" s="171">
        <v>45672</v>
      </c>
      <c r="E232" s="167">
        <v>423</v>
      </c>
      <c r="F232" s="167"/>
      <c r="G232" s="167"/>
      <c r="H232" s="167" t="s">
        <v>2165</v>
      </c>
      <c r="I232" s="167" t="s">
        <v>155</v>
      </c>
      <c r="J232" s="167">
        <v>1650</v>
      </c>
      <c r="K232" s="167">
        <v>825</v>
      </c>
      <c r="L232" s="167" t="str">
        <f>IF(Table11[[#This Row],['#TreesContract]]-Table11[[#This Row],['#Planted]]=0,"",Table11[[#This Row],['#TreesContract]]-Table11[[#This Row],['#Planted]])</f>
        <v/>
      </c>
      <c r="M232" s="167"/>
      <c r="N232" s="167"/>
      <c r="O232" s="167"/>
      <c r="P232" s="167"/>
      <c r="Q232" s="167"/>
      <c r="R232" s="167"/>
      <c r="S232" s="167"/>
      <c r="T232" s="167"/>
      <c r="U232" s="166" t="s">
        <v>2422</v>
      </c>
    </row>
    <row r="233" spans="1:21" hidden="1" x14ac:dyDescent="0.25">
      <c r="A233" s="386"/>
      <c r="B233" s="386" t="b">
        <v>1</v>
      </c>
      <c r="C233" s="386"/>
      <c r="D233" s="170">
        <v>45672</v>
      </c>
      <c r="E233" s="166">
        <v>424</v>
      </c>
      <c r="F233" s="166"/>
      <c r="G233" s="166"/>
      <c r="H233" s="166" t="s">
        <v>2424</v>
      </c>
      <c r="I233" s="166" t="s">
        <v>155</v>
      </c>
      <c r="J233" s="166">
        <v>2750</v>
      </c>
      <c r="K233" s="166">
        <v>1100</v>
      </c>
      <c r="L233" s="166" t="str">
        <f>IF(Table11[[#This Row],['#TreesContract]]-Table11[[#This Row],['#Planted]]=0,"",Table11[[#This Row],['#TreesContract]]-Table11[[#This Row],['#Planted]])</f>
        <v/>
      </c>
      <c r="M233" s="166"/>
      <c r="N233" s="166"/>
      <c r="O233" s="166"/>
      <c r="P233" s="166"/>
      <c r="Q233" s="172"/>
      <c r="R233" s="166"/>
      <c r="S233" s="166"/>
      <c r="T233" s="166"/>
      <c r="U233" s="166" t="s">
        <v>2422</v>
      </c>
    </row>
    <row r="234" spans="1:21" hidden="1" x14ac:dyDescent="0.25">
      <c r="A234" s="385"/>
      <c r="B234" s="385" t="b">
        <v>1</v>
      </c>
      <c r="C234" s="385"/>
      <c r="D234" s="171">
        <v>45672</v>
      </c>
      <c r="E234" s="167">
        <v>425</v>
      </c>
      <c r="F234" s="167"/>
      <c r="G234" s="167"/>
      <c r="H234" s="167" t="s">
        <v>2184</v>
      </c>
      <c r="I234" s="167" t="s">
        <v>155</v>
      </c>
      <c r="J234" s="167">
        <v>2200</v>
      </c>
      <c r="K234" s="167">
        <v>850</v>
      </c>
      <c r="L234" s="167" t="str">
        <f>IF(Table11[[#This Row],['#TreesContract]]-Table11[[#This Row],['#Planted]]=0,"",Table11[[#This Row],['#TreesContract]]-Table11[[#This Row],['#Planted]])</f>
        <v/>
      </c>
      <c r="M234" s="167"/>
      <c r="N234" s="167"/>
      <c r="O234" s="167"/>
      <c r="P234" s="167"/>
      <c r="Q234" s="167"/>
      <c r="R234" s="167"/>
      <c r="S234" s="167"/>
      <c r="T234" s="167"/>
      <c r="U234" s="167"/>
    </row>
    <row r="235" spans="1:21" hidden="1" x14ac:dyDescent="0.25">
      <c r="A235" s="386"/>
      <c r="B235" s="386" t="b">
        <v>1</v>
      </c>
      <c r="C235" s="386"/>
      <c r="D235" s="170">
        <v>45673</v>
      </c>
      <c r="E235" s="166">
        <v>287</v>
      </c>
      <c r="F235" s="166" t="s">
        <v>1275</v>
      </c>
      <c r="G235" s="166">
        <v>10067</v>
      </c>
      <c r="H235" s="166" t="s">
        <v>789</v>
      </c>
      <c r="I235" s="166" t="s">
        <v>155</v>
      </c>
      <c r="J235" s="166"/>
      <c r="K235" s="166"/>
      <c r="L235" s="166"/>
      <c r="M235" s="166"/>
      <c r="N235" s="166"/>
      <c r="O235" s="166"/>
      <c r="P235" s="166"/>
      <c r="Q235" s="172"/>
      <c r="R235" s="166"/>
      <c r="S235" s="166"/>
      <c r="T235" s="166"/>
      <c r="U235" s="166" t="s">
        <v>2425</v>
      </c>
    </row>
    <row r="236" spans="1:21" hidden="1" x14ac:dyDescent="0.25">
      <c r="A236" s="385"/>
      <c r="B236" s="385" t="b">
        <v>1</v>
      </c>
      <c r="C236" s="385"/>
      <c r="D236" s="171">
        <v>45673</v>
      </c>
      <c r="E236" s="167">
        <v>141</v>
      </c>
      <c r="F236" s="167" t="s">
        <v>1116</v>
      </c>
      <c r="G236" s="167">
        <v>30014</v>
      </c>
      <c r="H236" s="167" t="s">
        <v>1118</v>
      </c>
      <c r="I236" s="167" t="s">
        <v>155</v>
      </c>
      <c r="J236" s="167"/>
      <c r="K236" s="167"/>
      <c r="L236" s="167"/>
      <c r="M236" s="167"/>
      <c r="N236" s="167"/>
      <c r="O236" s="167"/>
      <c r="P236" s="167"/>
      <c r="Q236" s="167"/>
      <c r="R236" s="167"/>
      <c r="S236" s="167"/>
      <c r="T236" s="167"/>
      <c r="U236" s="167" t="s">
        <v>2426</v>
      </c>
    </row>
    <row r="237" spans="1:21" hidden="1" x14ac:dyDescent="0.25">
      <c r="A237" s="386"/>
      <c r="B237" s="386" t="b">
        <v>1</v>
      </c>
      <c r="C237" s="386"/>
      <c r="D237" s="44">
        <v>45673</v>
      </c>
      <c r="E237">
        <v>349</v>
      </c>
      <c r="F237" s="7" t="s">
        <v>1943</v>
      </c>
      <c r="G237" s="7">
        <v>40035</v>
      </c>
      <c r="H237" s="349" t="s">
        <v>1944</v>
      </c>
      <c r="J237">
        <v>5000</v>
      </c>
    </row>
    <row r="238" spans="1:21" hidden="1" x14ac:dyDescent="0.25">
      <c r="A238" s="364" t="s">
        <v>2427</v>
      </c>
      <c r="B238" s="365"/>
      <c r="C238" s="365"/>
    </row>
    <row r="239" spans="1:21" hidden="1" x14ac:dyDescent="0.25">
      <c r="A239" s="386"/>
      <c r="B239" s="386" t="b">
        <v>1</v>
      </c>
      <c r="C239" s="386"/>
      <c r="D239" s="170">
        <v>45677</v>
      </c>
      <c r="E239" s="166"/>
      <c r="F239" s="166" t="s">
        <v>1986</v>
      </c>
      <c r="G239" s="166">
        <v>10089</v>
      </c>
      <c r="H239" s="166" t="s">
        <v>1987</v>
      </c>
      <c r="I239" s="166"/>
      <c r="J239" s="166"/>
      <c r="K239" s="166"/>
      <c r="L239" s="166"/>
      <c r="M239" s="166">
        <v>2023</v>
      </c>
      <c r="N239" s="166"/>
      <c r="O239" s="166"/>
      <c r="P239" s="166"/>
      <c r="Q239" s="172"/>
      <c r="R239" s="166"/>
      <c r="S239" s="166"/>
      <c r="T239" s="166"/>
      <c r="U239" s="166"/>
    </row>
    <row r="240" spans="1:21" hidden="1" x14ac:dyDescent="0.25">
      <c r="A240" s="385"/>
      <c r="B240" s="385" t="b">
        <v>1</v>
      </c>
      <c r="C240" s="385"/>
      <c r="D240" s="171">
        <v>45677</v>
      </c>
      <c r="E240" s="167"/>
      <c r="F240" s="167" t="s">
        <v>2010</v>
      </c>
      <c r="G240" s="167">
        <v>10126</v>
      </c>
      <c r="H240" s="167" t="s">
        <v>2012</v>
      </c>
      <c r="I240" s="167"/>
      <c r="J240" s="167"/>
      <c r="K240" s="167"/>
      <c r="L240" s="167"/>
      <c r="M240" s="167">
        <v>2022</v>
      </c>
      <c r="N240" s="167"/>
      <c r="O240" s="167"/>
      <c r="P240" s="167"/>
      <c r="Q240" s="167"/>
      <c r="R240" s="167"/>
      <c r="S240" s="167"/>
      <c r="T240" s="167"/>
      <c r="U240" s="167"/>
    </row>
    <row r="241" spans="1:21" hidden="1" x14ac:dyDescent="0.25">
      <c r="A241" s="386"/>
      <c r="B241" s="386" t="b">
        <v>1</v>
      </c>
      <c r="C241" s="386"/>
      <c r="D241" s="170">
        <v>45677</v>
      </c>
      <c r="E241" s="166"/>
      <c r="F241" s="166" t="s">
        <v>2018</v>
      </c>
      <c r="G241" s="166">
        <v>10127</v>
      </c>
      <c r="H241" s="166" t="s">
        <v>2019</v>
      </c>
      <c r="I241" s="166"/>
      <c r="J241" s="166"/>
      <c r="K241" s="166"/>
      <c r="L241" s="166"/>
      <c r="M241" s="166">
        <v>2022</v>
      </c>
      <c r="N241" s="166"/>
      <c r="O241" s="166"/>
      <c r="P241" s="166"/>
      <c r="Q241" s="172"/>
      <c r="R241" s="166"/>
      <c r="S241" s="166"/>
      <c r="T241" s="166"/>
      <c r="U241" s="166"/>
    </row>
    <row r="242" spans="1:21" hidden="1" x14ac:dyDescent="0.25">
      <c r="A242" s="385"/>
      <c r="B242" s="385" t="b">
        <v>1</v>
      </c>
      <c r="C242" s="385"/>
      <c r="D242" s="171">
        <v>45677</v>
      </c>
      <c r="E242" s="167"/>
      <c r="F242" s="167" t="s">
        <v>2026</v>
      </c>
      <c r="G242" s="167">
        <v>10128</v>
      </c>
      <c r="H242" s="167" t="s">
        <v>2028</v>
      </c>
      <c r="I242" s="167"/>
      <c r="J242" s="167"/>
      <c r="K242" s="167"/>
      <c r="L242" s="167"/>
      <c r="M242" s="167">
        <v>2023</v>
      </c>
      <c r="N242" s="167"/>
      <c r="O242" s="167"/>
      <c r="P242" s="167"/>
      <c r="Q242" s="167"/>
      <c r="R242" s="167"/>
      <c r="S242" s="167"/>
      <c r="T242" s="167"/>
      <c r="U242" s="167"/>
    </row>
    <row r="243" spans="1:21" hidden="1" x14ac:dyDescent="0.25">
      <c r="A243" s="386"/>
      <c r="B243" s="386" t="b">
        <v>1</v>
      </c>
      <c r="C243" s="386"/>
      <c r="D243" s="170">
        <v>45677</v>
      </c>
      <c r="E243" s="166"/>
      <c r="F243" s="166" t="s">
        <v>2003</v>
      </c>
      <c r="G243" s="166">
        <v>10123</v>
      </c>
      <c r="H243" s="166" t="s">
        <v>1866</v>
      </c>
      <c r="I243" s="166"/>
      <c r="J243" s="166"/>
      <c r="K243" s="166"/>
      <c r="L243" s="166"/>
      <c r="M243" s="166">
        <v>2023</v>
      </c>
      <c r="N243" s="166"/>
      <c r="O243" s="166"/>
      <c r="P243" s="166"/>
      <c r="Q243" s="172"/>
      <c r="R243" s="166"/>
      <c r="S243" s="166"/>
      <c r="T243" s="166"/>
      <c r="U243" s="166"/>
    </row>
    <row r="244" spans="1:21" hidden="1" x14ac:dyDescent="0.25">
      <c r="A244" s="385"/>
      <c r="B244" s="385" t="b">
        <v>1</v>
      </c>
      <c r="C244" s="385"/>
      <c r="D244" s="171">
        <v>45677</v>
      </c>
      <c r="E244" s="167"/>
      <c r="F244" s="167" t="s">
        <v>2034</v>
      </c>
      <c r="G244" s="167">
        <v>10129</v>
      </c>
      <c r="H244" s="167" t="s">
        <v>2035</v>
      </c>
      <c r="I244" s="167"/>
      <c r="J244" s="167"/>
      <c r="K244" s="167"/>
      <c r="L244" s="167"/>
      <c r="M244" s="167">
        <v>2023</v>
      </c>
      <c r="N244" s="167"/>
      <c r="O244" s="167"/>
      <c r="P244" s="167"/>
      <c r="Q244" s="167"/>
      <c r="R244" s="167"/>
      <c r="S244" s="167"/>
      <c r="T244" s="167"/>
      <c r="U244" s="167"/>
    </row>
    <row r="245" spans="1:21" hidden="1" x14ac:dyDescent="0.25">
      <c r="A245" s="386"/>
      <c r="B245" s="386" t="b">
        <v>1</v>
      </c>
      <c r="C245" s="386"/>
      <c r="D245" s="170">
        <v>45677</v>
      </c>
      <c r="E245" s="166"/>
      <c r="F245" s="166" t="s">
        <v>2041</v>
      </c>
      <c r="G245" s="166">
        <v>10130</v>
      </c>
      <c r="H245" s="166" t="s">
        <v>2042</v>
      </c>
      <c r="I245" s="166"/>
      <c r="J245" s="166"/>
      <c r="K245" s="166"/>
      <c r="L245" s="166"/>
      <c r="M245" s="166">
        <v>2023</v>
      </c>
      <c r="N245" s="166"/>
      <c r="O245" s="166"/>
      <c r="P245" s="166"/>
      <c r="Q245" s="172"/>
      <c r="R245" s="166"/>
      <c r="S245" s="166"/>
      <c r="T245" s="166"/>
      <c r="U245" s="166"/>
    </row>
    <row r="246" spans="1:21" hidden="1" x14ac:dyDescent="0.25">
      <c r="A246" s="385"/>
      <c r="B246" s="385" t="b">
        <v>1</v>
      </c>
      <c r="C246" s="385"/>
      <c r="D246" s="171">
        <v>45677</v>
      </c>
      <c r="E246" s="167"/>
      <c r="F246" s="167" t="s">
        <v>2047</v>
      </c>
      <c r="G246" s="167">
        <v>10131</v>
      </c>
      <c r="H246" s="167" t="s">
        <v>2048</v>
      </c>
      <c r="I246" s="167"/>
      <c r="J246" s="167"/>
      <c r="K246" s="167"/>
      <c r="L246" s="167"/>
      <c r="M246" s="167">
        <v>2023</v>
      </c>
      <c r="N246" s="167"/>
      <c r="O246" s="167"/>
      <c r="P246" s="167"/>
      <c r="Q246" s="167"/>
      <c r="R246" s="167"/>
      <c r="S246" s="167"/>
      <c r="T246" s="167"/>
      <c r="U246" s="167"/>
    </row>
    <row r="247" spans="1:21" hidden="1" x14ac:dyDescent="0.25">
      <c r="A247" s="386"/>
      <c r="B247" s="386" t="b">
        <v>1</v>
      </c>
      <c r="C247" s="386"/>
      <c r="D247" s="170">
        <v>45677</v>
      </c>
      <c r="E247" s="166"/>
      <c r="F247" s="166" t="s">
        <v>1999</v>
      </c>
      <c r="G247" s="166">
        <v>10115</v>
      </c>
      <c r="H247" s="166" t="s">
        <v>2000</v>
      </c>
      <c r="I247" s="166"/>
      <c r="J247" s="166"/>
      <c r="K247" s="166"/>
      <c r="L247" s="166"/>
      <c r="M247" s="166">
        <v>2023</v>
      </c>
      <c r="N247" s="166"/>
      <c r="O247" s="166"/>
      <c r="P247" s="166"/>
      <c r="Q247" s="172"/>
      <c r="R247" s="166"/>
      <c r="S247" s="166"/>
      <c r="T247" s="166"/>
      <c r="U247" s="166"/>
    </row>
    <row r="248" spans="1:21" hidden="1" x14ac:dyDescent="0.25">
      <c r="A248" s="385"/>
      <c r="B248" s="385" t="b">
        <v>1</v>
      </c>
      <c r="C248" s="385"/>
      <c r="D248" s="171">
        <v>45677</v>
      </c>
      <c r="E248" s="167"/>
      <c r="F248" s="167" t="s">
        <v>2007</v>
      </c>
      <c r="G248" s="167">
        <v>10125</v>
      </c>
      <c r="H248" s="167" t="s">
        <v>1879</v>
      </c>
      <c r="I248" s="167"/>
      <c r="J248" s="167"/>
      <c r="K248" s="167"/>
      <c r="L248" s="167"/>
      <c r="M248" s="167">
        <v>2023</v>
      </c>
      <c r="N248" s="167"/>
      <c r="O248" s="167"/>
      <c r="P248" s="167"/>
      <c r="Q248" s="167"/>
      <c r="R248" s="167"/>
      <c r="S248" s="167"/>
      <c r="T248" s="167"/>
      <c r="U248" s="167"/>
    </row>
    <row r="249" spans="1:21" hidden="1" x14ac:dyDescent="0.25">
      <c r="A249" s="386"/>
      <c r="B249" s="386" t="b">
        <v>1</v>
      </c>
      <c r="C249" s="386"/>
      <c r="D249" s="170">
        <v>45677</v>
      </c>
      <c r="E249" s="166"/>
      <c r="F249" s="166" t="s">
        <v>1993</v>
      </c>
      <c r="G249" s="166">
        <v>10104</v>
      </c>
      <c r="H249" s="166" t="s">
        <v>1994</v>
      </c>
      <c r="I249" s="166"/>
      <c r="J249" s="166"/>
      <c r="K249" s="166"/>
      <c r="L249" s="166"/>
      <c r="M249" s="166">
        <v>2023</v>
      </c>
      <c r="N249" s="166"/>
      <c r="O249" s="166"/>
      <c r="P249" s="166"/>
      <c r="Q249" s="172"/>
      <c r="R249" s="166"/>
      <c r="S249" s="166"/>
      <c r="T249" s="166"/>
      <c r="U249" s="166"/>
    </row>
    <row r="250" spans="1:21" hidden="1" x14ac:dyDescent="0.25">
      <c r="A250" s="385"/>
      <c r="B250" s="385" t="b">
        <v>1</v>
      </c>
      <c r="C250" s="385"/>
      <c r="D250" s="171">
        <v>45677</v>
      </c>
      <c r="E250" s="167"/>
      <c r="F250" s="167" t="s">
        <v>2057</v>
      </c>
      <c r="G250" s="167">
        <v>20098</v>
      </c>
      <c r="H250" s="167" t="s">
        <v>2058</v>
      </c>
      <c r="I250" s="167"/>
      <c r="J250" s="167"/>
      <c r="K250" s="167"/>
      <c r="L250" s="167"/>
      <c r="M250" s="167">
        <v>2022</v>
      </c>
      <c r="N250" s="167"/>
      <c r="O250" s="167"/>
      <c r="P250" s="167"/>
      <c r="Q250" s="167"/>
      <c r="R250" s="167"/>
      <c r="S250" s="167"/>
      <c r="T250" s="167"/>
      <c r="U250" s="167"/>
    </row>
    <row r="251" spans="1:21" hidden="1" x14ac:dyDescent="0.25">
      <c r="A251" s="386"/>
      <c r="B251" s="386" t="b">
        <v>1</v>
      </c>
      <c r="C251" s="386"/>
      <c r="D251" s="170">
        <v>45677</v>
      </c>
      <c r="E251" s="166"/>
      <c r="F251" s="166" t="s">
        <v>2063</v>
      </c>
      <c r="G251" s="166">
        <v>20099</v>
      </c>
      <c r="H251" s="166" t="s">
        <v>2064</v>
      </c>
      <c r="I251" s="166"/>
      <c r="J251" s="166"/>
      <c r="K251" s="166"/>
      <c r="L251" s="166"/>
      <c r="M251" s="166">
        <v>2022</v>
      </c>
      <c r="N251" s="166"/>
      <c r="O251" s="166"/>
      <c r="P251" s="166"/>
      <c r="Q251" s="172"/>
      <c r="R251" s="166"/>
      <c r="S251" s="166"/>
      <c r="T251" s="166"/>
      <c r="U251" s="166"/>
    </row>
    <row r="252" spans="1:21" hidden="1" x14ac:dyDescent="0.25">
      <c r="A252" s="385"/>
      <c r="B252" s="385" t="b">
        <v>1</v>
      </c>
      <c r="C252" s="385"/>
      <c r="D252" s="171">
        <v>45677</v>
      </c>
      <c r="E252" s="167"/>
      <c r="F252" s="167" t="s">
        <v>2066</v>
      </c>
      <c r="G252" s="167">
        <v>20100</v>
      </c>
      <c r="H252" s="167" t="s">
        <v>2068</v>
      </c>
      <c r="I252" s="167"/>
      <c r="J252" s="167"/>
      <c r="K252" s="167"/>
      <c r="L252" s="167"/>
      <c r="M252" s="167">
        <v>2023</v>
      </c>
      <c r="N252" s="167"/>
      <c r="O252" s="167"/>
      <c r="P252" s="167"/>
      <c r="Q252" s="167"/>
      <c r="R252" s="167"/>
      <c r="S252" s="167"/>
      <c r="T252" s="167"/>
      <c r="U252" s="167"/>
    </row>
    <row r="253" spans="1:21" hidden="1" x14ac:dyDescent="0.25">
      <c r="A253" s="386"/>
      <c r="B253" s="386" t="b">
        <v>1</v>
      </c>
      <c r="C253" s="386"/>
      <c r="D253" s="170">
        <v>45677</v>
      </c>
      <c r="E253" s="166"/>
      <c r="F253" s="166" t="s">
        <v>2054</v>
      </c>
      <c r="G253" s="166">
        <v>20091</v>
      </c>
      <c r="H253" s="166" t="s">
        <v>1766</v>
      </c>
      <c r="I253" s="166"/>
      <c r="J253" s="166"/>
      <c r="K253" s="166"/>
      <c r="L253" s="166"/>
      <c r="M253" s="166">
        <v>2023</v>
      </c>
      <c r="N253" s="166"/>
      <c r="O253" s="166"/>
      <c r="P253" s="166"/>
      <c r="Q253" s="172"/>
      <c r="R253" s="166"/>
      <c r="S253" s="166"/>
      <c r="T253" s="166"/>
      <c r="U253" s="166"/>
    </row>
    <row r="254" spans="1:21" hidden="1" x14ac:dyDescent="0.25">
      <c r="A254" s="385"/>
      <c r="B254" s="385" t="b">
        <v>1</v>
      </c>
      <c r="C254" s="385"/>
      <c r="D254" s="171">
        <v>45677</v>
      </c>
      <c r="E254" s="167"/>
      <c r="F254" s="167" t="s">
        <v>2072</v>
      </c>
      <c r="G254" s="167">
        <v>20101</v>
      </c>
      <c r="H254" s="167" t="s">
        <v>2073</v>
      </c>
      <c r="I254" s="167"/>
      <c r="J254" s="167"/>
      <c r="K254" s="167"/>
      <c r="L254" s="167"/>
      <c r="M254" s="167">
        <v>2023</v>
      </c>
      <c r="N254" s="167"/>
      <c r="O254" s="167"/>
      <c r="P254" s="167"/>
      <c r="Q254" s="167"/>
      <c r="R254" s="167"/>
      <c r="S254" s="167"/>
      <c r="T254" s="167"/>
      <c r="U254" s="167"/>
    </row>
    <row r="255" spans="1:21" hidden="1" x14ac:dyDescent="0.25">
      <c r="A255" s="386"/>
      <c r="B255" s="386" t="b">
        <v>1</v>
      </c>
      <c r="C255" s="386"/>
      <c r="D255" s="170">
        <v>45677</v>
      </c>
      <c r="E255" s="166"/>
      <c r="F255" s="166" t="s">
        <v>2077</v>
      </c>
      <c r="G255" s="166">
        <v>20102</v>
      </c>
      <c r="H255" s="166" t="s">
        <v>2078</v>
      </c>
      <c r="I255" s="166"/>
      <c r="J255" s="166"/>
      <c r="K255" s="166"/>
      <c r="L255" s="166"/>
      <c r="M255" s="166">
        <v>2023</v>
      </c>
      <c r="N255" s="166"/>
      <c r="O255" s="166"/>
      <c r="P255" s="166"/>
      <c r="Q255" s="172"/>
      <c r="R255" s="166"/>
      <c r="S255" s="166"/>
      <c r="T255" s="166"/>
      <c r="U255" s="166"/>
    </row>
    <row r="256" spans="1:21" hidden="1" x14ac:dyDescent="0.25">
      <c r="A256" s="385"/>
      <c r="B256" s="385" t="b">
        <v>1</v>
      </c>
      <c r="C256" s="385"/>
      <c r="D256" s="171">
        <v>45691</v>
      </c>
      <c r="E256" s="167">
        <v>402</v>
      </c>
      <c r="F256" s="167" t="s">
        <v>2208</v>
      </c>
      <c r="G256" s="167">
        <v>40082</v>
      </c>
      <c r="H256" s="167" t="s">
        <v>2209</v>
      </c>
      <c r="I256" s="167"/>
      <c r="J256" s="167">
        <v>2475</v>
      </c>
      <c r="K256" s="167">
        <v>1000</v>
      </c>
      <c r="L256" s="167"/>
      <c r="M256" s="167">
        <v>2022</v>
      </c>
      <c r="N256" s="167"/>
      <c r="O256" s="167"/>
      <c r="P256" s="167"/>
      <c r="Q256" s="167"/>
      <c r="R256" s="167"/>
      <c r="S256" s="167"/>
      <c r="T256" s="167"/>
      <c r="U256" s="167"/>
    </row>
    <row r="257" spans="1:21" hidden="1" x14ac:dyDescent="0.25">
      <c r="A257" s="386"/>
      <c r="B257" s="386" t="b">
        <v>1</v>
      </c>
      <c r="C257" s="386"/>
      <c r="D257" s="170">
        <v>45691</v>
      </c>
      <c r="E257" s="166">
        <v>403</v>
      </c>
      <c r="F257" s="166" t="s">
        <v>2204</v>
      </c>
      <c r="G257" s="166">
        <v>40081</v>
      </c>
      <c r="H257" s="166" t="s">
        <v>2205</v>
      </c>
      <c r="I257" s="166"/>
      <c r="J257" s="166">
        <v>2200</v>
      </c>
      <c r="K257" s="166">
        <v>1380</v>
      </c>
      <c r="L257" s="166"/>
      <c r="M257" s="166">
        <v>2022</v>
      </c>
      <c r="N257" s="166"/>
      <c r="O257" s="166"/>
      <c r="P257" s="166"/>
      <c r="Q257" s="172"/>
      <c r="R257" s="166"/>
      <c r="S257" s="166"/>
      <c r="T257" s="166"/>
      <c r="U257" s="166"/>
    </row>
    <row r="258" spans="1:21" hidden="1" x14ac:dyDescent="0.25">
      <c r="A258" s="385"/>
      <c r="B258" s="385" t="b">
        <v>1</v>
      </c>
      <c r="C258" s="385"/>
      <c r="D258" s="171">
        <v>45677</v>
      </c>
      <c r="E258" s="167">
        <v>404</v>
      </c>
      <c r="F258" s="167" t="s">
        <v>2233</v>
      </c>
      <c r="G258" s="167">
        <v>40089</v>
      </c>
      <c r="H258" s="167" t="s">
        <v>2234</v>
      </c>
      <c r="I258" s="167"/>
      <c r="J258" s="167">
        <v>550</v>
      </c>
      <c r="K258" s="167">
        <v>550</v>
      </c>
      <c r="L258" s="167"/>
      <c r="M258" s="167">
        <v>2022</v>
      </c>
      <c r="N258" s="167">
        <v>550</v>
      </c>
      <c r="O258" s="167"/>
      <c r="P258" s="167"/>
      <c r="Q258" s="167"/>
      <c r="R258" s="167"/>
      <c r="S258" s="167"/>
      <c r="T258" s="167"/>
      <c r="U258" s="167"/>
    </row>
    <row r="259" spans="1:21" hidden="1" x14ac:dyDescent="0.25">
      <c r="A259" s="386"/>
      <c r="B259" s="386" t="b">
        <v>1</v>
      </c>
      <c r="C259" s="386"/>
      <c r="D259" s="170">
        <v>45691</v>
      </c>
      <c r="E259" s="166">
        <v>405</v>
      </c>
      <c r="F259" s="166" t="s">
        <v>2229</v>
      </c>
      <c r="G259" s="166">
        <v>40088</v>
      </c>
      <c r="H259" s="166" t="s">
        <v>2230</v>
      </c>
      <c r="I259" s="166"/>
      <c r="J259" s="166">
        <v>1100</v>
      </c>
      <c r="K259" s="166">
        <v>1496</v>
      </c>
      <c r="L259" s="166"/>
      <c r="M259" s="166">
        <v>2022</v>
      </c>
      <c r="N259" s="166"/>
      <c r="O259" s="166"/>
      <c r="P259" s="166"/>
      <c r="Q259" s="172"/>
      <c r="R259" s="166"/>
      <c r="S259" s="166"/>
      <c r="T259" s="166"/>
      <c r="U259" s="166"/>
    </row>
    <row r="260" spans="1:21" hidden="1" x14ac:dyDescent="0.25">
      <c r="A260" s="385"/>
      <c r="B260" s="385" t="b">
        <v>1</v>
      </c>
      <c r="C260" s="385"/>
      <c r="D260" s="171">
        <v>45677</v>
      </c>
      <c r="E260" s="167">
        <v>406</v>
      </c>
      <c r="F260" s="167" t="s">
        <v>2225</v>
      </c>
      <c r="G260" s="167">
        <v>40087</v>
      </c>
      <c r="H260" s="167" t="s">
        <v>2226</v>
      </c>
      <c r="I260" s="167"/>
      <c r="J260" s="167">
        <v>1650</v>
      </c>
      <c r="K260" s="167">
        <v>1260</v>
      </c>
      <c r="L260" s="167"/>
      <c r="M260" s="167">
        <v>2022</v>
      </c>
      <c r="N260" s="167"/>
      <c r="O260" s="167"/>
      <c r="P260" s="167"/>
      <c r="Q260" s="167"/>
      <c r="R260" s="167"/>
      <c r="S260" s="167"/>
      <c r="T260" s="167"/>
      <c r="U260" s="167"/>
    </row>
    <row r="261" spans="1:21" hidden="1" x14ac:dyDescent="0.25">
      <c r="A261" s="386"/>
      <c r="B261" s="386" t="b">
        <v>1</v>
      </c>
      <c r="C261" s="386"/>
      <c r="D261" s="170">
        <v>45691</v>
      </c>
      <c r="E261" s="166">
        <v>407</v>
      </c>
      <c r="F261" s="166" t="s">
        <v>2222</v>
      </c>
      <c r="G261" s="166">
        <v>40086</v>
      </c>
      <c r="H261" s="166" t="s">
        <v>2223</v>
      </c>
      <c r="I261" s="166"/>
      <c r="J261" s="166">
        <v>1650</v>
      </c>
      <c r="K261" s="166">
        <v>1000</v>
      </c>
      <c r="L261" s="166"/>
      <c r="M261" s="166">
        <v>2022</v>
      </c>
      <c r="N261" s="166"/>
      <c r="O261" s="166"/>
      <c r="P261" s="166"/>
      <c r="Q261" s="172"/>
      <c r="R261" s="166"/>
      <c r="S261" s="166"/>
      <c r="T261" s="166"/>
      <c r="U261" s="166"/>
    </row>
    <row r="262" spans="1:21" hidden="1" x14ac:dyDescent="0.25">
      <c r="A262" s="385"/>
      <c r="B262" s="385" t="b">
        <v>1</v>
      </c>
      <c r="C262" s="385"/>
      <c r="D262" s="171">
        <v>45677</v>
      </c>
      <c r="E262" s="167"/>
      <c r="F262" s="167"/>
      <c r="G262" s="167"/>
      <c r="H262" s="167" t="s">
        <v>2216</v>
      </c>
      <c r="I262" s="167"/>
      <c r="J262" s="167"/>
      <c r="K262" s="167"/>
      <c r="L262" s="167"/>
      <c r="M262" s="167">
        <v>2022</v>
      </c>
      <c r="N262" s="167"/>
      <c r="O262" s="167"/>
      <c r="P262" s="167"/>
      <c r="Q262" s="167"/>
      <c r="R262" s="167"/>
      <c r="S262" s="167"/>
      <c r="T262" s="167"/>
      <c r="U262" s="167"/>
    </row>
    <row r="263" spans="1:21" hidden="1" x14ac:dyDescent="0.25">
      <c r="A263" s="386"/>
      <c r="B263" s="386" t="b">
        <v>1</v>
      </c>
      <c r="C263" s="386"/>
      <c r="D263" s="170">
        <v>45691</v>
      </c>
      <c r="E263" s="166"/>
      <c r="F263" s="166" t="s">
        <v>2200</v>
      </c>
      <c r="G263" s="166">
        <v>40080</v>
      </c>
      <c r="H263" s="166" t="s">
        <v>2201</v>
      </c>
      <c r="I263" s="166"/>
      <c r="J263" s="166">
        <v>1100</v>
      </c>
      <c r="K263" s="166">
        <v>1100</v>
      </c>
      <c r="L263" s="166"/>
      <c r="M263" s="166">
        <v>2022</v>
      </c>
      <c r="N263" s="166"/>
      <c r="O263" s="166"/>
      <c r="P263" s="166"/>
      <c r="Q263" s="172"/>
      <c r="R263" s="166"/>
      <c r="S263" s="166"/>
      <c r="T263" s="166"/>
      <c r="U263" s="166"/>
    </row>
    <row r="264" spans="1:21" hidden="1" x14ac:dyDescent="0.25">
      <c r="A264" s="385"/>
      <c r="B264" s="385" t="b">
        <v>1</v>
      </c>
      <c r="C264" s="385"/>
      <c r="D264" s="171">
        <v>45685</v>
      </c>
      <c r="E264" s="167">
        <v>410</v>
      </c>
      <c r="F264" s="167" t="s">
        <v>2188</v>
      </c>
      <c r="G264" s="167">
        <v>40078</v>
      </c>
      <c r="H264" s="167" t="s">
        <v>2190</v>
      </c>
      <c r="I264" s="167"/>
      <c r="J264" s="167">
        <v>2750</v>
      </c>
      <c r="K264" s="167">
        <v>2750</v>
      </c>
      <c r="M264" s="167">
        <v>2022</v>
      </c>
      <c r="N264" s="167"/>
      <c r="O264" s="167"/>
      <c r="P264" s="167"/>
      <c r="Q264" s="167"/>
      <c r="R264" s="167"/>
      <c r="S264" s="167"/>
      <c r="T264" s="167"/>
      <c r="U264" s="167"/>
    </row>
    <row r="265" spans="1:21" hidden="1" x14ac:dyDescent="0.25">
      <c r="A265" s="386"/>
      <c r="B265" s="386" t="b">
        <v>1</v>
      </c>
      <c r="C265" s="386"/>
      <c r="D265" s="44">
        <v>45685</v>
      </c>
      <c r="E265" s="166">
        <v>414</v>
      </c>
      <c r="F265" s="166" t="s">
        <v>2177</v>
      </c>
      <c r="G265" s="166">
        <v>40075</v>
      </c>
      <c r="H265" s="166" t="s">
        <v>2179</v>
      </c>
      <c r="I265" s="166"/>
      <c r="J265" s="166"/>
      <c r="K265" s="166">
        <v>2750</v>
      </c>
      <c r="L265" s="166"/>
      <c r="M265" s="166">
        <v>2022</v>
      </c>
      <c r="N265" s="166"/>
      <c r="O265" s="166"/>
      <c r="P265" s="166"/>
      <c r="Q265" s="172"/>
      <c r="R265" s="166"/>
      <c r="S265" s="166"/>
      <c r="T265" s="166"/>
      <c r="U265" s="166"/>
    </row>
    <row r="266" spans="1:21" hidden="1" x14ac:dyDescent="0.25">
      <c r="A266" s="385"/>
      <c r="B266" s="385" t="b">
        <v>1</v>
      </c>
      <c r="C266" s="385"/>
      <c r="D266" s="171">
        <v>45677</v>
      </c>
      <c r="E266" s="167"/>
      <c r="F266" s="167"/>
      <c r="G266" s="167"/>
      <c r="H266" s="167" t="s">
        <v>2423</v>
      </c>
      <c r="I266" s="167"/>
      <c r="J266" s="167"/>
      <c r="K266" s="167"/>
      <c r="L266" s="167"/>
      <c r="M266" s="167">
        <v>2022</v>
      </c>
      <c r="N266" s="167"/>
      <c r="O266" s="167"/>
      <c r="P266" s="167"/>
      <c r="Q266" s="167"/>
      <c r="R266" s="167"/>
      <c r="S266" s="167"/>
      <c r="T266" s="167"/>
      <c r="U266" s="167"/>
    </row>
    <row r="267" spans="1:21" hidden="1" x14ac:dyDescent="0.25">
      <c r="A267" s="386"/>
      <c r="B267" s="386" t="b">
        <v>1</v>
      </c>
      <c r="C267" s="386"/>
      <c r="D267" s="170">
        <v>45677</v>
      </c>
      <c r="E267" s="166">
        <v>253</v>
      </c>
      <c r="F267" s="166" t="s">
        <v>2120</v>
      </c>
      <c r="G267" s="166">
        <v>40058</v>
      </c>
      <c r="H267" s="166" t="s">
        <v>2121</v>
      </c>
      <c r="I267" s="166"/>
      <c r="J267" s="166"/>
      <c r="K267" s="166"/>
      <c r="L267" s="166"/>
      <c r="M267" s="166">
        <v>2022</v>
      </c>
      <c r="N267" s="166"/>
      <c r="O267" s="166"/>
      <c r="P267" s="166"/>
      <c r="Q267" s="172"/>
      <c r="R267" s="166"/>
      <c r="S267" s="166"/>
      <c r="T267" s="166"/>
      <c r="U267" s="166"/>
    </row>
    <row r="268" spans="1:21" hidden="1" x14ac:dyDescent="0.25">
      <c r="A268" s="385"/>
      <c r="B268" s="385" t="b">
        <v>1</v>
      </c>
      <c r="C268" s="385"/>
      <c r="D268" s="171">
        <v>45677</v>
      </c>
      <c r="E268" s="167">
        <v>254</v>
      </c>
      <c r="F268" s="167" t="s">
        <v>2096</v>
      </c>
      <c r="G268" s="167">
        <v>40051</v>
      </c>
      <c r="H268" s="167" t="s">
        <v>2097</v>
      </c>
      <c r="I268" s="167"/>
      <c r="J268" s="167"/>
      <c r="K268" s="167"/>
      <c r="L268" s="167"/>
      <c r="M268" s="167">
        <v>2022</v>
      </c>
      <c r="N268" s="167"/>
      <c r="O268" s="167"/>
      <c r="P268" s="167"/>
      <c r="Q268" s="167"/>
      <c r="R268" s="167"/>
      <c r="S268" s="167"/>
      <c r="T268" s="167"/>
      <c r="U268" s="167"/>
    </row>
    <row r="269" spans="1:21" hidden="1" x14ac:dyDescent="0.25">
      <c r="A269" s="386"/>
      <c r="B269" s="386" t="b">
        <v>1</v>
      </c>
      <c r="C269" s="386"/>
      <c r="D269" s="170">
        <v>45677</v>
      </c>
      <c r="E269" s="166">
        <v>255</v>
      </c>
      <c r="F269" s="166" t="s">
        <v>2099</v>
      </c>
      <c r="G269" s="166">
        <v>40052</v>
      </c>
      <c r="H269" s="166" t="s">
        <v>2100</v>
      </c>
      <c r="I269" s="166"/>
      <c r="J269" s="166"/>
      <c r="K269" s="166"/>
      <c r="L269" s="166"/>
      <c r="M269" s="166">
        <v>2022</v>
      </c>
      <c r="N269" s="166"/>
      <c r="O269" s="166"/>
      <c r="P269" s="166"/>
      <c r="Q269" s="172"/>
      <c r="R269" s="166"/>
      <c r="S269" s="166"/>
      <c r="T269" s="166"/>
      <c r="U269" s="166"/>
    </row>
    <row r="270" spans="1:21" hidden="1" x14ac:dyDescent="0.25">
      <c r="A270" s="385"/>
      <c r="B270" s="385" t="b">
        <v>1</v>
      </c>
      <c r="C270" s="385"/>
      <c r="D270" s="171">
        <v>45677</v>
      </c>
      <c r="E270" s="167">
        <v>256</v>
      </c>
      <c r="F270" s="167" t="s">
        <v>2136</v>
      </c>
      <c r="G270" s="167">
        <v>40063</v>
      </c>
      <c r="H270" s="167" t="s">
        <v>2137</v>
      </c>
      <c r="I270" s="167"/>
      <c r="J270" s="167"/>
      <c r="K270" s="167"/>
      <c r="L270" s="167"/>
      <c r="M270" s="167">
        <v>2022</v>
      </c>
      <c r="N270" s="167"/>
      <c r="O270" s="167"/>
      <c r="P270" s="167"/>
      <c r="Q270" s="167"/>
      <c r="R270" s="167"/>
      <c r="S270" s="167"/>
      <c r="T270" s="167"/>
      <c r="U270" s="167"/>
    </row>
    <row r="271" spans="1:21" hidden="1" x14ac:dyDescent="0.25">
      <c r="A271" s="386"/>
      <c r="B271" s="386" t="b">
        <v>1</v>
      </c>
      <c r="C271" s="386"/>
      <c r="D271" s="170">
        <v>45677</v>
      </c>
      <c r="E271" s="166">
        <v>257</v>
      </c>
      <c r="F271" s="166" t="s">
        <v>2160</v>
      </c>
      <c r="G271" s="166">
        <v>40071</v>
      </c>
      <c r="H271" s="166" t="s">
        <v>2161</v>
      </c>
      <c r="I271" s="166"/>
      <c r="J271" s="166"/>
      <c r="K271" s="166"/>
      <c r="L271" s="166"/>
      <c r="M271" s="166">
        <v>2022</v>
      </c>
      <c r="N271" s="166"/>
      <c r="O271" s="166"/>
      <c r="P271" s="166"/>
      <c r="Q271" s="172"/>
      <c r="R271" s="166"/>
      <c r="S271" s="166"/>
      <c r="T271" s="166"/>
      <c r="U271" s="166"/>
    </row>
    <row r="272" spans="1:21" hidden="1" x14ac:dyDescent="0.25">
      <c r="A272" s="385"/>
      <c r="B272" s="385" t="b">
        <v>1</v>
      </c>
      <c r="C272" s="385"/>
      <c r="D272" s="171">
        <v>45677</v>
      </c>
      <c r="E272" s="167">
        <v>258</v>
      </c>
      <c r="F272" s="167" t="s">
        <v>2083</v>
      </c>
      <c r="G272" s="167">
        <v>40048</v>
      </c>
      <c r="H272" s="167" t="s">
        <v>2084</v>
      </c>
      <c r="I272" s="167"/>
      <c r="L272" s="167"/>
      <c r="M272" s="167">
        <v>2022</v>
      </c>
      <c r="N272" s="167"/>
      <c r="O272" s="167"/>
      <c r="P272" s="167"/>
      <c r="Q272" s="167"/>
      <c r="R272" s="167"/>
      <c r="S272" s="167"/>
      <c r="T272" s="167"/>
      <c r="U272" s="167"/>
    </row>
    <row r="273" spans="1:21" hidden="1" x14ac:dyDescent="0.25">
      <c r="A273" s="386"/>
      <c r="B273" s="386" t="b">
        <v>1</v>
      </c>
      <c r="C273" s="386"/>
      <c r="D273" s="170">
        <v>45685</v>
      </c>
      <c r="E273" s="166">
        <v>412</v>
      </c>
      <c r="F273" s="166" t="s">
        <v>2194</v>
      </c>
      <c r="G273" s="166">
        <v>40079</v>
      </c>
      <c r="H273" s="166" t="s">
        <v>2196</v>
      </c>
      <c r="I273" s="166"/>
      <c r="J273" s="166">
        <v>1100</v>
      </c>
      <c r="K273" s="166">
        <v>1100</v>
      </c>
      <c r="L273" s="166"/>
      <c r="M273" s="166">
        <v>2022</v>
      </c>
      <c r="N273" s="166"/>
      <c r="O273" s="166"/>
      <c r="P273" s="166"/>
      <c r="Q273" s="172"/>
      <c r="R273" s="166"/>
      <c r="S273" s="166"/>
      <c r="T273" s="166"/>
      <c r="U273" s="166"/>
    </row>
    <row r="274" spans="1:21" hidden="1" x14ac:dyDescent="0.25">
      <c r="A274" s="385"/>
      <c r="B274" s="385" t="b">
        <v>1</v>
      </c>
      <c r="C274" s="385"/>
      <c r="D274" s="171">
        <v>45691</v>
      </c>
      <c r="E274" s="167">
        <v>413</v>
      </c>
      <c r="F274" s="167" t="s">
        <v>2237</v>
      </c>
      <c r="G274" s="167">
        <v>40090</v>
      </c>
      <c r="H274" s="167" t="s">
        <v>2195</v>
      </c>
      <c r="I274" s="167"/>
      <c r="J274" s="167">
        <v>2750</v>
      </c>
      <c r="K274" s="167">
        <v>2750</v>
      </c>
      <c r="L274" s="167"/>
      <c r="M274" s="167">
        <v>2022</v>
      </c>
      <c r="N274" s="167"/>
      <c r="O274" s="167"/>
      <c r="P274" s="167"/>
      <c r="Q274" s="167"/>
      <c r="R274" s="167"/>
      <c r="S274" s="167"/>
      <c r="T274" s="167"/>
      <c r="U274" s="167"/>
    </row>
    <row r="275" spans="1:21" hidden="1" x14ac:dyDescent="0.25">
      <c r="A275" s="386"/>
      <c r="B275" s="386" t="b">
        <v>1</v>
      </c>
      <c r="C275" s="386"/>
      <c r="D275" s="170">
        <v>45677</v>
      </c>
      <c r="E275" s="166">
        <v>261</v>
      </c>
      <c r="F275" s="166" t="s">
        <v>2152</v>
      </c>
      <c r="G275" s="166">
        <v>40068</v>
      </c>
      <c r="H275" s="166" t="s">
        <v>2092</v>
      </c>
      <c r="I275" s="166"/>
      <c r="J275" s="166"/>
      <c r="K275" s="166"/>
      <c r="L275" s="166"/>
      <c r="M275" s="166">
        <v>2022</v>
      </c>
      <c r="N275" s="166"/>
      <c r="O275" s="166"/>
      <c r="P275" s="166"/>
      <c r="Q275" s="172"/>
      <c r="R275" s="166"/>
      <c r="S275" s="166"/>
      <c r="T275" s="166"/>
      <c r="U275" s="166"/>
    </row>
    <row r="276" spans="1:21" hidden="1" x14ac:dyDescent="0.25">
      <c r="A276" s="385"/>
      <c r="B276" s="385" t="b">
        <v>1</v>
      </c>
      <c r="C276" s="385"/>
      <c r="D276" s="171">
        <v>45677</v>
      </c>
      <c r="E276" s="167">
        <v>262</v>
      </c>
      <c r="F276" s="167" t="s">
        <v>2148</v>
      </c>
      <c r="G276" s="167">
        <v>40067</v>
      </c>
      <c r="H276" s="167" t="s">
        <v>2149</v>
      </c>
      <c r="I276" s="167"/>
      <c r="J276" s="167"/>
      <c r="K276" s="167"/>
      <c r="L276" s="167"/>
      <c r="M276" s="167">
        <v>2023</v>
      </c>
      <c r="N276" s="167"/>
      <c r="O276" s="167"/>
      <c r="P276" s="167"/>
      <c r="Q276" s="167"/>
      <c r="R276" s="167"/>
      <c r="S276" s="167"/>
      <c r="T276" s="167"/>
      <c r="U276" s="167"/>
    </row>
    <row r="277" spans="1:21" hidden="1" x14ac:dyDescent="0.25">
      <c r="A277" s="386"/>
      <c r="B277" s="386" t="b">
        <v>1</v>
      </c>
      <c r="C277" s="386"/>
      <c r="D277" s="170">
        <v>45677</v>
      </c>
      <c r="E277" s="166">
        <v>263</v>
      </c>
      <c r="F277" s="166" t="s">
        <v>2105</v>
      </c>
      <c r="G277" s="166">
        <v>40054</v>
      </c>
      <c r="H277" s="166" t="s">
        <v>2106</v>
      </c>
      <c r="I277" s="166"/>
      <c r="J277" s="166"/>
      <c r="K277" s="166"/>
      <c r="L277" s="166"/>
      <c r="M277" s="166">
        <v>2023</v>
      </c>
      <c r="N277" s="166"/>
      <c r="O277" s="166"/>
      <c r="P277" s="166"/>
      <c r="Q277" s="172"/>
      <c r="R277" s="166"/>
      <c r="S277" s="166"/>
      <c r="T277" s="166"/>
      <c r="U277" s="166"/>
    </row>
    <row r="278" spans="1:21" hidden="1" x14ac:dyDescent="0.25">
      <c r="A278" s="385"/>
      <c r="B278" s="385" t="b">
        <v>1</v>
      </c>
      <c r="C278" s="385"/>
      <c r="D278" s="171">
        <v>45677</v>
      </c>
      <c r="E278" s="167">
        <v>264</v>
      </c>
      <c r="F278" s="167" t="s">
        <v>2142</v>
      </c>
      <c r="G278" s="167">
        <v>40065</v>
      </c>
      <c r="H278" s="167" t="s">
        <v>2143</v>
      </c>
      <c r="I278" s="167"/>
      <c r="J278" s="167"/>
      <c r="K278" s="167"/>
      <c r="L278" s="167"/>
      <c r="M278" s="167">
        <v>2023</v>
      </c>
      <c r="N278" s="167"/>
      <c r="O278" s="167"/>
      <c r="P278" s="167"/>
      <c r="Q278" s="167"/>
      <c r="R278" s="167"/>
      <c r="S278" s="167"/>
      <c r="T278" s="167"/>
      <c r="U278" s="167"/>
    </row>
    <row r="279" spans="1:21" hidden="1" x14ac:dyDescent="0.25">
      <c r="A279" s="386"/>
      <c r="B279" s="386" t="b">
        <v>1</v>
      </c>
      <c r="C279" s="386"/>
      <c r="D279" s="170">
        <v>45677</v>
      </c>
      <c r="E279" s="166">
        <v>265</v>
      </c>
      <c r="F279" s="166" t="s">
        <v>2132</v>
      </c>
      <c r="G279" s="166">
        <v>40062</v>
      </c>
      <c r="H279" s="166" t="s">
        <v>2133</v>
      </c>
      <c r="I279" s="166"/>
      <c r="J279" s="166"/>
      <c r="K279" s="166"/>
      <c r="L279" s="166"/>
      <c r="M279" s="166">
        <v>2023</v>
      </c>
      <c r="N279" s="166"/>
      <c r="O279" s="166"/>
      <c r="P279" s="166"/>
      <c r="Q279" s="172"/>
      <c r="R279" s="166"/>
      <c r="S279" s="166"/>
      <c r="T279" s="166"/>
      <c r="U279" s="166"/>
    </row>
    <row r="280" spans="1:21" hidden="1" x14ac:dyDescent="0.25">
      <c r="A280" s="385"/>
      <c r="B280" s="385" t="b">
        <v>1</v>
      </c>
      <c r="C280" s="385"/>
      <c r="D280" s="171">
        <v>45677</v>
      </c>
      <c r="E280" s="167">
        <v>266</v>
      </c>
      <c r="F280" s="167" t="s">
        <v>2154</v>
      </c>
      <c r="G280" s="167">
        <v>40069</v>
      </c>
      <c r="H280" s="167" t="s">
        <v>2155</v>
      </c>
      <c r="I280" s="167"/>
      <c r="J280" s="167"/>
      <c r="K280" s="167"/>
      <c r="L280" s="167"/>
      <c r="M280" s="167">
        <v>2023</v>
      </c>
      <c r="N280" s="167"/>
      <c r="O280" s="167"/>
      <c r="P280" s="167"/>
      <c r="Q280" s="167"/>
      <c r="R280" s="167"/>
      <c r="S280" s="167"/>
      <c r="T280" s="167"/>
      <c r="U280" s="167"/>
    </row>
    <row r="281" spans="1:21" hidden="1" x14ac:dyDescent="0.25">
      <c r="A281" s="386"/>
      <c r="B281" s="386" t="b">
        <v>1</v>
      </c>
      <c r="C281" s="386"/>
      <c r="D281" s="170">
        <v>45677</v>
      </c>
      <c r="E281" s="166">
        <v>267</v>
      </c>
      <c r="F281" s="166" t="s">
        <v>2087</v>
      </c>
      <c r="G281" s="166">
        <v>40049</v>
      </c>
      <c r="H281" s="166" t="s">
        <v>2088</v>
      </c>
      <c r="I281" s="166"/>
      <c r="J281" s="166"/>
      <c r="K281" s="166"/>
      <c r="L281" s="166"/>
      <c r="M281" s="166">
        <v>2023</v>
      </c>
      <c r="N281" s="166"/>
      <c r="O281" s="166"/>
      <c r="P281" s="166"/>
      <c r="Q281" s="172"/>
      <c r="R281" s="166"/>
      <c r="S281" s="166"/>
      <c r="T281" s="166"/>
      <c r="U281" s="166"/>
    </row>
    <row r="282" spans="1:21" hidden="1" x14ac:dyDescent="0.25">
      <c r="A282" s="385"/>
      <c r="B282" s="385" t="b">
        <v>1</v>
      </c>
      <c r="C282" s="385"/>
      <c r="D282" s="171">
        <v>45677</v>
      </c>
      <c r="E282" s="167">
        <v>268</v>
      </c>
      <c r="F282" s="167" t="s">
        <v>2111</v>
      </c>
      <c r="G282" s="167">
        <v>40056</v>
      </c>
      <c r="H282" s="167" t="s">
        <v>1969</v>
      </c>
      <c r="I282" s="167"/>
      <c r="J282" s="167"/>
      <c r="K282" s="167"/>
      <c r="L282" s="167"/>
      <c r="M282" s="167">
        <v>2023</v>
      </c>
      <c r="N282" s="167"/>
      <c r="O282" s="167"/>
      <c r="P282" s="167"/>
      <c r="Q282" s="167"/>
      <c r="R282" s="167"/>
      <c r="S282" s="167"/>
      <c r="T282" s="167"/>
      <c r="U282" s="167"/>
    </row>
    <row r="283" spans="1:21" hidden="1" x14ac:dyDescent="0.25">
      <c r="A283" s="386"/>
      <c r="B283" s="386" t="b">
        <v>1</v>
      </c>
      <c r="C283" s="386"/>
      <c r="D283" s="170">
        <v>45677</v>
      </c>
      <c r="E283" s="166">
        <v>415</v>
      </c>
      <c r="F283" s="166" t="s">
        <v>2168</v>
      </c>
      <c r="G283" s="166">
        <v>40073</v>
      </c>
      <c r="H283" s="166" t="s">
        <v>2169</v>
      </c>
      <c r="I283" s="166"/>
      <c r="J283" s="166"/>
      <c r="K283" s="166">
        <v>5500</v>
      </c>
      <c r="L283" s="166"/>
      <c r="M283" s="166">
        <v>2023</v>
      </c>
      <c r="N283" s="166">
        <v>100</v>
      </c>
      <c r="O283" s="166"/>
      <c r="P283" s="166"/>
      <c r="Q283" s="172"/>
      <c r="R283" s="166"/>
      <c r="S283" s="166"/>
      <c r="T283" s="166"/>
      <c r="U283" s="166"/>
    </row>
    <row r="284" spans="1:21" hidden="1" x14ac:dyDescent="0.25">
      <c r="A284" s="385"/>
      <c r="B284" s="385" t="b">
        <v>1</v>
      </c>
      <c r="C284" s="385"/>
      <c r="D284" s="171">
        <v>45677</v>
      </c>
      <c r="E284" s="167">
        <v>270</v>
      </c>
      <c r="F284" s="167" t="s">
        <v>2108</v>
      </c>
      <c r="G284" s="167">
        <v>40055</v>
      </c>
      <c r="H284" s="167" t="s">
        <v>2109</v>
      </c>
      <c r="I284" s="167"/>
      <c r="J284" s="167"/>
      <c r="K284" s="167"/>
      <c r="L284" s="167"/>
      <c r="M284" s="167">
        <v>2023</v>
      </c>
      <c r="N284" s="167"/>
      <c r="O284" s="167"/>
      <c r="P284" s="167"/>
      <c r="Q284" s="167"/>
      <c r="R284" s="167"/>
      <c r="S284" s="167"/>
      <c r="T284" s="167"/>
      <c r="U284" s="167"/>
    </row>
    <row r="285" spans="1:21" hidden="1" x14ac:dyDescent="0.25">
      <c r="A285" s="386"/>
      <c r="B285" s="386" t="b">
        <v>1</v>
      </c>
      <c r="C285" s="386"/>
      <c r="D285" s="170">
        <v>45677</v>
      </c>
      <c r="E285" s="166">
        <v>271</v>
      </c>
      <c r="F285" s="166" t="s">
        <v>2139</v>
      </c>
      <c r="G285" s="166">
        <v>40064</v>
      </c>
      <c r="H285" s="166" t="s">
        <v>2140</v>
      </c>
      <c r="I285" s="166"/>
      <c r="J285" s="166"/>
      <c r="K285" s="166"/>
      <c r="L285" s="166"/>
      <c r="M285" s="166">
        <v>2023</v>
      </c>
      <c r="N285" s="166"/>
      <c r="O285" s="166"/>
      <c r="P285" s="166"/>
      <c r="Q285" s="172"/>
      <c r="R285" s="166"/>
      <c r="S285" s="166"/>
      <c r="T285" s="166"/>
      <c r="U285" s="166"/>
    </row>
    <row r="286" spans="1:21" hidden="1" x14ac:dyDescent="0.25">
      <c r="A286" s="385"/>
      <c r="B286" s="385" t="b">
        <v>1</v>
      </c>
      <c r="C286" s="385"/>
      <c r="D286" s="171">
        <v>45677</v>
      </c>
      <c r="E286" s="167">
        <v>272</v>
      </c>
      <c r="F286" s="167" t="s">
        <v>2091</v>
      </c>
      <c r="G286" s="167">
        <v>40050</v>
      </c>
      <c r="H286" s="167" t="s">
        <v>2093</v>
      </c>
      <c r="I286" s="167"/>
      <c r="J286" s="167"/>
      <c r="K286" s="167"/>
      <c r="L286" s="167"/>
      <c r="M286" s="167">
        <v>2023</v>
      </c>
      <c r="N286" s="167"/>
      <c r="O286" s="167"/>
      <c r="P286" s="167"/>
      <c r="Q286" s="167"/>
      <c r="R286" s="167"/>
      <c r="S286" s="167"/>
      <c r="T286" s="167"/>
      <c r="U286" s="167"/>
    </row>
    <row r="287" spans="1:21" hidden="1" x14ac:dyDescent="0.25">
      <c r="A287" s="386"/>
      <c r="B287" s="386" t="b">
        <v>1</v>
      </c>
      <c r="C287" s="386"/>
      <c r="D287" s="170">
        <v>45677</v>
      </c>
      <c r="E287" s="166">
        <v>273</v>
      </c>
      <c r="F287" s="166" t="s">
        <v>2123</v>
      </c>
      <c r="G287" s="166">
        <v>40059</v>
      </c>
      <c r="H287" s="166" t="s">
        <v>2124</v>
      </c>
      <c r="I287" s="166"/>
      <c r="J287" s="166"/>
      <c r="K287" s="166"/>
      <c r="L287" s="166"/>
      <c r="M287" s="166">
        <v>2023</v>
      </c>
      <c r="N287" s="166"/>
      <c r="O287" s="166"/>
      <c r="P287" s="166"/>
      <c r="Q287" s="172"/>
      <c r="R287" s="166"/>
      <c r="S287" s="166"/>
      <c r="T287" s="166"/>
      <c r="U287" s="166"/>
    </row>
    <row r="288" spans="1:21" hidden="1" x14ac:dyDescent="0.25">
      <c r="A288" s="385"/>
      <c r="B288" s="385" t="b">
        <v>1</v>
      </c>
      <c r="C288" s="385"/>
      <c r="D288" s="171">
        <v>45691</v>
      </c>
      <c r="E288" s="167">
        <v>415</v>
      </c>
      <c r="F288" s="167" t="s">
        <v>2240</v>
      </c>
      <c r="G288" s="167">
        <v>40091</v>
      </c>
      <c r="H288" s="167" t="s">
        <v>2241</v>
      </c>
      <c r="I288" s="167"/>
      <c r="J288" s="167">
        <v>550</v>
      </c>
      <c r="K288" s="167">
        <v>550</v>
      </c>
      <c r="L288" s="167"/>
      <c r="M288" s="167">
        <v>2023</v>
      </c>
      <c r="N288" s="167"/>
      <c r="O288" s="167"/>
      <c r="P288" s="167"/>
      <c r="Q288" s="167"/>
      <c r="R288" s="167"/>
      <c r="S288" s="167"/>
      <c r="T288" s="167"/>
      <c r="U288" s="167"/>
    </row>
    <row r="289" spans="1:21" hidden="1" x14ac:dyDescent="0.25">
      <c r="A289" s="386"/>
      <c r="B289" s="386" t="b">
        <v>1</v>
      </c>
      <c r="C289" s="386"/>
      <c r="D289" s="170">
        <v>45691</v>
      </c>
      <c r="E289" s="166">
        <v>416</v>
      </c>
      <c r="F289" s="166" t="s">
        <v>2219</v>
      </c>
      <c r="G289" s="166">
        <v>40085</v>
      </c>
      <c r="H289" s="166" t="s">
        <v>2220</v>
      </c>
      <c r="I289" s="166"/>
      <c r="J289" s="166">
        <v>1650</v>
      </c>
      <c r="K289" s="166">
        <v>1650</v>
      </c>
      <c r="L289" s="166"/>
      <c r="M289" s="166">
        <v>2023</v>
      </c>
      <c r="N289" s="166">
        <v>10</v>
      </c>
      <c r="O289" s="166"/>
      <c r="P289" s="166"/>
      <c r="Q289" s="172"/>
      <c r="R289" s="166"/>
      <c r="S289" s="166"/>
      <c r="T289" s="166"/>
      <c r="U289" s="166"/>
    </row>
    <row r="290" spans="1:21" hidden="1" x14ac:dyDescent="0.25">
      <c r="A290" s="386"/>
      <c r="B290" s="386" t="b">
        <v>1</v>
      </c>
      <c r="C290" s="386"/>
      <c r="D290" s="170">
        <v>45691</v>
      </c>
      <c r="E290" s="166">
        <v>417</v>
      </c>
      <c r="F290" s="166" t="s">
        <v>2212</v>
      </c>
      <c r="G290" s="166">
        <v>40083</v>
      </c>
      <c r="H290" s="166" t="s">
        <v>2213</v>
      </c>
      <c r="I290" s="166"/>
      <c r="J290" s="166">
        <v>550</v>
      </c>
      <c r="K290" s="166">
        <v>550</v>
      </c>
      <c r="L290" s="166"/>
      <c r="M290" s="166">
        <v>2023</v>
      </c>
      <c r="N290" s="166"/>
      <c r="O290" s="166"/>
      <c r="P290" s="166"/>
      <c r="Q290" s="172"/>
      <c r="R290" s="166"/>
      <c r="S290" s="166"/>
      <c r="T290" s="166"/>
      <c r="U290" s="166"/>
    </row>
    <row r="291" spans="1:21" hidden="1" x14ac:dyDescent="0.25">
      <c r="A291" s="385"/>
      <c r="B291" s="385" t="b">
        <v>1</v>
      </c>
      <c r="C291" s="385"/>
      <c r="D291" s="171">
        <v>45677</v>
      </c>
      <c r="E291" s="167">
        <v>278</v>
      </c>
      <c r="F291" s="167" t="s">
        <v>2145</v>
      </c>
      <c r="G291" s="167">
        <v>40066</v>
      </c>
      <c r="H291" s="167" t="s">
        <v>2146</v>
      </c>
      <c r="I291" s="167"/>
      <c r="J291" s="167"/>
      <c r="K291" s="167"/>
      <c r="L291" s="167"/>
      <c r="M291" s="167">
        <v>2023</v>
      </c>
      <c r="N291" s="167"/>
      <c r="O291" s="167"/>
      <c r="P291" s="167"/>
      <c r="Q291" s="167"/>
      <c r="R291" s="167"/>
      <c r="S291" s="167"/>
      <c r="T291" s="167"/>
      <c r="U291" s="167"/>
    </row>
    <row r="292" spans="1:21" hidden="1" x14ac:dyDescent="0.25">
      <c r="A292" s="386"/>
      <c r="B292" s="386" t="b">
        <v>1</v>
      </c>
      <c r="C292" s="386"/>
      <c r="D292" s="170">
        <v>45677</v>
      </c>
      <c r="E292" s="166">
        <v>287</v>
      </c>
      <c r="F292" s="166" t="s">
        <v>2102</v>
      </c>
      <c r="G292" s="166">
        <v>40053</v>
      </c>
      <c r="H292" s="166" t="s">
        <v>2103</v>
      </c>
      <c r="I292" s="166"/>
      <c r="J292" s="166"/>
      <c r="K292" s="166"/>
      <c r="L292" s="166"/>
      <c r="M292" s="166">
        <v>2023</v>
      </c>
      <c r="N292" s="166"/>
      <c r="O292" s="166"/>
      <c r="P292" s="166"/>
      <c r="Q292" s="172"/>
      <c r="R292" s="166"/>
      <c r="S292" s="166"/>
      <c r="T292" s="166"/>
      <c r="U292" s="166"/>
    </row>
    <row r="293" spans="1:21" hidden="1" x14ac:dyDescent="0.25">
      <c r="A293" s="385"/>
      <c r="B293" s="385" t="b">
        <v>1</v>
      </c>
      <c r="C293" s="385"/>
      <c r="D293" s="171">
        <v>45677</v>
      </c>
      <c r="E293" s="167"/>
      <c r="F293" s="167"/>
      <c r="G293" s="167"/>
      <c r="H293" s="167" t="s">
        <v>2246</v>
      </c>
      <c r="I293" s="167"/>
      <c r="J293" s="167"/>
      <c r="K293" s="167"/>
      <c r="L293" s="167"/>
      <c r="M293" s="167">
        <v>2023</v>
      </c>
      <c r="N293" s="167"/>
      <c r="O293" s="167"/>
      <c r="P293" s="167"/>
      <c r="Q293" s="167"/>
      <c r="R293" s="167"/>
      <c r="S293" s="167"/>
      <c r="T293" s="167"/>
      <c r="U293" s="167"/>
    </row>
    <row r="294" spans="1:21" hidden="1" x14ac:dyDescent="0.25">
      <c r="A294" s="386"/>
      <c r="B294" s="386" t="b">
        <v>1</v>
      </c>
      <c r="C294" s="386"/>
      <c r="D294" s="170">
        <v>45677</v>
      </c>
      <c r="E294" s="166"/>
      <c r="F294" s="166"/>
      <c r="G294" s="166"/>
      <c r="H294" s="166" t="s">
        <v>2244</v>
      </c>
      <c r="I294" s="166"/>
      <c r="J294" s="166"/>
      <c r="K294" s="166"/>
      <c r="L294" s="166"/>
      <c r="M294" s="166">
        <v>2023</v>
      </c>
      <c r="N294" s="166"/>
      <c r="O294" s="166"/>
      <c r="P294" s="166"/>
      <c r="Q294" s="172"/>
      <c r="R294" s="166"/>
      <c r="S294" s="166"/>
      <c r="T294" s="166"/>
      <c r="U294" s="166"/>
    </row>
    <row r="295" spans="1:21" hidden="1" x14ac:dyDescent="0.25">
      <c r="A295" s="385"/>
      <c r="B295" s="385" t="b">
        <v>1</v>
      </c>
      <c r="C295" s="385"/>
      <c r="D295" s="171">
        <v>45677</v>
      </c>
      <c r="E295" s="167">
        <v>294</v>
      </c>
      <c r="F295" s="167" t="s">
        <v>2115</v>
      </c>
      <c r="G295" s="167">
        <v>40057</v>
      </c>
      <c r="H295" s="167" t="s">
        <v>2117</v>
      </c>
      <c r="I295" s="167"/>
      <c r="J295" s="167"/>
      <c r="K295" s="167"/>
      <c r="L295" s="167"/>
      <c r="M295" s="167">
        <v>2023</v>
      </c>
      <c r="N295" s="167"/>
      <c r="O295" s="167"/>
      <c r="P295" s="167"/>
      <c r="Q295" s="167"/>
      <c r="R295" s="167"/>
      <c r="S295" s="167"/>
      <c r="T295" s="167"/>
      <c r="U295" s="167"/>
    </row>
    <row r="296" spans="1:21" hidden="1" x14ac:dyDescent="0.25">
      <c r="A296" s="386"/>
      <c r="B296" s="386" t="b">
        <v>1</v>
      </c>
      <c r="C296" s="386"/>
      <c r="D296" s="170">
        <v>45677</v>
      </c>
      <c r="E296" s="166">
        <v>295</v>
      </c>
      <c r="F296" s="166" t="s">
        <v>2157</v>
      </c>
      <c r="G296" s="166">
        <v>40070</v>
      </c>
      <c r="H296" s="166" t="s">
        <v>2158</v>
      </c>
      <c r="I296" s="166"/>
      <c r="J296" s="166"/>
      <c r="K296" s="166"/>
      <c r="L296" s="166"/>
      <c r="M296" s="166">
        <v>2023</v>
      </c>
      <c r="N296" s="166"/>
      <c r="O296" s="166"/>
      <c r="P296" s="166"/>
      <c r="Q296" s="172"/>
      <c r="R296" s="166"/>
      <c r="S296" s="166"/>
      <c r="T296" s="166"/>
      <c r="U296" s="166"/>
    </row>
    <row r="297" spans="1:21" hidden="1" x14ac:dyDescent="0.25">
      <c r="A297" s="385"/>
      <c r="B297" s="385" t="b">
        <v>1</v>
      </c>
      <c r="C297" s="385"/>
      <c r="D297" s="171">
        <v>45677</v>
      </c>
      <c r="E297" s="167">
        <v>296</v>
      </c>
      <c r="F297" s="167" t="s">
        <v>2129</v>
      </c>
      <c r="G297" s="167">
        <v>40061</v>
      </c>
      <c r="H297" s="167" t="s">
        <v>2130</v>
      </c>
      <c r="I297" s="167"/>
      <c r="J297" s="167"/>
      <c r="K297" s="167"/>
      <c r="L297" s="167"/>
      <c r="M297" s="167">
        <v>2023</v>
      </c>
      <c r="N297" s="167"/>
      <c r="O297" s="167"/>
      <c r="P297" s="167"/>
      <c r="Q297" s="167"/>
      <c r="R297" s="167"/>
      <c r="S297" s="167"/>
      <c r="T297" s="167"/>
      <c r="U297" s="167"/>
    </row>
    <row r="298" spans="1:21" hidden="1" x14ac:dyDescent="0.25">
      <c r="A298" s="386"/>
      <c r="B298" s="386" t="b">
        <v>1</v>
      </c>
      <c r="C298" s="386"/>
      <c r="D298" s="170">
        <v>45677</v>
      </c>
      <c r="E298" s="166">
        <v>297</v>
      </c>
      <c r="F298" s="166" t="s">
        <v>2126</v>
      </c>
      <c r="G298" s="166">
        <v>40060</v>
      </c>
      <c r="H298" s="166" t="s">
        <v>2127</v>
      </c>
      <c r="I298" s="166"/>
      <c r="J298" s="166"/>
      <c r="K298" s="166"/>
      <c r="L298" s="166"/>
      <c r="M298" s="166">
        <v>2023</v>
      </c>
      <c r="N298" s="166"/>
      <c r="O298" s="166"/>
      <c r="P298" s="166"/>
      <c r="Q298" s="172"/>
      <c r="R298" s="166"/>
      <c r="S298" s="166"/>
      <c r="T298" s="166"/>
      <c r="U298" s="166"/>
    </row>
    <row r="299" spans="1:21" hidden="1" x14ac:dyDescent="0.25">
      <c r="A299" s="385"/>
      <c r="B299" s="385" t="b">
        <v>1</v>
      </c>
      <c r="C299" s="385"/>
      <c r="D299" s="171">
        <v>45685</v>
      </c>
      <c r="E299" s="167">
        <v>390</v>
      </c>
      <c r="F299" s="167" t="s">
        <v>2173</v>
      </c>
      <c r="G299" s="167">
        <v>40074</v>
      </c>
      <c r="H299" s="167" t="s">
        <v>2174</v>
      </c>
      <c r="I299" s="167"/>
      <c r="J299" s="167"/>
      <c r="K299" s="167">
        <v>2200</v>
      </c>
      <c r="L299" s="167">
        <v>2200</v>
      </c>
      <c r="M299" s="167">
        <v>2023</v>
      </c>
      <c r="N299" s="167"/>
      <c r="O299" s="167"/>
      <c r="P299" s="167"/>
      <c r="Q299" s="167"/>
      <c r="R299" s="167"/>
      <c r="S299" s="167"/>
      <c r="T299" s="167"/>
      <c r="U299" s="167"/>
    </row>
    <row r="300" spans="1:21" hidden="1" x14ac:dyDescent="0.25">
      <c r="A300" s="386"/>
      <c r="B300" s="386" t="b">
        <v>1</v>
      </c>
      <c r="C300" s="386"/>
      <c r="D300" s="170">
        <v>45677</v>
      </c>
      <c r="E300" s="166">
        <v>423</v>
      </c>
      <c r="F300" s="166" t="s">
        <v>2163</v>
      </c>
      <c r="G300" s="166">
        <v>40072</v>
      </c>
      <c r="H300" s="166" t="s">
        <v>2165</v>
      </c>
      <c r="I300" s="166"/>
      <c r="J300" s="166"/>
      <c r="K300" s="166">
        <v>1650</v>
      </c>
      <c r="L300" s="166"/>
      <c r="M300" s="166">
        <v>2023</v>
      </c>
      <c r="N300" s="166"/>
      <c r="O300" s="166"/>
      <c r="P300" s="166"/>
      <c r="Q300" s="172"/>
      <c r="R300" s="166"/>
      <c r="S300" s="166"/>
      <c r="T300" s="166"/>
      <c r="U300" s="166"/>
    </row>
    <row r="301" spans="1:21" s="409" customFormat="1" hidden="1" x14ac:dyDescent="0.25">
      <c r="A301" s="406"/>
      <c r="B301" s="406" t="b">
        <v>1</v>
      </c>
      <c r="C301" s="406"/>
      <c r="D301" s="407">
        <v>45677</v>
      </c>
      <c r="E301" s="408"/>
      <c r="F301" s="408"/>
      <c r="G301" s="408"/>
      <c r="H301" s="408" t="s">
        <v>2424</v>
      </c>
      <c r="I301" s="408"/>
      <c r="J301" s="408"/>
      <c r="K301" s="408"/>
      <c r="L301" s="408"/>
      <c r="M301" s="408">
        <v>2023</v>
      </c>
      <c r="N301" s="408"/>
      <c r="O301" s="408"/>
      <c r="P301" s="408"/>
      <c r="Q301" s="408"/>
      <c r="R301" s="408"/>
      <c r="S301" s="408"/>
      <c r="T301" s="408"/>
      <c r="U301" s="408"/>
    </row>
    <row r="302" spans="1:21" hidden="1" x14ac:dyDescent="0.25">
      <c r="A302" s="386"/>
      <c r="B302" s="386" t="b">
        <v>1</v>
      </c>
      <c r="C302" s="386"/>
      <c r="D302" s="170">
        <v>45685</v>
      </c>
      <c r="E302" s="166">
        <v>425</v>
      </c>
      <c r="F302" s="166" t="s">
        <v>2183</v>
      </c>
      <c r="G302" s="166">
        <v>40076</v>
      </c>
      <c r="H302" s="166" t="s">
        <v>2184</v>
      </c>
      <c r="I302" s="166"/>
      <c r="J302" s="166"/>
      <c r="K302" s="166">
        <v>2200</v>
      </c>
      <c r="L302" s="166">
        <v>2200</v>
      </c>
      <c r="M302" s="166">
        <v>2023</v>
      </c>
      <c r="N302" s="166"/>
      <c r="O302" s="166"/>
      <c r="P302" s="166"/>
      <c r="Q302" s="172"/>
      <c r="R302" s="166"/>
      <c r="S302" s="166"/>
      <c r="T302" s="166"/>
      <c r="U302" s="166"/>
    </row>
    <row r="303" spans="1:21" hidden="1" x14ac:dyDescent="0.25">
      <c r="A303" s="385"/>
      <c r="B303" s="385" t="b">
        <v>1</v>
      </c>
      <c r="C303" s="385"/>
      <c r="D303" s="171">
        <v>45680</v>
      </c>
      <c r="E303" s="167">
        <v>191</v>
      </c>
      <c r="F303" s="167" t="s">
        <v>1772</v>
      </c>
      <c r="G303" s="167">
        <v>30028</v>
      </c>
      <c r="H303" s="167" t="s">
        <v>1583</v>
      </c>
      <c r="I303" s="167"/>
      <c r="J303" s="167"/>
      <c r="K303" s="167">
        <v>2580</v>
      </c>
      <c r="L303" s="167"/>
      <c r="M303" s="167"/>
      <c r="N303" s="167"/>
      <c r="O303" s="167"/>
      <c r="P303" s="167"/>
      <c r="Q303" s="167"/>
      <c r="R303" s="167"/>
      <c r="S303" s="167"/>
      <c r="T303" s="167"/>
      <c r="U303" s="167"/>
    </row>
    <row r="304" spans="1:21" hidden="1" x14ac:dyDescent="0.25">
      <c r="A304" s="386"/>
      <c r="B304" s="386" t="b">
        <v>1</v>
      </c>
      <c r="C304" s="386"/>
      <c r="D304" s="170">
        <v>45680</v>
      </c>
      <c r="E304" s="166">
        <v>195</v>
      </c>
      <c r="F304" s="166" t="s">
        <v>1930</v>
      </c>
      <c r="G304" s="166">
        <v>30028</v>
      </c>
      <c r="H304" s="166" t="s">
        <v>1583</v>
      </c>
      <c r="I304" s="166"/>
      <c r="J304" s="166"/>
      <c r="K304" s="166">
        <v>9420</v>
      </c>
      <c r="L304" s="166"/>
      <c r="M304" s="166"/>
      <c r="N304" s="166"/>
      <c r="O304" s="166"/>
      <c r="P304" s="166"/>
      <c r="Q304" s="172"/>
      <c r="R304" s="166"/>
      <c r="S304" s="166"/>
      <c r="T304" s="166"/>
      <c r="U304" s="166"/>
    </row>
    <row r="305" spans="1:21" hidden="1" x14ac:dyDescent="0.25">
      <c r="A305" s="385"/>
      <c r="B305" s="385" t="b">
        <v>1</v>
      </c>
      <c r="C305" s="385"/>
      <c r="D305" s="171">
        <v>45684</v>
      </c>
      <c r="E305" s="167">
        <v>198</v>
      </c>
      <c r="F305" s="167" t="s">
        <v>1947</v>
      </c>
      <c r="G305" s="167">
        <v>40037</v>
      </c>
      <c r="H305" s="167" t="s">
        <v>1948</v>
      </c>
      <c r="I305" s="167"/>
      <c r="J305" s="167"/>
      <c r="K305" s="167"/>
      <c r="L305" s="167"/>
      <c r="M305" s="167"/>
      <c r="N305" s="167">
        <v>50</v>
      </c>
      <c r="O305" s="167"/>
      <c r="P305" s="167"/>
      <c r="Q305" s="167"/>
      <c r="R305" s="167"/>
      <c r="S305" s="167"/>
      <c r="T305" s="167"/>
      <c r="U305" s="167"/>
    </row>
    <row r="306" spans="1:21" hidden="1" x14ac:dyDescent="0.25">
      <c r="A306" s="386"/>
      <c r="B306" s="386" t="b">
        <v>1</v>
      </c>
      <c r="C306" s="386"/>
      <c r="D306" s="170">
        <v>45685</v>
      </c>
      <c r="E306" s="166">
        <v>212</v>
      </c>
      <c r="F306" s="166" t="s">
        <v>2087</v>
      </c>
      <c r="G306" s="166">
        <v>40049</v>
      </c>
      <c r="H306" s="166" t="s">
        <v>2088</v>
      </c>
      <c r="I306" s="166"/>
      <c r="J306" s="166"/>
      <c r="K306" s="166"/>
      <c r="L306" s="166"/>
      <c r="M306" s="166"/>
      <c r="N306" s="166">
        <v>280</v>
      </c>
      <c r="O306" s="166"/>
      <c r="P306" s="166"/>
      <c r="Q306" s="172"/>
      <c r="R306" s="166"/>
      <c r="S306" s="166"/>
      <c r="T306" s="166"/>
      <c r="U306" s="166"/>
    </row>
    <row r="307" spans="1:21" hidden="1" x14ac:dyDescent="0.25">
      <c r="A307" s="385"/>
      <c r="B307" s="385" t="b">
        <v>1</v>
      </c>
      <c r="C307" s="385"/>
      <c r="D307" s="171">
        <v>45685</v>
      </c>
      <c r="E307" s="167">
        <v>213</v>
      </c>
      <c r="F307" s="167" t="s">
        <v>2091</v>
      </c>
      <c r="G307" s="167">
        <v>40050</v>
      </c>
      <c r="H307" s="167" t="s">
        <v>2093</v>
      </c>
      <c r="I307" s="167"/>
      <c r="J307" s="167"/>
      <c r="K307" s="167"/>
      <c r="L307" s="167"/>
      <c r="M307" s="167"/>
      <c r="N307" s="167">
        <v>60</v>
      </c>
      <c r="O307" s="167"/>
      <c r="P307" s="167"/>
      <c r="Q307" s="167"/>
      <c r="R307" s="167"/>
      <c r="S307" s="167"/>
      <c r="T307" s="167"/>
      <c r="U307" s="167"/>
    </row>
    <row r="308" spans="1:21" hidden="1" x14ac:dyDescent="0.25">
      <c r="A308" s="386"/>
      <c r="B308" s="386" t="b">
        <v>1</v>
      </c>
      <c r="C308" s="386"/>
      <c r="D308" s="170">
        <v>45685</v>
      </c>
      <c r="E308" s="166">
        <v>216</v>
      </c>
      <c r="F308" s="166" t="s">
        <v>2102</v>
      </c>
      <c r="G308" s="166">
        <v>40053</v>
      </c>
      <c r="H308" s="166" t="s">
        <v>2103</v>
      </c>
      <c r="I308" s="166"/>
      <c r="J308" s="166"/>
      <c r="K308" s="166"/>
      <c r="L308" s="166"/>
      <c r="M308" s="166"/>
      <c r="N308" s="166">
        <v>35</v>
      </c>
      <c r="O308" s="166"/>
      <c r="P308" s="166"/>
      <c r="Q308" s="172"/>
      <c r="R308" s="166"/>
      <c r="S308" s="166"/>
      <c r="T308" s="166"/>
      <c r="U308" s="166"/>
    </row>
    <row r="309" spans="1:21" hidden="1" x14ac:dyDescent="0.25">
      <c r="A309" s="385"/>
      <c r="B309" s="385" t="b">
        <v>1</v>
      </c>
      <c r="C309" s="385"/>
      <c r="D309" s="171">
        <v>45685</v>
      </c>
      <c r="E309" s="167">
        <v>217</v>
      </c>
      <c r="F309" s="167" t="s">
        <v>2105</v>
      </c>
      <c r="G309" s="167">
        <v>40054</v>
      </c>
      <c r="H309" s="167" t="s">
        <v>2106</v>
      </c>
      <c r="I309" s="167"/>
      <c r="J309" s="167"/>
      <c r="K309" s="167"/>
      <c r="L309" s="167"/>
      <c r="M309" s="167"/>
      <c r="N309" s="167">
        <v>120</v>
      </c>
      <c r="O309" s="167"/>
      <c r="P309" s="167"/>
      <c r="Q309" s="167"/>
      <c r="R309" s="167"/>
      <c r="S309" s="167"/>
      <c r="T309" s="167"/>
      <c r="U309" s="167"/>
    </row>
    <row r="310" spans="1:21" hidden="1" x14ac:dyDescent="0.25">
      <c r="A310" s="386"/>
      <c r="B310" s="386" t="b">
        <v>1</v>
      </c>
      <c r="C310" s="386"/>
      <c r="D310" s="170">
        <v>45685</v>
      </c>
      <c r="E310" s="166">
        <v>219</v>
      </c>
      <c r="F310" s="166" t="s">
        <v>2111</v>
      </c>
      <c r="G310" s="166">
        <v>40056</v>
      </c>
      <c r="H310" s="166" t="s">
        <v>1969</v>
      </c>
      <c r="I310" s="166"/>
      <c r="J310" s="166"/>
      <c r="K310" s="166"/>
      <c r="L310" s="166"/>
      <c r="M310" s="166"/>
      <c r="N310" s="166">
        <v>150</v>
      </c>
      <c r="O310" s="166"/>
      <c r="P310" s="166"/>
      <c r="Q310" s="172"/>
      <c r="R310" s="166"/>
      <c r="S310" s="166"/>
      <c r="T310" s="166"/>
      <c r="U310" s="166"/>
    </row>
    <row r="311" spans="1:21" hidden="1" x14ac:dyDescent="0.25">
      <c r="A311" s="385"/>
      <c r="B311" s="385" t="b">
        <v>1</v>
      </c>
      <c r="C311" s="385"/>
      <c r="D311" s="171">
        <v>45685</v>
      </c>
      <c r="E311" s="167">
        <v>431</v>
      </c>
      <c r="F311" s="167" t="s">
        <v>2186</v>
      </c>
      <c r="G311" s="167">
        <v>40077</v>
      </c>
      <c r="H311" s="167" t="s">
        <v>2187</v>
      </c>
      <c r="I311" s="167"/>
      <c r="J311" s="167"/>
      <c r="K311" s="167">
        <v>1100</v>
      </c>
      <c r="L311" s="167">
        <v>1100</v>
      </c>
      <c r="M311" s="167"/>
      <c r="N311" s="167"/>
      <c r="O311" s="167"/>
      <c r="P311" s="167"/>
      <c r="Q311" s="167"/>
      <c r="R311" s="167"/>
      <c r="S311" s="167"/>
      <c r="T311" s="167"/>
      <c r="U311" s="167"/>
    </row>
    <row r="312" spans="1:21" hidden="1" x14ac:dyDescent="0.25">
      <c r="A312" s="386"/>
      <c r="B312" s="386" t="b">
        <v>1</v>
      </c>
      <c r="C312" s="386"/>
      <c r="D312" s="170">
        <v>45685</v>
      </c>
      <c r="E312" s="166">
        <v>225</v>
      </c>
      <c r="F312" s="166" t="s">
        <v>2132</v>
      </c>
      <c r="G312" s="166">
        <v>40062</v>
      </c>
      <c r="H312" s="166" t="s">
        <v>2133</v>
      </c>
      <c r="I312" s="166"/>
      <c r="J312" s="166"/>
      <c r="K312" s="166"/>
      <c r="L312" s="166"/>
      <c r="M312" s="166"/>
      <c r="N312" s="166">
        <v>650</v>
      </c>
      <c r="O312" s="166"/>
      <c r="P312" s="166"/>
      <c r="Q312" s="172"/>
      <c r="R312" s="166"/>
      <c r="S312" s="166"/>
      <c r="T312" s="166"/>
      <c r="U312" s="166"/>
    </row>
    <row r="313" spans="1:21" hidden="1" x14ac:dyDescent="0.25">
      <c r="A313" s="385"/>
      <c r="B313" s="385" t="b">
        <v>1</v>
      </c>
      <c r="C313" s="385"/>
      <c r="D313" s="171">
        <v>45685</v>
      </c>
      <c r="E313" s="167">
        <v>226</v>
      </c>
      <c r="F313" s="167" t="s">
        <v>2136</v>
      </c>
      <c r="G313" s="167">
        <v>40063</v>
      </c>
      <c r="H313" s="167" t="s">
        <v>2137</v>
      </c>
      <c r="I313" s="167"/>
      <c r="J313" s="167"/>
      <c r="K313" s="167"/>
      <c r="L313" s="167"/>
      <c r="M313" s="167"/>
      <c r="N313" s="167">
        <v>100</v>
      </c>
      <c r="O313" s="167"/>
      <c r="P313" s="167"/>
      <c r="Q313" s="167"/>
      <c r="R313" s="167"/>
      <c r="S313" s="167"/>
      <c r="T313" s="167"/>
      <c r="U313" s="167"/>
    </row>
    <row r="314" spans="1:21" hidden="1" x14ac:dyDescent="0.25">
      <c r="A314" s="386"/>
      <c r="B314" s="386" t="b">
        <v>1</v>
      </c>
      <c r="C314" s="386"/>
      <c r="D314" s="170">
        <v>45685</v>
      </c>
      <c r="E314" s="166">
        <v>228</v>
      </c>
      <c r="F314" s="166" t="s">
        <v>2142</v>
      </c>
      <c r="G314" s="166">
        <v>40065</v>
      </c>
      <c r="H314" s="166" t="s">
        <v>2143</v>
      </c>
      <c r="I314" s="166"/>
      <c r="J314" s="166"/>
      <c r="K314" s="166"/>
      <c r="L314" s="166"/>
      <c r="M314" s="166"/>
      <c r="N314" s="166">
        <v>300</v>
      </c>
      <c r="O314" s="166"/>
      <c r="P314" s="166"/>
      <c r="Q314" s="172"/>
      <c r="R314" s="166"/>
      <c r="S314" s="166"/>
      <c r="T314" s="166"/>
      <c r="U314" s="166"/>
    </row>
    <row r="315" spans="1:21" hidden="1" x14ac:dyDescent="0.25">
      <c r="A315" s="385"/>
      <c r="B315" s="385" t="b">
        <v>1</v>
      </c>
      <c r="C315" s="385"/>
      <c r="D315" s="171">
        <v>45685</v>
      </c>
      <c r="E315" s="167">
        <v>230</v>
      </c>
      <c r="F315" s="167" t="s">
        <v>2148</v>
      </c>
      <c r="G315" s="167">
        <v>40067</v>
      </c>
      <c r="H315" s="167" t="s">
        <v>2149</v>
      </c>
      <c r="I315" s="167"/>
      <c r="J315" s="167"/>
      <c r="K315" s="167"/>
      <c r="L315" s="167"/>
      <c r="M315" s="167"/>
      <c r="N315" s="167">
        <v>100</v>
      </c>
      <c r="O315" s="167"/>
      <c r="P315" s="167"/>
      <c r="Q315" s="167"/>
      <c r="R315" s="167"/>
      <c r="S315" s="167"/>
      <c r="T315" s="167"/>
      <c r="U315" s="167"/>
    </row>
    <row r="316" spans="1:21" hidden="1" x14ac:dyDescent="0.25">
      <c r="A316" s="386"/>
      <c r="B316" s="386" t="b">
        <v>1</v>
      </c>
      <c r="C316" s="386"/>
      <c r="D316" s="170">
        <v>45685</v>
      </c>
      <c r="E316" s="166">
        <v>231</v>
      </c>
      <c r="F316" s="166" t="s">
        <v>2152</v>
      </c>
      <c r="G316" s="166">
        <v>40068</v>
      </c>
      <c r="H316" s="166" t="s">
        <v>2092</v>
      </c>
      <c r="I316" s="166"/>
      <c r="J316" s="166"/>
      <c r="K316" s="166"/>
      <c r="L316" s="166"/>
      <c r="M316" s="166"/>
      <c r="N316" s="166">
        <v>115</v>
      </c>
      <c r="O316" s="166"/>
      <c r="P316" s="166"/>
      <c r="Q316" s="172"/>
      <c r="R316" s="166"/>
      <c r="S316" s="166"/>
      <c r="T316" s="166"/>
      <c r="U316" s="166"/>
    </row>
    <row r="317" spans="1:21" hidden="1" x14ac:dyDescent="0.25">
      <c r="A317" s="385"/>
      <c r="B317" s="385" t="b">
        <v>1</v>
      </c>
      <c r="C317" s="385"/>
      <c r="D317" s="171">
        <v>45685</v>
      </c>
      <c r="E317" s="167">
        <v>232</v>
      </c>
      <c r="F317" s="167" t="s">
        <v>2154</v>
      </c>
      <c r="G317" s="167">
        <v>40069</v>
      </c>
      <c r="H317" s="167" t="s">
        <v>2155</v>
      </c>
      <c r="I317" s="167"/>
      <c r="J317" s="167"/>
      <c r="K317" s="167"/>
      <c r="L317" s="167"/>
      <c r="M317" s="167"/>
      <c r="N317" s="167">
        <v>130</v>
      </c>
      <c r="O317" s="167"/>
      <c r="P317" s="167"/>
      <c r="Q317" s="167"/>
      <c r="R317" s="167"/>
      <c r="S317" s="167"/>
      <c r="T317" s="167"/>
      <c r="U317" s="167"/>
    </row>
    <row r="318" spans="1:21" hidden="1" x14ac:dyDescent="0.25">
      <c r="A318" s="386"/>
      <c r="B318" s="386" t="b">
        <v>1</v>
      </c>
      <c r="C318" s="386"/>
      <c r="D318" s="170">
        <v>45686</v>
      </c>
      <c r="E318" s="166">
        <v>428</v>
      </c>
      <c r="F318" s="166" t="s">
        <v>2081</v>
      </c>
      <c r="G318" s="166">
        <v>40039</v>
      </c>
      <c r="H318" s="166" t="s">
        <v>2082</v>
      </c>
      <c r="I318" s="166"/>
      <c r="J318" s="166"/>
      <c r="K318" s="166">
        <v>550</v>
      </c>
      <c r="L318" s="166">
        <v>550</v>
      </c>
      <c r="M318" s="166"/>
      <c r="N318" s="166"/>
      <c r="O318" s="166"/>
      <c r="P318" s="166"/>
      <c r="Q318" s="172"/>
      <c r="R318" s="166"/>
      <c r="S318" s="166"/>
      <c r="T318" s="166"/>
      <c r="U318" s="166"/>
    </row>
    <row r="319" spans="1:21" hidden="1" x14ac:dyDescent="0.25">
      <c r="A319" s="385"/>
      <c r="B319" s="385" t="b">
        <v>1</v>
      </c>
      <c r="C319" s="385"/>
      <c r="D319" s="171">
        <v>45686</v>
      </c>
      <c r="E319" s="167">
        <v>200</v>
      </c>
      <c r="F319" s="167" t="s">
        <v>1956</v>
      </c>
      <c r="G319" s="167">
        <v>40039</v>
      </c>
      <c r="H319" s="167" t="s">
        <v>2082</v>
      </c>
      <c r="I319" s="167"/>
      <c r="J319" s="167"/>
      <c r="K319" s="167"/>
      <c r="L319" s="167"/>
      <c r="M319" s="167"/>
      <c r="N319" s="167">
        <v>749</v>
      </c>
      <c r="O319" s="167"/>
      <c r="P319" s="167"/>
      <c r="Q319" s="167"/>
      <c r="R319" s="167"/>
      <c r="S319" s="167"/>
      <c r="T319" s="167"/>
      <c r="U319" s="167"/>
    </row>
    <row r="320" spans="1:21" hidden="1" x14ac:dyDescent="0.25">
      <c r="A320" s="386"/>
      <c r="B320" s="386" t="b">
        <v>1</v>
      </c>
      <c r="C320" s="386"/>
      <c r="D320" s="170">
        <v>45686</v>
      </c>
      <c r="E320" s="166"/>
      <c r="F320" s="166" t="s">
        <v>1943</v>
      </c>
      <c r="G320" s="166">
        <v>40035</v>
      </c>
      <c r="H320" s="166" t="s">
        <v>2428</v>
      </c>
      <c r="I320" s="166"/>
      <c r="J320" s="166"/>
      <c r="K320" s="166"/>
      <c r="L320" s="166"/>
      <c r="M320" s="166"/>
      <c r="N320" s="166">
        <v>1000</v>
      </c>
      <c r="O320" s="166"/>
      <c r="P320" s="166"/>
      <c r="Q320" s="172"/>
      <c r="R320" s="166"/>
      <c r="S320" s="166"/>
      <c r="T320" s="166"/>
      <c r="U320" s="166"/>
    </row>
    <row r="321" spans="1:21" hidden="1" x14ac:dyDescent="0.25">
      <c r="A321" s="385"/>
      <c r="B321" s="385" t="b">
        <v>1</v>
      </c>
      <c r="C321" s="385"/>
      <c r="D321" s="171">
        <v>45686</v>
      </c>
      <c r="E321" s="167">
        <v>190</v>
      </c>
      <c r="F321" s="167" t="s">
        <v>1805</v>
      </c>
      <c r="G321" s="167">
        <v>40030</v>
      </c>
      <c r="H321" s="167" t="s">
        <v>1806</v>
      </c>
      <c r="I321" s="167"/>
      <c r="J321" s="167"/>
      <c r="K321" s="167"/>
      <c r="L321" s="167"/>
      <c r="M321" s="167"/>
      <c r="N321" s="167">
        <v>800</v>
      </c>
      <c r="O321" s="167"/>
      <c r="P321" s="167"/>
      <c r="Q321" s="167"/>
      <c r="R321" s="167"/>
      <c r="S321" s="167"/>
      <c r="T321" s="167"/>
      <c r="U321" s="167"/>
    </row>
    <row r="322" spans="1:21" hidden="1" x14ac:dyDescent="0.25">
      <c r="A322" s="386"/>
      <c r="B322" s="386" t="b">
        <v>1</v>
      </c>
      <c r="C322" s="386"/>
      <c r="D322" s="170">
        <v>45686</v>
      </c>
      <c r="E322" s="166">
        <v>187</v>
      </c>
      <c r="F322" s="166" t="s">
        <v>1790</v>
      </c>
      <c r="G322" s="166">
        <v>40027</v>
      </c>
      <c r="H322" s="166" t="s">
        <v>1791</v>
      </c>
      <c r="I322" s="166"/>
      <c r="J322" s="166"/>
      <c r="K322" s="166"/>
      <c r="L322" s="166"/>
      <c r="M322" s="166"/>
      <c r="N322" s="166">
        <v>600</v>
      </c>
      <c r="O322" s="166"/>
      <c r="P322" s="166"/>
      <c r="Q322" s="172"/>
      <c r="R322" s="166"/>
      <c r="S322" s="166"/>
      <c r="T322" s="166"/>
      <c r="U322" s="166"/>
    </row>
    <row r="323" spans="1:21" x14ac:dyDescent="0.25">
      <c r="A323" s="386"/>
      <c r="B323" s="386" t="b">
        <v>1</v>
      </c>
      <c r="C323" s="386"/>
      <c r="D323" s="170">
        <v>45686</v>
      </c>
      <c r="E323">
        <v>185</v>
      </c>
      <c r="F323" s="7" t="s">
        <v>1780</v>
      </c>
      <c r="G323" s="7">
        <v>40025</v>
      </c>
      <c r="H323" s="415" t="s">
        <v>1781</v>
      </c>
      <c r="M323" s="409">
        <v>2022</v>
      </c>
      <c r="N323">
        <v>1750</v>
      </c>
    </row>
    <row r="324" spans="1:21" hidden="1" x14ac:dyDescent="0.25">
      <c r="A324" s="386"/>
      <c r="B324" s="386" t="b">
        <v>1</v>
      </c>
      <c r="C324" s="386"/>
      <c r="D324" s="170"/>
      <c r="E324" s="166"/>
      <c r="F324" s="166"/>
      <c r="G324" s="166"/>
      <c r="H324" s="166" t="s">
        <v>2209</v>
      </c>
      <c r="I324" s="166"/>
      <c r="J324" s="166"/>
      <c r="K324" s="166"/>
      <c r="L324" s="166"/>
      <c r="M324" s="166">
        <v>2022</v>
      </c>
      <c r="N324" s="166"/>
      <c r="O324" s="166"/>
      <c r="P324" s="166"/>
      <c r="Q324" s="172"/>
      <c r="R324" s="166"/>
      <c r="S324" s="166"/>
      <c r="T324" s="166"/>
      <c r="U324" s="166"/>
    </row>
    <row r="325" spans="1:21" hidden="1" x14ac:dyDescent="0.25">
      <c r="A325" s="385"/>
      <c r="B325" s="385" t="b">
        <v>1</v>
      </c>
      <c r="C325" s="385"/>
      <c r="D325" s="171"/>
      <c r="E325" s="167"/>
      <c r="F325" s="167"/>
      <c r="G325" s="167"/>
      <c r="H325" s="167" t="s">
        <v>2205</v>
      </c>
      <c r="I325" s="167"/>
      <c r="J325" s="167"/>
      <c r="K325" s="167"/>
      <c r="L325" s="167"/>
      <c r="M325" s="167">
        <v>2022</v>
      </c>
      <c r="N325" s="167"/>
      <c r="O325" s="167"/>
      <c r="P325" s="167"/>
      <c r="Q325" s="167"/>
      <c r="R325" s="167"/>
      <c r="S325" s="167"/>
      <c r="T325" s="167"/>
      <c r="U325" s="167"/>
    </row>
    <row r="326" spans="1:21" hidden="1" x14ac:dyDescent="0.25">
      <c r="A326" s="386"/>
      <c r="B326" s="386" t="b">
        <v>1</v>
      </c>
      <c r="C326" s="386"/>
      <c r="D326" s="170"/>
      <c r="E326" s="166"/>
      <c r="F326" s="166"/>
      <c r="G326" s="166"/>
      <c r="H326" s="166" t="s">
        <v>2234</v>
      </c>
      <c r="I326" s="166"/>
      <c r="J326" s="166"/>
      <c r="K326" s="166"/>
      <c r="L326" s="166"/>
      <c r="M326" s="166">
        <v>2022</v>
      </c>
      <c r="N326" s="166"/>
      <c r="O326" s="166"/>
      <c r="P326" s="166"/>
      <c r="Q326" s="172"/>
      <c r="R326" s="166"/>
      <c r="S326" s="166"/>
      <c r="T326" s="166"/>
      <c r="U326" s="166"/>
    </row>
    <row r="327" spans="1:21" hidden="1" x14ac:dyDescent="0.25">
      <c r="A327" s="385"/>
      <c r="B327" s="385" t="b">
        <v>1</v>
      </c>
      <c r="C327" s="385"/>
      <c r="D327" s="171"/>
      <c r="E327" s="167"/>
      <c r="F327" s="167"/>
      <c r="G327" s="167"/>
      <c r="H327" s="167" t="s">
        <v>2230</v>
      </c>
      <c r="I327" s="167"/>
      <c r="J327" s="167"/>
      <c r="K327" s="167"/>
      <c r="L327" s="167"/>
      <c r="M327" s="167">
        <v>2022</v>
      </c>
      <c r="N327" s="167"/>
      <c r="O327" s="167"/>
      <c r="P327" s="167"/>
      <c r="Q327" s="167"/>
      <c r="R327" s="167"/>
      <c r="S327" s="167"/>
      <c r="T327" s="167"/>
      <c r="U327" s="167"/>
    </row>
    <row r="328" spans="1:21" hidden="1" x14ac:dyDescent="0.25">
      <c r="A328" s="386"/>
      <c r="B328" s="386" t="b">
        <v>1</v>
      </c>
      <c r="C328" s="386"/>
      <c r="D328" s="170"/>
      <c r="E328" s="166"/>
      <c r="F328" s="166"/>
      <c r="G328" s="166"/>
      <c r="H328" s="166" t="s">
        <v>2226</v>
      </c>
      <c r="I328" s="166"/>
      <c r="J328" s="166"/>
      <c r="K328" s="166"/>
      <c r="L328" s="166"/>
      <c r="M328" s="166">
        <v>2022</v>
      </c>
      <c r="N328" s="166"/>
      <c r="O328" s="166"/>
      <c r="P328" s="166"/>
      <c r="Q328" s="172"/>
      <c r="R328" s="166"/>
      <c r="S328" s="166"/>
      <c r="T328" s="166"/>
      <c r="U328" s="166"/>
    </row>
    <row r="329" spans="1:21" hidden="1" x14ac:dyDescent="0.25">
      <c r="A329" s="385"/>
      <c r="B329" s="385" t="b">
        <v>1</v>
      </c>
      <c r="C329" s="385"/>
      <c r="D329" s="171"/>
      <c r="E329" s="167"/>
      <c r="F329" s="167"/>
      <c r="G329" s="167"/>
      <c r="H329" s="167" t="s">
        <v>2223</v>
      </c>
      <c r="I329" s="167"/>
      <c r="J329" s="167"/>
      <c r="K329" s="167"/>
      <c r="L329" s="167"/>
      <c r="M329" s="167">
        <v>2022</v>
      </c>
      <c r="N329" s="167"/>
      <c r="O329" s="167"/>
      <c r="P329" s="167"/>
      <c r="Q329" s="167"/>
      <c r="R329" s="167"/>
      <c r="S329" s="167"/>
      <c r="T329" s="167"/>
      <c r="U329" s="167"/>
    </row>
    <row r="330" spans="1:21" hidden="1" x14ac:dyDescent="0.25">
      <c r="A330" s="386"/>
      <c r="B330" s="386" t="b">
        <v>1</v>
      </c>
      <c r="C330" s="386"/>
      <c r="D330" s="170"/>
      <c r="E330" s="166"/>
      <c r="F330" s="166"/>
      <c r="G330" s="166"/>
      <c r="H330" s="166" t="s">
        <v>2216</v>
      </c>
      <c r="I330" s="166"/>
      <c r="J330" s="166"/>
      <c r="K330" s="166"/>
      <c r="L330" s="166"/>
      <c r="M330" s="166">
        <v>2022</v>
      </c>
      <c r="N330" s="166"/>
      <c r="O330" s="166"/>
      <c r="P330" s="166"/>
      <c r="Q330" s="172"/>
      <c r="R330" s="166"/>
      <c r="S330" s="166"/>
      <c r="T330" s="166"/>
      <c r="U330" s="166"/>
    </row>
    <row r="331" spans="1:21" hidden="1" x14ac:dyDescent="0.25">
      <c r="A331" s="385"/>
      <c r="B331" s="385" t="b">
        <v>1</v>
      </c>
      <c r="C331" s="385"/>
      <c r="D331" s="171"/>
      <c r="E331" s="167"/>
      <c r="F331" s="167"/>
      <c r="G331" s="167"/>
      <c r="H331" s="167" t="s">
        <v>2201</v>
      </c>
      <c r="I331" s="167"/>
      <c r="J331" s="167"/>
      <c r="K331" s="167"/>
      <c r="L331" s="167"/>
      <c r="M331" s="167">
        <v>2022</v>
      </c>
      <c r="N331" s="167"/>
      <c r="O331" s="167"/>
      <c r="P331" s="167"/>
      <c r="Q331" s="167"/>
      <c r="R331" s="167"/>
      <c r="S331" s="167"/>
      <c r="T331" s="167"/>
      <c r="U331" s="167"/>
    </row>
    <row r="332" spans="1:21" hidden="1" x14ac:dyDescent="0.25">
      <c r="A332" s="386"/>
      <c r="B332" s="386" t="b">
        <v>1</v>
      </c>
      <c r="C332" s="386"/>
      <c r="D332" s="170"/>
      <c r="E332" s="166"/>
      <c r="F332" s="166"/>
      <c r="G332" s="166"/>
      <c r="H332" s="166" t="s">
        <v>2195</v>
      </c>
      <c r="I332" s="166"/>
      <c r="J332" s="166"/>
      <c r="K332" s="166"/>
      <c r="L332" s="166"/>
      <c r="M332" s="166">
        <v>2022</v>
      </c>
      <c r="N332" s="166"/>
      <c r="O332" s="166"/>
      <c r="P332" s="166"/>
      <c r="Q332" s="172"/>
      <c r="R332" s="166"/>
      <c r="S332" s="166"/>
      <c r="T332" s="166"/>
      <c r="U332" s="166"/>
    </row>
    <row r="333" spans="1:21" hidden="1" x14ac:dyDescent="0.25">
      <c r="A333" s="385"/>
      <c r="B333" s="385" t="b">
        <v>1</v>
      </c>
      <c r="C333" s="385"/>
      <c r="D333" s="171">
        <v>45691</v>
      </c>
      <c r="E333" s="167">
        <v>194</v>
      </c>
      <c r="F333" s="167" t="s">
        <v>1823</v>
      </c>
      <c r="G333" s="167">
        <v>40034</v>
      </c>
      <c r="H333" s="167" t="s">
        <v>1824</v>
      </c>
      <c r="I333" s="167"/>
      <c r="J333" s="167"/>
      <c r="K333" s="167"/>
      <c r="L333" s="167"/>
      <c r="M333" s="167"/>
      <c r="N333" s="167">
        <v>1500</v>
      </c>
      <c r="O333" s="167"/>
      <c r="P333" s="167"/>
      <c r="Q333" s="167"/>
      <c r="R333" s="167"/>
      <c r="S333" s="167"/>
      <c r="T333" s="167"/>
      <c r="U333" s="167"/>
    </row>
    <row r="334" spans="1:21" hidden="1" x14ac:dyDescent="0.25">
      <c r="A334" s="386"/>
      <c r="B334" s="386" t="b">
        <v>1</v>
      </c>
      <c r="C334" s="386"/>
      <c r="D334" s="170">
        <v>45691</v>
      </c>
      <c r="E334" s="166">
        <v>194</v>
      </c>
      <c r="F334" s="166" t="s">
        <v>1823</v>
      </c>
      <c r="G334" s="166">
        <v>40034</v>
      </c>
      <c r="H334" s="166" t="s">
        <v>1824</v>
      </c>
      <c r="I334" s="166"/>
      <c r="J334" s="166"/>
      <c r="K334" s="166"/>
      <c r="L334" s="166"/>
      <c r="M334" s="166"/>
      <c r="N334" s="166">
        <v>1300</v>
      </c>
      <c r="O334" s="166"/>
      <c r="P334" s="166"/>
      <c r="Q334" s="172"/>
      <c r="R334" s="166"/>
      <c r="S334" s="166"/>
      <c r="T334" s="166"/>
      <c r="U334" s="166"/>
    </row>
    <row r="335" spans="1:21" hidden="1" x14ac:dyDescent="0.25">
      <c r="A335" s="385"/>
      <c r="B335" s="385" t="b">
        <v>1</v>
      </c>
      <c r="C335" s="385"/>
      <c r="D335" s="171">
        <v>45691</v>
      </c>
      <c r="E335" s="167">
        <v>186</v>
      </c>
      <c r="F335" s="167" t="s">
        <v>1785</v>
      </c>
      <c r="G335" s="167">
        <v>40026</v>
      </c>
      <c r="H335" s="167" t="s">
        <v>1786</v>
      </c>
      <c r="I335" s="167"/>
      <c r="J335" s="167"/>
      <c r="K335" s="167"/>
      <c r="L335" s="167"/>
      <c r="M335" s="167"/>
      <c r="N335" s="167">
        <v>1300</v>
      </c>
      <c r="O335" s="167"/>
      <c r="P335" s="167"/>
      <c r="Q335" s="167"/>
      <c r="R335" s="167"/>
      <c r="S335" s="167"/>
      <c r="T335" s="167"/>
      <c r="U335" s="167"/>
    </row>
    <row r="336" spans="1:21" hidden="1" x14ac:dyDescent="0.25">
      <c r="A336" s="386"/>
      <c r="B336" s="386" t="b">
        <v>1</v>
      </c>
      <c r="C336" s="386"/>
      <c r="D336" s="170">
        <v>45693</v>
      </c>
      <c r="E336" s="166">
        <v>413</v>
      </c>
      <c r="F336" s="166" t="s">
        <v>2237</v>
      </c>
      <c r="G336" s="166">
        <v>40090</v>
      </c>
      <c r="H336" s="166" t="s">
        <v>2195</v>
      </c>
      <c r="I336" s="166"/>
      <c r="J336" s="166"/>
      <c r="K336" s="166"/>
      <c r="L336" s="166"/>
      <c r="M336" s="166">
        <v>2022</v>
      </c>
      <c r="N336" s="166"/>
      <c r="O336" s="166"/>
      <c r="P336" s="166"/>
      <c r="Q336" s="172"/>
      <c r="R336" s="166"/>
      <c r="S336" s="166"/>
      <c r="T336" s="166"/>
      <c r="U336" s="166"/>
    </row>
    <row r="337" spans="1:21" hidden="1" x14ac:dyDescent="0.25">
      <c r="A337" s="385"/>
      <c r="B337" s="385" t="b">
        <v>1</v>
      </c>
      <c r="C337" s="385"/>
      <c r="D337" s="171">
        <v>45700</v>
      </c>
      <c r="E337" s="167">
        <v>402</v>
      </c>
      <c r="F337" s="167" t="s">
        <v>2208</v>
      </c>
      <c r="G337" s="167">
        <v>40082</v>
      </c>
      <c r="H337" s="167" t="s">
        <v>2209</v>
      </c>
      <c r="I337" s="167"/>
      <c r="J337" s="167"/>
      <c r="K337" s="167"/>
      <c r="L337" s="167"/>
      <c r="M337" s="167">
        <v>2024</v>
      </c>
      <c r="N337" s="167"/>
      <c r="O337" s="167"/>
      <c r="P337" s="167"/>
      <c r="Q337" s="167"/>
      <c r="R337" s="167"/>
      <c r="S337" s="167"/>
      <c r="T337" s="167"/>
      <c r="U337" s="167"/>
    </row>
    <row r="338" spans="1:21" hidden="1" x14ac:dyDescent="0.25">
      <c r="A338" s="386"/>
      <c r="B338" s="386" t="b">
        <v>1</v>
      </c>
      <c r="C338" s="386"/>
      <c r="D338" s="170">
        <v>45700</v>
      </c>
      <c r="E338" s="166">
        <v>403</v>
      </c>
      <c r="F338" s="166" t="s">
        <v>2204</v>
      </c>
      <c r="G338" s="166">
        <v>40081</v>
      </c>
      <c r="H338" s="166" t="s">
        <v>2205</v>
      </c>
      <c r="I338" s="166"/>
      <c r="J338" s="166"/>
      <c r="K338" s="166"/>
      <c r="L338" s="166"/>
      <c r="M338" s="166">
        <v>2024</v>
      </c>
      <c r="N338" s="166"/>
      <c r="O338" s="166"/>
      <c r="P338" s="166"/>
      <c r="Q338" s="172"/>
      <c r="R338" s="166"/>
      <c r="S338" s="166"/>
      <c r="T338" s="166"/>
      <c r="U338" s="166"/>
    </row>
    <row r="339" spans="1:21" hidden="1" x14ac:dyDescent="0.25">
      <c r="A339" s="385"/>
      <c r="B339" s="385" t="b">
        <v>1</v>
      </c>
      <c r="C339" s="385"/>
      <c r="D339" s="171">
        <v>45700</v>
      </c>
      <c r="E339" s="167">
        <v>404</v>
      </c>
      <c r="F339" s="167" t="s">
        <v>2233</v>
      </c>
      <c r="G339" s="167">
        <v>40089</v>
      </c>
      <c r="H339" s="167" t="s">
        <v>2234</v>
      </c>
      <c r="I339" s="167"/>
      <c r="J339" s="167"/>
      <c r="K339" s="167"/>
      <c r="L339" s="167"/>
      <c r="M339" s="167">
        <v>2024</v>
      </c>
      <c r="N339" s="167"/>
      <c r="O339" s="167"/>
      <c r="P339" s="167"/>
      <c r="Q339" s="167"/>
      <c r="R339" s="167"/>
      <c r="S339" s="167"/>
      <c r="T339" s="167"/>
      <c r="U339" s="167"/>
    </row>
    <row r="340" spans="1:21" hidden="1" x14ac:dyDescent="0.25">
      <c r="A340" s="386"/>
      <c r="B340" s="386" t="b">
        <v>1</v>
      </c>
      <c r="C340" s="386"/>
      <c r="D340" s="170">
        <v>45700</v>
      </c>
      <c r="E340" s="166">
        <v>405</v>
      </c>
      <c r="F340" s="166" t="s">
        <v>2229</v>
      </c>
      <c r="G340" s="166">
        <v>40088</v>
      </c>
      <c r="H340" s="166" t="s">
        <v>2230</v>
      </c>
      <c r="I340" s="166"/>
      <c r="J340" s="166"/>
      <c r="K340" s="166"/>
      <c r="L340" s="166"/>
      <c r="M340" s="166">
        <v>2024</v>
      </c>
      <c r="N340" s="166"/>
      <c r="O340" s="166"/>
      <c r="P340" s="166"/>
      <c r="Q340" s="172"/>
      <c r="R340" s="166"/>
      <c r="S340" s="166"/>
      <c r="T340" s="166"/>
      <c r="U340" s="166"/>
    </row>
    <row r="341" spans="1:21" ht="15.75" hidden="1" customHeight="1" x14ac:dyDescent="0.25">
      <c r="A341" s="385"/>
      <c r="B341" s="385" t="b">
        <v>1</v>
      </c>
      <c r="C341" s="385"/>
      <c r="D341" s="171">
        <v>45700</v>
      </c>
      <c r="E341" s="167">
        <v>406</v>
      </c>
      <c r="F341" s="167" t="s">
        <v>2225</v>
      </c>
      <c r="G341" s="167">
        <v>40087</v>
      </c>
      <c r="H341" s="167" t="s">
        <v>2226</v>
      </c>
      <c r="I341" s="167"/>
      <c r="J341" s="167"/>
      <c r="K341" s="167"/>
      <c r="L341" s="167"/>
      <c r="M341" s="167">
        <v>2024</v>
      </c>
      <c r="N341" s="167"/>
      <c r="O341" s="167"/>
      <c r="P341" s="167"/>
      <c r="Q341" s="167"/>
      <c r="R341" s="167"/>
      <c r="S341" s="167"/>
      <c r="T341" s="167"/>
      <c r="U341" s="167"/>
    </row>
    <row r="342" spans="1:21" hidden="1" x14ac:dyDescent="0.25">
      <c r="A342" s="386"/>
      <c r="B342" s="386" t="b">
        <v>1</v>
      </c>
      <c r="C342" s="386"/>
      <c r="D342" s="170">
        <v>45700</v>
      </c>
      <c r="E342" s="166">
        <v>407</v>
      </c>
      <c r="F342" s="166" t="s">
        <v>2222</v>
      </c>
      <c r="G342" s="166">
        <v>40086</v>
      </c>
      <c r="H342" s="166" t="s">
        <v>2223</v>
      </c>
      <c r="I342" s="166"/>
      <c r="J342" s="166"/>
      <c r="K342" s="166"/>
      <c r="L342" s="166"/>
      <c r="M342" s="166">
        <v>2024</v>
      </c>
      <c r="N342" s="166"/>
      <c r="O342" s="166"/>
      <c r="P342" s="166"/>
      <c r="Q342" s="172"/>
      <c r="R342" s="166"/>
      <c r="S342" s="166"/>
      <c r="T342" s="166"/>
      <c r="U342" s="166"/>
    </row>
    <row r="343" spans="1:21" hidden="1" x14ac:dyDescent="0.25">
      <c r="A343" s="385"/>
      <c r="B343" s="385" t="b">
        <v>1</v>
      </c>
      <c r="C343" s="385"/>
      <c r="D343" s="171">
        <v>45700</v>
      </c>
      <c r="E343" s="167">
        <v>408</v>
      </c>
      <c r="F343" s="167" t="s">
        <v>2215</v>
      </c>
      <c r="G343" s="167">
        <v>40084</v>
      </c>
      <c r="H343" s="167" t="s">
        <v>2216</v>
      </c>
      <c r="I343" s="167"/>
      <c r="J343" s="167"/>
      <c r="K343" s="167"/>
      <c r="L343" s="167"/>
      <c r="M343" s="167">
        <v>2024</v>
      </c>
      <c r="N343" s="167"/>
      <c r="O343" s="167"/>
      <c r="P343" s="167"/>
      <c r="Q343" s="167"/>
      <c r="R343" s="167"/>
      <c r="S343" s="167"/>
      <c r="T343" s="167"/>
      <c r="U343" s="167"/>
    </row>
    <row r="344" spans="1:21" s="409" customFormat="1" hidden="1" x14ac:dyDescent="0.25">
      <c r="A344" s="474"/>
      <c r="B344" s="474" t="b">
        <v>1</v>
      </c>
      <c r="C344" s="474"/>
      <c r="D344" s="475">
        <v>45706</v>
      </c>
      <c r="E344" s="473">
        <v>418</v>
      </c>
      <c r="F344" s="473" t="s">
        <v>2429</v>
      </c>
      <c r="G344" s="473">
        <v>40093</v>
      </c>
      <c r="H344" s="473" t="s">
        <v>2246</v>
      </c>
      <c r="I344" s="473"/>
      <c r="J344" s="473"/>
      <c r="K344" s="473"/>
      <c r="L344" s="473"/>
      <c r="M344" s="473">
        <v>2024</v>
      </c>
      <c r="N344" s="473"/>
      <c r="O344" s="473"/>
      <c r="P344" s="473"/>
      <c r="Q344" s="476"/>
      <c r="R344" s="473"/>
      <c r="S344" s="473"/>
      <c r="T344" s="473"/>
      <c r="U344" s="166" t="s">
        <v>2430</v>
      </c>
    </row>
    <row r="345" spans="1:21" hidden="1" x14ac:dyDescent="0.25">
      <c r="A345" s="385"/>
      <c r="B345" s="385" t="b">
        <v>1</v>
      </c>
      <c r="C345" s="385"/>
      <c r="D345" s="171">
        <v>45706</v>
      </c>
      <c r="E345" s="167">
        <v>419</v>
      </c>
      <c r="F345" s="167" t="s">
        <v>2243</v>
      </c>
      <c r="G345" s="167">
        <v>40092</v>
      </c>
      <c r="H345" s="167" t="s">
        <v>2244</v>
      </c>
      <c r="I345" s="167"/>
      <c r="J345" s="167"/>
      <c r="K345" s="167"/>
      <c r="L345" s="167"/>
      <c r="M345" s="167">
        <v>2024</v>
      </c>
      <c r="N345" s="167"/>
      <c r="O345" s="167"/>
      <c r="P345" s="167"/>
      <c r="Q345" s="167"/>
      <c r="R345" s="167"/>
      <c r="S345" s="167"/>
      <c r="T345" s="167"/>
      <c r="U345" s="167"/>
    </row>
    <row r="346" spans="1:21" hidden="1" x14ac:dyDescent="0.25">
      <c r="A346" s="386"/>
      <c r="B346" s="386" t="b">
        <v>1</v>
      </c>
      <c r="C346" s="386"/>
      <c r="D346" s="170">
        <v>45719</v>
      </c>
      <c r="E346" s="166">
        <v>231</v>
      </c>
      <c r="F346" s="166" t="s">
        <v>1050</v>
      </c>
      <c r="G346" s="166">
        <v>20058</v>
      </c>
      <c r="H346" s="166" t="s">
        <v>2389</v>
      </c>
      <c r="I346" s="166"/>
      <c r="J346" s="166"/>
      <c r="K346" s="166"/>
      <c r="L346" s="166"/>
      <c r="M346" s="166"/>
      <c r="N346" s="166"/>
      <c r="O346" s="166"/>
      <c r="P346" s="166"/>
      <c r="Q346" s="172">
        <v>0.71799999999999997</v>
      </c>
      <c r="R346" s="166"/>
      <c r="S346" s="166"/>
      <c r="T346" s="166"/>
      <c r="U346" s="166" t="s">
        <v>2431</v>
      </c>
    </row>
    <row r="347" spans="1:21" hidden="1" x14ac:dyDescent="0.25">
      <c r="D347" s="44">
        <v>45719</v>
      </c>
      <c r="E347">
        <v>244</v>
      </c>
      <c r="F347" s="7" t="s">
        <v>1552</v>
      </c>
      <c r="G347" s="7">
        <v>20071</v>
      </c>
      <c r="H347" s="415" t="s">
        <v>1553</v>
      </c>
      <c r="Q347" s="8">
        <v>0.93</v>
      </c>
      <c r="U347" s="166" t="s">
        <v>2432</v>
      </c>
    </row>
  </sheetData>
  <protectedRanges>
    <protectedRange sqref="F65:G65" name="Range3_6"/>
    <protectedRange sqref="F65:G65" name="Range1_1_6"/>
    <protectedRange sqref="F66:G66" name="Range3_6_1"/>
    <protectedRange sqref="F66:G66" name="Range1_1_6_1"/>
    <protectedRange sqref="F68:G68" name="Range3_12"/>
    <protectedRange sqref="F68:G68" name="Range1_1_12"/>
    <protectedRange sqref="F69:G69" name="Range3_18"/>
    <protectedRange sqref="F69:G69" name="Range1_1_18"/>
    <protectedRange sqref="F70:G70" name="Range3_18_1"/>
    <protectedRange sqref="F70:G70" name="Range1_1_18_1"/>
    <protectedRange sqref="F71:G71" name="Range3_18_2"/>
    <protectedRange sqref="F71:G71" name="Range1_1_18_2"/>
    <protectedRange sqref="F72:G72" name="Range3_21"/>
    <protectedRange sqref="F72:G72" name="Range1_1_21"/>
    <protectedRange sqref="F73:G73" name="Range3_21_1"/>
    <protectedRange sqref="F73:G73" name="Range1_1_21_1"/>
    <protectedRange sqref="F74:G74" name="Range3_23"/>
    <protectedRange sqref="F74:G74" name="Range1_1_23"/>
  </protectedRanges>
  <autoFilter ref="A2:U347" xr:uid="{9ADAB9E5-08B2-4025-A250-35BE2E036ECA}">
    <filterColumn colId="5">
      <filters>
        <filter val="MX0026"/>
      </filters>
    </filterColumn>
  </autoFilter>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B1542-B2CD-4DA5-9721-AA9EDBE17B74}">
  <dimension ref="A1:X362"/>
  <sheetViews>
    <sheetView showZeros="0" zoomScale="70" zoomScaleNormal="70" workbookViewId="0">
      <pane xSplit="2" ySplit="1" topLeftCell="L2" activePane="bottomRight" state="frozen"/>
      <selection pane="topRight" activeCell="K2" sqref="K2"/>
      <selection pane="bottomLeft" activeCell="K2" sqref="K2"/>
      <selection pane="bottomRight"/>
    </sheetView>
  </sheetViews>
  <sheetFormatPr defaultColWidth="8.85546875" defaultRowHeight="15" x14ac:dyDescent="0.25"/>
  <cols>
    <col min="1" max="1" width="10.42578125" customWidth="1"/>
    <col min="2" max="2" width="39.28515625" customWidth="1"/>
    <col min="3" max="3" width="24.28515625" customWidth="1"/>
    <col min="4" max="5" width="12.42578125" customWidth="1"/>
    <col min="6" max="6" width="11.42578125" customWidth="1"/>
    <col min="7" max="7" width="17.28515625" customWidth="1"/>
    <col min="8" max="9" width="11.42578125" customWidth="1"/>
    <col min="10" max="10" width="13.85546875" customWidth="1"/>
    <col min="11" max="11" width="13" customWidth="1"/>
    <col min="12" max="12" width="18.42578125" customWidth="1"/>
    <col min="13" max="13" width="17.7109375" customWidth="1"/>
    <col min="14" max="14" width="18.42578125" customWidth="1"/>
    <col min="15" max="15" width="17.140625" customWidth="1"/>
    <col min="16" max="16" width="17.42578125" customWidth="1"/>
    <col min="17" max="17" width="14.42578125" customWidth="1"/>
    <col min="18" max="18" width="18.28515625" customWidth="1"/>
    <col min="19" max="19" width="18.140625" customWidth="1"/>
    <col min="20" max="20" width="17.28515625" customWidth="1"/>
    <col min="21" max="22" width="20.42578125" customWidth="1"/>
    <col min="23" max="23" width="12.42578125" hidden="1" customWidth="1"/>
    <col min="24" max="24" width="10" customWidth="1"/>
  </cols>
  <sheetData>
    <row r="1" spans="1:24" ht="63" x14ac:dyDescent="0.25">
      <c r="A1" s="10" t="s">
        <v>2433</v>
      </c>
      <c r="B1" s="10" t="s">
        <v>75</v>
      </c>
      <c r="C1" s="10" t="s">
        <v>77</v>
      </c>
      <c r="D1" s="10" t="s">
        <v>79</v>
      </c>
      <c r="E1" s="10" t="s">
        <v>2434</v>
      </c>
      <c r="F1" s="10" t="s">
        <v>90</v>
      </c>
      <c r="G1" s="10" t="s">
        <v>91</v>
      </c>
      <c r="H1" s="12" t="s">
        <v>2435</v>
      </c>
      <c r="I1" s="12" t="s">
        <v>2436</v>
      </c>
      <c r="J1" s="12" t="s">
        <v>2437</v>
      </c>
      <c r="K1" s="12" t="s">
        <v>2438</v>
      </c>
      <c r="L1" s="12" t="s">
        <v>2439</v>
      </c>
      <c r="M1" s="12" t="s">
        <v>2440</v>
      </c>
      <c r="N1" s="12" t="s">
        <v>2441</v>
      </c>
      <c r="O1" s="12" t="s">
        <v>2442</v>
      </c>
      <c r="P1" s="12" t="s">
        <v>2443</v>
      </c>
      <c r="Q1" s="10" t="s">
        <v>2444</v>
      </c>
      <c r="R1" s="13" t="s">
        <v>2445</v>
      </c>
      <c r="S1" s="14" t="s">
        <v>2446</v>
      </c>
      <c r="T1" s="14" t="s">
        <v>2447</v>
      </c>
      <c r="U1" s="10" t="s">
        <v>73</v>
      </c>
      <c r="V1" s="10" t="s">
        <v>66</v>
      </c>
      <c r="W1" s="11" t="s">
        <v>2448</v>
      </c>
      <c r="X1" s="15" t="s">
        <v>2449</v>
      </c>
    </row>
    <row r="2" spans="1:24" x14ac:dyDescent="0.25">
      <c r="A2" s="9">
        <f>Table11[[#This Row],[Farmer'#]]</f>
        <v>10001</v>
      </c>
      <c r="B2" s="9" t="str">
        <f>Table11[[#This Row],[Representative]]</f>
        <v>Bruce Gamble</v>
      </c>
      <c r="C2" s="9" t="str">
        <f>Table11[[#This Row],[Contract Name]]</f>
        <v>Bruce Gamble</v>
      </c>
      <c r="D2" s="9" t="str">
        <f>Table11[[#This Row],[Status]]</f>
        <v>RFT</v>
      </c>
      <c r="E2" s="9" t="str">
        <f>Table11[[#This Row],[Contract Code]]</f>
        <v>US0001</v>
      </c>
      <c r="F2" s="30">
        <f>Table11[[#This Row],['#TreesContract]]</f>
        <v>2200</v>
      </c>
      <c r="G2" s="30">
        <f>Table11[[#This Row],['#Planted]]</f>
        <v>2200</v>
      </c>
      <c r="H2" s="30">
        <f>Table11[[#This Row],['#TreesContract]]*Table11[[#This Row],[USA Allocation %]]</f>
        <v>0</v>
      </c>
      <c r="I2" s="30">
        <f>Table11[[#This Row],['#Planted]]*Table11[[#This Row],[USA Allocation %]]</f>
        <v>0</v>
      </c>
      <c r="J2" s="30">
        <f>Table11[[#This Row],[Contract Amendment]]*Table11[[#This Row],[USA Allocation %]]</f>
        <v>0</v>
      </c>
      <c r="K2" s="30">
        <f>Table11[[#This Row],['#Trees as of 12/31/23]]*Table11[[#This Row],[USA Allocation %]]</f>
        <v>0</v>
      </c>
      <c r="L2" s="30">
        <f>Table11[[#This Row],['#Replace 24]]*Table11[[#This Row],[USA Allocation %]]</f>
        <v>0</v>
      </c>
      <c r="M2" s="30">
        <f>IF(Table11[[#This Row],[Planting Year]]=2024,Table11['#Planted],0)</f>
        <v>0</v>
      </c>
      <c r="N2" s="31">
        <f>(Table11[[#This Row],[2024 '#Trees Inventory + Estimate]]*Table11[[#This Row],[USA Allocation %]])-SUM(Table37[[#This Row],['# Trees as of 12/31/23]:[New Trees/Planted in 2024]])</f>
        <v>0</v>
      </c>
      <c r="O2" s="31">
        <f>SUM(Table37[[#This Row],['# Trees as of 12/31/23]:[2024 Tree Losses]])</f>
        <v>0</v>
      </c>
      <c r="P2" s="31">
        <f>SUM(Table37[[#This Row],[Total Trees as of 12/31/24]]-Table37[[#This Row],['# Trees as of 12/31/23]])</f>
        <v>0</v>
      </c>
      <c r="Q2" s="31">
        <f>Table11[[#This Row],['#Total Replacements]]*Table11[[#This Row],[USA Allocation %]]</f>
        <v>0</v>
      </c>
      <c r="R2" s="31">
        <f>IF(Table37[[#This Row],['#Survival based on Inventory]]=0,Table37['#Survival based on Last Year Estimate],Table37['#Survival based on Inventory])</f>
        <v>0</v>
      </c>
      <c r="S2" s="31">
        <f>Table11[[#This Row],['#Planted]]*Table11[[#This Row],[USA Allocation %]]*Table11[[#This Row],[2024 Inventory Survival%-master]]</f>
        <v>0</v>
      </c>
      <c r="T2" s="31">
        <f>Table11[[#This Row],['#Planted]]*Table11[[#This Row],[USA Allocation %]]*Table11[[#This Row],[2024 Estimated Survival%]]</f>
        <v>0</v>
      </c>
      <c r="U2" s="27">
        <f>Table11[[#This Row],[ETP Year]]</f>
        <v>2015</v>
      </c>
      <c r="V2" s="27">
        <f>Table11[[#This Row],[Planting Year]]</f>
        <v>2015</v>
      </c>
      <c r="W2" s="28">
        <f>Table11[[#This Row],[Survival% as of 12/31/23]]</f>
        <v>0</v>
      </c>
      <c r="X2" s="29">
        <f>Table11[[#This Row],[ETP'#s]]</f>
        <v>1</v>
      </c>
    </row>
    <row r="3" spans="1:24" x14ac:dyDescent="0.25">
      <c r="A3">
        <f>Table11[[#This Row],[Farmer'#]]</f>
        <v>10001</v>
      </c>
      <c r="B3" t="str">
        <f>Table11[[#This Row],[Representative]]</f>
        <v>Bruce Gamble</v>
      </c>
      <c r="C3" t="str">
        <f>Table11[[#This Row],[Contract Name]]</f>
        <v>Bruce Gamble</v>
      </c>
      <c r="D3" t="str">
        <f>Table11[[#This Row],[Status]]</f>
        <v>Active</v>
      </c>
      <c r="E3" t="str">
        <f>Table11[[#This Row],[Contract Code]]</f>
        <v>US0004</v>
      </c>
      <c r="F3" s="16">
        <f>Table11[[#This Row],['#TreesContract]]</f>
        <v>2200</v>
      </c>
      <c r="G3" s="16">
        <f>Table11[[#This Row],['#Planted]]</f>
        <v>2200</v>
      </c>
      <c r="H3" s="16">
        <f>Table11[[#This Row],['#TreesContract]]*Table11[[#This Row],[USA Allocation %]]</f>
        <v>0</v>
      </c>
      <c r="I3" s="16">
        <f>Table11[[#This Row],['#Planted]]*Table11[[#This Row],[USA Allocation %]]</f>
        <v>0</v>
      </c>
      <c r="J3" s="16">
        <f>Table11[[#This Row],[Contract Amendment]]*Table11[[#This Row],[USA Allocation %]]</f>
        <v>0</v>
      </c>
      <c r="K3" s="16">
        <f>Table11[[#This Row],['#Trees as of 12/31/23]]*Table11[[#This Row],[USA Allocation %]]</f>
        <v>0</v>
      </c>
      <c r="L3" s="16">
        <f>Table11[[#This Row],['#Replace 24]]*Table11[[#This Row],[USA Allocation %]]</f>
        <v>0</v>
      </c>
      <c r="M3" s="16">
        <f>IF(Table11[[#This Row],[Planting Year]]=2024,Table11['#Planted],0)</f>
        <v>0</v>
      </c>
      <c r="N3" s="16">
        <f>(Table11[[#This Row],[2024 '#Trees Inventory + Estimate]]*Table11[[#This Row],[USA Allocation %]])-SUM(Table37[[#This Row],['# Trees as of 12/31/23]:[New Trees/Planted in 2024]])</f>
        <v>0</v>
      </c>
      <c r="O3" s="16">
        <f>SUM(Table37[[#This Row],['# Trees as of 12/31/23]:[2024 Tree Losses]])</f>
        <v>0</v>
      </c>
      <c r="P3" s="16">
        <f>SUM(Table37[[#This Row],[Total Trees as of 12/31/24]]-Table37[[#This Row],['# Trees as of 12/31/23]])</f>
        <v>0</v>
      </c>
      <c r="Q3" s="16">
        <f>Table11[[#This Row],['#Total Replacements]]*Table11[[#This Row],[USA Allocation %]]</f>
        <v>0</v>
      </c>
      <c r="R3" s="16">
        <f>IF(Table37[[#This Row],['#Survival based on Inventory]]=0,Table37['#Survival based on Last Year Estimate],Table37['#Survival based on Inventory])</f>
        <v>0</v>
      </c>
      <c r="S3" s="16">
        <f>Table11[[#This Row],['#Planted]]*Table11[[#This Row],[USA Allocation %]]*Table11[[#This Row],[2024 Inventory Survival%-master]]</f>
        <v>0</v>
      </c>
      <c r="T3" s="16">
        <f>Table11[[#This Row],['#Planted]]*Table11[[#This Row],[USA Allocation %]]*Table11[[#This Row],[2024 Estimated Survival%]]</f>
        <v>0</v>
      </c>
      <c r="U3">
        <f>Table11[[#This Row],[ETP Year]]</f>
        <v>2015</v>
      </c>
      <c r="V3">
        <f>Table11[[#This Row],[Planting Year]]</f>
        <v>2016</v>
      </c>
      <c r="W3" s="8">
        <f>Table11[[#This Row],[Survival% as of 12/31/23]]</f>
        <v>0.55583906046107012</v>
      </c>
      <c r="X3" s="7">
        <f>Table11[[#This Row],[ETP'#s]]</f>
        <v>1</v>
      </c>
    </row>
    <row r="4" spans="1:24" x14ac:dyDescent="0.25">
      <c r="A4">
        <f>Table11[[#This Row],[Farmer'#]]</f>
        <v>10001</v>
      </c>
      <c r="B4" t="str">
        <f>Table11[[#This Row],[Representative]]</f>
        <v>Bruce Gamble</v>
      </c>
      <c r="C4" t="str">
        <f>Table11[[#This Row],[Contract Name]]</f>
        <v>Bruce Gamble</v>
      </c>
      <c r="D4" t="str">
        <f>Table11[[#This Row],[Status]]</f>
        <v>RFT</v>
      </c>
      <c r="E4" t="str">
        <f>Table11[[#This Row],[Contract Code]]</f>
        <v>US0005</v>
      </c>
      <c r="F4" s="16">
        <f>Table11[[#This Row],['#TreesContract]]</f>
        <v>2200</v>
      </c>
      <c r="G4" s="16">
        <f>Table11[[#This Row],['#Planted]]</f>
        <v>2200</v>
      </c>
      <c r="H4" s="16">
        <f>Table11[[#This Row],['#TreesContract]]*Table11[[#This Row],[USA Allocation %]]</f>
        <v>0</v>
      </c>
      <c r="I4" s="16">
        <f>Table11[[#This Row],['#Planted]]*Table11[[#This Row],[USA Allocation %]]</f>
        <v>0</v>
      </c>
      <c r="J4" s="16">
        <f>Table11[[#This Row],[Contract Amendment]]*Table11[[#This Row],[USA Allocation %]]</f>
        <v>0</v>
      </c>
      <c r="K4" s="16">
        <f>Table11[[#This Row],['#Trees as of 12/31/23]]*Table11[[#This Row],[USA Allocation %]]</f>
        <v>0</v>
      </c>
      <c r="L4" s="16">
        <f>Table11[[#This Row],['#Replace 24]]*Table11[[#This Row],[USA Allocation %]]</f>
        <v>0</v>
      </c>
      <c r="M4" s="16">
        <f>IF(Table11[[#This Row],[Planting Year]]=2024,Table11['#Planted],0)</f>
        <v>0</v>
      </c>
      <c r="N4" s="16">
        <f>(Table11[[#This Row],[2024 '#Trees Inventory + Estimate]]*Table11[[#This Row],[USA Allocation %]])-SUM(Table37[[#This Row],['# Trees as of 12/31/23]:[New Trees/Planted in 2024]])</f>
        <v>0</v>
      </c>
      <c r="O4" s="16">
        <f>SUM(Table37[[#This Row],['# Trees as of 12/31/23]:[2024 Tree Losses]])</f>
        <v>0</v>
      </c>
      <c r="P4" s="16">
        <f>SUM(Table37[[#This Row],[Total Trees as of 12/31/24]]-Table37[[#This Row],['# Trees as of 12/31/23]])</f>
        <v>0</v>
      </c>
      <c r="Q4" s="16">
        <f>Table11[[#This Row],['#Total Replacements]]*Table11[[#This Row],[USA Allocation %]]</f>
        <v>0</v>
      </c>
      <c r="R4" s="16">
        <f>IF(Table37[[#This Row],['#Survival based on Inventory]]=0,Table37['#Survival based on Last Year Estimate],Table37['#Survival based on Inventory])</f>
        <v>0</v>
      </c>
      <c r="S4" s="16">
        <f>Table11[[#This Row],['#Planted]]*Table11[[#This Row],[USA Allocation %]]*Table11[[#This Row],[2024 Inventory Survival%-master]]</f>
        <v>0</v>
      </c>
      <c r="T4" s="16">
        <f>Table11[[#This Row],['#Planted]]*Table11[[#This Row],[USA Allocation %]]*Table11[[#This Row],[2024 Estimated Survival%]]</f>
        <v>0</v>
      </c>
      <c r="U4">
        <f>Table11[[#This Row],[ETP Year]]</f>
        <v>2016</v>
      </c>
      <c r="V4">
        <f>Table11[[#This Row],[Planting Year]]</f>
        <v>2016</v>
      </c>
      <c r="W4" s="8">
        <f>Table11[[#This Row],[Survival% as of 12/31/23]]</f>
        <v>0.53441505333295214</v>
      </c>
      <c r="X4" s="7">
        <f>Table11[[#This Row],[ETP'#s]]</f>
        <v>1</v>
      </c>
    </row>
    <row r="5" spans="1:24" x14ac:dyDescent="0.25">
      <c r="A5">
        <f>Table11[[#This Row],[Farmer'#]]</f>
        <v>10002</v>
      </c>
      <c r="B5" t="str">
        <f>Table11[[#This Row],[Representative]]</f>
        <v>Bob Miller</v>
      </c>
      <c r="C5" t="str">
        <f>Table11[[#This Row],[Contract Name]]</f>
        <v>Bob Miller</v>
      </c>
      <c r="D5" t="str">
        <f>Table11[[#This Row],[Status]]</f>
        <v>Out of Program</v>
      </c>
      <c r="E5" t="str">
        <f>Table11[[#This Row],[Contract Code]]</f>
        <v>US0002</v>
      </c>
      <c r="F5" s="16">
        <f>Table11[[#This Row],['#TreesContract]]</f>
        <v>1200</v>
      </c>
      <c r="G5" s="16">
        <f>Table11[[#This Row],['#Planted]]</f>
        <v>1200</v>
      </c>
      <c r="H5" s="16">
        <f>Table11[[#This Row],['#TreesContract]]*Table11[[#This Row],[USA Allocation %]]</f>
        <v>0</v>
      </c>
      <c r="I5" s="16">
        <f>Table11[[#This Row],['#Planted]]*Table11[[#This Row],[USA Allocation %]]</f>
        <v>0</v>
      </c>
      <c r="J5" s="16">
        <f>Table11[[#This Row],[Contract Amendment]]*Table11[[#This Row],[USA Allocation %]]</f>
        <v>0</v>
      </c>
      <c r="K5" s="16">
        <f>Table11[[#This Row],['#Trees as of 12/31/23]]*Table11[[#This Row],[USA Allocation %]]</f>
        <v>0</v>
      </c>
      <c r="L5" s="16">
        <f>Table11[[#This Row],['#Replace 24]]*Table11[[#This Row],[USA Allocation %]]</f>
        <v>0</v>
      </c>
      <c r="M5" s="16">
        <f>IF(Table11[[#This Row],[Planting Year]]=2024,Table11['#Planted],0)</f>
        <v>0</v>
      </c>
      <c r="N5" s="16">
        <f>(Table11[[#This Row],[2024 '#Trees Inventory + Estimate]]*Table11[[#This Row],[USA Allocation %]])-SUM(Table37[[#This Row],['# Trees as of 12/31/23]:[New Trees/Planted in 2024]])</f>
        <v>0</v>
      </c>
      <c r="O5" s="16">
        <f>SUM(Table37[[#This Row],['# Trees as of 12/31/23]:[2024 Tree Losses]])</f>
        <v>0</v>
      </c>
      <c r="P5" s="16">
        <f>SUM(Table37[[#This Row],[Total Trees as of 12/31/24]]-Table37[[#This Row],['# Trees as of 12/31/23]])</f>
        <v>0</v>
      </c>
      <c r="Q5" s="16">
        <f>Table11[[#This Row],['#Total Replacements]]*Table11[[#This Row],[USA Allocation %]]</f>
        <v>0</v>
      </c>
      <c r="R5" s="16">
        <f>IF(Table37[[#This Row],['#Survival based on Inventory]]=0,Table37['#Survival based on Last Year Estimate],Table37['#Survival based on Inventory])</f>
        <v>0</v>
      </c>
      <c r="S5" s="16">
        <f>Table11[[#This Row],['#Planted]]*Table11[[#This Row],[USA Allocation %]]*Table11[[#This Row],[2024 Inventory Survival%-master]]</f>
        <v>0</v>
      </c>
      <c r="T5" s="16">
        <f>Table11[[#This Row],['#Planted]]*Table11[[#This Row],[USA Allocation %]]*Table11[[#This Row],[2024 Estimated Survival%]]</f>
        <v>0</v>
      </c>
      <c r="U5">
        <f>Table11[[#This Row],[ETP Year]]</f>
        <v>2015</v>
      </c>
      <c r="V5">
        <f>Table11[[#This Row],[Planting Year]]</f>
        <v>2016</v>
      </c>
      <c r="W5" s="8">
        <f>Table11[[#This Row],[Survival% as of 12/31/23]]</f>
        <v>0</v>
      </c>
      <c r="X5" s="7">
        <f>Table11[[#This Row],[ETP'#s]]</f>
        <v>1</v>
      </c>
    </row>
    <row r="6" spans="1:24" x14ac:dyDescent="0.25">
      <c r="A6">
        <f>Table11[[#This Row],[Farmer'#]]</f>
        <v>10003</v>
      </c>
      <c r="B6" t="str">
        <f>Table11[[#This Row],[Representative]]</f>
        <v>Brian Lusnia</v>
      </c>
      <c r="C6" t="str">
        <f>Table11[[#This Row],[Contract Name]]</f>
        <v>Brian Lusnia</v>
      </c>
      <c r="D6" t="str">
        <f>Table11[[#This Row],[Status]]</f>
        <v>Out of Program</v>
      </c>
      <c r="E6" t="str">
        <f>Table11[[#This Row],[Contract Code]]</f>
        <v>US0003</v>
      </c>
      <c r="F6" s="16">
        <f>Table11[[#This Row],['#TreesContract]]</f>
        <v>1100</v>
      </c>
      <c r="G6" s="16">
        <f>Table11[[#This Row],['#Planted]]</f>
        <v>1100</v>
      </c>
      <c r="H6" s="16">
        <f>Table11[[#This Row],['#TreesContract]]*Table11[[#This Row],[USA Allocation %]]</f>
        <v>0</v>
      </c>
      <c r="I6" s="16">
        <f>Table11[[#This Row],['#Planted]]*Table11[[#This Row],[USA Allocation %]]</f>
        <v>0</v>
      </c>
      <c r="J6" s="16">
        <f>Table11[[#This Row],[Contract Amendment]]*Table11[[#This Row],[USA Allocation %]]</f>
        <v>0</v>
      </c>
      <c r="K6" s="16">
        <f>Table11[[#This Row],['#Trees as of 12/31/23]]*Table11[[#This Row],[USA Allocation %]]</f>
        <v>0</v>
      </c>
      <c r="L6" s="16">
        <f>Table11[[#This Row],['#Replace 24]]*Table11[[#This Row],[USA Allocation %]]</f>
        <v>0</v>
      </c>
      <c r="M6" s="16">
        <f>IF(Table11[[#This Row],[Planting Year]]=2024,Table11['#Planted],0)</f>
        <v>0</v>
      </c>
      <c r="N6" s="16">
        <f>(Table11[[#This Row],[2024 '#Trees Inventory + Estimate]]*Table11[[#This Row],[USA Allocation %]])-SUM(Table37[[#This Row],['# Trees as of 12/31/23]:[New Trees/Planted in 2024]])</f>
        <v>0</v>
      </c>
      <c r="O6" s="16">
        <f>SUM(Table37[[#This Row],['# Trees as of 12/31/23]:[2024 Tree Losses]])</f>
        <v>0</v>
      </c>
      <c r="P6" s="16">
        <f>SUM(Table37[[#This Row],[Total Trees as of 12/31/24]]-Table37[[#This Row],['# Trees as of 12/31/23]])</f>
        <v>0</v>
      </c>
      <c r="Q6" s="16">
        <f>Table11[[#This Row],['#Total Replacements]]*Table11[[#This Row],[USA Allocation %]]</f>
        <v>0</v>
      </c>
      <c r="R6" s="16">
        <f>IF(Table37[[#This Row],['#Survival based on Inventory]]=0,Table37['#Survival based on Last Year Estimate],Table37['#Survival based on Inventory])</f>
        <v>0</v>
      </c>
      <c r="S6" s="16">
        <f>Table11[[#This Row],['#Planted]]*Table11[[#This Row],[USA Allocation %]]*Table11[[#This Row],[2024 Inventory Survival%-master]]</f>
        <v>0</v>
      </c>
      <c r="T6" s="16">
        <f>Table11[[#This Row],['#Planted]]*Table11[[#This Row],[USA Allocation %]]*Table11[[#This Row],[2024 Estimated Survival%]]</f>
        <v>0</v>
      </c>
      <c r="U6">
        <f>Table11[[#This Row],[ETP Year]]</f>
        <v>2015</v>
      </c>
      <c r="V6">
        <f>Table11[[#This Row],[Planting Year]]</f>
        <v>2016</v>
      </c>
      <c r="W6" s="8">
        <f>Table11[[#This Row],[Survival% as of 12/31/23]]</f>
        <v>0</v>
      </c>
      <c r="X6" s="7">
        <f>Table11[[#This Row],[ETP'#s]]</f>
        <v>1</v>
      </c>
    </row>
    <row r="7" spans="1:24" x14ac:dyDescent="0.25">
      <c r="A7">
        <f>Table11[[#This Row],[Farmer'#]]</f>
        <v>10004</v>
      </c>
      <c r="B7" t="str">
        <f>Table11[[#This Row],[Representative]]</f>
        <v>David Smith</v>
      </c>
      <c r="C7" t="str">
        <f>Table11[[#This Row],[Contract Name]]</f>
        <v>David Smith</v>
      </c>
      <c r="D7" t="str">
        <f>Table11[[#This Row],[Status]]</f>
        <v>Active</v>
      </c>
      <c r="E7" t="str">
        <f>Table11[[#This Row],[Contract Code]]</f>
        <v>US0006</v>
      </c>
      <c r="F7" s="16">
        <f>Table11[[#This Row],['#TreesContract]]</f>
        <v>2200</v>
      </c>
      <c r="G7" s="16">
        <f>Table11[[#This Row],['#Planted]]</f>
        <v>2200</v>
      </c>
      <c r="H7" s="16">
        <f>Table11[[#This Row],['#TreesContract]]*Table11[[#This Row],[USA Allocation %]]</f>
        <v>0</v>
      </c>
      <c r="I7" s="16">
        <f>Table11[[#This Row],['#Planted]]*Table11[[#This Row],[USA Allocation %]]</f>
        <v>0</v>
      </c>
      <c r="J7" s="16">
        <f>Table11[[#This Row],[Contract Amendment]]*Table11[[#This Row],[USA Allocation %]]</f>
        <v>0</v>
      </c>
      <c r="K7" s="16">
        <f>Table11[[#This Row],['#Trees as of 12/31/23]]*Table11[[#This Row],[USA Allocation %]]</f>
        <v>0</v>
      </c>
      <c r="L7" s="16">
        <f>Table11[[#This Row],['#Replace 24]]*Table11[[#This Row],[USA Allocation %]]</f>
        <v>0</v>
      </c>
      <c r="M7" s="16">
        <f>IF(Table11[[#This Row],[Planting Year]]=2024,Table11['#Planted],0)</f>
        <v>0</v>
      </c>
      <c r="N7" s="16">
        <f>(Table11[[#This Row],[2024 '#Trees Inventory + Estimate]]*Table11[[#This Row],[USA Allocation %]])-SUM(Table37[[#This Row],['# Trees as of 12/31/23]:[New Trees/Planted in 2024]])</f>
        <v>0</v>
      </c>
      <c r="O7" s="16">
        <f>SUM(Table37[[#This Row],['# Trees as of 12/31/23]:[2024 Tree Losses]])</f>
        <v>0</v>
      </c>
      <c r="P7" s="16">
        <f>SUM(Table37[[#This Row],[Total Trees as of 12/31/24]]-Table37[[#This Row],['# Trees as of 12/31/23]])</f>
        <v>0</v>
      </c>
      <c r="Q7" s="16">
        <f>Table11[[#This Row],['#Total Replacements]]*Table11[[#This Row],[USA Allocation %]]</f>
        <v>0</v>
      </c>
      <c r="R7" s="16">
        <f>IF(Table37[[#This Row],['#Survival based on Inventory]]=0,Table37['#Survival based on Last Year Estimate],Table37['#Survival based on Inventory])</f>
        <v>0</v>
      </c>
      <c r="S7" s="16">
        <f>Table11[[#This Row],['#Planted]]*Table11[[#This Row],[USA Allocation %]]*Table11[[#This Row],[2024 Inventory Survival%-master]]</f>
        <v>0</v>
      </c>
      <c r="T7" s="16">
        <f>Table11[[#This Row],['#Planted]]*Table11[[#This Row],[USA Allocation %]]*Table11[[#This Row],[2024 Estimated Survival%]]</f>
        <v>0</v>
      </c>
      <c r="U7">
        <f>Table11[[#This Row],[ETP Year]]</f>
        <v>2015</v>
      </c>
      <c r="V7">
        <f>Table11[[#This Row],[Planting Year]]</f>
        <v>2016</v>
      </c>
      <c r="W7" s="8">
        <f>Table11[[#This Row],[Survival% as of 12/31/23]]</f>
        <v>0.91650284090909095</v>
      </c>
      <c r="X7" s="7">
        <f>Table11[[#This Row],[ETP'#s]]</f>
        <v>1</v>
      </c>
    </row>
    <row r="8" spans="1:24" x14ac:dyDescent="0.25">
      <c r="A8">
        <f>Table11[[#This Row],[Farmer'#]]</f>
        <v>10005</v>
      </c>
      <c r="B8" t="str">
        <f>Table11[[#This Row],[Representative]]</f>
        <v>Dennis Stoltzfoos</v>
      </c>
      <c r="C8" t="str">
        <f>Table11[[#This Row],[Contract Name]]</f>
        <v>Dennis Stoltzfoos</v>
      </c>
      <c r="D8" t="str">
        <f>Table11[[#This Row],[Status]]</f>
        <v>Out of Program</v>
      </c>
      <c r="E8" t="str">
        <f>Table11[[#This Row],[Contract Code]]</f>
        <v>US0007</v>
      </c>
      <c r="F8" s="16">
        <f>Table11[[#This Row],['#TreesContract]]</f>
        <v>1100</v>
      </c>
      <c r="G8" s="16">
        <f>Table11[[#This Row],['#Planted]]</f>
        <v>1100</v>
      </c>
      <c r="H8" s="16">
        <f>Table11[[#This Row],['#TreesContract]]*Table11[[#This Row],[USA Allocation %]]</f>
        <v>0</v>
      </c>
      <c r="I8" s="16">
        <f>Table11[[#This Row],['#Planted]]*Table11[[#This Row],[USA Allocation %]]</f>
        <v>0</v>
      </c>
      <c r="J8" s="16">
        <f>Table11[[#This Row],[Contract Amendment]]*Table11[[#This Row],[USA Allocation %]]</f>
        <v>0</v>
      </c>
      <c r="K8" s="16">
        <f>Table11[[#This Row],['#Trees as of 12/31/23]]*Table11[[#This Row],[USA Allocation %]]</f>
        <v>0</v>
      </c>
      <c r="L8" s="16">
        <f>Table11[[#This Row],['#Replace 24]]*Table11[[#This Row],[USA Allocation %]]</f>
        <v>0</v>
      </c>
      <c r="M8" s="16">
        <f>IF(Table11[[#This Row],[Planting Year]]=2024,Table11['#Planted],0)</f>
        <v>0</v>
      </c>
      <c r="N8" s="16">
        <f>(Table11[[#This Row],[2024 '#Trees Inventory + Estimate]]*Table11[[#This Row],[USA Allocation %]])-SUM(Table37[[#This Row],['# Trees as of 12/31/23]:[New Trees/Planted in 2024]])</f>
        <v>0</v>
      </c>
      <c r="O8" s="16">
        <f>SUM(Table37[[#This Row],['# Trees as of 12/31/23]:[2024 Tree Losses]])</f>
        <v>0</v>
      </c>
      <c r="P8" s="16">
        <f>SUM(Table37[[#This Row],[Total Trees as of 12/31/24]]-Table37[[#This Row],['# Trees as of 12/31/23]])</f>
        <v>0</v>
      </c>
      <c r="Q8" s="16">
        <f>Table11[[#This Row],['#Total Replacements]]*Table11[[#This Row],[USA Allocation %]]</f>
        <v>0</v>
      </c>
      <c r="R8" s="16">
        <f>IF(Table37[[#This Row],['#Survival based on Inventory]]=0,Table37['#Survival based on Last Year Estimate],Table37['#Survival based on Inventory])</f>
        <v>0</v>
      </c>
      <c r="S8" s="16">
        <f>Table11[[#This Row],['#Planted]]*Table11[[#This Row],[USA Allocation %]]*Table11[[#This Row],[2024 Inventory Survival%-master]]</f>
        <v>0</v>
      </c>
      <c r="T8" s="16">
        <f>Table11[[#This Row],['#Planted]]*Table11[[#This Row],[USA Allocation %]]*Table11[[#This Row],[2024 Estimated Survival%]]</f>
        <v>0</v>
      </c>
      <c r="U8">
        <f>Table11[[#This Row],[ETP Year]]</f>
        <v>2015</v>
      </c>
      <c r="V8">
        <f>Table11[[#This Row],[Planting Year]]</f>
        <v>2016</v>
      </c>
      <c r="W8" s="8">
        <f>Table11[[#This Row],[Survival% as of 12/31/23]]</f>
        <v>0</v>
      </c>
      <c r="X8" s="7">
        <f>Table11[[#This Row],[ETP'#s]]</f>
        <v>1</v>
      </c>
    </row>
    <row r="9" spans="1:24" x14ac:dyDescent="0.25">
      <c r="A9">
        <f>Table11[[#This Row],[Farmer'#]]</f>
        <v>10006</v>
      </c>
      <c r="B9" t="str">
        <f>Table11[[#This Row],[Representative]]</f>
        <v>Eugene Martens</v>
      </c>
      <c r="C9" t="str">
        <f>Table11[[#This Row],[Contract Name]]</f>
        <v>Eugene Martens</v>
      </c>
      <c r="D9" t="str">
        <f>Table11[[#This Row],[Status]]</f>
        <v>Active</v>
      </c>
      <c r="E9" t="str">
        <f>Table11[[#This Row],[Contract Code]]</f>
        <v>US0008</v>
      </c>
      <c r="F9" s="16">
        <f>Table11[[#This Row],['#TreesContract]]</f>
        <v>800</v>
      </c>
      <c r="G9" s="16">
        <f>Table11[[#This Row],['#Planted]]</f>
        <v>800</v>
      </c>
      <c r="H9" s="16">
        <f>Table11[[#This Row],['#TreesContract]]*Table11[[#This Row],[USA Allocation %]]</f>
        <v>0</v>
      </c>
      <c r="I9" s="16">
        <f>Table11[[#This Row],['#Planted]]*Table11[[#This Row],[USA Allocation %]]</f>
        <v>0</v>
      </c>
      <c r="J9" s="16">
        <f>Table11[[#This Row],[Contract Amendment]]*Table11[[#This Row],[USA Allocation %]]</f>
        <v>0</v>
      </c>
      <c r="K9" s="16">
        <f>Table11[[#This Row],['#Trees as of 12/31/23]]*Table11[[#This Row],[USA Allocation %]]</f>
        <v>0</v>
      </c>
      <c r="L9" s="16">
        <f>Table11[[#This Row],['#Replace 24]]*Table11[[#This Row],[USA Allocation %]]</f>
        <v>0</v>
      </c>
      <c r="M9" s="16">
        <f>IF(Table11[[#This Row],[Planting Year]]=2024,Table11['#Planted],0)</f>
        <v>0</v>
      </c>
      <c r="N9" s="16">
        <f>(Table11[[#This Row],[2024 '#Trees Inventory + Estimate]]*Table11[[#This Row],[USA Allocation %]])-SUM(Table37[[#This Row],['# Trees as of 12/31/23]:[New Trees/Planted in 2024]])</f>
        <v>0</v>
      </c>
      <c r="O9" s="16">
        <f>SUM(Table37[[#This Row],['# Trees as of 12/31/23]:[2024 Tree Losses]])</f>
        <v>0</v>
      </c>
      <c r="P9" s="16">
        <f>SUM(Table37[[#This Row],[Total Trees as of 12/31/24]]-Table37[[#This Row],['# Trees as of 12/31/23]])</f>
        <v>0</v>
      </c>
      <c r="Q9" s="16">
        <f>Table11[[#This Row],['#Total Replacements]]*Table11[[#This Row],[USA Allocation %]]</f>
        <v>0</v>
      </c>
      <c r="R9" s="16">
        <f>IF(Table37[[#This Row],['#Survival based on Inventory]]=0,Table37['#Survival based on Last Year Estimate],Table37['#Survival based on Inventory])</f>
        <v>0</v>
      </c>
      <c r="S9" s="16">
        <f>Table11[[#This Row],['#Planted]]*Table11[[#This Row],[USA Allocation %]]*Table11[[#This Row],[2024 Inventory Survival%-master]]</f>
        <v>0</v>
      </c>
      <c r="T9" s="16">
        <f>Table11[[#This Row],['#Planted]]*Table11[[#This Row],[USA Allocation %]]*Table11[[#This Row],[2024 Estimated Survival%]]</f>
        <v>0</v>
      </c>
      <c r="U9">
        <f>Table11[[#This Row],[ETP Year]]</f>
        <v>2015</v>
      </c>
      <c r="V9">
        <f>Table11[[#This Row],[Planting Year]]</f>
        <v>2016</v>
      </c>
      <c r="W9" s="8">
        <f>Table11[[#This Row],[Survival% as of 12/31/23]]</f>
        <v>0.86235416666666664</v>
      </c>
      <c r="X9" s="7">
        <f>Table11[[#This Row],[ETP'#s]]</f>
        <v>1</v>
      </c>
    </row>
    <row r="10" spans="1:24" x14ac:dyDescent="0.25">
      <c r="A10">
        <f>Table11[[#This Row],[Farmer'#]]</f>
        <v>10007</v>
      </c>
      <c r="B10" t="str">
        <f>Table11[[#This Row],[Representative]]</f>
        <v>Jay Ridings</v>
      </c>
      <c r="C10" t="str">
        <f>Table11[[#This Row],[Contract Name]]</f>
        <v>Jay Ridings</v>
      </c>
      <c r="D10" t="str">
        <f>Table11[[#This Row],[Status]]</f>
        <v>RFT</v>
      </c>
      <c r="E10" t="str">
        <f>Table11[[#This Row],[Contract Code]]</f>
        <v>US0009</v>
      </c>
      <c r="F10" s="16">
        <f>Table11[[#This Row],['#TreesContract]]</f>
        <v>1650</v>
      </c>
      <c r="G10" s="16">
        <f>Table11[[#This Row],['#Planted]]</f>
        <v>1650</v>
      </c>
      <c r="H10" s="16">
        <f>Table11[[#This Row],['#TreesContract]]*Table11[[#This Row],[USA Allocation %]]</f>
        <v>0</v>
      </c>
      <c r="I10" s="16">
        <f>Table11[[#This Row],['#Planted]]*Table11[[#This Row],[USA Allocation %]]</f>
        <v>0</v>
      </c>
      <c r="J10" s="16">
        <f>Table11[[#This Row],[Contract Amendment]]*Table11[[#This Row],[USA Allocation %]]</f>
        <v>0</v>
      </c>
      <c r="K10" s="16">
        <f>Table11[[#This Row],['#Trees as of 12/31/23]]*Table11[[#This Row],[USA Allocation %]]</f>
        <v>0</v>
      </c>
      <c r="L10" s="16">
        <f>Table11[[#This Row],['#Replace 24]]*Table11[[#This Row],[USA Allocation %]]</f>
        <v>0</v>
      </c>
      <c r="M10" s="16">
        <f>IF(Table11[[#This Row],[Planting Year]]=2024,Table11['#Planted],0)</f>
        <v>0</v>
      </c>
      <c r="N10" s="16">
        <f>(Table11[[#This Row],[2024 '#Trees Inventory + Estimate]]*Table11[[#This Row],[USA Allocation %]])-SUM(Table37[[#This Row],['# Trees as of 12/31/23]:[New Trees/Planted in 2024]])</f>
        <v>0</v>
      </c>
      <c r="O10" s="16">
        <f>SUM(Table37[[#This Row],['# Trees as of 12/31/23]:[2024 Tree Losses]])</f>
        <v>0</v>
      </c>
      <c r="P10" s="16">
        <f>SUM(Table37[[#This Row],[Total Trees as of 12/31/24]]-Table37[[#This Row],['# Trees as of 12/31/23]])</f>
        <v>0</v>
      </c>
      <c r="Q10" s="16">
        <f>Table11[[#This Row],['#Total Replacements]]*Table11[[#This Row],[USA Allocation %]]</f>
        <v>0</v>
      </c>
      <c r="R10" s="16">
        <f>IF(Table37[[#This Row],['#Survival based on Inventory]]=0,Table37['#Survival based on Last Year Estimate],Table37['#Survival based on Inventory])</f>
        <v>0</v>
      </c>
      <c r="S10" s="16">
        <f>Table11[[#This Row],['#Planted]]*Table11[[#This Row],[USA Allocation %]]*Table11[[#This Row],[2024 Inventory Survival%-master]]</f>
        <v>0</v>
      </c>
      <c r="T10" s="16">
        <f>Table11[[#This Row],['#Planted]]*Table11[[#This Row],[USA Allocation %]]*Table11[[#This Row],[2024 Estimated Survival%]]</f>
        <v>0</v>
      </c>
      <c r="U10">
        <f>Table11[[#This Row],[ETP Year]]</f>
        <v>2015</v>
      </c>
      <c r="V10">
        <f>Table11[[#This Row],[Planting Year]]</f>
        <v>2016</v>
      </c>
      <c r="W10" s="8">
        <f>Table11[[#This Row],[Survival% as of 12/31/23]]</f>
        <v>0.27768595041322308</v>
      </c>
      <c r="X10" s="7">
        <f>Table11[[#This Row],[ETP'#s]]</f>
        <v>1</v>
      </c>
    </row>
    <row r="11" spans="1:24" x14ac:dyDescent="0.25">
      <c r="A11">
        <f>Table11[[#This Row],[Farmer'#]]</f>
        <v>10008</v>
      </c>
      <c r="B11" t="str">
        <f>Table11[[#This Row],[Representative]]</f>
        <v>Jonathan Walker</v>
      </c>
      <c r="C11" t="str">
        <f>Table11[[#This Row],[Contract Name]]</f>
        <v>Jonathan Walker</v>
      </c>
      <c r="D11" t="str">
        <f>Table11[[#This Row],[Status]]</f>
        <v>Out of Program</v>
      </c>
      <c r="E11" t="str">
        <f>Table11[[#This Row],[Contract Code]]</f>
        <v>US0010</v>
      </c>
      <c r="F11" s="16">
        <f>Table11[[#This Row],['#TreesContract]]</f>
        <v>550</v>
      </c>
      <c r="G11" s="16">
        <f>Table11[[#This Row],['#Planted]]</f>
        <v>550</v>
      </c>
      <c r="H11" s="16">
        <f>Table11[[#This Row],['#TreesContract]]*Table11[[#This Row],[USA Allocation %]]</f>
        <v>0</v>
      </c>
      <c r="I11" s="16">
        <f>Table11[[#This Row],['#Planted]]*Table11[[#This Row],[USA Allocation %]]</f>
        <v>0</v>
      </c>
      <c r="J11" s="16">
        <f>Table11[[#This Row],[Contract Amendment]]*Table11[[#This Row],[USA Allocation %]]</f>
        <v>0</v>
      </c>
      <c r="K11" s="16">
        <f>Table11[[#This Row],['#Trees as of 12/31/23]]*Table11[[#This Row],[USA Allocation %]]</f>
        <v>0</v>
      </c>
      <c r="L11" s="16">
        <f>Table11[[#This Row],['#Replace 24]]*Table11[[#This Row],[USA Allocation %]]</f>
        <v>0</v>
      </c>
      <c r="M11" s="16">
        <f>IF(Table11[[#This Row],[Planting Year]]=2024,Table11['#Planted],0)</f>
        <v>0</v>
      </c>
      <c r="N11" s="16">
        <f>(Table11[[#This Row],[2024 '#Trees Inventory + Estimate]]*Table11[[#This Row],[USA Allocation %]])-SUM(Table37[[#This Row],['# Trees as of 12/31/23]:[New Trees/Planted in 2024]])</f>
        <v>0</v>
      </c>
      <c r="O11" s="16">
        <f>SUM(Table37[[#This Row],['# Trees as of 12/31/23]:[2024 Tree Losses]])</f>
        <v>0</v>
      </c>
      <c r="P11" s="16">
        <f>SUM(Table37[[#This Row],[Total Trees as of 12/31/24]]-Table37[[#This Row],['# Trees as of 12/31/23]])</f>
        <v>0</v>
      </c>
      <c r="Q11" s="16">
        <f>Table11[[#This Row],['#Total Replacements]]*Table11[[#This Row],[USA Allocation %]]</f>
        <v>0</v>
      </c>
      <c r="R11" s="16">
        <f>IF(Table37[[#This Row],['#Survival based on Inventory]]=0,Table37['#Survival based on Last Year Estimate],Table37['#Survival based on Inventory])</f>
        <v>0</v>
      </c>
      <c r="S11" s="16">
        <f>Table11[[#This Row],['#Planted]]*Table11[[#This Row],[USA Allocation %]]*Table11[[#This Row],[2024 Inventory Survival%-master]]</f>
        <v>0</v>
      </c>
      <c r="T11" s="16">
        <f>Table11[[#This Row],['#Planted]]*Table11[[#This Row],[USA Allocation %]]*Table11[[#This Row],[2024 Estimated Survival%]]</f>
        <v>0</v>
      </c>
      <c r="U11">
        <f>Table11[[#This Row],[ETP Year]]</f>
        <v>2015</v>
      </c>
      <c r="V11">
        <f>Table11[[#This Row],[Planting Year]]</f>
        <v>2016</v>
      </c>
      <c r="W11" s="8">
        <f>Table11[[#This Row],[Survival% as of 12/31/23]]</f>
        <v>0</v>
      </c>
      <c r="X11" s="7">
        <f>Table11[[#This Row],[ETP'#s]]</f>
        <v>1</v>
      </c>
    </row>
    <row r="12" spans="1:24" x14ac:dyDescent="0.25">
      <c r="A12">
        <f>Table11[[#This Row],[Farmer'#]]</f>
        <v>10009</v>
      </c>
      <c r="B12" t="str">
        <f>Table11[[#This Row],[Representative]]</f>
        <v>Joseph Hostetler</v>
      </c>
      <c r="C12" t="str">
        <f>Table11[[#This Row],[Contract Name]]</f>
        <v>Joseph Hostetler</v>
      </c>
      <c r="D12" t="str">
        <f>Table11[[#This Row],[Status]]</f>
        <v>Active</v>
      </c>
      <c r="E12" t="str">
        <f>Table11[[#This Row],[Contract Code]]</f>
        <v>US0011</v>
      </c>
      <c r="F12" s="16">
        <f>Table11[[#This Row],['#TreesContract]]</f>
        <v>1295</v>
      </c>
      <c r="G12" s="16">
        <f>Table11[[#This Row],['#Planted]]</f>
        <v>1295</v>
      </c>
      <c r="H12" s="16">
        <f>Table11[[#This Row],['#TreesContract]]*Table11[[#This Row],[USA Allocation %]]</f>
        <v>0</v>
      </c>
      <c r="I12" s="16">
        <f>Table11[[#This Row],['#Planted]]*Table11[[#This Row],[USA Allocation %]]</f>
        <v>0</v>
      </c>
      <c r="J12" s="16">
        <f>Table11[[#This Row],[Contract Amendment]]*Table11[[#This Row],[USA Allocation %]]</f>
        <v>0</v>
      </c>
      <c r="K12" s="16">
        <f>Table11[[#This Row],['#Trees as of 12/31/23]]*Table11[[#This Row],[USA Allocation %]]</f>
        <v>0</v>
      </c>
      <c r="L12" s="16">
        <f>Table11[[#This Row],['#Replace 24]]*Table11[[#This Row],[USA Allocation %]]</f>
        <v>0</v>
      </c>
      <c r="M12" s="16">
        <f>IF(Table11[[#This Row],[Planting Year]]=2024,Table11['#Planted],0)</f>
        <v>0</v>
      </c>
      <c r="N12" s="16">
        <f>(Table11[[#This Row],[2024 '#Trees Inventory + Estimate]]*Table11[[#This Row],[USA Allocation %]])-SUM(Table37[[#This Row],['# Trees as of 12/31/23]:[New Trees/Planted in 2024]])</f>
        <v>0</v>
      </c>
      <c r="O12" s="16">
        <f>SUM(Table37[[#This Row],['# Trees as of 12/31/23]:[2024 Tree Losses]])</f>
        <v>0</v>
      </c>
      <c r="P12" s="16">
        <f>SUM(Table37[[#This Row],[Total Trees as of 12/31/24]]-Table37[[#This Row],['# Trees as of 12/31/23]])</f>
        <v>0</v>
      </c>
      <c r="Q12" s="16">
        <f>Table11[[#This Row],['#Total Replacements]]*Table11[[#This Row],[USA Allocation %]]</f>
        <v>0</v>
      </c>
      <c r="R12" s="16">
        <f>IF(Table37[[#This Row],['#Survival based on Inventory]]=0,Table37['#Survival based on Last Year Estimate],Table37['#Survival based on Inventory])</f>
        <v>0</v>
      </c>
      <c r="S12" s="16">
        <f>Table11[[#This Row],['#Planted]]*Table11[[#This Row],[USA Allocation %]]*Table11[[#This Row],[2024 Inventory Survival%-master]]</f>
        <v>0</v>
      </c>
      <c r="T12" s="16">
        <f>Table11[[#This Row],['#Planted]]*Table11[[#This Row],[USA Allocation %]]*Table11[[#This Row],[2024 Estimated Survival%]]</f>
        <v>0</v>
      </c>
      <c r="U12">
        <f>Table11[[#This Row],[ETP Year]]</f>
        <v>2015</v>
      </c>
      <c r="V12">
        <f>Table11[[#This Row],[Planting Year]]</f>
        <v>2016</v>
      </c>
      <c r="W12" s="8">
        <f>Table11[[#This Row],[Survival% as of 12/31/23]]</f>
        <v>0.12183612183612186</v>
      </c>
      <c r="X12" s="7">
        <f>Table11[[#This Row],[ETP'#s]]</f>
        <v>1</v>
      </c>
    </row>
    <row r="13" spans="1:24" x14ac:dyDescent="0.25">
      <c r="A13">
        <f>Table11[[#This Row],[Farmer'#]]</f>
        <v>10010</v>
      </c>
      <c r="B13" t="str">
        <f>Table11[[#This Row],[Representative]]</f>
        <v>Loretta Adderson</v>
      </c>
      <c r="C13" t="str">
        <f>Table11[[#This Row],[Contract Name]]</f>
        <v>Loretta Adderson</v>
      </c>
      <c r="D13" t="str">
        <f>Table11[[#This Row],[Status]]</f>
        <v>Out of Program</v>
      </c>
      <c r="E13" t="str">
        <f>Table11[[#This Row],[Contract Code]]</f>
        <v>US0012</v>
      </c>
      <c r="F13" s="16">
        <f>Table11[[#This Row],['#TreesContract]]</f>
        <v>2200</v>
      </c>
      <c r="G13" s="16">
        <f>Table11[[#This Row],['#Planted]]</f>
        <v>2200</v>
      </c>
      <c r="H13" s="16">
        <f>Table11[[#This Row],['#TreesContract]]*Table11[[#This Row],[USA Allocation %]]</f>
        <v>0</v>
      </c>
      <c r="I13" s="16">
        <f>Table11[[#This Row],['#Planted]]*Table11[[#This Row],[USA Allocation %]]</f>
        <v>0</v>
      </c>
      <c r="J13" s="16">
        <f>Table11[[#This Row],[Contract Amendment]]*Table11[[#This Row],[USA Allocation %]]</f>
        <v>0</v>
      </c>
      <c r="K13" s="16">
        <f>Table11[[#This Row],['#Trees as of 12/31/23]]*Table11[[#This Row],[USA Allocation %]]</f>
        <v>0</v>
      </c>
      <c r="L13" s="16">
        <f>Table11[[#This Row],['#Replace 24]]*Table11[[#This Row],[USA Allocation %]]</f>
        <v>0</v>
      </c>
      <c r="M13" s="16">
        <f>IF(Table11[[#This Row],[Planting Year]]=2024,Table11['#Planted],0)</f>
        <v>0</v>
      </c>
      <c r="N13" s="16">
        <f>(Table11[[#This Row],[2024 '#Trees Inventory + Estimate]]*Table11[[#This Row],[USA Allocation %]])-SUM(Table37[[#This Row],['# Trees as of 12/31/23]:[New Trees/Planted in 2024]])</f>
        <v>0</v>
      </c>
      <c r="O13" s="16">
        <f>SUM(Table37[[#This Row],['# Trees as of 12/31/23]:[2024 Tree Losses]])</f>
        <v>0</v>
      </c>
      <c r="P13" s="16">
        <f>SUM(Table37[[#This Row],[Total Trees as of 12/31/24]]-Table37[[#This Row],['# Trees as of 12/31/23]])</f>
        <v>0</v>
      </c>
      <c r="Q13" s="16">
        <f>Table11[[#This Row],['#Total Replacements]]*Table11[[#This Row],[USA Allocation %]]</f>
        <v>0</v>
      </c>
      <c r="R13" s="16">
        <f>IF(Table37[[#This Row],['#Survival based on Inventory]]=0,Table37['#Survival based on Last Year Estimate],Table37['#Survival based on Inventory])</f>
        <v>0</v>
      </c>
      <c r="S13" s="16">
        <f>Table11[[#This Row],['#Planted]]*Table11[[#This Row],[USA Allocation %]]*Table11[[#This Row],[2024 Inventory Survival%-master]]</f>
        <v>0</v>
      </c>
      <c r="T13" s="16">
        <f>Table11[[#This Row],['#Planted]]*Table11[[#This Row],[USA Allocation %]]*Table11[[#This Row],[2024 Estimated Survival%]]</f>
        <v>0</v>
      </c>
      <c r="U13">
        <f>Table11[[#This Row],[ETP Year]]</f>
        <v>2015</v>
      </c>
      <c r="V13">
        <f>Table11[[#This Row],[Planting Year]]</f>
        <v>2016</v>
      </c>
      <c r="W13" s="8">
        <f>Table11[[#This Row],[Survival% as of 12/31/23]]</f>
        <v>0</v>
      </c>
      <c r="X13" s="7">
        <f>Table11[[#This Row],[ETP'#s]]</f>
        <v>1</v>
      </c>
    </row>
    <row r="14" spans="1:24" x14ac:dyDescent="0.25">
      <c r="A14">
        <f>Table11[[#This Row],[Farmer'#]]</f>
        <v>10011</v>
      </c>
      <c r="B14" t="str">
        <f>Table11[[#This Row],[Representative]]</f>
        <v>Nolan Bradford</v>
      </c>
      <c r="C14" t="str">
        <f>Table11[[#This Row],[Contract Name]]</f>
        <v>Nolan Bradford</v>
      </c>
      <c r="D14" t="str">
        <f>Table11[[#This Row],[Status]]</f>
        <v>Out of Program</v>
      </c>
      <c r="E14" t="str">
        <f>Table11[[#This Row],[Contract Code]]</f>
        <v>US0013</v>
      </c>
      <c r="F14" s="16">
        <f>Table11[[#This Row],['#TreesContract]]</f>
        <v>550</v>
      </c>
      <c r="G14" s="16">
        <f>Table11[[#This Row],['#Planted]]</f>
        <v>550</v>
      </c>
      <c r="H14" s="16">
        <f>Table11[[#This Row],['#TreesContract]]*Table11[[#This Row],[USA Allocation %]]</f>
        <v>0</v>
      </c>
      <c r="I14" s="16">
        <f>Table11[[#This Row],['#Planted]]*Table11[[#This Row],[USA Allocation %]]</f>
        <v>0</v>
      </c>
      <c r="J14" s="16">
        <f>Table11[[#This Row],[Contract Amendment]]*Table11[[#This Row],[USA Allocation %]]</f>
        <v>0</v>
      </c>
      <c r="K14" s="16">
        <f>Table11[[#This Row],['#Trees as of 12/31/23]]*Table11[[#This Row],[USA Allocation %]]</f>
        <v>0</v>
      </c>
      <c r="L14" s="16">
        <f>Table11[[#This Row],['#Replace 24]]*Table11[[#This Row],[USA Allocation %]]</f>
        <v>0</v>
      </c>
      <c r="M14" s="16">
        <f>IF(Table11[[#This Row],[Planting Year]]=2024,Table11['#Planted],0)</f>
        <v>0</v>
      </c>
      <c r="N14" s="16">
        <f>(Table11[[#This Row],[2024 '#Trees Inventory + Estimate]]*Table11[[#This Row],[USA Allocation %]])-SUM(Table37[[#This Row],['# Trees as of 12/31/23]:[New Trees/Planted in 2024]])</f>
        <v>0</v>
      </c>
      <c r="O14" s="16">
        <f>SUM(Table37[[#This Row],['# Trees as of 12/31/23]:[2024 Tree Losses]])</f>
        <v>0</v>
      </c>
      <c r="P14" s="16">
        <f>SUM(Table37[[#This Row],[Total Trees as of 12/31/24]]-Table37[[#This Row],['# Trees as of 12/31/23]])</f>
        <v>0</v>
      </c>
      <c r="Q14" s="16">
        <f>Table11[[#This Row],['#Total Replacements]]*Table11[[#This Row],[USA Allocation %]]</f>
        <v>0</v>
      </c>
      <c r="R14" s="16">
        <f>IF(Table37[[#This Row],['#Survival based on Inventory]]=0,Table37['#Survival based on Last Year Estimate],Table37['#Survival based on Inventory])</f>
        <v>0</v>
      </c>
      <c r="S14" s="16">
        <f>Table11[[#This Row],['#Planted]]*Table11[[#This Row],[USA Allocation %]]*Table11[[#This Row],[2024 Inventory Survival%-master]]</f>
        <v>0</v>
      </c>
      <c r="T14" s="16">
        <f>Table11[[#This Row],['#Planted]]*Table11[[#This Row],[USA Allocation %]]*Table11[[#This Row],[2024 Estimated Survival%]]</f>
        <v>0</v>
      </c>
      <c r="U14">
        <f>Table11[[#This Row],[ETP Year]]</f>
        <v>2015</v>
      </c>
      <c r="V14">
        <f>Table11[[#This Row],[Planting Year]]</f>
        <v>2016</v>
      </c>
      <c r="W14" s="8">
        <f>Table11[[#This Row],[Survival% as of 12/31/23]]</f>
        <v>0</v>
      </c>
      <c r="X14" s="7">
        <f>Table11[[#This Row],[ETP'#s]]</f>
        <v>1</v>
      </c>
    </row>
    <row r="15" spans="1:24" x14ac:dyDescent="0.25">
      <c r="A15">
        <f>Table11[[#This Row],[Farmer'#]]</f>
        <v>10012</v>
      </c>
      <c r="B15" t="str">
        <f>Table11[[#This Row],[Representative]]</f>
        <v>Wayne Owen</v>
      </c>
      <c r="C15" t="str">
        <f>Table11[[#This Row],[Contract Name]]</f>
        <v>Todd H Owen</v>
      </c>
      <c r="D15" t="str">
        <f>Table11[[#This Row],[Status]]</f>
        <v>Active</v>
      </c>
      <c r="E15" t="str">
        <f>Table11[[#This Row],[Contract Code]]</f>
        <v>US0014</v>
      </c>
      <c r="F15" s="16">
        <f>Table11[[#This Row],['#TreesContract]]</f>
        <v>660</v>
      </c>
      <c r="G15" s="16">
        <f>Table11[[#This Row],['#Planted]]</f>
        <v>660</v>
      </c>
      <c r="H15" s="16">
        <f>Table11[[#This Row],['#TreesContract]]*Table11[[#This Row],[USA Allocation %]]</f>
        <v>0</v>
      </c>
      <c r="I15" s="16">
        <f>Table11[[#This Row],['#Planted]]*Table11[[#This Row],[USA Allocation %]]</f>
        <v>0</v>
      </c>
      <c r="J15" s="16">
        <f>Table11[[#This Row],[Contract Amendment]]*Table11[[#This Row],[USA Allocation %]]</f>
        <v>0</v>
      </c>
      <c r="K15" s="16">
        <f>Table11[[#This Row],['#Trees as of 12/31/23]]*Table11[[#This Row],[USA Allocation %]]</f>
        <v>0</v>
      </c>
      <c r="L15" s="16">
        <f>Table11[[#This Row],['#Replace 24]]*Table11[[#This Row],[USA Allocation %]]</f>
        <v>0</v>
      </c>
      <c r="M15" s="16">
        <f>IF(Table11[[#This Row],[Planting Year]]=2024,Table11['#Planted],0)</f>
        <v>0</v>
      </c>
      <c r="N15" s="16">
        <f>(Table11[[#This Row],[2024 '#Trees Inventory + Estimate]]*Table11[[#This Row],[USA Allocation %]])-SUM(Table37[[#This Row],['# Trees as of 12/31/23]:[New Trees/Planted in 2024]])</f>
        <v>0</v>
      </c>
      <c r="O15" s="16">
        <f>SUM(Table37[[#This Row],['# Trees as of 12/31/23]:[2024 Tree Losses]])</f>
        <v>0</v>
      </c>
      <c r="P15" s="16">
        <f>SUM(Table37[[#This Row],[Total Trees as of 12/31/24]]-Table37[[#This Row],['# Trees as of 12/31/23]])</f>
        <v>0</v>
      </c>
      <c r="Q15" s="16">
        <f>Table11[[#This Row],['#Total Replacements]]*Table11[[#This Row],[USA Allocation %]]</f>
        <v>0</v>
      </c>
      <c r="R15" s="16">
        <f>IF(Table37[[#This Row],['#Survival based on Inventory]]=0,Table37['#Survival based on Last Year Estimate],Table37['#Survival based on Inventory])</f>
        <v>0</v>
      </c>
      <c r="S15" s="16">
        <f>Table11[[#This Row],['#Planted]]*Table11[[#This Row],[USA Allocation %]]*Table11[[#This Row],[2024 Inventory Survival%-master]]</f>
        <v>0</v>
      </c>
      <c r="T15" s="16">
        <f>Table11[[#This Row],['#Planted]]*Table11[[#This Row],[USA Allocation %]]*Table11[[#This Row],[2024 Estimated Survival%]]</f>
        <v>0</v>
      </c>
      <c r="U15">
        <f>Table11[[#This Row],[ETP Year]]</f>
        <v>2015</v>
      </c>
      <c r="V15">
        <f>Table11[[#This Row],[Planting Year]]</f>
        <v>2016</v>
      </c>
      <c r="W15" s="8">
        <f>Table11[[#This Row],[Survival% as of 12/31/23]]</f>
        <v>1</v>
      </c>
      <c r="X15" s="7">
        <f>Table11[[#This Row],[ETP'#s]]</f>
        <v>1</v>
      </c>
    </row>
    <row r="16" spans="1:24" x14ac:dyDescent="0.25">
      <c r="A16">
        <f>Table11[[#This Row],[Farmer'#]]</f>
        <v>20001</v>
      </c>
      <c r="B16" t="str">
        <f>Table11[[#This Row],[Representative]]</f>
        <v>Cecilia Sanders</v>
      </c>
      <c r="C16" t="str">
        <f>Table11[[#This Row],[Contract Name]]</f>
        <v>Cecilia Castillo Umaña</v>
      </c>
      <c r="D16" t="str">
        <f>Table11[[#This Row],[Status]]</f>
        <v>Out of Program</v>
      </c>
      <c r="E16" t="str">
        <f>Table11[[#This Row],[Contract Code]]</f>
        <v>CR0001</v>
      </c>
      <c r="F16" s="16">
        <f>Table11[[#This Row],['#TreesContract]]</f>
        <v>1000</v>
      </c>
      <c r="G16" s="16">
        <f>Table11[[#This Row],['#Planted]]</f>
        <v>1000</v>
      </c>
      <c r="H16" s="16">
        <f>Table11[[#This Row],['#TreesContract]]*Table11[[#This Row],[USA Allocation %]]</f>
        <v>0</v>
      </c>
      <c r="I16" s="16">
        <f>Table11[[#This Row],['#Planted]]*Table11[[#This Row],[USA Allocation %]]</f>
        <v>0</v>
      </c>
      <c r="J16" s="16">
        <f>Table11[[#This Row],[Contract Amendment]]*Table11[[#This Row],[USA Allocation %]]</f>
        <v>0</v>
      </c>
      <c r="K16" s="16">
        <f>Table11[[#This Row],['#Trees as of 12/31/23]]*Table11[[#This Row],[USA Allocation %]]</f>
        <v>0</v>
      </c>
      <c r="L16" s="16">
        <f>Table11[[#This Row],['#Replace 24]]*Table11[[#This Row],[USA Allocation %]]</f>
        <v>0</v>
      </c>
      <c r="M16" s="16">
        <f>IF(Table11[[#This Row],[Planting Year]]=2024,Table11['#Planted],0)</f>
        <v>0</v>
      </c>
      <c r="N16" s="16">
        <f>(Table11[[#This Row],[2024 '#Trees Inventory + Estimate]]*Table11[[#This Row],[USA Allocation %]])-SUM(Table37[[#This Row],['# Trees as of 12/31/23]:[New Trees/Planted in 2024]])</f>
        <v>0</v>
      </c>
      <c r="O16" s="16">
        <f>SUM(Table37[[#This Row],['# Trees as of 12/31/23]:[2024 Tree Losses]])</f>
        <v>0</v>
      </c>
      <c r="P16" s="16">
        <f>SUM(Table37[[#This Row],[Total Trees as of 12/31/24]]-Table37[[#This Row],['# Trees as of 12/31/23]])</f>
        <v>0</v>
      </c>
      <c r="Q16" s="16">
        <f>Table11[[#This Row],['#Total Replacements]]*Table11[[#This Row],[USA Allocation %]]</f>
        <v>0</v>
      </c>
      <c r="R16" s="16">
        <f>IF(Table37[[#This Row],['#Survival based on Inventory]]=0,Table37['#Survival based on Last Year Estimate],Table37['#Survival based on Inventory])</f>
        <v>0</v>
      </c>
      <c r="S16" s="16">
        <f>Table11[[#This Row],['#Planted]]*Table11[[#This Row],[USA Allocation %]]*Table11[[#This Row],[2024 Inventory Survival%-master]]</f>
        <v>0</v>
      </c>
      <c r="T16" s="16">
        <f>Table11[[#This Row],['#Planted]]*Table11[[#This Row],[USA Allocation %]]*Table11[[#This Row],[2024 Estimated Survival%]]</f>
        <v>0</v>
      </c>
      <c r="U16">
        <f>Table11[[#This Row],[ETP Year]]</f>
        <v>2015</v>
      </c>
      <c r="V16">
        <f>Table11[[#This Row],[Planting Year]]</f>
        <v>2016</v>
      </c>
      <c r="W16" s="8">
        <f>Table11[[#This Row],[Survival% as of 12/31/23]]</f>
        <v>0</v>
      </c>
      <c r="X16" s="7">
        <f>Table11[[#This Row],[ETP'#s]]</f>
        <v>1</v>
      </c>
    </row>
    <row r="17" spans="1:24" x14ac:dyDescent="0.25">
      <c r="A17">
        <f>Table11[[#This Row],[Farmer'#]]</f>
        <v>20002</v>
      </c>
      <c r="B17" t="str">
        <f>Table11[[#This Row],[Representative]]</f>
        <v>Coopedota</v>
      </c>
      <c r="C17" t="str">
        <f>Table11[[#This Row],[Contract Name]]</f>
        <v>Coopedota</v>
      </c>
      <c r="D17" t="str">
        <f>Table11[[#This Row],[Status]]</f>
        <v>Out of Program</v>
      </c>
      <c r="E17" t="str">
        <f>Table11[[#This Row],[Contract Code]]</f>
        <v>CR0002</v>
      </c>
      <c r="F17" s="16">
        <f>Table11[[#This Row],['#TreesContract]]</f>
        <v>100</v>
      </c>
      <c r="G17" s="16">
        <f>Table11[[#This Row],['#Planted]]</f>
        <v>100</v>
      </c>
      <c r="H17" s="16">
        <f>Table11[[#This Row],['#TreesContract]]*Table11[[#This Row],[USA Allocation %]]</f>
        <v>0</v>
      </c>
      <c r="I17" s="16">
        <f>Table11[[#This Row],['#Planted]]*Table11[[#This Row],[USA Allocation %]]</f>
        <v>0</v>
      </c>
      <c r="J17" s="16">
        <f>Table11[[#This Row],[Contract Amendment]]*Table11[[#This Row],[USA Allocation %]]</f>
        <v>0</v>
      </c>
      <c r="K17" s="16">
        <f>Table11[[#This Row],['#Trees as of 12/31/23]]*Table11[[#This Row],[USA Allocation %]]</f>
        <v>0</v>
      </c>
      <c r="L17" s="16">
        <f>Table11[[#This Row],['#Replace 24]]*Table11[[#This Row],[USA Allocation %]]</f>
        <v>0</v>
      </c>
      <c r="M17" s="16">
        <f>IF(Table11[[#This Row],[Planting Year]]=2024,Table11['#Planted],0)</f>
        <v>0</v>
      </c>
      <c r="N17" s="16">
        <f>(Table11[[#This Row],[2024 '#Trees Inventory + Estimate]]*Table11[[#This Row],[USA Allocation %]])-SUM(Table37[[#This Row],['# Trees as of 12/31/23]:[New Trees/Planted in 2024]])</f>
        <v>0</v>
      </c>
      <c r="O17" s="16">
        <f>SUM(Table37[[#This Row],['# Trees as of 12/31/23]:[2024 Tree Losses]])</f>
        <v>0</v>
      </c>
      <c r="P17" s="16">
        <f>SUM(Table37[[#This Row],[Total Trees as of 12/31/24]]-Table37[[#This Row],['# Trees as of 12/31/23]])</f>
        <v>0</v>
      </c>
      <c r="Q17" s="16">
        <f>Table11[[#This Row],['#Total Replacements]]*Table11[[#This Row],[USA Allocation %]]</f>
        <v>0</v>
      </c>
      <c r="R17" s="16">
        <f>IF(Table37[[#This Row],['#Survival based on Inventory]]=0,Table37['#Survival based on Last Year Estimate],Table37['#Survival based on Inventory])</f>
        <v>0</v>
      </c>
      <c r="S17" s="16">
        <f>Table11[[#This Row],['#Planted]]*Table11[[#This Row],[USA Allocation %]]*Table11[[#This Row],[2024 Inventory Survival%-master]]</f>
        <v>0</v>
      </c>
      <c r="T17" s="16">
        <f>Table11[[#This Row],['#Planted]]*Table11[[#This Row],[USA Allocation %]]*Table11[[#This Row],[2024 Estimated Survival%]]</f>
        <v>0</v>
      </c>
      <c r="U17">
        <f>Table11[[#This Row],[ETP Year]]</f>
        <v>2015</v>
      </c>
      <c r="V17">
        <f>Table11[[#This Row],[Planting Year]]</f>
        <v>2016</v>
      </c>
      <c r="W17" s="8">
        <f>Table11[[#This Row],[Survival% as of 12/31/23]]</f>
        <v>0</v>
      </c>
      <c r="X17" s="7">
        <f>Table11[[#This Row],[ETP'#s]]</f>
        <v>1</v>
      </c>
    </row>
    <row r="18" spans="1:24" x14ac:dyDescent="0.25">
      <c r="A18">
        <f>Table11[[#This Row],[Farmer'#]]</f>
        <v>20003</v>
      </c>
      <c r="B18" t="str">
        <f>Table11[[#This Row],[Representative]]</f>
        <v xml:space="preserve">Erasmo Aguilera </v>
      </c>
      <c r="C18" t="str">
        <f>Table11[[#This Row],[Contract Name]]</f>
        <v>Agricola Los Robles de Naranjo S.A</v>
      </c>
      <c r="D18" t="str">
        <f>Table11[[#This Row],[Status]]</f>
        <v>Out of Program</v>
      </c>
      <c r="E18" t="str">
        <f>Table11[[#This Row],[Contract Code]]</f>
        <v>CR0003</v>
      </c>
      <c r="F18" s="16">
        <f>Table11[[#This Row],['#TreesContract]]</f>
        <v>1750</v>
      </c>
      <c r="G18" s="16">
        <f>Table11[[#This Row],['#Planted]]</f>
        <v>1750</v>
      </c>
      <c r="H18" s="16">
        <f>Table11[[#This Row],['#TreesContract]]*Table11[[#This Row],[USA Allocation %]]</f>
        <v>0</v>
      </c>
      <c r="I18" s="16">
        <f>Table11[[#This Row],['#Planted]]*Table11[[#This Row],[USA Allocation %]]</f>
        <v>0</v>
      </c>
      <c r="J18" s="16">
        <f>Table11[[#This Row],[Contract Amendment]]*Table11[[#This Row],[USA Allocation %]]</f>
        <v>0</v>
      </c>
      <c r="K18" s="16">
        <f>Table11[[#This Row],['#Trees as of 12/31/23]]*Table11[[#This Row],[USA Allocation %]]</f>
        <v>0</v>
      </c>
      <c r="L18" s="16">
        <f>Table11[[#This Row],['#Replace 24]]*Table11[[#This Row],[USA Allocation %]]</f>
        <v>0</v>
      </c>
      <c r="M18" s="16">
        <f>IF(Table11[[#This Row],[Planting Year]]=2024,Table11['#Planted],0)</f>
        <v>0</v>
      </c>
      <c r="N18" s="16">
        <f>(Table11[[#This Row],[2024 '#Trees Inventory + Estimate]]*Table11[[#This Row],[USA Allocation %]])-SUM(Table37[[#This Row],['# Trees as of 12/31/23]:[New Trees/Planted in 2024]])</f>
        <v>0</v>
      </c>
      <c r="O18" s="16">
        <f>SUM(Table37[[#This Row],['# Trees as of 12/31/23]:[2024 Tree Losses]])</f>
        <v>0</v>
      </c>
      <c r="P18" s="16">
        <f>SUM(Table37[[#This Row],[Total Trees as of 12/31/24]]-Table37[[#This Row],['# Trees as of 12/31/23]])</f>
        <v>0</v>
      </c>
      <c r="Q18" s="16">
        <f>Table11[[#This Row],['#Total Replacements]]*Table11[[#This Row],[USA Allocation %]]</f>
        <v>0</v>
      </c>
      <c r="R18" s="16">
        <f>IF(Table37[[#This Row],['#Survival based on Inventory]]=0,Table37['#Survival based on Last Year Estimate],Table37['#Survival based on Inventory])</f>
        <v>0</v>
      </c>
      <c r="S18" s="16">
        <f>Table11[[#This Row],['#Planted]]*Table11[[#This Row],[USA Allocation %]]*Table11[[#This Row],[2024 Inventory Survival%-master]]</f>
        <v>0</v>
      </c>
      <c r="T18" s="16">
        <f>Table11[[#This Row],['#Planted]]*Table11[[#This Row],[USA Allocation %]]*Table11[[#This Row],[2024 Estimated Survival%]]</f>
        <v>0</v>
      </c>
      <c r="U18">
        <f>Table11[[#This Row],[ETP Year]]</f>
        <v>2015</v>
      </c>
      <c r="V18">
        <f>Table11[[#This Row],[Planting Year]]</f>
        <v>2016</v>
      </c>
      <c r="W18" s="8">
        <f>Table11[[#This Row],[Survival% as of 12/31/23]]</f>
        <v>0</v>
      </c>
      <c r="X18" s="7">
        <f>Table11[[#This Row],[ETP'#s]]</f>
        <v>1</v>
      </c>
    </row>
    <row r="19" spans="1:24" x14ac:dyDescent="0.25">
      <c r="A19">
        <f>Table11[[#This Row],[Farmer'#]]</f>
        <v>20004</v>
      </c>
      <c r="B19" t="str">
        <f>Table11[[#This Row],[Representative]]</f>
        <v xml:space="preserve">Esteban Chacon </v>
      </c>
      <c r="C19" t="str">
        <f>Table11[[#This Row],[Contract Name]]</f>
        <v>Fernando Esteban Chacon</v>
      </c>
      <c r="D19" t="str">
        <f>Table11[[#This Row],[Status]]</f>
        <v>Out of Program</v>
      </c>
      <c r="E19" t="str">
        <f>Table11[[#This Row],[Contract Code]]</f>
        <v>CR0004</v>
      </c>
      <c r="F19" s="16">
        <f>Table11[[#This Row],['#TreesContract]]</f>
        <v>1000</v>
      </c>
      <c r="G19" s="16">
        <f>Table11[[#This Row],['#Planted]]</f>
        <v>1000</v>
      </c>
      <c r="H19" s="16">
        <f>Table11[[#This Row],['#TreesContract]]*Table11[[#This Row],[USA Allocation %]]</f>
        <v>0</v>
      </c>
      <c r="I19" s="16">
        <f>Table11[[#This Row],['#Planted]]*Table11[[#This Row],[USA Allocation %]]</f>
        <v>0</v>
      </c>
      <c r="J19" s="16">
        <f>Table11[[#This Row],[Contract Amendment]]*Table11[[#This Row],[USA Allocation %]]</f>
        <v>0</v>
      </c>
      <c r="K19" s="16">
        <f>Table11[[#This Row],['#Trees as of 12/31/23]]*Table11[[#This Row],[USA Allocation %]]</f>
        <v>0</v>
      </c>
      <c r="L19" s="16">
        <f>Table11[[#This Row],['#Replace 24]]*Table11[[#This Row],[USA Allocation %]]</f>
        <v>0</v>
      </c>
      <c r="M19" s="16">
        <f>IF(Table11[[#This Row],[Planting Year]]=2024,Table11['#Planted],0)</f>
        <v>0</v>
      </c>
      <c r="N19" s="16">
        <f>(Table11[[#This Row],[2024 '#Trees Inventory + Estimate]]*Table11[[#This Row],[USA Allocation %]])-SUM(Table37[[#This Row],['# Trees as of 12/31/23]:[New Trees/Planted in 2024]])</f>
        <v>0</v>
      </c>
      <c r="O19" s="16">
        <f>SUM(Table37[[#This Row],['# Trees as of 12/31/23]:[2024 Tree Losses]])</f>
        <v>0</v>
      </c>
      <c r="P19" s="16">
        <f>SUM(Table37[[#This Row],[Total Trees as of 12/31/24]]-Table37[[#This Row],['# Trees as of 12/31/23]])</f>
        <v>0</v>
      </c>
      <c r="Q19" s="16">
        <f>Table11[[#This Row],['#Total Replacements]]*Table11[[#This Row],[USA Allocation %]]</f>
        <v>0</v>
      </c>
      <c r="R19" s="16">
        <f>IF(Table37[[#This Row],['#Survival based on Inventory]]=0,Table37['#Survival based on Last Year Estimate],Table37['#Survival based on Inventory])</f>
        <v>0</v>
      </c>
      <c r="S19" s="16">
        <f>Table11[[#This Row],['#Planted]]*Table11[[#This Row],[USA Allocation %]]*Table11[[#This Row],[2024 Inventory Survival%-master]]</f>
        <v>0</v>
      </c>
      <c r="T19" s="16">
        <f>Table11[[#This Row],['#Planted]]*Table11[[#This Row],[USA Allocation %]]*Table11[[#This Row],[2024 Estimated Survival%]]</f>
        <v>0</v>
      </c>
      <c r="U19">
        <f>Table11[[#This Row],[ETP Year]]</f>
        <v>2015</v>
      </c>
      <c r="V19">
        <f>Table11[[#This Row],[Planting Year]]</f>
        <v>2016</v>
      </c>
      <c r="W19" s="8">
        <f>Table11[[#This Row],[Survival% as of 12/31/23]]</f>
        <v>0</v>
      </c>
      <c r="X19" s="7">
        <f>Table11[[#This Row],[ETP'#s]]</f>
        <v>1</v>
      </c>
    </row>
    <row r="20" spans="1:24" x14ac:dyDescent="0.25">
      <c r="A20">
        <f>Table11[[#This Row],[Farmer'#]]</f>
        <v>20005</v>
      </c>
      <c r="B20" t="str">
        <f>Table11[[#This Row],[Representative]]</f>
        <v>Juan Luis Chaves</v>
      </c>
      <c r="C20" t="str">
        <f>Table11[[#This Row],[Contract Name]]</f>
        <v xml:space="preserve">ASESORIA DE EMPRESAS TONAL S A, </v>
      </c>
      <c r="D20" t="str">
        <f>Table11[[#This Row],[Status]]</f>
        <v>Out of Program</v>
      </c>
      <c r="E20" t="str">
        <f>Table11[[#This Row],[Contract Code]]</f>
        <v>CR0005</v>
      </c>
      <c r="F20" s="16">
        <f>Table11[[#This Row],['#TreesContract]]</f>
        <v>500</v>
      </c>
      <c r="G20" s="16">
        <f>Table11[[#This Row],['#Planted]]</f>
        <v>500</v>
      </c>
      <c r="H20" s="16">
        <f>Table11[[#This Row],['#TreesContract]]*Table11[[#This Row],[USA Allocation %]]</f>
        <v>0</v>
      </c>
      <c r="I20" s="16">
        <f>Table11[[#This Row],['#Planted]]*Table11[[#This Row],[USA Allocation %]]</f>
        <v>0</v>
      </c>
      <c r="J20" s="16">
        <f>Table11[[#This Row],[Contract Amendment]]*Table11[[#This Row],[USA Allocation %]]</f>
        <v>0</v>
      </c>
      <c r="K20" s="16">
        <f>Table11[[#This Row],['#Trees as of 12/31/23]]*Table11[[#This Row],[USA Allocation %]]</f>
        <v>0</v>
      </c>
      <c r="L20" s="16">
        <f>Table11[[#This Row],['#Replace 24]]*Table11[[#This Row],[USA Allocation %]]</f>
        <v>0</v>
      </c>
      <c r="M20" s="16">
        <f>IF(Table11[[#This Row],[Planting Year]]=2024,Table11['#Planted],0)</f>
        <v>0</v>
      </c>
      <c r="N20" s="16">
        <f>(Table11[[#This Row],[2024 '#Trees Inventory + Estimate]]*Table11[[#This Row],[USA Allocation %]])-SUM(Table37[[#This Row],['# Trees as of 12/31/23]:[New Trees/Planted in 2024]])</f>
        <v>0</v>
      </c>
      <c r="O20" s="16">
        <f>SUM(Table37[[#This Row],['# Trees as of 12/31/23]:[2024 Tree Losses]])</f>
        <v>0</v>
      </c>
      <c r="P20" s="16">
        <f>SUM(Table37[[#This Row],[Total Trees as of 12/31/24]]-Table37[[#This Row],['# Trees as of 12/31/23]])</f>
        <v>0</v>
      </c>
      <c r="Q20" s="16">
        <f>Table11[[#This Row],['#Total Replacements]]*Table11[[#This Row],[USA Allocation %]]</f>
        <v>0</v>
      </c>
      <c r="R20" s="16">
        <f>IF(Table37[[#This Row],['#Survival based on Inventory]]=0,Table37['#Survival based on Last Year Estimate],Table37['#Survival based on Inventory])</f>
        <v>0</v>
      </c>
      <c r="S20" s="16">
        <f>Table11[[#This Row],['#Planted]]*Table11[[#This Row],[USA Allocation %]]*Table11[[#This Row],[2024 Inventory Survival%-master]]</f>
        <v>0</v>
      </c>
      <c r="T20" s="16">
        <f>Table11[[#This Row],['#Planted]]*Table11[[#This Row],[USA Allocation %]]*Table11[[#This Row],[2024 Estimated Survival%]]</f>
        <v>0</v>
      </c>
      <c r="U20">
        <f>Table11[[#This Row],[ETP Year]]</f>
        <v>2015</v>
      </c>
      <c r="V20">
        <f>Table11[[#This Row],[Planting Year]]</f>
        <v>2016</v>
      </c>
      <c r="W20" s="8">
        <f>Table11[[#This Row],[Survival% as of 12/31/23]]</f>
        <v>0</v>
      </c>
      <c r="X20" s="7">
        <f>Table11[[#This Row],[ETP'#s]]</f>
        <v>1</v>
      </c>
    </row>
    <row r="21" spans="1:24" x14ac:dyDescent="0.25">
      <c r="A21">
        <f>Table11[[#This Row],[Farmer'#]]</f>
        <v>20006</v>
      </c>
      <c r="B21" t="str">
        <f>Table11[[#This Row],[Representative]]</f>
        <v>Minor Montero</v>
      </c>
      <c r="C21" t="str">
        <f>Table11[[#This Row],[Contract Name]]</f>
        <v>Jose Joaquin Montero Calderon</v>
      </c>
      <c r="D21" t="str">
        <f>Table11[[#This Row],[Status]]</f>
        <v>Out of Program</v>
      </c>
      <c r="E21" t="str">
        <f>Table11[[#This Row],[Contract Code]]</f>
        <v>CR0006</v>
      </c>
      <c r="F21" s="16">
        <f>Table11[[#This Row],['#TreesContract]]</f>
        <v>500</v>
      </c>
      <c r="G21" s="16">
        <f>Table11[[#This Row],['#Planted]]</f>
        <v>500</v>
      </c>
      <c r="H21" s="16">
        <f>Table11[[#This Row],['#TreesContract]]*Table11[[#This Row],[USA Allocation %]]</f>
        <v>0</v>
      </c>
      <c r="I21" s="16">
        <f>Table11[[#This Row],['#Planted]]*Table11[[#This Row],[USA Allocation %]]</f>
        <v>0</v>
      </c>
      <c r="J21" s="16">
        <f>Table11[[#This Row],[Contract Amendment]]*Table11[[#This Row],[USA Allocation %]]</f>
        <v>0</v>
      </c>
      <c r="K21" s="16">
        <f>Table11[[#This Row],['#Trees as of 12/31/23]]*Table11[[#This Row],[USA Allocation %]]</f>
        <v>0</v>
      </c>
      <c r="L21" s="16">
        <f>Table11[[#This Row],['#Replace 24]]*Table11[[#This Row],[USA Allocation %]]</f>
        <v>0</v>
      </c>
      <c r="M21" s="16">
        <f>IF(Table11[[#This Row],[Planting Year]]=2024,Table11['#Planted],0)</f>
        <v>0</v>
      </c>
      <c r="N21" s="16">
        <f>(Table11[[#This Row],[2024 '#Trees Inventory + Estimate]]*Table11[[#This Row],[USA Allocation %]])-SUM(Table37[[#This Row],['# Trees as of 12/31/23]:[New Trees/Planted in 2024]])</f>
        <v>0</v>
      </c>
      <c r="O21" s="16">
        <f>SUM(Table37[[#This Row],['# Trees as of 12/31/23]:[2024 Tree Losses]])</f>
        <v>0</v>
      </c>
      <c r="P21" s="16">
        <f>SUM(Table37[[#This Row],[Total Trees as of 12/31/24]]-Table37[[#This Row],['# Trees as of 12/31/23]])</f>
        <v>0</v>
      </c>
      <c r="Q21" s="16">
        <f>Table11[[#This Row],['#Total Replacements]]*Table11[[#This Row],[USA Allocation %]]</f>
        <v>0</v>
      </c>
      <c r="R21" s="16">
        <f>IF(Table37[[#This Row],['#Survival based on Inventory]]=0,Table37['#Survival based on Last Year Estimate],Table37['#Survival based on Inventory])</f>
        <v>0</v>
      </c>
      <c r="S21" s="16">
        <f>Table11[[#This Row],['#Planted]]*Table11[[#This Row],[USA Allocation %]]*Table11[[#This Row],[2024 Inventory Survival%-master]]</f>
        <v>0</v>
      </c>
      <c r="T21" s="16">
        <f>Table11[[#This Row],['#Planted]]*Table11[[#This Row],[USA Allocation %]]*Table11[[#This Row],[2024 Estimated Survival%]]</f>
        <v>0</v>
      </c>
      <c r="U21">
        <f>Table11[[#This Row],[ETP Year]]</f>
        <v>2015</v>
      </c>
      <c r="V21">
        <f>Table11[[#This Row],[Planting Year]]</f>
        <v>2016</v>
      </c>
      <c r="W21" s="8">
        <f>Table11[[#This Row],[Survival% as of 12/31/23]]</f>
        <v>0</v>
      </c>
      <c r="X21" s="7">
        <f>Table11[[#This Row],[ETP'#s]]</f>
        <v>1</v>
      </c>
    </row>
    <row r="22" spans="1:24" x14ac:dyDescent="0.25">
      <c r="A22">
        <f>Table11[[#This Row],[Farmer'#]]</f>
        <v>20007</v>
      </c>
      <c r="B22" t="str">
        <f>Table11[[#This Row],[Representative]]</f>
        <v>William Guiterrez</v>
      </c>
      <c r="C22" t="str">
        <f>Table11[[#This Row],[Contract Name]]</f>
        <v>Segrufor Segundo Grupo Forestal, S.A</v>
      </c>
      <c r="D22" t="str">
        <f>Table11[[#This Row],[Status]]</f>
        <v>Out of Program</v>
      </c>
      <c r="E22" t="str">
        <f>Table11[[#This Row],[Contract Code]]</f>
        <v>CR0007</v>
      </c>
      <c r="F22" s="16">
        <f>Table11[[#This Row],['#TreesContract]]</f>
        <v>400</v>
      </c>
      <c r="G22" s="16">
        <f>Table11[[#This Row],['#Planted]]</f>
        <v>400</v>
      </c>
      <c r="H22" s="16">
        <f>Table11[[#This Row],['#TreesContract]]*Table11[[#This Row],[USA Allocation %]]</f>
        <v>0</v>
      </c>
      <c r="I22" s="16">
        <f>Table11[[#This Row],['#Planted]]*Table11[[#This Row],[USA Allocation %]]</f>
        <v>0</v>
      </c>
      <c r="J22" s="16">
        <f>Table11[[#This Row],[Contract Amendment]]*Table11[[#This Row],[USA Allocation %]]</f>
        <v>0</v>
      </c>
      <c r="K22" s="16">
        <f>Table11[[#This Row],['#Trees as of 12/31/23]]*Table11[[#This Row],[USA Allocation %]]</f>
        <v>0</v>
      </c>
      <c r="L22" s="16">
        <f>Table11[[#This Row],['#Replace 24]]*Table11[[#This Row],[USA Allocation %]]</f>
        <v>0</v>
      </c>
      <c r="M22" s="16">
        <f>IF(Table11[[#This Row],[Planting Year]]=2024,Table11['#Planted],0)</f>
        <v>0</v>
      </c>
      <c r="N22" s="16">
        <f>(Table11[[#This Row],[2024 '#Trees Inventory + Estimate]]*Table11[[#This Row],[USA Allocation %]])-SUM(Table37[[#This Row],['# Trees as of 12/31/23]:[New Trees/Planted in 2024]])</f>
        <v>0</v>
      </c>
      <c r="O22" s="16">
        <f>SUM(Table37[[#This Row],['# Trees as of 12/31/23]:[2024 Tree Losses]])</f>
        <v>0</v>
      </c>
      <c r="P22" s="16">
        <f>SUM(Table37[[#This Row],[Total Trees as of 12/31/24]]-Table37[[#This Row],['# Trees as of 12/31/23]])</f>
        <v>0</v>
      </c>
      <c r="Q22" s="16">
        <f>Table11[[#This Row],['#Total Replacements]]*Table11[[#This Row],[USA Allocation %]]</f>
        <v>0</v>
      </c>
      <c r="R22" s="16">
        <f>IF(Table37[[#This Row],['#Survival based on Inventory]]=0,Table37['#Survival based on Last Year Estimate],Table37['#Survival based on Inventory])</f>
        <v>0</v>
      </c>
      <c r="S22" s="16">
        <f>Table11[[#This Row],['#Planted]]*Table11[[#This Row],[USA Allocation %]]*Table11[[#This Row],[2024 Inventory Survival%-master]]</f>
        <v>0</v>
      </c>
      <c r="T22" s="16">
        <f>Table11[[#This Row],['#Planted]]*Table11[[#This Row],[USA Allocation %]]*Table11[[#This Row],[2024 Estimated Survival%]]</f>
        <v>0</v>
      </c>
      <c r="U22">
        <f>Table11[[#This Row],[ETP Year]]</f>
        <v>2015</v>
      </c>
      <c r="V22">
        <f>Table11[[#This Row],[Planting Year]]</f>
        <v>2016</v>
      </c>
      <c r="W22" s="8">
        <f>Table11[[#This Row],[Survival% as of 12/31/23]]</f>
        <v>0</v>
      </c>
      <c r="X22" s="7">
        <f>Table11[[#This Row],[ETP'#s]]</f>
        <v>1</v>
      </c>
    </row>
    <row r="23" spans="1:24" x14ac:dyDescent="0.25">
      <c r="A23">
        <f>Table11[[#This Row],[Farmer'#]]</f>
        <v>20073</v>
      </c>
      <c r="B23" t="str">
        <f>Table11[[#This Row],[Representative]]</f>
        <v>Dennis Cordoba</v>
      </c>
      <c r="C23" t="str">
        <f>Table11[[#This Row],[Contract Name]]</f>
        <v>Dennis Cordoba</v>
      </c>
      <c r="D23" t="str">
        <f>Table11[[#This Row],[Status]]</f>
        <v>Out of Program</v>
      </c>
      <c r="E23" t="str">
        <f>Table11[[#This Row],[Contract Code]]</f>
        <v>CR0079</v>
      </c>
      <c r="F23" s="16">
        <f>Table11[[#This Row],['#TreesContract]]</f>
        <v>275</v>
      </c>
      <c r="G23" s="16">
        <f>Table11[[#This Row],['#Planted]]</f>
        <v>275</v>
      </c>
      <c r="H23" s="16">
        <f>Table11[[#This Row],['#TreesContract]]*Table11[[#This Row],[USA Allocation %]]</f>
        <v>0</v>
      </c>
      <c r="I23" s="16">
        <f>Table11[[#This Row],['#Planted]]*Table11[[#This Row],[USA Allocation %]]</f>
        <v>0</v>
      </c>
      <c r="J23" s="16">
        <f>Table11[[#This Row],[Contract Amendment]]*Table11[[#This Row],[USA Allocation %]]</f>
        <v>0</v>
      </c>
      <c r="K23" s="16">
        <f>Table11[[#This Row],['#Trees as of 12/31/23]]*Table11[[#This Row],[USA Allocation %]]</f>
        <v>0</v>
      </c>
      <c r="L23" s="16">
        <f>Table11[[#This Row],['#Replace 24]]*Table11[[#This Row],[USA Allocation %]]</f>
        <v>0</v>
      </c>
      <c r="M23" s="16">
        <f>IF(Table11[[#This Row],[Planting Year]]=2024,Table11['#Planted],0)</f>
        <v>0</v>
      </c>
      <c r="N23" s="16">
        <f>(Table11[[#This Row],[2024 '#Trees Inventory + Estimate]]*Table11[[#This Row],[USA Allocation %]])-SUM(Table37[[#This Row],['# Trees as of 12/31/23]:[New Trees/Planted in 2024]])</f>
        <v>0</v>
      </c>
      <c r="O23" s="16">
        <f>SUM(Table37[[#This Row],['# Trees as of 12/31/23]:[2024 Tree Losses]])</f>
        <v>0</v>
      </c>
      <c r="P23" s="16">
        <f>SUM(Table37[[#This Row],[Total Trees as of 12/31/24]]-Table37[[#This Row],['# Trees as of 12/31/23]])</f>
        <v>0</v>
      </c>
      <c r="Q23" s="16">
        <f>Table11[[#This Row],['#Total Replacements]]*Table11[[#This Row],[USA Allocation %]]</f>
        <v>0</v>
      </c>
      <c r="R23" s="16">
        <f>IF(Table37[[#This Row],['#Survival based on Inventory]]=0,Table37['#Survival based on Last Year Estimate],Table37['#Survival based on Inventory])</f>
        <v>0</v>
      </c>
      <c r="S23" s="16">
        <f>Table11[[#This Row],['#Planted]]*Table11[[#This Row],[USA Allocation %]]*Table11[[#This Row],[2024 Inventory Survival%-master]]</f>
        <v>0</v>
      </c>
      <c r="T23" s="16">
        <f>Table11[[#This Row],['#Planted]]*Table11[[#This Row],[USA Allocation %]]*Table11[[#This Row],[2024 Estimated Survival%]]</f>
        <v>0</v>
      </c>
      <c r="U23">
        <f>Table11[[#This Row],[ETP Year]]</f>
        <v>2015</v>
      </c>
      <c r="V23">
        <f>Table11[[#This Row],[Planting Year]]</f>
        <v>2016</v>
      </c>
      <c r="W23" s="8">
        <f>Table11[[#This Row],[Survival% as of 12/31/23]]</f>
        <v>0</v>
      </c>
      <c r="X23" s="7">
        <f>Table11[[#This Row],[ETP'#s]]</f>
        <v>1</v>
      </c>
    </row>
    <row r="24" spans="1:24" x14ac:dyDescent="0.25">
      <c r="A24">
        <f>Table11[[#This Row],[Farmer'#]]</f>
        <v>20085</v>
      </c>
      <c r="B24" t="str">
        <f>Table11[[#This Row],[Representative]]</f>
        <v>Roberto Solis</v>
      </c>
      <c r="C24" t="str">
        <f>Table11[[#This Row],[Contract Name]]</f>
        <v>Orsom Proyect S.A</v>
      </c>
      <c r="D24" t="str">
        <f>Table11[[#This Row],[Status]]</f>
        <v>Out of Program</v>
      </c>
      <c r="E24" t="str">
        <f>Table11[[#This Row],[Contract Code]]</f>
        <v>CR0093</v>
      </c>
      <c r="F24" s="16">
        <f>Table11[[#This Row],['#TreesContract]]</f>
        <v>250</v>
      </c>
      <c r="G24" s="16">
        <f>Table11[[#This Row],['#Planted]]</f>
        <v>250</v>
      </c>
      <c r="H24" s="16">
        <f>Table11[[#This Row],['#TreesContract]]*Table11[[#This Row],[USA Allocation %]]</f>
        <v>0</v>
      </c>
      <c r="I24" s="16">
        <f>Table11[[#This Row],['#Planted]]*Table11[[#This Row],[USA Allocation %]]</f>
        <v>0</v>
      </c>
      <c r="J24" s="16">
        <f>Table11[[#This Row],[Contract Amendment]]*Table11[[#This Row],[USA Allocation %]]</f>
        <v>0</v>
      </c>
      <c r="K24" s="16">
        <f>Table11[[#This Row],['#Trees as of 12/31/23]]*Table11[[#This Row],[USA Allocation %]]</f>
        <v>0</v>
      </c>
      <c r="L24" s="16">
        <f>Table11[[#This Row],['#Replace 24]]*Table11[[#This Row],[USA Allocation %]]</f>
        <v>0</v>
      </c>
      <c r="M24" s="16">
        <f>IF(Table11[[#This Row],[Planting Year]]=2024,Table11['#Planted],0)</f>
        <v>0</v>
      </c>
      <c r="N24" s="16">
        <f>(Table11[[#This Row],[2024 '#Trees Inventory + Estimate]]*Table11[[#This Row],[USA Allocation %]])-SUM(Table37[[#This Row],['# Trees as of 12/31/23]:[New Trees/Planted in 2024]])</f>
        <v>0</v>
      </c>
      <c r="O24" s="16">
        <f>SUM(Table37[[#This Row],['# Trees as of 12/31/23]:[2024 Tree Losses]])</f>
        <v>0</v>
      </c>
      <c r="P24" s="16">
        <f>SUM(Table37[[#This Row],[Total Trees as of 12/31/24]]-Table37[[#This Row],['# Trees as of 12/31/23]])</f>
        <v>0</v>
      </c>
      <c r="Q24" s="16">
        <f>Table11[[#This Row],['#Total Replacements]]*Table11[[#This Row],[USA Allocation %]]</f>
        <v>0</v>
      </c>
      <c r="R24" s="16">
        <f>IF(Table37[[#This Row],['#Survival based on Inventory]]=0,Table37['#Survival based on Last Year Estimate],Table37['#Survival based on Inventory])</f>
        <v>0</v>
      </c>
      <c r="S24" s="16">
        <f>Table11[[#This Row],['#Planted]]*Table11[[#This Row],[USA Allocation %]]*Table11[[#This Row],[2024 Inventory Survival%-master]]</f>
        <v>0</v>
      </c>
      <c r="T24" s="16">
        <f>Table11[[#This Row],['#Planted]]*Table11[[#This Row],[USA Allocation %]]*Table11[[#This Row],[2024 Estimated Survival%]]</f>
        <v>0</v>
      </c>
      <c r="U24">
        <f>Table11[[#This Row],[ETP Year]]</f>
        <v>2015</v>
      </c>
      <c r="V24">
        <f>Table11[[#This Row],[Planting Year]]</f>
        <v>2016</v>
      </c>
      <c r="W24" s="8">
        <f>Table11[[#This Row],[Survival% as of 12/31/23]]</f>
        <v>0</v>
      </c>
      <c r="X24" s="7">
        <f>Table11[[#This Row],[ETP'#s]]</f>
        <v>1</v>
      </c>
    </row>
    <row r="25" spans="1:24" x14ac:dyDescent="0.25">
      <c r="A25">
        <f>Table11[[#This Row],[Farmer'#]]</f>
        <v>20086</v>
      </c>
      <c r="B25" t="str">
        <f>Table11[[#This Row],[Representative]]</f>
        <v>Mauro Solis</v>
      </c>
      <c r="C25" t="str">
        <f>Table11[[#This Row],[Contract Name]]</f>
        <v>Carlos Roberto Solis</v>
      </c>
      <c r="D25" t="str">
        <f>Table11[[#This Row],[Status]]</f>
        <v>Out of Program</v>
      </c>
      <c r="E25" t="str">
        <f>Table11[[#This Row],[Contract Code]]</f>
        <v>CR0094</v>
      </c>
      <c r="F25" s="16">
        <f>Table11[[#This Row],['#TreesContract]]</f>
        <v>900</v>
      </c>
      <c r="G25" s="16">
        <f>Table11[[#This Row],['#Planted]]</f>
        <v>900</v>
      </c>
      <c r="H25" s="16">
        <f>Table11[[#This Row],['#TreesContract]]*Table11[[#This Row],[USA Allocation %]]</f>
        <v>0</v>
      </c>
      <c r="I25" s="16">
        <f>Table11[[#This Row],['#Planted]]*Table11[[#This Row],[USA Allocation %]]</f>
        <v>0</v>
      </c>
      <c r="J25" s="16">
        <f>Table11[[#This Row],[Contract Amendment]]*Table11[[#This Row],[USA Allocation %]]</f>
        <v>0</v>
      </c>
      <c r="K25" s="16">
        <f>Table11[[#This Row],['#Trees as of 12/31/23]]*Table11[[#This Row],[USA Allocation %]]</f>
        <v>0</v>
      </c>
      <c r="L25" s="16">
        <f>Table11[[#This Row],['#Replace 24]]*Table11[[#This Row],[USA Allocation %]]</f>
        <v>0</v>
      </c>
      <c r="M25" s="16">
        <f>IF(Table11[[#This Row],[Planting Year]]=2024,Table11['#Planted],0)</f>
        <v>0</v>
      </c>
      <c r="N25" s="16">
        <f>(Table11[[#This Row],[2024 '#Trees Inventory + Estimate]]*Table11[[#This Row],[USA Allocation %]])-SUM(Table37[[#This Row],['# Trees as of 12/31/23]:[New Trees/Planted in 2024]])</f>
        <v>0</v>
      </c>
      <c r="O25" s="16">
        <f>SUM(Table37[[#This Row],['# Trees as of 12/31/23]:[2024 Tree Losses]])</f>
        <v>0</v>
      </c>
      <c r="P25" s="16">
        <f>SUM(Table37[[#This Row],[Total Trees as of 12/31/24]]-Table37[[#This Row],['# Trees as of 12/31/23]])</f>
        <v>0</v>
      </c>
      <c r="Q25" s="16">
        <f>Table11[[#This Row],['#Total Replacements]]*Table11[[#This Row],[USA Allocation %]]</f>
        <v>0</v>
      </c>
      <c r="R25" s="16">
        <f>IF(Table37[[#This Row],['#Survival based on Inventory]]=0,Table37['#Survival based on Last Year Estimate],Table37['#Survival based on Inventory])</f>
        <v>0</v>
      </c>
      <c r="S25" s="16">
        <f>Table11[[#This Row],['#Planted]]*Table11[[#This Row],[USA Allocation %]]*Table11[[#This Row],[2024 Inventory Survival%-master]]</f>
        <v>0</v>
      </c>
      <c r="T25" s="16">
        <f>Table11[[#This Row],['#Planted]]*Table11[[#This Row],[USA Allocation %]]*Table11[[#This Row],[2024 Estimated Survival%]]</f>
        <v>0</v>
      </c>
      <c r="U25">
        <f>Table11[[#This Row],[ETP Year]]</f>
        <v>2015</v>
      </c>
      <c r="V25">
        <f>Table11[[#This Row],[Planting Year]]</f>
        <v>2016</v>
      </c>
      <c r="W25" s="8">
        <f>Table11[[#This Row],[Survival% as of 12/31/23]]</f>
        <v>0</v>
      </c>
      <c r="X25" s="7">
        <f>Table11[[#This Row],[ETP'#s]]</f>
        <v>1</v>
      </c>
    </row>
    <row r="26" spans="1:24" x14ac:dyDescent="0.25">
      <c r="A26">
        <f>Table11[[#This Row],[Farmer'#]]</f>
        <v>20087</v>
      </c>
      <c r="B26" t="str">
        <f>Table11[[#This Row],[Representative]]</f>
        <v>Mario Rodriguez</v>
      </c>
      <c r="C26" t="str">
        <f>Table11[[#This Row],[Contract Name]]</f>
        <v>Coopronaranjo R.L</v>
      </c>
      <c r="D26" t="str">
        <f>Table11[[#This Row],[Status]]</f>
        <v>Out of Program</v>
      </c>
      <c r="E26" t="str">
        <f>Table11[[#This Row],[Contract Code]]</f>
        <v>CR0095</v>
      </c>
      <c r="F26" s="16">
        <f>Table11[[#This Row],['#TreesContract]]</f>
        <v>1000</v>
      </c>
      <c r="G26" s="16">
        <f>Table11[[#This Row],['#Planted]]</f>
        <v>1000</v>
      </c>
      <c r="H26" s="16">
        <f>Table11[[#This Row],['#TreesContract]]*Table11[[#This Row],[USA Allocation %]]</f>
        <v>0</v>
      </c>
      <c r="I26" s="16">
        <f>Table11[[#This Row],['#Planted]]*Table11[[#This Row],[USA Allocation %]]</f>
        <v>0</v>
      </c>
      <c r="J26" s="16">
        <f>Table11[[#This Row],[Contract Amendment]]*Table11[[#This Row],[USA Allocation %]]</f>
        <v>0</v>
      </c>
      <c r="K26" s="16">
        <f>Table11[[#This Row],['#Trees as of 12/31/23]]*Table11[[#This Row],[USA Allocation %]]</f>
        <v>0</v>
      </c>
      <c r="L26" s="16">
        <f>Table11[[#This Row],['#Replace 24]]*Table11[[#This Row],[USA Allocation %]]</f>
        <v>0</v>
      </c>
      <c r="M26" s="16">
        <f>IF(Table11[[#This Row],[Planting Year]]=2024,Table11['#Planted],0)</f>
        <v>0</v>
      </c>
      <c r="N26" s="16">
        <f>(Table11[[#This Row],[2024 '#Trees Inventory + Estimate]]*Table11[[#This Row],[USA Allocation %]])-SUM(Table37[[#This Row],['# Trees as of 12/31/23]:[New Trees/Planted in 2024]])</f>
        <v>0</v>
      </c>
      <c r="O26" s="16">
        <f>SUM(Table37[[#This Row],['# Trees as of 12/31/23]:[2024 Tree Losses]])</f>
        <v>0</v>
      </c>
      <c r="P26" s="16">
        <f>SUM(Table37[[#This Row],[Total Trees as of 12/31/24]]-Table37[[#This Row],['# Trees as of 12/31/23]])</f>
        <v>0</v>
      </c>
      <c r="Q26" s="16">
        <f>Table11[[#This Row],['#Total Replacements]]*Table11[[#This Row],[USA Allocation %]]</f>
        <v>0</v>
      </c>
      <c r="R26" s="16">
        <f>IF(Table37[[#This Row],['#Survival based on Inventory]]=0,Table37['#Survival based on Last Year Estimate],Table37['#Survival based on Inventory])</f>
        <v>0</v>
      </c>
      <c r="S26" s="16">
        <f>Table11[[#This Row],['#Planted]]*Table11[[#This Row],[USA Allocation %]]*Table11[[#This Row],[2024 Inventory Survival%-master]]</f>
        <v>0</v>
      </c>
      <c r="T26" s="16">
        <f>Table11[[#This Row],['#Planted]]*Table11[[#This Row],[USA Allocation %]]*Table11[[#This Row],[2024 Estimated Survival%]]</f>
        <v>0</v>
      </c>
      <c r="U26">
        <f>Table11[[#This Row],[ETP Year]]</f>
        <v>2015</v>
      </c>
      <c r="V26">
        <f>Table11[[#This Row],[Planting Year]]</f>
        <v>2016</v>
      </c>
      <c r="W26" s="8">
        <f>Table11[[#This Row],[Survival% as of 12/31/23]]</f>
        <v>0</v>
      </c>
      <c r="X26" s="7">
        <f>Table11[[#This Row],[ETP'#s]]</f>
        <v>1</v>
      </c>
    </row>
    <row r="27" spans="1:24" x14ac:dyDescent="0.25">
      <c r="A27">
        <f>Table11[[#This Row],[Farmer'#]]</f>
        <v>20088</v>
      </c>
      <c r="B27" t="str">
        <f>Table11[[#This Row],[Representative]]</f>
        <v>Daniel Ureña</v>
      </c>
      <c r="C27" t="str">
        <f>Table11[[#This Row],[Contract Name]]</f>
        <v>Daniel Ureña</v>
      </c>
      <c r="D27" t="str">
        <f>Table11[[#This Row],[Status]]</f>
        <v>Out of Program</v>
      </c>
      <c r="E27" t="str">
        <f>Table11[[#This Row],[Contract Code]]</f>
        <v>CR0096</v>
      </c>
      <c r="F27" s="16">
        <f>Table11[[#This Row],['#TreesContract]]</f>
        <v>250</v>
      </c>
      <c r="G27" s="16">
        <f>Table11[[#This Row],['#Planted]]</f>
        <v>250</v>
      </c>
      <c r="H27" s="16">
        <f>Table11[[#This Row],['#TreesContract]]*Table11[[#This Row],[USA Allocation %]]</f>
        <v>0</v>
      </c>
      <c r="I27" s="16">
        <f>Table11[[#This Row],['#Planted]]*Table11[[#This Row],[USA Allocation %]]</f>
        <v>0</v>
      </c>
      <c r="J27" s="16">
        <f>Table11[[#This Row],[Contract Amendment]]*Table11[[#This Row],[USA Allocation %]]</f>
        <v>0</v>
      </c>
      <c r="K27" s="16">
        <f>Table11[[#This Row],['#Trees as of 12/31/23]]*Table11[[#This Row],[USA Allocation %]]</f>
        <v>0</v>
      </c>
      <c r="L27" s="16">
        <f>Table11[[#This Row],['#Replace 24]]*Table11[[#This Row],[USA Allocation %]]</f>
        <v>0</v>
      </c>
      <c r="M27" s="16">
        <f>IF(Table11[[#This Row],[Planting Year]]=2024,Table11['#Planted],0)</f>
        <v>0</v>
      </c>
      <c r="N27" s="16">
        <f>(Table11[[#This Row],[2024 '#Trees Inventory + Estimate]]*Table11[[#This Row],[USA Allocation %]])-SUM(Table37[[#This Row],['# Trees as of 12/31/23]:[New Trees/Planted in 2024]])</f>
        <v>0</v>
      </c>
      <c r="O27" s="16">
        <f>SUM(Table37[[#This Row],['# Trees as of 12/31/23]:[2024 Tree Losses]])</f>
        <v>0</v>
      </c>
      <c r="P27" s="16">
        <f>SUM(Table37[[#This Row],[Total Trees as of 12/31/24]]-Table37[[#This Row],['# Trees as of 12/31/23]])</f>
        <v>0</v>
      </c>
      <c r="Q27" s="16">
        <f>Table11[[#This Row],['#Total Replacements]]*Table11[[#This Row],[USA Allocation %]]</f>
        <v>0</v>
      </c>
      <c r="R27" s="16">
        <f>IF(Table37[[#This Row],['#Survival based on Inventory]]=0,Table37['#Survival based on Last Year Estimate],Table37['#Survival based on Inventory])</f>
        <v>0</v>
      </c>
      <c r="S27" s="16">
        <f>Table11[[#This Row],['#Planted]]*Table11[[#This Row],[USA Allocation %]]*Table11[[#This Row],[2024 Inventory Survival%-master]]</f>
        <v>0</v>
      </c>
      <c r="T27" s="16">
        <f>Table11[[#This Row],['#Planted]]*Table11[[#This Row],[USA Allocation %]]*Table11[[#This Row],[2024 Estimated Survival%]]</f>
        <v>0</v>
      </c>
      <c r="U27">
        <f>Table11[[#This Row],[ETP Year]]</f>
        <v>2015</v>
      </c>
      <c r="V27">
        <f>Table11[[#This Row],[Planting Year]]</f>
        <v>2016</v>
      </c>
      <c r="W27" s="8">
        <f>Table11[[#This Row],[Survival% as of 12/31/23]]</f>
        <v>0</v>
      </c>
      <c r="X27" s="7">
        <f>Table11[[#This Row],[ETP'#s]]</f>
        <v>1</v>
      </c>
    </row>
    <row r="28" spans="1:24" x14ac:dyDescent="0.25">
      <c r="A28">
        <f>Table11[[#This Row],[Farmer'#]]</f>
        <v>10013</v>
      </c>
      <c r="B28" t="str">
        <f>Table11[[#This Row],[Representative]]</f>
        <v>Elvire Dembia</v>
      </c>
      <c r="C28" t="str">
        <f>Table11[[#This Row],[Contract Name]]</f>
        <v>Elvire Frank Dembia</v>
      </c>
      <c r="D28" t="str">
        <f>Table11[[#This Row],[Status]]</f>
        <v>Out of Program</v>
      </c>
      <c r="E28" t="str">
        <f>Table11[[#This Row],[Contract Code]]</f>
        <v>US0015</v>
      </c>
      <c r="F28" s="16">
        <f>Table11[[#This Row],['#TreesContract]]</f>
        <v>2200</v>
      </c>
      <c r="G28" s="16">
        <f>Table11[[#This Row],['#Planted]]</f>
        <v>2200</v>
      </c>
      <c r="H28" s="16">
        <f>Table11[[#This Row],['#TreesContract]]*Table11[[#This Row],[USA Allocation %]]</f>
        <v>528</v>
      </c>
      <c r="I28" s="16">
        <f>Table11[[#This Row],['#Planted]]*Table11[[#This Row],[USA Allocation %]]</f>
        <v>528</v>
      </c>
      <c r="J28" s="16">
        <f>Table11[[#This Row],[Contract Amendment]]*Table11[[#This Row],[USA Allocation %]]</f>
        <v>0</v>
      </c>
      <c r="K28" s="16">
        <f>Table11[[#This Row],['#Trees as of 12/31/23]]*Table11[[#This Row],[USA Allocation %]]</f>
        <v>0</v>
      </c>
      <c r="L28" s="16">
        <f>Table11[[#This Row],['#Replace 24]]*Table11[[#This Row],[USA Allocation %]]</f>
        <v>0</v>
      </c>
      <c r="M28" s="16">
        <f>IF(Table11[[#This Row],[Planting Year]]=2024,Table11['#Planted],0)</f>
        <v>0</v>
      </c>
      <c r="N28" s="16">
        <f>(Table11[[#This Row],[2024 '#Trees Inventory + Estimate]]*Table11[[#This Row],[USA Allocation %]])-SUM(Table37[[#This Row],['# Trees as of 12/31/23]:[New Trees/Planted in 2024]])</f>
        <v>0</v>
      </c>
      <c r="O28" s="16">
        <f>SUM(Table37[[#This Row],['# Trees as of 12/31/23]:[2024 Tree Losses]])</f>
        <v>0</v>
      </c>
      <c r="P28" s="16">
        <f>SUM(Table37[[#This Row],[Total Trees as of 12/31/24]]-Table37[[#This Row],['# Trees as of 12/31/23]])</f>
        <v>0</v>
      </c>
      <c r="Q28" s="16">
        <f>Table11[[#This Row],['#Total Replacements]]*Table11[[#This Row],[USA Allocation %]]</f>
        <v>0</v>
      </c>
      <c r="R28" s="16">
        <f>IF(Table37[[#This Row],['#Survival based on Inventory]]=0,Table37['#Survival based on Last Year Estimate],Table37['#Survival based on Inventory])</f>
        <v>0</v>
      </c>
      <c r="S28" s="16">
        <f>Table11[[#This Row],['#Planted]]*Table11[[#This Row],[USA Allocation %]]*Table11[[#This Row],[2024 Inventory Survival%-master]]</f>
        <v>0</v>
      </c>
      <c r="T28" s="16">
        <f>Table11[[#This Row],['#Planted]]*Table11[[#This Row],[USA Allocation %]]*Table11[[#This Row],[2024 Estimated Survival%]]</f>
        <v>0</v>
      </c>
      <c r="U28">
        <f>Table11[[#This Row],[ETP Year]]</f>
        <v>2016</v>
      </c>
      <c r="V28">
        <f>Table11[[#This Row],[Planting Year]]</f>
        <v>2017</v>
      </c>
      <c r="W28" s="8">
        <f>Table11[[#This Row],[Survival% as of 12/31/23]]</f>
        <v>0</v>
      </c>
      <c r="X28" s="7">
        <f>Table11[[#This Row],[ETP'#s]]</f>
        <v>1</v>
      </c>
    </row>
    <row r="29" spans="1:24" x14ac:dyDescent="0.25">
      <c r="A29">
        <f>Table11[[#This Row],[Farmer'#]]</f>
        <v>10014</v>
      </c>
      <c r="B29" t="str">
        <f>Table11[[#This Row],[Representative]]</f>
        <v>Juan Zermeno</v>
      </c>
      <c r="C29" t="str">
        <f>Table11[[#This Row],[Contract Name]]</f>
        <v>Juan Zermeno</v>
      </c>
      <c r="D29" t="str">
        <f>Table11[[#This Row],[Status]]</f>
        <v>Out of Program</v>
      </c>
      <c r="E29" t="str">
        <f>Table11[[#This Row],[Contract Code]]</f>
        <v>US0016</v>
      </c>
      <c r="F29" s="16">
        <f>Table11[[#This Row],['#TreesContract]]</f>
        <v>2200</v>
      </c>
      <c r="G29" s="16">
        <f>Table11[[#This Row],['#Planted]]</f>
        <v>2200</v>
      </c>
      <c r="H29" s="16">
        <f>Table11[[#This Row],['#TreesContract]]*Table11[[#This Row],[USA Allocation %]]</f>
        <v>528</v>
      </c>
      <c r="I29" s="16">
        <f>Table11[[#This Row],['#Planted]]*Table11[[#This Row],[USA Allocation %]]</f>
        <v>528</v>
      </c>
      <c r="J29" s="16">
        <f>Table11[[#This Row],[Contract Amendment]]*Table11[[#This Row],[USA Allocation %]]</f>
        <v>0</v>
      </c>
      <c r="K29" s="16">
        <f>Table11[[#This Row],['#Trees as of 12/31/23]]*Table11[[#This Row],[USA Allocation %]]</f>
        <v>0</v>
      </c>
      <c r="L29" s="16">
        <f>Table11[[#This Row],['#Replace 24]]*Table11[[#This Row],[USA Allocation %]]</f>
        <v>0</v>
      </c>
      <c r="M29" s="16">
        <f>IF(Table11[[#This Row],[Planting Year]]=2024,Table11['#Planted],0)</f>
        <v>0</v>
      </c>
      <c r="N29" s="16">
        <f>(Table11[[#This Row],[2024 '#Trees Inventory + Estimate]]*Table11[[#This Row],[USA Allocation %]])-SUM(Table37[[#This Row],['# Trees as of 12/31/23]:[New Trees/Planted in 2024]])</f>
        <v>0</v>
      </c>
      <c r="O29" s="16">
        <f>SUM(Table37[[#This Row],['# Trees as of 12/31/23]:[2024 Tree Losses]])</f>
        <v>0</v>
      </c>
      <c r="P29" s="16">
        <f>SUM(Table37[[#This Row],[Total Trees as of 12/31/24]]-Table37[[#This Row],['# Trees as of 12/31/23]])</f>
        <v>0</v>
      </c>
      <c r="Q29" s="16">
        <f>Table11[[#This Row],['#Total Replacements]]*Table11[[#This Row],[USA Allocation %]]</f>
        <v>7.1999999999999993</v>
      </c>
      <c r="R29" s="16">
        <f>IF(Table37[[#This Row],['#Survival based on Inventory]]=0,Table37['#Survival based on Last Year Estimate],Table37['#Survival based on Inventory])</f>
        <v>0</v>
      </c>
      <c r="S29" s="16">
        <f>Table11[[#This Row],['#Planted]]*Table11[[#This Row],[USA Allocation %]]*Table11[[#This Row],[2024 Inventory Survival%-master]]</f>
        <v>0</v>
      </c>
      <c r="T29" s="16">
        <f>Table11[[#This Row],['#Planted]]*Table11[[#This Row],[USA Allocation %]]*Table11[[#This Row],[2024 Estimated Survival%]]</f>
        <v>0</v>
      </c>
      <c r="U29">
        <f>Table11[[#This Row],[ETP Year]]</f>
        <v>2016</v>
      </c>
      <c r="V29">
        <f>Table11[[#This Row],[Planting Year]]</f>
        <v>2017</v>
      </c>
      <c r="W29" s="8">
        <f>Table11[[#This Row],[Survival% as of 12/31/23]]</f>
        <v>0</v>
      </c>
      <c r="X29" s="7">
        <f>Table11[[#This Row],[ETP'#s]]</f>
        <v>1</v>
      </c>
    </row>
    <row r="30" spans="1:24" x14ac:dyDescent="0.25">
      <c r="A30">
        <f>Table11[[#This Row],[Farmer'#]]</f>
        <v>10015</v>
      </c>
      <c r="B30" t="str">
        <f>Table11[[#This Row],[Representative]]</f>
        <v>Larry Wilcoxen</v>
      </c>
      <c r="C30" t="str">
        <f>Table11[[#This Row],[Contract Name]]</f>
        <v>Larry Wilcoxen</v>
      </c>
      <c r="D30" t="str">
        <f>Table11[[#This Row],[Status]]</f>
        <v>Out of Program</v>
      </c>
      <c r="E30" t="str">
        <f>Table11[[#This Row],[Contract Code]]</f>
        <v>US0017</v>
      </c>
      <c r="F30" s="16">
        <f>Table11[[#This Row],['#TreesContract]]</f>
        <v>550</v>
      </c>
      <c r="G30" s="16">
        <f>Table11[[#This Row],['#Planted]]</f>
        <v>550</v>
      </c>
      <c r="H30" s="16">
        <f>Table11[[#This Row],['#TreesContract]]*Table11[[#This Row],[USA Allocation %]]</f>
        <v>132</v>
      </c>
      <c r="I30" s="16">
        <f>Table11[[#This Row],['#Planted]]*Table11[[#This Row],[USA Allocation %]]</f>
        <v>132</v>
      </c>
      <c r="J30" s="16">
        <f>Table11[[#This Row],[Contract Amendment]]*Table11[[#This Row],[USA Allocation %]]</f>
        <v>0</v>
      </c>
      <c r="K30" s="16">
        <f>Table11[[#This Row],['#Trees as of 12/31/23]]*Table11[[#This Row],[USA Allocation %]]</f>
        <v>0</v>
      </c>
      <c r="L30" s="16">
        <f>Table11[[#This Row],['#Replace 24]]*Table11[[#This Row],[USA Allocation %]]</f>
        <v>0</v>
      </c>
      <c r="M30" s="16">
        <f>IF(Table11[[#This Row],[Planting Year]]=2024,Table11['#Planted],0)</f>
        <v>0</v>
      </c>
      <c r="N30" s="16">
        <f>(Table11[[#This Row],[2024 '#Trees Inventory + Estimate]]*Table11[[#This Row],[USA Allocation %]])-SUM(Table37[[#This Row],['# Trees as of 12/31/23]:[New Trees/Planted in 2024]])</f>
        <v>0</v>
      </c>
      <c r="O30" s="16">
        <f>SUM(Table37[[#This Row],['# Trees as of 12/31/23]:[2024 Tree Losses]])</f>
        <v>0</v>
      </c>
      <c r="P30" s="16">
        <f>SUM(Table37[[#This Row],[Total Trees as of 12/31/24]]-Table37[[#This Row],['# Trees as of 12/31/23]])</f>
        <v>0</v>
      </c>
      <c r="Q30" s="16">
        <f>Table11[[#This Row],['#Total Replacements]]*Table11[[#This Row],[USA Allocation %]]</f>
        <v>7.1999999999999993</v>
      </c>
      <c r="R30" s="16">
        <f>IF(Table37[[#This Row],['#Survival based on Inventory]]=0,Table37['#Survival based on Last Year Estimate],Table37['#Survival based on Inventory])</f>
        <v>0</v>
      </c>
      <c r="S30" s="16">
        <f>Table11[[#This Row],['#Planted]]*Table11[[#This Row],[USA Allocation %]]*Table11[[#This Row],[2024 Inventory Survival%-master]]</f>
        <v>0</v>
      </c>
      <c r="T30" s="16">
        <f>Table11[[#This Row],['#Planted]]*Table11[[#This Row],[USA Allocation %]]*Table11[[#This Row],[2024 Estimated Survival%]]</f>
        <v>0</v>
      </c>
      <c r="U30">
        <f>Table11[[#This Row],[ETP Year]]</f>
        <v>2016</v>
      </c>
      <c r="V30">
        <f>Table11[[#This Row],[Planting Year]]</f>
        <v>2017</v>
      </c>
      <c r="W30" s="8">
        <f>Table11[[#This Row],[Survival% as of 12/31/23]]</f>
        <v>0</v>
      </c>
      <c r="X30" s="7">
        <f>Table11[[#This Row],[ETP'#s]]</f>
        <v>1</v>
      </c>
    </row>
    <row r="31" spans="1:24" x14ac:dyDescent="0.25">
      <c r="A31">
        <f>Table11[[#This Row],[Farmer'#]]</f>
        <v>10016</v>
      </c>
      <c r="B31" t="str">
        <f>Table11[[#This Row],[Representative]]</f>
        <v>Marlene Lewis</v>
      </c>
      <c r="C31" t="str">
        <f>Table11[[#This Row],[Contract Name]]</f>
        <v>Lewauta Landholdings Inc</v>
      </c>
      <c r="D31" t="str">
        <f>Table11[[#This Row],[Status]]</f>
        <v>Out of Program</v>
      </c>
      <c r="E31" t="str">
        <f>Table11[[#This Row],[Contract Code]]</f>
        <v>US0018</v>
      </c>
      <c r="F31" s="16">
        <f>Table11[[#This Row],['#TreesContract]]</f>
        <v>951</v>
      </c>
      <c r="G31" s="16">
        <f>Table11[[#This Row],['#Planted]]</f>
        <v>951</v>
      </c>
      <c r="H31" s="16">
        <f>Table11[[#This Row],['#TreesContract]]*Table11[[#This Row],[USA Allocation %]]</f>
        <v>228</v>
      </c>
      <c r="I31" s="16">
        <f>Table11[[#This Row],['#Planted]]*Table11[[#This Row],[USA Allocation %]]</f>
        <v>228</v>
      </c>
      <c r="J31" s="16">
        <f>Table11[[#This Row],[Contract Amendment]]*Table11[[#This Row],[USA Allocation %]]</f>
        <v>0</v>
      </c>
      <c r="K31" s="16">
        <f>Table11[[#This Row],['#Trees as of 12/31/23]]*Table11[[#This Row],[USA Allocation %]]</f>
        <v>122.50000885121811</v>
      </c>
      <c r="L31" s="16">
        <f>Table11[[#This Row],['#Replace 24]]*Table11[[#This Row],[USA Allocation %]]</f>
        <v>0</v>
      </c>
      <c r="M31" s="16">
        <f>IF(Table11[[#This Row],[Planting Year]]=2024,Table11['#Planted],0)</f>
        <v>0</v>
      </c>
      <c r="N31" s="16">
        <f>(Table11[[#This Row],[2024 '#Trees Inventory + Estimate]]*Table11[[#This Row],[USA Allocation %]])-SUM(Table37[[#This Row],['# Trees as of 12/31/23]:[New Trees/Planted in 2024]])</f>
        <v>-122.50000885121811</v>
      </c>
      <c r="O31" s="16">
        <f>SUM(Table37[[#This Row],['# Trees as of 12/31/23]:[2024 Tree Losses]])</f>
        <v>0</v>
      </c>
      <c r="P31" s="16">
        <f>SUM(Table37[[#This Row],[Total Trees as of 12/31/24]]-Table37[[#This Row],['# Trees as of 12/31/23]])</f>
        <v>-122.50000885121811</v>
      </c>
      <c r="Q31" s="16">
        <f>Table11[[#This Row],['#Total Replacements]]*Table11[[#This Row],[USA Allocation %]]</f>
        <v>9.589905362776026</v>
      </c>
      <c r="R31" s="16">
        <f>IF(Table37[[#This Row],['#Survival based on Inventory]]=0,Table37['#Survival based on Last Year Estimate],Table37['#Survival based on Inventory])</f>
        <v>0</v>
      </c>
      <c r="S31" s="16">
        <f>Table11[[#This Row],['#Planted]]*Table11[[#This Row],[USA Allocation %]]*Table11[[#This Row],[2024 Inventory Survival%-master]]</f>
        <v>0</v>
      </c>
      <c r="T31" s="16">
        <f>Table11[[#This Row],['#Planted]]*Table11[[#This Row],[USA Allocation %]]*Table11[[#This Row],[2024 Estimated Survival%]]</f>
        <v>0</v>
      </c>
      <c r="U31">
        <f>Table11[[#This Row],[ETP Year]]</f>
        <v>2016</v>
      </c>
      <c r="V31">
        <f>Table11[[#This Row],[Planting Year]]</f>
        <v>2017</v>
      </c>
      <c r="W31" s="8">
        <f>Table11[[#This Row],[Survival% as of 12/31/23]]</f>
        <v>0.537280740575518</v>
      </c>
      <c r="X31" s="7">
        <f>Table11[[#This Row],[ETP'#s]]</f>
        <v>1</v>
      </c>
    </row>
    <row r="32" spans="1:24" x14ac:dyDescent="0.25">
      <c r="A32">
        <f>Table11[[#This Row],[Farmer'#]]</f>
        <v>10017</v>
      </c>
      <c r="B32" t="str">
        <f>Table11[[#This Row],[Representative]]</f>
        <v>Paul Hartz</v>
      </c>
      <c r="C32" t="str">
        <f>Table11[[#This Row],[Contract Name]]</f>
        <v>Paul Hartz</v>
      </c>
      <c r="D32" t="str">
        <f>Table11[[#This Row],[Status]]</f>
        <v>Out of Program</v>
      </c>
      <c r="E32" t="str">
        <f>Table11[[#This Row],[Contract Code]]</f>
        <v>US0019</v>
      </c>
      <c r="F32" s="16">
        <f>Table11[[#This Row],['#TreesContract]]</f>
        <v>2200</v>
      </c>
      <c r="G32" s="16">
        <f>Table11[[#This Row],['#Planted]]</f>
        <v>2200</v>
      </c>
      <c r="H32" s="16">
        <f>Table11[[#This Row],['#TreesContract]]*Table11[[#This Row],[USA Allocation %]]</f>
        <v>528</v>
      </c>
      <c r="I32" s="16">
        <f>Table11[[#This Row],['#Planted]]*Table11[[#This Row],[USA Allocation %]]</f>
        <v>528</v>
      </c>
      <c r="J32" s="16">
        <f>Table11[[#This Row],[Contract Amendment]]*Table11[[#This Row],[USA Allocation %]]</f>
        <v>0</v>
      </c>
      <c r="K32" s="16">
        <f>Table11[[#This Row],['#Trees as of 12/31/23]]*Table11[[#This Row],[USA Allocation %]]</f>
        <v>0</v>
      </c>
      <c r="L32" s="16">
        <f>Table11[[#This Row],['#Replace 24]]*Table11[[#This Row],[USA Allocation %]]</f>
        <v>0</v>
      </c>
      <c r="M32" s="16">
        <f>IF(Table11[[#This Row],[Planting Year]]=2024,Table11['#Planted],0)</f>
        <v>0</v>
      </c>
      <c r="N32" s="16">
        <f>(Table11[[#This Row],[2024 '#Trees Inventory + Estimate]]*Table11[[#This Row],[USA Allocation %]])-SUM(Table37[[#This Row],['# Trees as of 12/31/23]:[New Trees/Planted in 2024]])</f>
        <v>0</v>
      </c>
      <c r="O32" s="16">
        <f>SUM(Table37[[#This Row],['# Trees as of 12/31/23]:[2024 Tree Losses]])</f>
        <v>0</v>
      </c>
      <c r="P32" s="16">
        <f>SUM(Table37[[#This Row],[Total Trees as of 12/31/24]]-Table37[[#This Row],['# Trees as of 12/31/23]])</f>
        <v>0</v>
      </c>
      <c r="Q32" s="16">
        <f>Table11[[#This Row],['#Total Replacements]]*Table11[[#This Row],[USA Allocation %]]</f>
        <v>0</v>
      </c>
      <c r="R32" s="16">
        <f>IF(Table37[[#This Row],['#Survival based on Inventory]]=0,Table37['#Survival based on Last Year Estimate],Table37['#Survival based on Inventory])</f>
        <v>0</v>
      </c>
      <c r="S32" s="16">
        <f>Table11[[#This Row],['#Planted]]*Table11[[#This Row],[USA Allocation %]]*Table11[[#This Row],[2024 Inventory Survival%-master]]</f>
        <v>0</v>
      </c>
      <c r="T32" s="16">
        <f>Table11[[#This Row],['#Planted]]*Table11[[#This Row],[USA Allocation %]]*Table11[[#This Row],[2024 Estimated Survival%]]</f>
        <v>0</v>
      </c>
      <c r="U32">
        <f>Table11[[#This Row],[ETP Year]]</f>
        <v>2016</v>
      </c>
      <c r="V32">
        <f>Table11[[#This Row],[Planting Year]]</f>
        <v>2017</v>
      </c>
      <c r="W32" s="8">
        <f>Table11[[#This Row],[Survival% as of 12/31/23]]</f>
        <v>0</v>
      </c>
      <c r="X32" s="7">
        <f>Table11[[#This Row],[ETP'#s]]</f>
        <v>1</v>
      </c>
    </row>
    <row r="33" spans="1:24" x14ac:dyDescent="0.25">
      <c r="A33">
        <f>Table11[[#This Row],[Farmer'#]]</f>
        <v>10018</v>
      </c>
      <c r="B33" t="str">
        <f>Table11[[#This Row],[Representative]]</f>
        <v>Richard Cumberland</v>
      </c>
      <c r="C33" t="str">
        <f>Table11[[#This Row],[Contract Name]]</f>
        <v>Richard Cumberland</v>
      </c>
      <c r="D33" t="str">
        <f>Table11[[#This Row],[Status]]</f>
        <v>Out of Program</v>
      </c>
      <c r="E33" t="str">
        <f>Table11[[#This Row],[Contract Code]]</f>
        <v>US0020</v>
      </c>
      <c r="F33" s="16">
        <f>Table11[[#This Row],['#TreesContract]]</f>
        <v>200</v>
      </c>
      <c r="G33" s="16">
        <f>Table11[[#This Row],['#Planted]]</f>
        <v>200</v>
      </c>
      <c r="H33" s="16">
        <f>Table11[[#This Row],['#TreesContract]]*Table11[[#This Row],[USA Allocation %]]</f>
        <v>48</v>
      </c>
      <c r="I33" s="16">
        <f>Table11[[#This Row],['#Planted]]*Table11[[#This Row],[USA Allocation %]]</f>
        <v>48</v>
      </c>
      <c r="J33" s="16">
        <f>Table11[[#This Row],[Contract Amendment]]*Table11[[#This Row],[USA Allocation %]]</f>
        <v>0</v>
      </c>
      <c r="K33" s="16">
        <f>Table11[[#This Row],['#Trees as of 12/31/23]]*Table11[[#This Row],[USA Allocation %]]</f>
        <v>0</v>
      </c>
      <c r="L33" s="16">
        <f>Table11[[#This Row],['#Replace 24]]*Table11[[#This Row],[USA Allocation %]]</f>
        <v>0</v>
      </c>
      <c r="M33" s="16">
        <f>IF(Table11[[#This Row],[Planting Year]]=2024,Table11['#Planted],0)</f>
        <v>0</v>
      </c>
      <c r="N33" s="16">
        <f>(Table11[[#This Row],[2024 '#Trees Inventory + Estimate]]*Table11[[#This Row],[USA Allocation %]])-SUM(Table37[[#This Row],['# Trees as of 12/31/23]:[New Trees/Planted in 2024]])</f>
        <v>0</v>
      </c>
      <c r="O33" s="16">
        <f>SUM(Table37[[#This Row],['# Trees as of 12/31/23]:[2024 Tree Losses]])</f>
        <v>0</v>
      </c>
      <c r="P33" s="16">
        <f>SUM(Table37[[#This Row],[Total Trees as of 12/31/24]]-Table37[[#This Row],['# Trees as of 12/31/23]])</f>
        <v>0</v>
      </c>
      <c r="Q33" s="16">
        <f>Table11[[#This Row],['#Total Replacements]]*Table11[[#This Row],[USA Allocation %]]</f>
        <v>0</v>
      </c>
      <c r="R33" s="16">
        <f>IF(Table37[[#This Row],['#Survival based on Inventory]]=0,Table37['#Survival based on Last Year Estimate],Table37['#Survival based on Inventory])</f>
        <v>0</v>
      </c>
      <c r="S33" s="16">
        <f>Table11[[#This Row],['#Planted]]*Table11[[#This Row],[USA Allocation %]]*Table11[[#This Row],[2024 Inventory Survival%-master]]</f>
        <v>0</v>
      </c>
      <c r="T33" s="16">
        <f>Table11[[#This Row],['#Planted]]*Table11[[#This Row],[USA Allocation %]]*Table11[[#This Row],[2024 Estimated Survival%]]</f>
        <v>0</v>
      </c>
      <c r="U33">
        <f>Table11[[#This Row],[ETP Year]]</f>
        <v>2016</v>
      </c>
      <c r="V33">
        <f>Table11[[#This Row],[Planting Year]]</f>
        <v>2017</v>
      </c>
      <c r="W33" s="8">
        <f>Table11[[#This Row],[Survival% as of 12/31/23]]</f>
        <v>0</v>
      </c>
      <c r="X33" s="7">
        <f>Table11[[#This Row],[ETP'#s]]</f>
        <v>1</v>
      </c>
    </row>
    <row r="34" spans="1:24" x14ac:dyDescent="0.25">
      <c r="A34">
        <f>Table11[[#This Row],[Farmer'#]]</f>
        <v>20005</v>
      </c>
      <c r="B34" t="str">
        <f>Table11[[#This Row],[Representative]]</f>
        <v>Juan Luis  Chaves</v>
      </c>
      <c r="C34" t="str">
        <f>Table11[[#This Row],[Contract Name]]</f>
        <v xml:space="preserve">ASESORIA DE EMPRESAS TONAL S A, </v>
      </c>
      <c r="D34" t="str">
        <f>Table11[[#This Row],[Status]]</f>
        <v>Out of Program</v>
      </c>
      <c r="E34" t="str">
        <f>Table11[[#This Row],[Contract Code]]</f>
        <v>CR0015</v>
      </c>
      <c r="F34" s="16">
        <f>Table11[[#This Row],['#TreesContract]]</f>
        <v>1000</v>
      </c>
      <c r="G34" s="16">
        <f>Table11[[#This Row],['#Planted]]</f>
        <v>1000</v>
      </c>
      <c r="H34" s="16">
        <f>Table11[[#This Row],['#TreesContract]]*Table11[[#This Row],[USA Allocation %]]</f>
        <v>240</v>
      </c>
      <c r="I34" s="16">
        <f>Table11[[#This Row],['#Planted]]*Table11[[#This Row],[USA Allocation %]]</f>
        <v>240</v>
      </c>
      <c r="J34" s="16">
        <f>Table11[[#This Row],[Contract Amendment]]*Table11[[#This Row],[USA Allocation %]]</f>
        <v>0</v>
      </c>
      <c r="K34" s="16">
        <f>Table11[[#This Row],['#Trees as of 12/31/23]]*Table11[[#This Row],[USA Allocation %]]</f>
        <v>0</v>
      </c>
      <c r="L34" s="16">
        <f>Table11[[#This Row],['#Replace 24]]*Table11[[#This Row],[USA Allocation %]]</f>
        <v>0</v>
      </c>
      <c r="M34" s="16">
        <f>IF(Table11[[#This Row],[Planting Year]]=2024,Table11['#Planted],0)</f>
        <v>0</v>
      </c>
      <c r="N34" s="16">
        <f>(Table11[[#This Row],[2024 '#Trees Inventory + Estimate]]*Table11[[#This Row],[USA Allocation %]])-SUM(Table37[[#This Row],['# Trees as of 12/31/23]:[New Trees/Planted in 2024]])</f>
        <v>0</v>
      </c>
      <c r="O34" s="16">
        <f>SUM(Table37[[#This Row],['# Trees as of 12/31/23]:[2024 Tree Losses]])</f>
        <v>0</v>
      </c>
      <c r="P34" s="16">
        <f>SUM(Table37[[#This Row],[Total Trees as of 12/31/24]]-Table37[[#This Row],['# Trees as of 12/31/23]])</f>
        <v>0</v>
      </c>
      <c r="Q34" s="16">
        <f>Table11[[#This Row],['#Total Replacements]]*Table11[[#This Row],[USA Allocation %]]</f>
        <v>0</v>
      </c>
      <c r="R34" s="16">
        <f>IF(Table37[[#This Row],['#Survival based on Inventory]]=0,Table37['#Survival based on Last Year Estimate],Table37['#Survival based on Inventory])</f>
        <v>0</v>
      </c>
      <c r="S34" s="16">
        <f>Table11[[#This Row],['#Planted]]*Table11[[#This Row],[USA Allocation %]]*Table11[[#This Row],[2024 Inventory Survival%-master]]</f>
        <v>0</v>
      </c>
      <c r="T34" s="16">
        <f>Table11[[#This Row],['#Planted]]*Table11[[#This Row],[USA Allocation %]]*Table11[[#This Row],[2024 Estimated Survival%]]</f>
        <v>0</v>
      </c>
      <c r="U34">
        <f>Table11[[#This Row],[ETP Year]]</f>
        <v>2016</v>
      </c>
      <c r="V34">
        <f>Table11[[#This Row],[Planting Year]]</f>
        <v>2017</v>
      </c>
      <c r="W34" s="8">
        <f>Table11[[#This Row],[Survival% as of 12/31/23]]</f>
        <v>0</v>
      </c>
      <c r="X34" s="7">
        <f>Table11[[#This Row],[ETP'#s]]</f>
        <v>1</v>
      </c>
    </row>
    <row r="35" spans="1:24" x14ac:dyDescent="0.25">
      <c r="A35">
        <f>Table11[[#This Row],[Farmer'#]]</f>
        <v>20008</v>
      </c>
      <c r="B35" t="str">
        <f>Table11[[#This Row],[Representative]]</f>
        <v>Carlos Navarro</v>
      </c>
      <c r="C35" t="str">
        <f>Table11[[#This Row],[Contract Name]]</f>
        <v>Carlos Navarro</v>
      </c>
      <c r="D35" t="str">
        <f>Table11[[#This Row],[Status]]</f>
        <v>Out of Program</v>
      </c>
      <c r="E35" t="str">
        <f>Table11[[#This Row],[Contract Code]]</f>
        <v>CR0008</v>
      </c>
      <c r="F35" s="16">
        <f>Table11[[#This Row],['#TreesContract]]</f>
        <v>1200</v>
      </c>
      <c r="G35" s="16">
        <f>Table11[[#This Row],['#Planted]]</f>
        <v>1200</v>
      </c>
      <c r="H35" s="16">
        <f>Table11[[#This Row],['#TreesContract]]*Table11[[#This Row],[USA Allocation %]]</f>
        <v>288</v>
      </c>
      <c r="I35" s="16">
        <f>Table11[[#This Row],['#Planted]]*Table11[[#This Row],[USA Allocation %]]</f>
        <v>288</v>
      </c>
      <c r="J35" s="16">
        <f>Table11[[#This Row],[Contract Amendment]]*Table11[[#This Row],[USA Allocation %]]</f>
        <v>0</v>
      </c>
      <c r="K35" s="16">
        <f>Table11[[#This Row],['#Trees as of 12/31/23]]*Table11[[#This Row],[USA Allocation %]]</f>
        <v>0</v>
      </c>
      <c r="L35" s="16">
        <f>Table11[[#This Row],['#Replace 24]]*Table11[[#This Row],[USA Allocation %]]</f>
        <v>0</v>
      </c>
      <c r="M35" s="16">
        <f>IF(Table11[[#This Row],[Planting Year]]=2024,Table11['#Planted],0)</f>
        <v>0</v>
      </c>
      <c r="N35" s="16">
        <f>(Table11[[#This Row],[2024 '#Trees Inventory + Estimate]]*Table11[[#This Row],[USA Allocation %]])-SUM(Table37[[#This Row],['# Trees as of 12/31/23]:[New Trees/Planted in 2024]])</f>
        <v>0</v>
      </c>
      <c r="O35" s="16">
        <f>SUM(Table37[[#This Row],['# Trees as of 12/31/23]:[2024 Tree Losses]])</f>
        <v>0</v>
      </c>
      <c r="P35" s="16">
        <f>SUM(Table37[[#This Row],[Total Trees as of 12/31/24]]-Table37[[#This Row],['# Trees as of 12/31/23]])</f>
        <v>0</v>
      </c>
      <c r="Q35" s="16">
        <f>Table11[[#This Row],['#Total Replacements]]*Table11[[#This Row],[USA Allocation %]]</f>
        <v>0</v>
      </c>
      <c r="R35" s="16">
        <f>IF(Table37[[#This Row],['#Survival based on Inventory]]=0,Table37['#Survival based on Last Year Estimate],Table37['#Survival based on Inventory])</f>
        <v>0</v>
      </c>
      <c r="S35" s="16">
        <f>Table11[[#This Row],['#Planted]]*Table11[[#This Row],[USA Allocation %]]*Table11[[#This Row],[2024 Inventory Survival%-master]]</f>
        <v>0</v>
      </c>
      <c r="T35" s="16">
        <f>Table11[[#This Row],['#Planted]]*Table11[[#This Row],[USA Allocation %]]*Table11[[#This Row],[2024 Estimated Survival%]]</f>
        <v>0</v>
      </c>
      <c r="U35">
        <f>Table11[[#This Row],[ETP Year]]</f>
        <v>2016</v>
      </c>
      <c r="V35">
        <f>Table11[[#This Row],[Planting Year]]</f>
        <v>2017</v>
      </c>
      <c r="W35" s="8">
        <f>Table11[[#This Row],[Survival% as of 12/31/23]]</f>
        <v>0</v>
      </c>
      <c r="X35" s="7">
        <f>Table11[[#This Row],[ETP'#s]]</f>
        <v>1</v>
      </c>
    </row>
    <row r="36" spans="1:24" x14ac:dyDescent="0.25">
      <c r="A36">
        <f>Table11[[#This Row],[Farmer'#]]</f>
        <v>20009</v>
      </c>
      <c r="B36" t="str">
        <f>Table11[[#This Row],[Representative]]</f>
        <v>David Gutierrez</v>
      </c>
      <c r="C36" t="str">
        <f>Table11[[#This Row],[Contract Name]]</f>
        <v>Edgar Gutierrez</v>
      </c>
      <c r="D36" t="str">
        <f>Table11[[#This Row],[Status]]</f>
        <v>Out of Program</v>
      </c>
      <c r="E36" t="str">
        <f>Table11[[#This Row],[Contract Code]]</f>
        <v>CR0009</v>
      </c>
      <c r="F36" s="16">
        <f>Table11[[#This Row],['#TreesContract]]</f>
        <v>500</v>
      </c>
      <c r="G36" s="16">
        <f>Table11[[#This Row],['#Planted]]</f>
        <v>500</v>
      </c>
      <c r="H36" s="16">
        <f>Table11[[#This Row],['#TreesContract]]*Table11[[#This Row],[USA Allocation %]]</f>
        <v>120</v>
      </c>
      <c r="I36" s="16">
        <f>Table11[[#This Row],['#Planted]]*Table11[[#This Row],[USA Allocation %]]</f>
        <v>120</v>
      </c>
      <c r="J36" s="16">
        <f>Table11[[#This Row],[Contract Amendment]]*Table11[[#This Row],[USA Allocation %]]</f>
        <v>0</v>
      </c>
      <c r="K36" s="16">
        <f>Table11[[#This Row],['#Trees as of 12/31/23]]*Table11[[#This Row],[USA Allocation %]]</f>
        <v>0</v>
      </c>
      <c r="L36" s="16">
        <f>Table11[[#This Row],['#Replace 24]]*Table11[[#This Row],[USA Allocation %]]</f>
        <v>0</v>
      </c>
      <c r="M36" s="16">
        <f>IF(Table11[[#This Row],[Planting Year]]=2024,Table11['#Planted],0)</f>
        <v>0</v>
      </c>
      <c r="N36" s="16">
        <f>(Table11[[#This Row],[2024 '#Trees Inventory + Estimate]]*Table11[[#This Row],[USA Allocation %]])-SUM(Table37[[#This Row],['# Trees as of 12/31/23]:[New Trees/Planted in 2024]])</f>
        <v>0</v>
      </c>
      <c r="O36" s="16">
        <f>SUM(Table37[[#This Row],['# Trees as of 12/31/23]:[2024 Tree Losses]])</f>
        <v>0</v>
      </c>
      <c r="P36" s="16">
        <f>SUM(Table37[[#This Row],[Total Trees as of 12/31/24]]-Table37[[#This Row],['# Trees as of 12/31/23]])</f>
        <v>0</v>
      </c>
      <c r="Q36" s="16">
        <f>Table11[[#This Row],['#Total Replacements]]*Table11[[#This Row],[USA Allocation %]]</f>
        <v>0</v>
      </c>
      <c r="R36" s="16">
        <f>IF(Table37[[#This Row],['#Survival based on Inventory]]=0,Table37['#Survival based on Last Year Estimate],Table37['#Survival based on Inventory])</f>
        <v>0</v>
      </c>
      <c r="S36" s="16">
        <f>Table11[[#This Row],['#Planted]]*Table11[[#This Row],[USA Allocation %]]*Table11[[#This Row],[2024 Inventory Survival%-master]]</f>
        <v>0</v>
      </c>
      <c r="T36" s="16">
        <f>Table11[[#This Row],['#Planted]]*Table11[[#This Row],[USA Allocation %]]*Table11[[#This Row],[2024 Estimated Survival%]]</f>
        <v>0</v>
      </c>
      <c r="U36">
        <f>Table11[[#This Row],[ETP Year]]</f>
        <v>2016</v>
      </c>
      <c r="V36">
        <f>Table11[[#This Row],[Planting Year]]</f>
        <v>2017</v>
      </c>
      <c r="W36" s="8">
        <f>Table11[[#This Row],[Survival% as of 12/31/23]]</f>
        <v>0</v>
      </c>
      <c r="X36" s="7">
        <f>Table11[[#This Row],[ETP'#s]]</f>
        <v>1</v>
      </c>
    </row>
    <row r="37" spans="1:24" x14ac:dyDescent="0.25">
      <c r="A37">
        <f>Table11[[#This Row],[Farmer'#]]</f>
        <v>20010</v>
      </c>
      <c r="B37" t="str">
        <f>Table11[[#This Row],[Representative]]</f>
        <v>Edgar Ureña</v>
      </c>
      <c r="C37" t="str">
        <f>Table11[[#This Row],[Contract Name]]</f>
        <v>Edgar Ureña</v>
      </c>
      <c r="D37" t="str">
        <f>Table11[[#This Row],[Status]]</f>
        <v>Out of Program</v>
      </c>
      <c r="E37" t="str">
        <f>Table11[[#This Row],[Contract Code]]</f>
        <v>CR0010</v>
      </c>
      <c r="F37" s="16">
        <f>Table11[[#This Row],['#TreesContract]]</f>
        <v>500</v>
      </c>
      <c r="G37" s="16">
        <f>Table11[[#This Row],['#Planted]]</f>
        <v>500</v>
      </c>
      <c r="H37" s="16">
        <f>Table11[[#This Row],['#TreesContract]]*Table11[[#This Row],[USA Allocation %]]</f>
        <v>120</v>
      </c>
      <c r="I37" s="16">
        <f>Table11[[#This Row],['#Planted]]*Table11[[#This Row],[USA Allocation %]]</f>
        <v>120</v>
      </c>
      <c r="J37" s="16">
        <f>Table11[[#This Row],[Contract Amendment]]*Table11[[#This Row],[USA Allocation %]]</f>
        <v>0</v>
      </c>
      <c r="K37" s="16">
        <f>Table11[[#This Row],['#Trees as of 12/31/23]]*Table11[[#This Row],[USA Allocation %]]</f>
        <v>0</v>
      </c>
      <c r="L37" s="16">
        <f>Table11[[#This Row],['#Replace 24]]*Table11[[#This Row],[USA Allocation %]]</f>
        <v>0</v>
      </c>
      <c r="M37" s="16">
        <f>IF(Table11[[#This Row],[Planting Year]]=2024,Table11['#Planted],0)</f>
        <v>0</v>
      </c>
      <c r="N37" s="16">
        <f>(Table11[[#This Row],[2024 '#Trees Inventory + Estimate]]*Table11[[#This Row],[USA Allocation %]])-SUM(Table37[[#This Row],['# Trees as of 12/31/23]:[New Trees/Planted in 2024]])</f>
        <v>0</v>
      </c>
      <c r="O37" s="16">
        <f>SUM(Table37[[#This Row],['# Trees as of 12/31/23]:[2024 Tree Losses]])</f>
        <v>0</v>
      </c>
      <c r="P37" s="16">
        <f>SUM(Table37[[#This Row],[Total Trees as of 12/31/24]]-Table37[[#This Row],['# Trees as of 12/31/23]])</f>
        <v>0</v>
      </c>
      <c r="Q37" s="16">
        <f>Table11[[#This Row],['#Total Replacements]]*Table11[[#This Row],[USA Allocation %]]</f>
        <v>0</v>
      </c>
      <c r="R37" s="16">
        <f>IF(Table37[[#This Row],['#Survival based on Inventory]]=0,Table37['#Survival based on Last Year Estimate],Table37['#Survival based on Inventory])</f>
        <v>0</v>
      </c>
      <c r="S37" s="16">
        <f>Table11[[#This Row],['#Planted]]*Table11[[#This Row],[USA Allocation %]]*Table11[[#This Row],[2024 Inventory Survival%-master]]</f>
        <v>0</v>
      </c>
      <c r="T37" s="16">
        <f>Table11[[#This Row],['#Planted]]*Table11[[#This Row],[USA Allocation %]]*Table11[[#This Row],[2024 Estimated Survival%]]</f>
        <v>0</v>
      </c>
      <c r="U37">
        <f>Table11[[#This Row],[ETP Year]]</f>
        <v>2016</v>
      </c>
      <c r="V37">
        <f>Table11[[#This Row],[Planting Year]]</f>
        <v>2017</v>
      </c>
      <c r="W37" s="8">
        <f>Table11[[#This Row],[Survival% as of 12/31/23]]</f>
        <v>0</v>
      </c>
      <c r="X37" s="7">
        <f>Table11[[#This Row],[ETP'#s]]</f>
        <v>1</v>
      </c>
    </row>
    <row r="38" spans="1:24" x14ac:dyDescent="0.25">
      <c r="A38">
        <f>Table11[[#This Row],[Farmer'#]]</f>
        <v>20011</v>
      </c>
      <c r="B38" t="str">
        <f>Table11[[#This Row],[Representative]]</f>
        <v>Fernando Altmann</v>
      </c>
      <c r="C38" t="str">
        <f>Table11[[#This Row],[Contract Name]]</f>
        <v>Fernando Altmann</v>
      </c>
      <c r="D38" t="str">
        <f>Table11[[#This Row],[Status]]</f>
        <v>Out of Program</v>
      </c>
      <c r="E38" t="str">
        <f>Table11[[#This Row],[Contract Code]]</f>
        <v>CR0011</v>
      </c>
      <c r="F38" s="16">
        <f>Table11[[#This Row],['#TreesContract]]</f>
        <v>13000</v>
      </c>
      <c r="G38" s="16">
        <f>Table11[[#This Row],['#Planted]]</f>
        <v>13000</v>
      </c>
      <c r="H38" s="16">
        <f>Table11[[#This Row],['#TreesContract]]*Table11[[#This Row],[USA Allocation %]]</f>
        <v>3120</v>
      </c>
      <c r="I38" s="16">
        <f>Table11[[#This Row],['#Planted]]*Table11[[#This Row],[USA Allocation %]]</f>
        <v>3120</v>
      </c>
      <c r="J38" s="16">
        <f>Table11[[#This Row],[Contract Amendment]]*Table11[[#This Row],[USA Allocation %]]</f>
        <v>0</v>
      </c>
      <c r="K38" s="16">
        <f>Table11[[#This Row],['#Trees as of 12/31/23]]*Table11[[#This Row],[USA Allocation %]]</f>
        <v>0</v>
      </c>
      <c r="L38" s="16">
        <f>Table11[[#This Row],['#Replace 24]]*Table11[[#This Row],[USA Allocation %]]</f>
        <v>0</v>
      </c>
      <c r="M38" s="16">
        <f>IF(Table11[[#This Row],[Planting Year]]=2024,Table11['#Planted],0)</f>
        <v>0</v>
      </c>
      <c r="N38" s="16">
        <f>(Table11[[#This Row],[2024 '#Trees Inventory + Estimate]]*Table11[[#This Row],[USA Allocation %]])-SUM(Table37[[#This Row],['# Trees as of 12/31/23]:[New Trees/Planted in 2024]])</f>
        <v>0</v>
      </c>
      <c r="O38" s="16">
        <f>SUM(Table37[[#This Row],['# Trees as of 12/31/23]:[2024 Tree Losses]])</f>
        <v>0</v>
      </c>
      <c r="P38" s="16">
        <f>SUM(Table37[[#This Row],[Total Trees as of 12/31/24]]-Table37[[#This Row],['# Trees as of 12/31/23]])</f>
        <v>0</v>
      </c>
      <c r="Q38" s="16">
        <f>Table11[[#This Row],['#Total Replacements]]*Table11[[#This Row],[USA Allocation %]]</f>
        <v>0</v>
      </c>
      <c r="R38" s="16">
        <f>IF(Table37[[#This Row],['#Survival based on Inventory]]=0,Table37['#Survival based on Last Year Estimate],Table37['#Survival based on Inventory])</f>
        <v>0</v>
      </c>
      <c r="S38" s="16">
        <f>Table11[[#This Row],['#Planted]]*Table11[[#This Row],[USA Allocation %]]*Table11[[#This Row],[2024 Inventory Survival%-master]]</f>
        <v>0</v>
      </c>
      <c r="T38" s="16">
        <f>Table11[[#This Row],['#Planted]]*Table11[[#This Row],[USA Allocation %]]*Table11[[#This Row],[2024 Estimated Survival%]]</f>
        <v>0</v>
      </c>
      <c r="U38">
        <f>Table11[[#This Row],[ETP Year]]</f>
        <v>2016</v>
      </c>
      <c r="V38">
        <f>Table11[[#This Row],[Planting Year]]</f>
        <v>2017</v>
      </c>
      <c r="W38" s="8">
        <f>Table11[[#This Row],[Survival% as of 12/31/23]]</f>
        <v>0</v>
      </c>
      <c r="X38" s="7">
        <f>Table11[[#This Row],[ETP'#s]]</f>
        <v>1</v>
      </c>
    </row>
    <row r="39" spans="1:24" x14ac:dyDescent="0.25">
      <c r="A39">
        <f>Table11[[#This Row],[Farmer'#]]</f>
        <v>20012</v>
      </c>
      <c r="B39" t="str">
        <f>Table11[[#This Row],[Representative]]</f>
        <v>Francisco Mena</v>
      </c>
      <c r="C39" t="str">
        <f>Table11[[#This Row],[Contract Name]]</f>
        <v>Sumava de Lourdes, R.L</v>
      </c>
      <c r="D39" t="str">
        <f>Table11[[#This Row],[Status]]</f>
        <v>Out of Program</v>
      </c>
      <c r="E39" t="str">
        <f>Table11[[#This Row],[Contract Code]]</f>
        <v>CR0012</v>
      </c>
      <c r="F39" s="16">
        <f>Table11[[#This Row],['#TreesContract]]</f>
        <v>2000</v>
      </c>
      <c r="G39" s="16">
        <f>Table11[[#This Row],['#Planted]]</f>
        <v>2000</v>
      </c>
      <c r="H39" s="16">
        <f>Table11[[#This Row],['#TreesContract]]*Table11[[#This Row],[USA Allocation %]]</f>
        <v>480</v>
      </c>
      <c r="I39" s="16">
        <f>Table11[[#This Row],['#Planted]]*Table11[[#This Row],[USA Allocation %]]</f>
        <v>480</v>
      </c>
      <c r="J39" s="16">
        <f>Table11[[#This Row],[Contract Amendment]]*Table11[[#This Row],[USA Allocation %]]</f>
        <v>0</v>
      </c>
      <c r="K39" s="16">
        <f>Table11[[#This Row],['#Trees as of 12/31/23]]*Table11[[#This Row],[USA Allocation %]]</f>
        <v>0</v>
      </c>
      <c r="L39" s="16">
        <f>Table11[[#This Row],['#Replace 24]]*Table11[[#This Row],[USA Allocation %]]</f>
        <v>0</v>
      </c>
      <c r="M39" s="16">
        <f>IF(Table11[[#This Row],[Planting Year]]=2024,Table11['#Planted],0)</f>
        <v>0</v>
      </c>
      <c r="N39" s="16">
        <f>(Table11[[#This Row],[2024 '#Trees Inventory + Estimate]]*Table11[[#This Row],[USA Allocation %]])-SUM(Table37[[#This Row],['# Trees as of 12/31/23]:[New Trees/Planted in 2024]])</f>
        <v>0</v>
      </c>
      <c r="O39" s="16">
        <f>SUM(Table37[[#This Row],['# Trees as of 12/31/23]:[2024 Tree Losses]])</f>
        <v>0</v>
      </c>
      <c r="P39" s="16">
        <f>SUM(Table37[[#This Row],[Total Trees as of 12/31/24]]-Table37[[#This Row],['# Trees as of 12/31/23]])</f>
        <v>0</v>
      </c>
      <c r="Q39" s="16">
        <f>Table11[[#This Row],['#Total Replacements]]*Table11[[#This Row],[USA Allocation %]]</f>
        <v>0</v>
      </c>
      <c r="R39" s="16">
        <f>IF(Table37[[#This Row],['#Survival based on Inventory]]=0,Table37['#Survival based on Last Year Estimate],Table37['#Survival based on Inventory])</f>
        <v>0</v>
      </c>
      <c r="S39" s="16">
        <f>Table11[[#This Row],['#Planted]]*Table11[[#This Row],[USA Allocation %]]*Table11[[#This Row],[2024 Inventory Survival%-master]]</f>
        <v>0</v>
      </c>
      <c r="T39" s="16">
        <f>Table11[[#This Row],['#Planted]]*Table11[[#This Row],[USA Allocation %]]*Table11[[#This Row],[2024 Estimated Survival%]]</f>
        <v>0</v>
      </c>
      <c r="U39">
        <f>Table11[[#This Row],[ETP Year]]</f>
        <v>2016</v>
      </c>
      <c r="V39">
        <f>Table11[[#This Row],[Planting Year]]</f>
        <v>2017</v>
      </c>
      <c r="W39" s="8">
        <f>Table11[[#This Row],[Survival% as of 12/31/23]]</f>
        <v>0</v>
      </c>
      <c r="X39" s="7">
        <f>Table11[[#This Row],[ETP'#s]]</f>
        <v>1</v>
      </c>
    </row>
    <row r="40" spans="1:24" x14ac:dyDescent="0.25">
      <c r="A40">
        <f>Table11[[#This Row],[Farmer'#]]</f>
        <v>20013</v>
      </c>
      <c r="B40" t="str">
        <f>Table11[[#This Row],[Representative]]</f>
        <v>Herberth Chacon</v>
      </c>
      <c r="C40" t="str">
        <f>Table11[[#This Row],[Contract Name]]</f>
        <v>Herberth Chacon</v>
      </c>
      <c r="D40" t="str">
        <f>Table11[[#This Row],[Status]]</f>
        <v>RFT</v>
      </c>
      <c r="E40" t="str">
        <f>Table11[[#This Row],[Contract Code]]</f>
        <v>CR0013</v>
      </c>
      <c r="F40" s="16">
        <f>Table11[[#This Row],['#TreesContract]]</f>
        <v>1000</v>
      </c>
      <c r="G40" s="16">
        <f>Table11[[#This Row],['#Planted]]</f>
        <v>1000</v>
      </c>
      <c r="H40" s="16">
        <f>Table11[[#This Row],['#TreesContract]]*Table11[[#This Row],[USA Allocation %]]</f>
        <v>240</v>
      </c>
      <c r="I40" s="16">
        <f>Table11[[#This Row],['#Planted]]*Table11[[#This Row],[USA Allocation %]]</f>
        <v>240</v>
      </c>
      <c r="J40" s="16">
        <f>Table11[[#This Row],[Contract Amendment]]*Table11[[#This Row],[USA Allocation %]]</f>
        <v>0</v>
      </c>
      <c r="K40" s="16">
        <f>Table11[[#This Row],['#Trees as of 12/31/23]]*Table11[[#This Row],[USA Allocation %]]</f>
        <v>208.79999999999998</v>
      </c>
      <c r="L40" s="16">
        <f>Table11[[#This Row],['#Replace 24]]*Table11[[#This Row],[USA Allocation %]]</f>
        <v>0</v>
      </c>
      <c r="M40" s="16">
        <f>IF(Table11[[#This Row],[Planting Year]]=2024,Table11['#Planted],0)</f>
        <v>0</v>
      </c>
      <c r="N40" s="16">
        <f>(Table11[[#This Row],[2024 '#Trees Inventory + Estimate]]*Table11[[#This Row],[USA Allocation %]])-SUM(Table37[[#This Row],['# Trees as of 12/31/23]:[New Trees/Planted in 2024]])</f>
        <v>0</v>
      </c>
      <c r="O40" s="16">
        <f>SUM(Table37[[#This Row],['# Trees as of 12/31/23]:[2024 Tree Losses]])</f>
        <v>208.79999999999998</v>
      </c>
      <c r="P40" s="16">
        <f>SUM(Table37[[#This Row],[Total Trees as of 12/31/24]]-Table37[[#This Row],['# Trees as of 12/31/23]])</f>
        <v>0</v>
      </c>
      <c r="Q40" s="16">
        <f>Table11[[#This Row],['#Total Replacements]]*Table11[[#This Row],[USA Allocation %]]</f>
        <v>180</v>
      </c>
      <c r="R40" s="16">
        <f>IF(Table37[[#This Row],['#Survival based on Inventory]]=0,Table37['#Survival based on Last Year Estimate],Table37['#Survival based on Inventory])</f>
        <v>208.8</v>
      </c>
      <c r="S40" s="16">
        <f>Table11[[#This Row],['#Planted]]*Table11[[#This Row],[USA Allocation %]]*Table11[[#This Row],[2024 Inventory Survival%-master]]</f>
        <v>0</v>
      </c>
      <c r="T40" s="16">
        <f>Table11[[#This Row],['#Planted]]*Table11[[#This Row],[USA Allocation %]]*Table11[[#This Row],[2024 Estimated Survival%]]</f>
        <v>208.8</v>
      </c>
      <c r="U40">
        <f>Table11[[#This Row],[ETP Year]]</f>
        <v>2016</v>
      </c>
      <c r="V40">
        <f>Table11[[#This Row],[Planting Year]]</f>
        <v>2017</v>
      </c>
      <c r="W40" s="8">
        <f>Table11[[#This Row],[Survival% as of 12/31/23]]</f>
        <v>0.87</v>
      </c>
      <c r="X40" s="7">
        <f>Table11[[#This Row],[ETP'#s]]</f>
        <v>1</v>
      </c>
    </row>
    <row r="41" spans="1:24" x14ac:dyDescent="0.25">
      <c r="A41">
        <f>Table11[[#This Row],[Farmer'#]]</f>
        <v>20015</v>
      </c>
      <c r="B41" t="str">
        <f>Table11[[#This Row],[Representative]]</f>
        <v>Krzysztof Adamski</v>
      </c>
      <c r="C41" t="str">
        <f>Table11[[#This Row],[Contract Name]]</f>
        <v>Krzysztof Adamski</v>
      </c>
      <c r="D41" t="str">
        <f>Table11[[#This Row],[Status]]</f>
        <v>Out of Program</v>
      </c>
      <c r="E41" t="str">
        <f>Table11[[#This Row],[Contract Code]]</f>
        <v>CR0016</v>
      </c>
      <c r="F41" s="16">
        <f>Table11[[#This Row],['#TreesContract]]</f>
        <v>600</v>
      </c>
      <c r="G41" s="16">
        <f>Table11[[#This Row],['#Planted]]</f>
        <v>600</v>
      </c>
      <c r="H41" s="16">
        <f>Table11[[#This Row],['#TreesContract]]*Table11[[#This Row],[USA Allocation %]]</f>
        <v>144</v>
      </c>
      <c r="I41" s="16">
        <f>Table11[[#This Row],['#Planted]]*Table11[[#This Row],[USA Allocation %]]</f>
        <v>144</v>
      </c>
      <c r="J41" s="16">
        <f>Table11[[#This Row],[Contract Amendment]]*Table11[[#This Row],[USA Allocation %]]</f>
        <v>0</v>
      </c>
      <c r="K41" s="16">
        <f>Table11[[#This Row],['#Trees as of 12/31/23]]*Table11[[#This Row],[USA Allocation %]]</f>
        <v>0</v>
      </c>
      <c r="L41" s="16">
        <f>Table11[[#This Row],['#Replace 24]]*Table11[[#This Row],[USA Allocation %]]</f>
        <v>0</v>
      </c>
      <c r="M41" s="16">
        <f>IF(Table11[[#This Row],[Planting Year]]=2024,Table11['#Planted],0)</f>
        <v>0</v>
      </c>
      <c r="N41" s="16">
        <f>(Table11[[#This Row],[2024 '#Trees Inventory + Estimate]]*Table11[[#This Row],[USA Allocation %]])-SUM(Table37[[#This Row],['# Trees as of 12/31/23]:[New Trees/Planted in 2024]])</f>
        <v>0</v>
      </c>
      <c r="O41" s="16">
        <f>SUM(Table37[[#This Row],['# Trees as of 12/31/23]:[2024 Tree Losses]])</f>
        <v>0</v>
      </c>
      <c r="P41" s="16">
        <f>SUM(Table37[[#This Row],[Total Trees as of 12/31/24]]-Table37[[#This Row],['# Trees as of 12/31/23]])</f>
        <v>0</v>
      </c>
      <c r="Q41" s="16">
        <f>Table11[[#This Row],['#Total Replacements]]*Table11[[#This Row],[USA Allocation %]]</f>
        <v>0</v>
      </c>
      <c r="R41" s="16">
        <f>IF(Table37[[#This Row],['#Survival based on Inventory]]=0,Table37['#Survival based on Last Year Estimate],Table37['#Survival based on Inventory])</f>
        <v>0</v>
      </c>
      <c r="S41" s="16">
        <f>Table11[[#This Row],['#Planted]]*Table11[[#This Row],[USA Allocation %]]*Table11[[#This Row],[2024 Inventory Survival%-master]]</f>
        <v>0</v>
      </c>
      <c r="T41" s="16">
        <f>Table11[[#This Row],['#Planted]]*Table11[[#This Row],[USA Allocation %]]*Table11[[#This Row],[2024 Estimated Survival%]]</f>
        <v>0</v>
      </c>
      <c r="U41">
        <f>Table11[[#This Row],[ETP Year]]</f>
        <v>2016</v>
      </c>
      <c r="V41">
        <f>Table11[[#This Row],[Planting Year]]</f>
        <v>2017</v>
      </c>
      <c r="W41" s="8">
        <f>Table11[[#This Row],[Survival% as of 12/31/23]]</f>
        <v>0</v>
      </c>
      <c r="X41" s="7">
        <f>Table11[[#This Row],[ETP'#s]]</f>
        <v>1</v>
      </c>
    </row>
    <row r="42" spans="1:24" x14ac:dyDescent="0.25">
      <c r="A42">
        <f>Table11[[#This Row],[Farmer'#]]</f>
        <v>20016</v>
      </c>
      <c r="B42" t="str">
        <f>Table11[[#This Row],[Representative]]</f>
        <v>Manuel Rojas</v>
      </c>
      <c r="C42" t="str">
        <f>Table11[[#This Row],[Contract Name]]</f>
        <v xml:space="preserve">Rojas y Pacheco S.R.L, </v>
      </c>
      <c r="D42" t="str">
        <f>Table11[[#This Row],[Status]]</f>
        <v>Out of Program</v>
      </c>
      <c r="E42" t="str">
        <f>Table11[[#This Row],[Contract Code]]</f>
        <v>CR0017</v>
      </c>
      <c r="F42" s="16">
        <f>Table11[[#This Row],['#TreesContract]]</f>
        <v>1000</v>
      </c>
      <c r="G42" s="16">
        <f>Table11[[#This Row],['#Planted]]</f>
        <v>1000</v>
      </c>
      <c r="H42" s="16">
        <f>Table11[[#This Row],['#TreesContract]]*Table11[[#This Row],[USA Allocation %]]</f>
        <v>240</v>
      </c>
      <c r="I42" s="16">
        <f>Table11[[#This Row],['#Planted]]*Table11[[#This Row],[USA Allocation %]]</f>
        <v>240</v>
      </c>
      <c r="J42" s="16">
        <f>Table11[[#This Row],[Contract Amendment]]*Table11[[#This Row],[USA Allocation %]]</f>
        <v>0</v>
      </c>
      <c r="K42" s="16">
        <f>Table11[[#This Row],['#Trees as of 12/31/23]]*Table11[[#This Row],[USA Allocation %]]</f>
        <v>0</v>
      </c>
      <c r="L42" s="16">
        <f>Table11[[#This Row],['#Replace 24]]*Table11[[#This Row],[USA Allocation %]]</f>
        <v>0</v>
      </c>
      <c r="M42" s="16">
        <f>IF(Table11[[#This Row],[Planting Year]]=2024,Table11['#Planted],0)</f>
        <v>0</v>
      </c>
      <c r="N42" s="16">
        <f>(Table11[[#This Row],[2024 '#Trees Inventory + Estimate]]*Table11[[#This Row],[USA Allocation %]])-SUM(Table37[[#This Row],['# Trees as of 12/31/23]:[New Trees/Planted in 2024]])</f>
        <v>0</v>
      </c>
      <c r="O42" s="16">
        <f>SUM(Table37[[#This Row],['# Trees as of 12/31/23]:[2024 Tree Losses]])</f>
        <v>0</v>
      </c>
      <c r="P42" s="16">
        <f>SUM(Table37[[#This Row],[Total Trees as of 12/31/24]]-Table37[[#This Row],['# Trees as of 12/31/23]])</f>
        <v>0</v>
      </c>
      <c r="Q42" s="16">
        <f>Table11[[#This Row],['#Total Replacements]]*Table11[[#This Row],[USA Allocation %]]</f>
        <v>0</v>
      </c>
      <c r="R42" s="16">
        <f>IF(Table37[[#This Row],['#Survival based on Inventory]]=0,Table37['#Survival based on Last Year Estimate],Table37['#Survival based on Inventory])</f>
        <v>0</v>
      </c>
      <c r="S42" s="16">
        <f>Table11[[#This Row],['#Planted]]*Table11[[#This Row],[USA Allocation %]]*Table11[[#This Row],[2024 Inventory Survival%-master]]</f>
        <v>0</v>
      </c>
      <c r="T42" s="16">
        <f>Table11[[#This Row],['#Planted]]*Table11[[#This Row],[USA Allocation %]]*Table11[[#This Row],[2024 Estimated Survival%]]</f>
        <v>0</v>
      </c>
      <c r="U42">
        <f>Table11[[#This Row],[ETP Year]]</f>
        <v>2016</v>
      </c>
      <c r="V42">
        <f>Table11[[#This Row],[Planting Year]]</f>
        <v>2017</v>
      </c>
      <c r="W42" s="8">
        <f>Table11[[#This Row],[Survival% as of 12/31/23]]</f>
        <v>0</v>
      </c>
      <c r="X42" s="7">
        <f>Table11[[#This Row],[ETP'#s]]</f>
        <v>1</v>
      </c>
    </row>
    <row r="43" spans="1:24" x14ac:dyDescent="0.25">
      <c r="A43">
        <f>Table11[[#This Row],[Farmer'#]]</f>
        <v>20017</v>
      </c>
      <c r="B43" t="str">
        <f>Table11[[#This Row],[Representative]]</f>
        <v>Martin Gutierrez</v>
      </c>
      <c r="C43" t="str">
        <f>Table11[[#This Row],[Contract Name]]</f>
        <v>Martin Gutierrez</v>
      </c>
      <c r="D43" t="str">
        <f>Table11[[#This Row],[Status]]</f>
        <v>Out of Program</v>
      </c>
      <c r="E43" t="str">
        <f>Table11[[#This Row],[Contract Code]]</f>
        <v>CR0018</v>
      </c>
      <c r="F43" s="16">
        <f>Table11[[#This Row],['#TreesContract]]</f>
        <v>250</v>
      </c>
      <c r="G43" s="16">
        <f>Table11[[#This Row],['#Planted]]</f>
        <v>250</v>
      </c>
      <c r="H43" s="16">
        <f>Table11[[#This Row],['#TreesContract]]*Table11[[#This Row],[USA Allocation %]]</f>
        <v>60</v>
      </c>
      <c r="I43" s="16">
        <f>Table11[[#This Row],['#Planted]]*Table11[[#This Row],[USA Allocation %]]</f>
        <v>60</v>
      </c>
      <c r="J43" s="16">
        <f>Table11[[#This Row],[Contract Amendment]]*Table11[[#This Row],[USA Allocation %]]</f>
        <v>0</v>
      </c>
      <c r="K43" s="16">
        <f>Table11[[#This Row],['#Trees as of 12/31/23]]*Table11[[#This Row],[USA Allocation %]]</f>
        <v>0</v>
      </c>
      <c r="L43" s="16">
        <f>Table11[[#This Row],['#Replace 24]]*Table11[[#This Row],[USA Allocation %]]</f>
        <v>0</v>
      </c>
      <c r="M43" s="16">
        <f>IF(Table11[[#This Row],[Planting Year]]=2024,Table11['#Planted],0)</f>
        <v>0</v>
      </c>
      <c r="N43" s="16">
        <f>(Table11[[#This Row],[2024 '#Trees Inventory + Estimate]]*Table11[[#This Row],[USA Allocation %]])-SUM(Table37[[#This Row],['# Trees as of 12/31/23]:[New Trees/Planted in 2024]])</f>
        <v>0</v>
      </c>
      <c r="O43" s="16">
        <f>SUM(Table37[[#This Row],['# Trees as of 12/31/23]:[2024 Tree Losses]])</f>
        <v>0</v>
      </c>
      <c r="P43" s="16">
        <f>SUM(Table37[[#This Row],[Total Trees as of 12/31/24]]-Table37[[#This Row],['# Trees as of 12/31/23]])</f>
        <v>0</v>
      </c>
      <c r="Q43" s="16">
        <f>Table11[[#This Row],['#Total Replacements]]*Table11[[#This Row],[USA Allocation %]]</f>
        <v>0</v>
      </c>
      <c r="R43" s="16">
        <f>IF(Table37[[#This Row],['#Survival based on Inventory]]=0,Table37['#Survival based on Last Year Estimate],Table37['#Survival based on Inventory])</f>
        <v>0</v>
      </c>
      <c r="S43" s="16">
        <f>Table11[[#This Row],['#Planted]]*Table11[[#This Row],[USA Allocation %]]*Table11[[#This Row],[2024 Inventory Survival%-master]]</f>
        <v>0</v>
      </c>
      <c r="T43" s="16">
        <f>Table11[[#This Row],['#Planted]]*Table11[[#This Row],[USA Allocation %]]*Table11[[#This Row],[2024 Estimated Survival%]]</f>
        <v>0</v>
      </c>
      <c r="U43">
        <f>Table11[[#This Row],[ETP Year]]</f>
        <v>2016</v>
      </c>
      <c r="V43">
        <f>Table11[[#This Row],[Planting Year]]</f>
        <v>2017</v>
      </c>
      <c r="W43" s="8">
        <f>Table11[[#This Row],[Survival% as of 12/31/23]]</f>
        <v>0</v>
      </c>
      <c r="X43" s="7">
        <f>Table11[[#This Row],[ETP'#s]]</f>
        <v>1</v>
      </c>
    </row>
    <row r="44" spans="1:24" x14ac:dyDescent="0.25">
      <c r="A44">
        <f>Table11[[#This Row],[Farmer'#]]</f>
        <v>20018</v>
      </c>
      <c r="B44" t="str">
        <f>Table11[[#This Row],[Representative]]</f>
        <v>Miguel Angel Cabezas</v>
      </c>
      <c r="C44" t="str">
        <f>Table11[[#This Row],[Contract Name]]</f>
        <v>Miriam Mora Salazar</v>
      </c>
      <c r="D44" t="str">
        <f>Table11[[#This Row],[Status]]</f>
        <v>Out of Program</v>
      </c>
      <c r="E44" t="str">
        <f>Table11[[#This Row],[Contract Code]]</f>
        <v>CR0019</v>
      </c>
      <c r="F44" s="16">
        <f>Table11[[#This Row],['#TreesContract]]</f>
        <v>500</v>
      </c>
      <c r="G44" s="16">
        <f>Table11[[#This Row],['#Planted]]</f>
        <v>500</v>
      </c>
      <c r="H44" s="16">
        <f>Table11[[#This Row],['#TreesContract]]*Table11[[#This Row],[USA Allocation %]]</f>
        <v>120</v>
      </c>
      <c r="I44" s="16">
        <f>Table11[[#This Row],['#Planted]]*Table11[[#This Row],[USA Allocation %]]</f>
        <v>120</v>
      </c>
      <c r="J44" s="16">
        <f>Table11[[#This Row],[Contract Amendment]]*Table11[[#This Row],[USA Allocation %]]</f>
        <v>0</v>
      </c>
      <c r="K44" s="16">
        <f>Table11[[#This Row],['#Trees as of 12/31/23]]*Table11[[#This Row],[USA Allocation %]]</f>
        <v>0</v>
      </c>
      <c r="L44" s="16">
        <f>Table11[[#This Row],['#Replace 24]]*Table11[[#This Row],[USA Allocation %]]</f>
        <v>0</v>
      </c>
      <c r="M44" s="16">
        <f>IF(Table11[[#This Row],[Planting Year]]=2024,Table11['#Planted],0)</f>
        <v>0</v>
      </c>
      <c r="N44" s="16">
        <f>(Table11[[#This Row],[2024 '#Trees Inventory + Estimate]]*Table11[[#This Row],[USA Allocation %]])-SUM(Table37[[#This Row],['# Trees as of 12/31/23]:[New Trees/Planted in 2024]])</f>
        <v>0</v>
      </c>
      <c r="O44" s="16">
        <f>SUM(Table37[[#This Row],['# Trees as of 12/31/23]:[2024 Tree Losses]])</f>
        <v>0</v>
      </c>
      <c r="P44" s="16">
        <f>SUM(Table37[[#This Row],[Total Trees as of 12/31/24]]-Table37[[#This Row],['# Trees as of 12/31/23]])</f>
        <v>0</v>
      </c>
      <c r="Q44" s="16">
        <f>Table11[[#This Row],['#Total Replacements]]*Table11[[#This Row],[USA Allocation %]]</f>
        <v>0</v>
      </c>
      <c r="R44" s="16">
        <f>IF(Table37[[#This Row],['#Survival based on Inventory]]=0,Table37['#Survival based on Last Year Estimate],Table37['#Survival based on Inventory])</f>
        <v>0</v>
      </c>
      <c r="S44" s="16">
        <f>Table11[[#This Row],['#Planted]]*Table11[[#This Row],[USA Allocation %]]*Table11[[#This Row],[2024 Inventory Survival%-master]]</f>
        <v>0</v>
      </c>
      <c r="T44" s="16">
        <f>Table11[[#This Row],['#Planted]]*Table11[[#This Row],[USA Allocation %]]*Table11[[#This Row],[2024 Estimated Survival%]]</f>
        <v>0</v>
      </c>
      <c r="U44">
        <f>Table11[[#This Row],[ETP Year]]</f>
        <v>2016</v>
      </c>
      <c r="V44">
        <f>Table11[[#This Row],[Planting Year]]</f>
        <v>2017</v>
      </c>
      <c r="W44" s="8">
        <f>Table11[[#This Row],[Survival% as of 12/31/23]]</f>
        <v>0</v>
      </c>
      <c r="X44" s="7">
        <f>Table11[[#This Row],[ETP'#s]]</f>
        <v>1</v>
      </c>
    </row>
    <row r="45" spans="1:24" x14ac:dyDescent="0.25">
      <c r="A45">
        <f>Table11[[#This Row],[Farmer'#]]</f>
        <v>20019</v>
      </c>
      <c r="B45" t="str">
        <f>Table11[[#This Row],[Representative]]</f>
        <v xml:space="preserve">Fernando Chacon </v>
      </c>
      <c r="C45" t="str">
        <f>Table11[[#This Row],[Contract Name]]</f>
        <v xml:space="preserve">Esteban Fernando Chacon </v>
      </c>
      <c r="D45" t="str">
        <f>Table11[[#This Row],[Status]]</f>
        <v>Out of Program</v>
      </c>
      <c r="E45" t="str">
        <f>Table11[[#This Row],[Contract Code]]</f>
        <v>CR0020</v>
      </c>
      <c r="F45" s="16">
        <f>Table11[[#This Row],['#TreesContract]]</f>
        <v>300</v>
      </c>
      <c r="G45" s="16">
        <f>Table11[[#This Row],['#Planted]]</f>
        <v>300</v>
      </c>
      <c r="H45" s="16">
        <f>Table11[[#This Row],['#TreesContract]]*Table11[[#This Row],[USA Allocation %]]</f>
        <v>72</v>
      </c>
      <c r="I45" s="16">
        <f>Table11[[#This Row],['#Planted]]*Table11[[#This Row],[USA Allocation %]]</f>
        <v>72</v>
      </c>
      <c r="J45" s="16">
        <f>Table11[[#This Row],[Contract Amendment]]*Table11[[#This Row],[USA Allocation %]]</f>
        <v>0</v>
      </c>
      <c r="K45" s="16">
        <f>Table11[[#This Row],['#Trees as of 12/31/23]]*Table11[[#This Row],[USA Allocation %]]</f>
        <v>0</v>
      </c>
      <c r="L45" s="16">
        <f>Table11[[#This Row],['#Replace 24]]*Table11[[#This Row],[USA Allocation %]]</f>
        <v>0</v>
      </c>
      <c r="M45" s="16">
        <f>IF(Table11[[#This Row],[Planting Year]]=2024,Table11['#Planted],0)</f>
        <v>0</v>
      </c>
      <c r="N45" s="16">
        <f>(Table11[[#This Row],[2024 '#Trees Inventory + Estimate]]*Table11[[#This Row],[USA Allocation %]])-SUM(Table37[[#This Row],['# Trees as of 12/31/23]:[New Trees/Planted in 2024]])</f>
        <v>0</v>
      </c>
      <c r="O45" s="16">
        <f>SUM(Table37[[#This Row],['# Trees as of 12/31/23]:[2024 Tree Losses]])</f>
        <v>0</v>
      </c>
      <c r="P45" s="16">
        <f>SUM(Table37[[#This Row],[Total Trees as of 12/31/24]]-Table37[[#This Row],['# Trees as of 12/31/23]])</f>
        <v>0</v>
      </c>
      <c r="Q45" s="16">
        <f>Table11[[#This Row],['#Total Replacements]]*Table11[[#This Row],[USA Allocation %]]</f>
        <v>0</v>
      </c>
      <c r="R45" s="16">
        <f>IF(Table37[[#This Row],['#Survival based on Inventory]]=0,Table37['#Survival based on Last Year Estimate],Table37['#Survival based on Inventory])</f>
        <v>0</v>
      </c>
      <c r="S45" s="16">
        <f>Table11[[#This Row],['#Planted]]*Table11[[#This Row],[USA Allocation %]]*Table11[[#This Row],[2024 Inventory Survival%-master]]</f>
        <v>0</v>
      </c>
      <c r="T45" s="16">
        <f>Table11[[#This Row],['#Planted]]*Table11[[#This Row],[USA Allocation %]]*Table11[[#This Row],[2024 Estimated Survival%]]</f>
        <v>0</v>
      </c>
      <c r="U45">
        <f>Table11[[#This Row],[ETP Year]]</f>
        <v>2016</v>
      </c>
      <c r="V45">
        <f>Table11[[#This Row],[Planting Year]]</f>
        <v>2017</v>
      </c>
      <c r="W45" s="8">
        <f>Table11[[#This Row],[Survival% as of 12/31/23]]</f>
        <v>0</v>
      </c>
      <c r="X45" s="7">
        <f>Table11[[#This Row],[ETP'#s]]</f>
        <v>1</v>
      </c>
    </row>
    <row r="46" spans="1:24" x14ac:dyDescent="0.25">
      <c r="A46">
        <f>Table11[[#This Row],[Farmer'#]]</f>
        <v>20020</v>
      </c>
      <c r="B46" t="str">
        <f>Table11[[#This Row],[Representative]]</f>
        <v>Oscar Viquez</v>
      </c>
      <c r="C46" t="str">
        <f>Table11[[#This Row],[Contract Name]]</f>
        <v>Oscar Viquez,María Isabel Quesada Víquez, Eraida Quesada Víquez, Estelia Quesada Víquez</v>
      </c>
      <c r="D46" t="str">
        <f>Table11[[#This Row],[Status]]</f>
        <v>Out of Program</v>
      </c>
      <c r="E46" t="str">
        <f>Table11[[#This Row],[Contract Code]]</f>
        <v>CR0021</v>
      </c>
      <c r="F46" s="16">
        <f>Table11[[#This Row],['#TreesContract]]</f>
        <v>1000</v>
      </c>
      <c r="G46" s="16">
        <f>Table11[[#This Row],['#Planted]]</f>
        <v>1000</v>
      </c>
      <c r="H46" s="16">
        <f>Table11[[#This Row],['#TreesContract]]*Table11[[#This Row],[USA Allocation %]]</f>
        <v>240</v>
      </c>
      <c r="I46" s="16">
        <f>Table11[[#This Row],['#Planted]]*Table11[[#This Row],[USA Allocation %]]</f>
        <v>240</v>
      </c>
      <c r="J46" s="16">
        <f>Table11[[#This Row],[Contract Amendment]]*Table11[[#This Row],[USA Allocation %]]</f>
        <v>0</v>
      </c>
      <c r="K46" s="16">
        <f>Table11[[#This Row],['#Trees as of 12/31/23]]*Table11[[#This Row],[USA Allocation %]]</f>
        <v>0</v>
      </c>
      <c r="L46" s="16">
        <f>Table11[[#This Row],['#Replace 24]]*Table11[[#This Row],[USA Allocation %]]</f>
        <v>0</v>
      </c>
      <c r="M46" s="16">
        <f>IF(Table11[[#This Row],[Planting Year]]=2024,Table11['#Planted],0)</f>
        <v>0</v>
      </c>
      <c r="N46" s="16">
        <f>(Table11[[#This Row],[2024 '#Trees Inventory + Estimate]]*Table11[[#This Row],[USA Allocation %]])-SUM(Table37[[#This Row],['# Trees as of 12/31/23]:[New Trees/Planted in 2024]])</f>
        <v>0</v>
      </c>
      <c r="O46" s="16">
        <f>SUM(Table37[[#This Row],['# Trees as of 12/31/23]:[2024 Tree Losses]])</f>
        <v>0</v>
      </c>
      <c r="P46" s="16">
        <f>SUM(Table37[[#This Row],[Total Trees as of 12/31/24]]-Table37[[#This Row],['# Trees as of 12/31/23]])</f>
        <v>0</v>
      </c>
      <c r="Q46" s="16">
        <f>Table11[[#This Row],['#Total Replacements]]*Table11[[#This Row],[USA Allocation %]]</f>
        <v>0</v>
      </c>
      <c r="R46" s="16">
        <f>IF(Table37[[#This Row],['#Survival based on Inventory]]=0,Table37['#Survival based on Last Year Estimate],Table37['#Survival based on Inventory])</f>
        <v>0</v>
      </c>
      <c r="S46" s="16">
        <f>Table11[[#This Row],['#Planted]]*Table11[[#This Row],[USA Allocation %]]*Table11[[#This Row],[2024 Inventory Survival%-master]]</f>
        <v>0</v>
      </c>
      <c r="T46" s="16">
        <f>Table11[[#This Row],['#Planted]]*Table11[[#This Row],[USA Allocation %]]*Table11[[#This Row],[2024 Estimated Survival%]]</f>
        <v>0</v>
      </c>
      <c r="U46">
        <f>Table11[[#This Row],[ETP Year]]</f>
        <v>2016</v>
      </c>
      <c r="V46">
        <f>Table11[[#This Row],[Planting Year]]</f>
        <v>2017</v>
      </c>
      <c r="W46" s="8">
        <f>Table11[[#This Row],[Survival% as of 12/31/23]]</f>
        <v>0</v>
      </c>
      <c r="X46" s="7">
        <f>Table11[[#This Row],[ETP'#s]]</f>
        <v>1</v>
      </c>
    </row>
    <row r="47" spans="1:24" x14ac:dyDescent="0.25">
      <c r="A47">
        <f>Table11[[#This Row],[Farmer'#]]</f>
        <v>20021</v>
      </c>
      <c r="B47" t="str">
        <f>Table11[[#This Row],[Representative]]</f>
        <v>Susy Calderon</v>
      </c>
      <c r="C47" t="str">
        <f>Table11[[#This Row],[Contract Name]]</f>
        <v>Susy Calderon</v>
      </c>
      <c r="D47" t="str">
        <f>Table11[[#This Row],[Status]]</f>
        <v>Out of Program</v>
      </c>
      <c r="E47" t="str">
        <f>Table11[[#This Row],[Contract Code]]</f>
        <v>CR0022</v>
      </c>
      <c r="F47" s="16">
        <f>Table11[[#This Row],['#TreesContract]]</f>
        <v>250</v>
      </c>
      <c r="G47" s="16">
        <f>Table11[[#This Row],['#Planted]]</f>
        <v>250</v>
      </c>
      <c r="H47" s="16">
        <f>Table11[[#This Row],['#TreesContract]]*Table11[[#This Row],[USA Allocation %]]</f>
        <v>60</v>
      </c>
      <c r="I47" s="16">
        <f>Table11[[#This Row],['#Planted]]*Table11[[#This Row],[USA Allocation %]]</f>
        <v>60</v>
      </c>
      <c r="J47" s="16">
        <f>Table11[[#This Row],[Contract Amendment]]*Table11[[#This Row],[USA Allocation %]]</f>
        <v>0</v>
      </c>
      <c r="K47" s="16">
        <f>Table11[[#This Row],['#Trees as of 12/31/23]]*Table11[[#This Row],[USA Allocation %]]</f>
        <v>0</v>
      </c>
      <c r="L47" s="16">
        <f>Table11[[#This Row],['#Replace 24]]*Table11[[#This Row],[USA Allocation %]]</f>
        <v>0</v>
      </c>
      <c r="M47" s="16">
        <f>IF(Table11[[#This Row],[Planting Year]]=2024,Table11['#Planted],0)</f>
        <v>0</v>
      </c>
      <c r="N47" s="16">
        <f>(Table11[[#This Row],[2024 '#Trees Inventory + Estimate]]*Table11[[#This Row],[USA Allocation %]])-SUM(Table37[[#This Row],['# Trees as of 12/31/23]:[New Trees/Planted in 2024]])</f>
        <v>0</v>
      </c>
      <c r="O47" s="16">
        <f>SUM(Table37[[#This Row],['# Trees as of 12/31/23]:[2024 Tree Losses]])</f>
        <v>0</v>
      </c>
      <c r="P47" s="16">
        <f>SUM(Table37[[#This Row],[Total Trees as of 12/31/24]]-Table37[[#This Row],['# Trees as of 12/31/23]])</f>
        <v>0</v>
      </c>
      <c r="Q47" s="16">
        <f>Table11[[#This Row],['#Total Replacements]]*Table11[[#This Row],[USA Allocation %]]</f>
        <v>0</v>
      </c>
      <c r="R47" s="16">
        <f>IF(Table37[[#This Row],['#Survival based on Inventory]]=0,Table37['#Survival based on Last Year Estimate],Table37['#Survival based on Inventory])</f>
        <v>0</v>
      </c>
      <c r="S47" s="16">
        <f>Table11[[#This Row],['#Planted]]*Table11[[#This Row],[USA Allocation %]]*Table11[[#This Row],[2024 Inventory Survival%-master]]</f>
        <v>0</v>
      </c>
      <c r="T47" s="16">
        <f>Table11[[#This Row],['#Planted]]*Table11[[#This Row],[USA Allocation %]]*Table11[[#This Row],[2024 Estimated Survival%]]</f>
        <v>0</v>
      </c>
      <c r="U47">
        <f>Table11[[#This Row],[ETP Year]]</f>
        <v>2016</v>
      </c>
      <c r="V47">
        <f>Table11[[#This Row],[Planting Year]]</f>
        <v>2017</v>
      </c>
      <c r="W47" s="8">
        <f>Table11[[#This Row],[Survival% as of 12/31/23]]</f>
        <v>0</v>
      </c>
      <c r="X47" s="7">
        <f>Table11[[#This Row],[ETP'#s]]</f>
        <v>1</v>
      </c>
    </row>
    <row r="48" spans="1:24" x14ac:dyDescent="0.25">
      <c r="A48">
        <f>Table11[[#This Row],[Farmer'#]]</f>
        <v>0</v>
      </c>
      <c r="B48" t="str">
        <f>Table11[[#This Row],[Representative]]</f>
        <v>Jorge Arrieta</v>
      </c>
      <c r="C48" t="str">
        <f>Table11[[#This Row],[Contract Name]]</f>
        <v>Olymar Santa Lucia</v>
      </c>
      <c r="D48" t="str">
        <f>Table11[[#This Row],[Status]]</f>
        <v>Out of Program</v>
      </c>
      <c r="E48" t="str">
        <f>Table11[[#This Row],[Contract Code]]</f>
        <v>CR0014</v>
      </c>
      <c r="F48" s="16">
        <f>Table11[[#This Row],['#TreesContract]]</f>
        <v>1000</v>
      </c>
      <c r="G48" s="16">
        <f>Table11[[#This Row],['#Planted]]</f>
        <v>1000</v>
      </c>
      <c r="H48" s="16">
        <f>Table11[[#This Row],['#TreesContract]]*Table11[[#This Row],[USA Allocation %]]</f>
        <v>240</v>
      </c>
      <c r="I48" s="16">
        <f>Table11[[#This Row],['#Planted]]*Table11[[#This Row],[USA Allocation %]]</f>
        <v>240</v>
      </c>
      <c r="J48" s="16">
        <f>Table11[[#This Row],[Contract Amendment]]*Table11[[#This Row],[USA Allocation %]]</f>
        <v>0</v>
      </c>
      <c r="K48" s="16">
        <f>Table11[[#This Row],['#Trees as of 12/31/23]]*Table11[[#This Row],[USA Allocation %]]</f>
        <v>0</v>
      </c>
      <c r="L48" s="16">
        <f>Table11[[#This Row],['#Replace 24]]*Table11[[#This Row],[USA Allocation %]]</f>
        <v>0</v>
      </c>
      <c r="M48" s="16">
        <f>IF(Table11[[#This Row],[Planting Year]]=2024,Table11['#Planted],0)</f>
        <v>0</v>
      </c>
      <c r="N48" s="16">
        <f>(Table11[[#This Row],[2024 '#Trees Inventory + Estimate]]*Table11[[#This Row],[USA Allocation %]])-SUM(Table37[[#This Row],['# Trees as of 12/31/23]:[New Trees/Planted in 2024]])</f>
        <v>0</v>
      </c>
      <c r="O48" s="16">
        <f>SUM(Table37[[#This Row],['# Trees as of 12/31/23]:[2024 Tree Losses]])</f>
        <v>0</v>
      </c>
      <c r="P48" s="16">
        <f>SUM(Table37[[#This Row],[Total Trees as of 12/31/24]]-Table37[[#This Row],['# Trees as of 12/31/23]])</f>
        <v>0</v>
      </c>
      <c r="Q48" s="16">
        <f>Table11[[#This Row],['#Total Replacements]]*Table11[[#This Row],[USA Allocation %]]</f>
        <v>0</v>
      </c>
      <c r="R48" s="16">
        <f>IF(Table37[[#This Row],['#Survival based on Inventory]]=0,Table37['#Survival based on Last Year Estimate],Table37['#Survival based on Inventory])</f>
        <v>0</v>
      </c>
      <c r="S48" s="16">
        <f>Table11[[#This Row],['#Planted]]*Table11[[#This Row],[USA Allocation %]]*Table11[[#This Row],[2024 Inventory Survival%-master]]</f>
        <v>0</v>
      </c>
      <c r="T48" s="16">
        <f>Table11[[#This Row],['#Planted]]*Table11[[#This Row],[USA Allocation %]]*Table11[[#This Row],[2024 Estimated Survival%]]</f>
        <v>0</v>
      </c>
      <c r="U48">
        <f>Table11[[#This Row],[ETP Year]]</f>
        <v>2016</v>
      </c>
      <c r="V48">
        <f>Table11[[#This Row],[Planting Year]]</f>
        <v>2017</v>
      </c>
      <c r="W48" s="8">
        <f>Table11[[#This Row],[Survival% as of 12/31/23]]</f>
        <v>0</v>
      </c>
      <c r="X48" s="7">
        <f>Table11[[#This Row],[ETP'#s]]</f>
        <v>1</v>
      </c>
    </row>
    <row r="49" spans="1:24" x14ac:dyDescent="0.25">
      <c r="A49">
        <f>Table11[[#This Row],[Farmer'#]]</f>
        <v>10006</v>
      </c>
      <c r="B49" t="str">
        <f>Table11[[#This Row],[Representative]]</f>
        <v>Eugene Martens</v>
      </c>
      <c r="C49" t="str">
        <f>Table11[[#This Row],[Contract Name]]</f>
        <v>Eugene Martens</v>
      </c>
      <c r="D49" t="str">
        <f>Table11[[#This Row],[Status]]</f>
        <v>Active</v>
      </c>
      <c r="E49" t="str">
        <f>Table11[[#This Row],[Contract Code]]</f>
        <v>US0023</v>
      </c>
      <c r="F49" s="16">
        <f>Table11[[#This Row],['#TreesContract]]</f>
        <v>660</v>
      </c>
      <c r="G49" s="16">
        <f>Table11[[#This Row],['#Planted]]</f>
        <v>660</v>
      </c>
      <c r="H49" s="16">
        <f>Table11[[#This Row],['#TreesContract]]*Table11[[#This Row],[USA Allocation %]]</f>
        <v>75</v>
      </c>
      <c r="I49" s="16">
        <f>Table11[[#This Row],['#Planted]]*Table11[[#This Row],[USA Allocation %]]</f>
        <v>75</v>
      </c>
      <c r="J49" s="16">
        <f>Table11[[#This Row],[Contract Amendment]]*Table11[[#This Row],[USA Allocation %]]</f>
        <v>0</v>
      </c>
      <c r="K49" s="16">
        <f>Table11[[#This Row],['#Trees as of 12/31/23]]*Table11[[#This Row],[USA Allocation %]]</f>
        <v>57.23684210526315</v>
      </c>
      <c r="L49" s="16">
        <f>Table11[[#This Row],['#Replace 24]]*Table11[[#This Row],[USA Allocation %]]</f>
        <v>0</v>
      </c>
      <c r="M49" s="16">
        <f>IF(Table11[[#This Row],[Planting Year]]=2024,Table11['#Planted],0)</f>
        <v>0</v>
      </c>
      <c r="N49" s="16">
        <f>(Table11[[#This Row],[2024 '#Trees Inventory + Estimate]]*Table11[[#This Row],[USA Allocation %]])-SUM(Table37[[#This Row],['# Trees as of 12/31/23]:[New Trees/Planted in 2024]])</f>
        <v>0</v>
      </c>
      <c r="O49" s="16">
        <f>SUM(Table37[[#This Row],['# Trees as of 12/31/23]:[2024 Tree Losses]])</f>
        <v>57.23684210526315</v>
      </c>
      <c r="P49" s="16">
        <f>SUM(Table37[[#This Row],[Total Trees as of 12/31/24]]-Table37[[#This Row],['# Trees as of 12/31/23]])</f>
        <v>0</v>
      </c>
      <c r="Q49" s="16">
        <f>Table11[[#This Row],['#Total Replacements]]*Table11[[#This Row],[USA Allocation %]]</f>
        <v>25.68181818181818</v>
      </c>
      <c r="R49" s="16">
        <f>IF(Table37[[#This Row],['#Survival based on Inventory]]=0,Table37['#Survival based on Last Year Estimate],Table37['#Survival based on Inventory])</f>
        <v>57.23684210526315</v>
      </c>
      <c r="S49" s="16">
        <f>Table11[[#This Row],['#Planted]]*Table11[[#This Row],[USA Allocation %]]*Table11[[#This Row],[2024 Inventory Survival%-master]]</f>
        <v>0</v>
      </c>
      <c r="T49" s="16">
        <f>Table11[[#This Row],['#Planted]]*Table11[[#This Row],[USA Allocation %]]*Table11[[#This Row],[2024 Estimated Survival%]]</f>
        <v>57.23684210526315</v>
      </c>
      <c r="U49">
        <f>Table11[[#This Row],[ETP Year]]</f>
        <v>2016</v>
      </c>
      <c r="V49">
        <f>Table11[[#This Row],[Planting Year]]</f>
        <v>2018</v>
      </c>
      <c r="W49" s="8">
        <f>Table11[[#This Row],[Survival% as of 12/31/23]]</f>
        <v>0.76315789473684204</v>
      </c>
      <c r="X49" s="7">
        <f>Table11[[#This Row],[ETP'#s]]</f>
        <v>1</v>
      </c>
    </row>
    <row r="50" spans="1:24" x14ac:dyDescent="0.25">
      <c r="A50">
        <f>Table11[[#This Row],[Farmer'#]]</f>
        <v>10016</v>
      </c>
      <c r="B50" t="str">
        <f>Table11[[#This Row],[Representative]]</f>
        <v>Marlene Lewis</v>
      </c>
      <c r="C50" t="str">
        <f>Table11[[#This Row],[Contract Name]]</f>
        <v>Lewauta Landholdings Inc</v>
      </c>
      <c r="D50" t="str">
        <f>Table11[[#This Row],[Status]]</f>
        <v>Out of Program</v>
      </c>
      <c r="E50" t="str">
        <f>Table11[[#This Row],[Contract Code]]</f>
        <v>US0027</v>
      </c>
      <c r="F50" s="16">
        <f>Table11[[#This Row],['#TreesContract]]</f>
        <v>425</v>
      </c>
      <c r="G50" s="16">
        <f>Table11[[#This Row],['#Planted]]</f>
        <v>425</v>
      </c>
      <c r="H50" s="16">
        <f>Table11[[#This Row],['#TreesContract]]*Table11[[#This Row],[USA Allocation %]]</f>
        <v>48</v>
      </c>
      <c r="I50" s="16">
        <f>Table11[[#This Row],['#Planted]]*Table11[[#This Row],[USA Allocation %]]</f>
        <v>48</v>
      </c>
      <c r="J50" s="16">
        <f>Table11[[#This Row],[Contract Amendment]]*Table11[[#This Row],[USA Allocation %]]</f>
        <v>0</v>
      </c>
      <c r="K50" s="16">
        <f>Table11[[#This Row],['#Trees as of 12/31/23]]*Table11[[#This Row],[USA Allocation %]]</f>
        <v>39.529411764705884</v>
      </c>
      <c r="L50" s="16">
        <f>Table11[[#This Row],['#Replace 24]]*Table11[[#This Row],[USA Allocation %]]</f>
        <v>0</v>
      </c>
      <c r="M50" s="16">
        <f>IF(Table11[[#This Row],[Planting Year]]=2024,Table11['#Planted],0)</f>
        <v>0</v>
      </c>
      <c r="N50" s="16">
        <f>(Table11[[#This Row],[2024 '#Trees Inventory + Estimate]]*Table11[[#This Row],[USA Allocation %]])-SUM(Table37[[#This Row],['# Trees as of 12/31/23]:[New Trees/Planted in 2024]])</f>
        <v>-39.529411764705884</v>
      </c>
      <c r="O50" s="16">
        <f>SUM(Table37[[#This Row],['# Trees as of 12/31/23]:[2024 Tree Losses]])</f>
        <v>0</v>
      </c>
      <c r="P50" s="16">
        <f>SUM(Table37[[#This Row],[Total Trees as of 12/31/24]]-Table37[[#This Row],['# Trees as of 12/31/23]])</f>
        <v>-39.529411764705884</v>
      </c>
      <c r="Q50" s="16">
        <f>Table11[[#This Row],['#Total Replacements]]*Table11[[#This Row],[USA Allocation %]]</f>
        <v>22.588235294117649</v>
      </c>
      <c r="R50" s="16">
        <f>IF(Table37[[#This Row],['#Survival based on Inventory]]=0,Table37['#Survival based on Last Year Estimate],Table37['#Survival based on Inventory])</f>
        <v>0</v>
      </c>
      <c r="S50" s="16">
        <f>Table11[[#This Row],['#Planted]]*Table11[[#This Row],[USA Allocation %]]*Table11[[#This Row],[2024 Inventory Survival%-master]]</f>
        <v>0</v>
      </c>
      <c r="T50" s="16">
        <f>Table11[[#This Row],['#Planted]]*Table11[[#This Row],[USA Allocation %]]*Table11[[#This Row],[2024 Estimated Survival%]]</f>
        <v>0</v>
      </c>
      <c r="U50">
        <f>Table11[[#This Row],[ETP Year]]</f>
        <v>2016</v>
      </c>
      <c r="V50">
        <f>Table11[[#This Row],[Planting Year]]</f>
        <v>2018</v>
      </c>
      <c r="W50" s="8">
        <f>Table11[[#This Row],[Survival% as of 12/31/23]]</f>
        <v>0.82352941176470584</v>
      </c>
      <c r="X50" s="7">
        <f>Table11[[#This Row],[ETP'#s]]</f>
        <v>1</v>
      </c>
    </row>
    <row r="51" spans="1:24" x14ac:dyDescent="0.25">
      <c r="A51">
        <f>Table11[[#This Row],[Farmer'#]]</f>
        <v>10019</v>
      </c>
      <c r="B51" t="str">
        <f>Table11[[#This Row],[Representative]]</f>
        <v>Brandon Bailey</v>
      </c>
      <c r="C51" t="str">
        <f>Table11[[#This Row],[Contract Name]]</f>
        <v>Brandon Bailey</v>
      </c>
      <c r="D51" t="str">
        <f>Table11[[#This Row],[Status]]</f>
        <v>Out of Program</v>
      </c>
      <c r="E51" t="str">
        <f>Table11[[#This Row],[Contract Code]]</f>
        <v>US0021</v>
      </c>
      <c r="F51" s="16">
        <f>Table11[[#This Row],['#TreesContract]]</f>
        <v>2200</v>
      </c>
      <c r="G51" s="16">
        <f>Table11[[#This Row],['#Planted]]</f>
        <v>2200</v>
      </c>
      <c r="H51" s="16">
        <f>Table11[[#This Row],['#TreesContract]]*Table11[[#This Row],[USA Allocation %]]</f>
        <v>248.99999999999997</v>
      </c>
      <c r="I51" s="16">
        <f>Table11[[#This Row],['#Planted]]*Table11[[#This Row],[USA Allocation %]]</f>
        <v>248.99999999999997</v>
      </c>
      <c r="J51" s="16">
        <f>Table11[[#This Row],[Contract Amendment]]*Table11[[#This Row],[USA Allocation %]]</f>
        <v>0</v>
      </c>
      <c r="K51" s="16">
        <f>Table11[[#This Row],['#Trees as of 12/31/23]]*Table11[[#This Row],[USA Allocation %]]</f>
        <v>0</v>
      </c>
      <c r="L51" s="16">
        <f>Table11[[#This Row],['#Replace 24]]*Table11[[#This Row],[USA Allocation %]]</f>
        <v>0</v>
      </c>
      <c r="M51" s="16">
        <f>IF(Table11[[#This Row],[Planting Year]]=2024,Table11['#Planted],0)</f>
        <v>0</v>
      </c>
      <c r="N51" s="16">
        <f>(Table11[[#This Row],[2024 '#Trees Inventory + Estimate]]*Table11[[#This Row],[USA Allocation %]])-SUM(Table37[[#This Row],['# Trees as of 12/31/23]:[New Trees/Planted in 2024]])</f>
        <v>0</v>
      </c>
      <c r="O51" s="16">
        <f>SUM(Table37[[#This Row],['# Trees as of 12/31/23]:[2024 Tree Losses]])</f>
        <v>0</v>
      </c>
      <c r="P51" s="16">
        <f>SUM(Table37[[#This Row],[Total Trees as of 12/31/24]]-Table37[[#This Row],['# Trees as of 12/31/23]])</f>
        <v>0</v>
      </c>
      <c r="Q51" s="16">
        <f>Table11[[#This Row],['#Total Replacements]]*Table11[[#This Row],[USA Allocation %]]</f>
        <v>0</v>
      </c>
      <c r="R51" s="16">
        <f>IF(Table37[[#This Row],['#Survival based on Inventory]]=0,Table37['#Survival based on Last Year Estimate],Table37['#Survival based on Inventory])</f>
        <v>0</v>
      </c>
      <c r="S51" s="16">
        <f>Table11[[#This Row],['#Planted]]*Table11[[#This Row],[USA Allocation %]]*Table11[[#This Row],[2024 Inventory Survival%-master]]</f>
        <v>0</v>
      </c>
      <c r="T51" s="16">
        <f>Table11[[#This Row],['#Planted]]*Table11[[#This Row],[USA Allocation %]]*Table11[[#This Row],[2024 Estimated Survival%]]</f>
        <v>0</v>
      </c>
      <c r="U51">
        <f>Table11[[#This Row],[ETP Year]]</f>
        <v>2016</v>
      </c>
      <c r="V51">
        <f>Table11[[#This Row],[Planting Year]]</f>
        <v>2018</v>
      </c>
      <c r="W51" s="8">
        <f>Table11[[#This Row],[Survival% as of 12/31/23]]</f>
        <v>0</v>
      </c>
      <c r="X51" s="7">
        <f>Table11[[#This Row],[ETP'#s]]</f>
        <v>1</v>
      </c>
    </row>
    <row r="52" spans="1:24" x14ac:dyDescent="0.25">
      <c r="A52">
        <f>Table11[[#This Row],[Farmer'#]]</f>
        <v>10020</v>
      </c>
      <c r="B52" t="str">
        <f>Table11[[#This Row],[Representative]]</f>
        <v>Daniel Byrd</v>
      </c>
      <c r="C52" t="str">
        <f>Table11[[#This Row],[Contract Name]]</f>
        <v>Daniel Bryd</v>
      </c>
      <c r="D52" t="str">
        <f>Table11[[#This Row],[Status]]</f>
        <v>Active</v>
      </c>
      <c r="E52" t="str">
        <f>Table11[[#This Row],[Contract Code]]</f>
        <v>US0022</v>
      </c>
      <c r="F52" s="16">
        <f>Table11[[#This Row],['#TreesContract]]</f>
        <v>2530</v>
      </c>
      <c r="G52" s="16">
        <f>Table11[[#This Row],['#Planted]]</f>
        <v>2530</v>
      </c>
      <c r="H52" s="16">
        <f>Table11[[#This Row],['#TreesContract]]*Table11[[#This Row],[USA Allocation %]]</f>
        <v>286</v>
      </c>
      <c r="I52" s="16">
        <f>Table11[[#This Row],['#Planted]]*Table11[[#This Row],[USA Allocation %]]</f>
        <v>286</v>
      </c>
      <c r="J52" s="16">
        <f>Table11[[#This Row],[Contract Amendment]]*Table11[[#This Row],[USA Allocation %]]</f>
        <v>0</v>
      </c>
      <c r="K52" s="16">
        <f>Table11[[#This Row],['#Trees as of 12/31/23]]*Table11[[#This Row],[USA Allocation %]]</f>
        <v>188.17004747356043</v>
      </c>
      <c r="L52" s="16">
        <f>Table11[[#This Row],['#Replace 24]]*Table11[[#This Row],[USA Allocation %]]</f>
        <v>0</v>
      </c>
      <c r="M52" s="16">
        <f>IF(Table11[[#This Row],[Planting Year]]=2024,Table11['#Planted],0)</f>
        <v>0</v>
      </c>
      <c r="N52" s="16">
        <f>(Table11[[#This Row],[2024 '#Trees Inventory + Estimate]]*Table11[[#This Row],[USA Allocation %]])-SUM(Table37[[#This Row],['# Trees as of 12/31/23]:[New Trees/Planted in 2024]])</f>
        <v>0</v>
      </c>
      <c r="O52" s="16">
        <f>SUM(Table37[[#This Row],['# Trees as of 12/31/23]:[2024 Tree Losses]])</f>
        <v>188.17004747356043</v>
      </c>
      <c r="P52" s="16">
        <f>SUM(Table37[[#This Row],[Total Trees as of 12/31/24]]-Table37[[#This Row],['# Trees as of 12/31/23]])</f>
        <v>0</v>
      </c>
      <c r="Q52" s="16">
        <f>Table11[[#This Row],['#Total Replacements]]*Table11[[#This Row],[USA Allocation %]]</f>
        <v>29.956521739130434</v>
      </c>
      <c r="R52" s="16">
        <f>IF(Table37[[#This Row],['#Survival based on Inventory]]=0,Table37['#Survival based on Last Year Estimate],Table37['#Survival based on Inventory])</f>
        <v>188.17004747356043</v>
      </c>
      <c r="S52" s="16">
        <f>Table11[[#This Row],['#Planted]]*Table11[[#This Row],[USA Allocation %]]*Table11[[#This Row],[2024 Inventory Survival%-master]]</f>
        <v>0</v>
      </c>
      <c r="T52" s="16">
        <f>Table11[[#This Row],['#Planted]]*Table11[[#This Row],[USA Allocation %]]*Table11[[#This Row],[2024 Estimated Survival%]]</f>
        <v>188.17004747356043</v>
      </c>
      <c r="U52">
        <f>Table11[[#This Row],[ETP Year]]</f>
        <v>2016</v>
      </c>
      <c r="V52">
        <f>Table11[[#This Row],[Planting Year]]</f>
        <v>2018</v>
      </c>
      <c r="W52" s="8">
        <f>Table11[[#This Row],[Survival% as of 12/31/23]]</f>
        <v>0.65793722892853301</v>
      </c>
      <c r="X52" s="7">
        <f>Table11[[#This Row],[ETP'#s]]</f>
        <v>1</v>
      </c>
    </row>
    <row r="53" spans="1:24" x14ac:dyDescent="0.25">
      <c r="A53">
        <f>Table11[[#This Row],[Farmer'#]]</f>
        <v>10021</v>
      </c>
      <c r="B53" t="str">
        <f>Table11[[#This Row],[Representative]]</f>
        <v>Grover Plunkett</v>
      </c>
      <c r="C53" t="str">
        <f>Table11[[#This Row],[Contract Name]]</f>
        <v>Southern Innovative Investments LLC</v>
      </c>
      <c r="D53" t="str">
        <f>Table11[[#This Row],[Status]]</f>
        <v>Active</v>
      </c>
      <c r="E53" t="str">
        <f>Table11[[#This Row],[Contract Code]]</f>
        <v>US0024</v>
      </c>
      <c r="F53" s="16">
        <f>Table11[[#This Row],['#TreesContract]]</f>
        <v>2200</v>
      </c>
      <c r="G53" s="16">
        <f>Table11[[#This Row],['#Planted]]</f>
        <v>2200</v>
      </c>
      <c r="H53" s="16">
        <f>Table11[[#This Row],['#TreesContract]]*Table11[[#This Row],[USA Allocation %]]</f>
        <v>248.99999999999997</v>
      </c>
      <c r="I53" s="16">
        <f>Table11[[#This Row],['#Planted]]*Table11[[#This Row],[USA Allocation %]]</f>
        <v>248.99999999999997</v>
      </c>
      <c r="J53" s="16">
        <f>Table11[[#This Row],[Contract Amendment]]*Table11[[#This Row],[USA Allocation %]]</f>
        <v>0</v>
      </c>
      <c r="K53" s="16">
        <f>Table11[[#This Row],['#Trees as of 12/31/23]]*Table11[[#This Row],[USA Allocation %]]</f>
        <v>166.80582524271838</v>
      </c>
      <c r="L53" s="16">
        <f>Table11[[#This Row],['#Replace 24]]*Table11[[#This Row],[USA Allocation %]]</f>
        <v>0</v>
      </c>
      <c r="M53" s="16">
        <f>IF(Table11[[#This Row],[Planting Year]]=2024,Table11['#Planted],0)</f>
        <v>0</v>
      </c>
      <c r="N53" s="16">
        <f>(Table11[[#This Row],[2024 '#Trees Inventory + Estimate]]*Table11[[#This Row],[USA Allocation %]])-SUM(Table37[[#This Row],['# Trees as of 12/31/23]:[New Trees/Planted in 2024]])</f>
        <v>0</v>
      </c>
      <c r="O53" s="16">
        <f>SUM(Table37[[#This Row],['# Trees as of 12/31/23]:[2024 Tree Losses]])</f>
        <v>166.80582524271838</v>
      </c>
      <c r="P53" s="16">
        <f>SUM(Table37[[#This Row],[Total Trees as of 12/31/24]]-Table37[[#This Row],['# Trees as of 12/31/23]])</f>
        <v>0</v>
      </c>
      <c r="Q53" s="16">
        <f>Table11[[#This Row],['#Total Replacements]]*Table11[[#This Row],[USA Allocation %]]</f>
        <v>0</v>
      </c>
      <c r="R53" s="16">
        <f>IF(Table37[[#This Row],['#Survival based on Inventory]]=0,Table37['#Survival based on Last Year Estimate],Table37['#Survival based on Inventory])</f>
        <v>166.80582524271838</v>
      </c>
      <c r="S53" s="16">
        <f>Table11[[#This Row],['#Planted]]*Table11[[#This Row],[USA Allocation %]]*Table11[[#This Row],[2024 Inventory Survival%-master]]</f>
        <v>0</v>
      </c>
      <c r="T53" s="16">
        <f>Table11[[#This Row],['#Planted]]*Table11[[#This Row],[USA Allocation %]]*Table11[[#This Row],[2024 Estimated Survival%]]</f>
        <v>166.80582524271838</v>
      </c>
      <c r="U53">
        <f>Table11[[#This Row],[ETP Year]]</f>
        <v>2016</v>
      </c>
      <c r="V53">
        <f>Table11[[#This Row],[Planting Year]]</f>
        <v>2018</v>
      </c>
      <c r="W53" s="8">
        <f>Table11[[#This Row],[Survival% as of 12/31/23]]</f>
        <v>0.66990291262135904</v>
      </c>
      <c r="X53" s="7">
        <f>Table11[[#This Row],[ETP'#s]]</f>
        <v>1</v>
      </c>
    </row>
    <row r="54" spans="1:24" x14ac:dyDescent="0.25">
      <c r="A54">
        <f>Table11[[#This Row],[Farmer'#]]</f>
        <v>10022</v>
      </c>
      <c r="B54" t="str">
        <f>Table11[[#This Row],[Representative]]</f>
        <v>Jacob Schwartz</v>
      </c>
      <c r="C54" t="str">
        <f>Table11[[#This Row],[Contract Name]]</f>
        <v>Jacob Schwartz</v>
      </c>
      <c r="D54" t="str">
        <f>Table11[[#This Row],[Status]]</f>
        <v>RFT</v>
      </c>
      <c r="E54" t="str">
        <f>Table11[[#This Row],[Contract Code]]</f>
        <v>US0025</v>
      </c>
      <c r="F54" s="16">
        <f>Table11[[#This Row],['#TreesContract]]</f>
        <v>1100</v>
      </c>
      <c r="G54" s="16">
        <f>Table11[[#This Row],['#Planted]]</f>
        <v>1100</v>
      </c>
      <c r="H54" s="16">
        <f>Table11[[#This Row],['#TreesContract]]*Table11[[#This Row],[USA Allocation %]]</f>
        <v>124</v>
      </c>
      <c r="I54" s="16">
        <f>Table11[[#This Row],['#Planted]]*Table11[[#This Row],[USA Allocation %]]</f>
        <v>124</v>
      </c>
      <c r="J54" s="16">
        <f>Table11[[#This Row],[Contract Amendment]]*Table11[[#This Row],[USA Allocation %]]</f>
        <v>0</v>
      </c>
      <c r="K54" s="16">
        <f>Table11[[#This Row],['#Trees as of 12/31/23]]*Table11[[#This Row],[USA Allocation %]]</f>
        <v>89.853298701298613</v>
      </c>
      <c r="L54" s="16">
        <f>Table11[[#This Row],['#Replace 24]]*Table11[[#This Row],[USA Allocation %]]</f>
        <v>0</v>
      </c>
      <c r="M54" s="16">
        <f>IF(Table11[[#This Row],[Planting Year]]=2024,Table11['#Planted],0)</f>
        <v>0</v>
      </c>
      <c r="N54" s="16">
        <f>(Table11[[#This Row],[2024 '#Trees Inventory + Estimate]]*Table11[[#This Row],[USA Allocation %]])-SUM(Table37[[#This Row],['# Trees as of 12/31/23]:[New Trees/Planted in 2024]])</f>
        <v>0</v>
      </c>
      <c r="O54" s="16">
        <f>SUM(Table37[[#This Row],['# Trees as of 12/31/23]:[2024 Tree Losses]])</f>
        <v>89.853298701298613</v>
      </c>
      <c r="P54" s="16">
        <f>SUM(Table37[[#This Row],[Total Trees as of 12/31/24]]-Table37[[#This Row],['# Trees as of 12/31/23]])</f>
        <v>0</v>
      </c>
      <c r="Q54" s="16">
        <f>Table11[[#This Row],['#Total Replacements]]*Table11[[#This Row],[USA Allocation %]]</f>
        <v>32.24</v>
      </c>
      <c r="R54" s="16">
        <f>IF(Table37[[#This Row],['#Survival based on Inventory]]=0,Table37['#Survival based on Last Year Estimate],Table37['#Survival based on Inventory])</f>
        <v>89.853298701298613</v>
      </c>
      <c r="S54" s="16">
        <f>Table11[[#This Row],['#Planted]]*Table11[[#This Row],[USA Allocation %]]*Table11[[#This Row],[2024 Inventory Survival%-master]]</f>
        <v>0</v>
      </c>
      <c r="T54" s="16">
        <f>Table11[[#This Row],['#Planted]]*Table11[[#This Row],[USA Allocation %]]*Table11[[#This Row],[2024 Estimated Survival%]]</f>
        <v>89.853298701298613</v>
      </c>
      <c r="U54">
        <f>Table11[[#This Row],[ETP Year]]</f>
        <v>2016</v>
      </c>
      <c r="V54">
        <f>Table11[[#This Row],[Planting Year]]</f>
        <v>2018</v>
      </c>
      <c r="W54" s="8">
        <f>Table11[[#This Row],[Survival% as of 12/31/23]]</f>
        <v>0.72462337662337595</v>
      </c>
      <c r="X54" s="7">
        <f>Table11[[#This Row],[ETP'#s]]</f>
        <v>1</v>
      </c>
    </row>
    <row r="55" spans="1:24" x14ac:dyDescent="0.25">
      <c r="A55">
        <f>Table11[[#This Row],[Farmer'#]]</f>
        <v>10023</v>
      </c>
      <c r="B55" t="str">
        <f>Table11[[#This Row],[Representative]]</f>
        <v>John Cline</v>
      </c>
      <c r="C55" t="str">
        <f>Table11[[#This Row],[Contract Name]]</f>
        <v>John Cline</v>
      </c>
      <c r="D55" t="str">
        <f>Table11[[#This Row],[Status]]</f>
        <v>Out of Program</v>
      </c>
      <c r="E55" t="str">
        <f>Table11[[#This Row],[Contract Code]]</f>
        <v>US0026</v>
      </c>
      <c r="F55" s="16">
        <f>Table11[[#This Row],['#TreesContract]]</f>
        <v>550</v>
      </c>
      <c r="G55" s="16">
        <f>Table11[[#This Row],['#Planted]]</f>
        <v>550</v>
      </c>
      <c r="H55" s="16">
        <f>Table11[[#This Row],['#TreesContract]]*Table11[[#This Row],[USA Allocation %]]</f>
        <v>352</v>
      </c>
      <c r="I55" s="16">
        <f>Table11[[#This Row],['#Planted]]*Table11[[#This Row],[USA Allocation %]]</f>
        <v>352</v>
      </c>
      <c r="J55" s="16">
        <f>Table11[[#This Row],[Contract Amendment]]*Table11[[#This Row],[USA Allocation %]]</f>
        <v>0</v>
      </c>
      <c r="K55" s="16">
        <f>Table11[[#This Row],['#Trees as of 12/31/23]]*Table11[[#This Row],[USA Allocation %]]</f>
        <v>0</v>
      </c>
      <c r="L55" s="16">
        <f>Table11[[#This Row],['#Replace 24]]*Table11[[#This Row],[USA Allocation %]]</f>
        <v>0</v>
      </c>
      <c r="M55" s="16">
        <f>IF(Table11[[#This Row],[Planting Year]]=2024,Table11['#Planted],0)</f>
        <v>0</v>
      </c>
      <c r="N55" s="16">
        <f>(Table11[[#This Row],[2024 '#Trees Inventory + Estimate]]*Table11[[#This Row],[USA Allocation %]])-SUM(Table37[[#This Row],['# Trees as of 12/31/23]:[New Trees/Planted in 2024]])</f>
        <v>0</v>
      </c>
      <c r="O55" s="16">
        <f>SUM(Table37[[#This Row],['# Trees as of 12/31/23]:[2024 Tree Losses]])</f>
        <v>0</v>
      </c>
      <c r="P55" s="16">
        <f>SUM(Table37[[#This Row],[Total Trees as of 12/31/24]]-Table37[[#This Row],['# Trees as of 12/31/23]])</f>
        <v>0</v>
      </c>
      <c r="Q55" s="16">
        <f>Table11[[#This Row],['#Total Replacements]]*Table11[[#This Row],[USA Allocation %]]</f>
        <v>0</v>
      </c>
      <c r="R55" s="16">
        <f>IF(Table37[[#This Row],['#Survival based on Inventory]]=0,Table37['#Survival based on Last Year Estimate],Table37['#Survival based on Inventory])</f>
        <v>0</v>
      </c>
      <c r="S55" s="16">
        <f>Table11[[#This Row],['#Planted]]*Table11[[#This Row],[USA Allocation %]]*Table11[[#This Row],[2024 Inventory Survival%-master]]</f>
        <v>0</v>
      </c>
      <c r="T55" s="16">
        <f>Table11[[#This Row],['#Planted]]*Table11[[#This Row],[USA Allocation %]]*Table11[[#This Row],[2024 Estimated Survival%]]</f>
        <v>0</v>
      </c>
      <c r="U55">
        <f>Table11[[#This Row],[ETP Year]]</f>
        <v>2018</v>
      </c>
      <c r="V55">
        <f>Table11[[#This Row],[Planting Year]]</f>
        <v>2018</v>
      </c>
      <c r="W55" s="8">
        <f>Table11[[#This Row],[Survival% as of 12/31/23]]</f>
        <v>0</v>
      </c>
      <c r="X55" s="7">
        <f>Table11[[#This Row],[ETP'#s]]</f>
        <v>1</v>
      </c>
    </row>
    <row r="56" spans="1:24" x14ac:dyDescent="0.25">
      <c r="A56">
        <f>Table11[[#This Row],[Farmer'#]]</f>
        <v>10024</v>
      </c>
      <c r="B56" t="str">
        <f>Table11[[#This Row],[Representative]]</f>
        <v>Matthew Knox</v>
      </c>
      <c r="C56" t="str">
        <f>Table11[[#This Row],[Contract Name]]</f>
        <v>Matthew Knox</v>
      </c>
      <c r="D56" t="str">
        <f>Table11[[#This Row],[Status]]</f>
        <v>Active</v>
      </c>
      <c r="E56" t="str">
        <f>Table11[[#This Row],[Contract Code]]</f>
        <v>US0028</v>
      </c>
      <c r="F56" s="16">
        <f>Table11[[#This Row],['#TreesContract]]</f>
        <v>550</v>
      </c>
      <c r="G56" s="16">
        <f>Table11[[#This Row],['#Planted]]</f>
        <v>550</v>
      </c>
      <c r="H56" s="16">
        <f>Table11[[#This Row],['#TreesContract]]*Table11[[#This Row],[USA Allocation %]]</f>
        <v>62</v>
      </c>
      <c r="I56" s="16">
        <f>Table11[[#This Row],['#Planted]]*Table11[[#This Row],[USA Allocation %]]</f>
        <v>62</v>
      </c>
      <c r="J56" s="16">
        <f>Table11[[#This Row],[Contract Amendment]]*Table11[[#This Row],[USA Allocation %]]</f>
        <v>0</v>
      </c>
      <c r="K56" s="16">
        <f>Table11[[#This Row],['#Trees as of 12/31/23]]*Table11[[#This Row],[USA Allocation %]]</f>
        <v>55.260869565217398</v>
      </c>
      <c r="L56" s="16">
        <f>Table11[[#This Row],['#Replace 24]]*Table11[[#This Row],[USA Allocation %]]</f>
        <v>0</v>
      </c>
      <c r="M56" s="16">
        <f>IF(Table11[[#This Row],[Planting Year]]=2024,Table11['#Planted],0)</f>
        <v>0</v>
      </c>
      <c r="N56" s="16">
        <f>(Table11[[#This Row],[2024 '#Trees Inventory + Estimate]]*Table11[[#This Row],[USA Allocation %]])-SUM(Table37[[#This Row],['# Trees as of 12/31/23]:[New Trees/Planted in 2024]])</f>
        <v>0</v>
      </c>
      <c r="O56" s="16">
        <f>SUM(Table37[[#This Row],['# Trees as of 12/31/23]:[2024 Tree Losses]])</f>
        <v>55.260869565217398</v>
      </c>
      <c r="P56" s="16">
        <f>SUM(Table37[[#This Row],[Total Trees as of 12/31/24]]-Table37[[#This Row],['# Trees as of 12/31/23]])</f>
        <v>0</v>
      </c>
      <c r="Q56" s="16">
        <f>Table11[[#This Row],['#Total Replacements]]*Table11[[#This Row],[USA Allocation %]]</f>
        <v>0</v>
      </c>
      <c r="R56" s="16">
        <f>IF(Table37[[#This Row],['#Survival based on Inventory]]=0,Table37['#Survival based on Last Year Estimate],Table37['#Survival based on Inventory])</f>
        <v>55.260869565217398</v>
      </c>
      <c r="S56" s="16">
        <f>Table11[[#This Row],['#Planted]]*Table11[[#This Row],[USA Allocation %]]*Table11[[#This Row],[2024 Inventory Survival%-master]]</f>
        <v>0</v>
      </c>
      <c r="T56" s="16">
        <f>Table11[[#This Row],['#Planted]]*Table11[[#This Row],[USA Allocation %]]*Table11[[#This Row],[2024 Estimated Survival%]]</f>
        <v>55.260869565217398</v>
      </c>
      <c r="U56">
        <f>Table11[[#This Row],[ETP Year]]</f>
        <v>2016</v>
      </c>
      <c r="V56">
        <f>Table11[[#This Row],[Planting Year]]</f>
        <v>2018</v>
      </c>
      <c r="W56" s="8">
        <f>Table11[[#This Row],[Survival% as of 12/31/23]]</f>
        <v>0.89130434782608703</v>
      </c>
      <c r="X56" s="7">
        <f>Table11[[#This Row],[ETP'#s]]</f>
        <v>1</v>
      </c>
    </row>
    <row r="57" spans="1:24" x14ac:dyDescent="0.25">
      <c r="A57">
        <f>Table11[[#This Row],[Farmer'#]]</f>
        <v>10025</v>
      </c>
      <c r="B57" t="str">
        <f>Table11[[#This Row],[Representative]]</f>
        <v>Tracy Sturgeon</v>
      </c>
      <c r="C57" t="str">
        <f>Table11[[#This Row],[Contract Name]]</f>
        <v>Tracy Sturgeon</v>
      </c>
      <c r="D57" t="str">
        <f>Table11[[#This Row],[Status]]</f>
        <v>RFT</v>
      </c>
      <c r="E57" t="str">
        <f>Table11[[#This Row],[Contract Code]]</f>
        <v>US0029</v>
      </c>
      <c r="F57" s="16">
        <f>Table11[[#This Row],['#TreesContract]]</f>
        <v>1100</v>
      </c>
      <c r="G57" s="16">
        <f>Table11[[#This Row],['#Planted]]</f>
        <v>1100</v>
      </c>
      <c r="H57" s="16">
        <f>Table11[[#This Row],['#TreesContract]]*Table11[[#This Row],[USA Allocation %]]</f>
        <v>124</v>
      </c>
      <c r="I57" s="16">
        <f>Table11[[#This Row],['#Planted]]*Table11[[#This Row],[USA Allocation %]]</f>
        <v>124</v>
      </c>
      <c r="J57" s="16">
        <f>Table11[[#This Row],[Contract Amendment]]*Table11[[#This Row],[USA Allocation %]]</f>
        <v>0</v>
      </c>
      <c r="K57" s="16">
        <f>Table11[[#This Row],['#Trees as of 12/31/23]]*Table11[[#This Row],[USA Allocation %]]</f>
        <v>58.900000000000006</v>
      </c>
      <c r="L57" s="16">
        <f>Table11[[#This Row],['#Replace 24]]*Table11[[#This Row],[USA Allocation %]]</f>
        <v>0</v>
      </c>
      <c r="M57" s="16">
        <f>IF(Table11[[#This Row],[Planting Year]]=2024,Table11['#Planted],0)</f>
        <v>0</v>
      </c>
      <c r="N57" s="16">
        <f>(Table11[[#This Row],[2024 '#Trees Inventory + Estimate]]*Table11[[#This Row],[USA Allocation %]])-SUM(Table37[[#This Row],['# Trees as of 12/31/23]:[New Trees/Planted in 2024]])</f>
        <v>0</v>
      </c>
      <c r="O57" s="16">
        <f>SUM(Table37[[#This Row],['# Trees as of 12/31/23]:[2024 Tree Losses]])</f>
        <v>58.900000000000006</v>
      </c>
      <c r="P57" s="16">
        <f>SUM(Table37[[#This Row],[Total Trees as of 12/31/24]]-Table37[[#This Row],['# Trees as of 12/31/23]])</f>
        <v>0</v>
      </c>
      <c r="Q57" s="16">
        <f>Table11[[#This Row],['#Total Replacements]]*Table11[[#This Row],[USA Allocation %]]</f>
        <v>80.036363636363646</v>
      </c>
      <c r="R57" s="16">
        <f>IF(Table37[[#This Row],['#Survival based on Inventory]]=0,Table37['#Survival based on Last Year Estimate],Table37['#Survival based on Inventory])</f>
        <v>58.9</v>
      </c>
      <c r="S57" s="16">
        <f>Table11[[#This Row],['#Planted]]*Table11[[#This Row],[USA Allocation %]]*Table11[[#This Row],[2024 Inventory Survival%-master]]</f>
        <v>0</v>
      </c>
      <c r="T57" s="16">
        <f>Table11[[#This Row],['#Planted]]*Table11[[#This Row],[USA Allocation %]]*Table11[[#This Row],[2024 Estimated Survival%]]</f>
        <v>58.9</v>
      </c>
      <c r="U57">
        <f>Table11[[#This Row],[ETP Year]]</f>
        <v>2016</v>
      </c>
      <c r="V57">
        <f>Table11[[#This Row],[Planting Year]]</f>
        <v>2018</v>
      </c>
      <c r="W57" s="8">
        <f>Table11[[#This Row],[Survival% as of 12/31/23]]</f>
        <v>0.47499999999999998</v>
      </c>
      <c r="X57" s="7">
        <f>Table11[[#This Row],[ETP'#s]]</f>
        <v>1</v>
      </c>
    </row>
    <row r="58" spans="1:24" x14ac:dyDescent="0.25">
      <c r="A58">
        <f>Table11[[#This Row],[Farmer'#]]</f>
        <v>10026</v>
      </c>
      <c r="B58" t="str">
        <f>Table11[[#This Row],[Representative]]</f>
        <v>Wayne Crotty</v>
      </c>
      <c r="C58" t="str">
        <f>Table11[[#This Row],[Contract Name]]</f>
        <v>Wayne Crotty</v>
      </c>
      <c r="D58" t="str">
        <f>Table11[[#This Row],[Status]]</f>
        <v>Active</v>
      </c>
      <c r="E58" t="str">
        <f>Table11[[#This Row],[Contract Code]]</f>
        <v>US0030</v>
      </c>
      <c r="F58" s="16">
        <f>Table11[[#This Row],['#TreesContract]]</f>
        <v>2530</v>
      </c>
      <c r="G58" s="16">
        <f>Table11[[#This Row],['#Planted]]</f>
        <v>2530</v>
      </c>
      <c r="H58" s="16">
        <f>Table11[[#This Row],['#TreesContract]]*Table11[[#This Row],[USA Allocation %]]</f>
        <v>286</v>
      </c>
      <c r="I58" s="16">
        <f>Table11[[#This Row],['#Planted]]*Table11[[#This Row],[USA Allocation %]]</f>
        <v>286</v>
      </c>
      <c r="J58" s="16">
        <f>Table11[[#This Row],[Contract Amendment]]*Table11[[#This Row],[USA Allocation %]]</f>
        <v>0</v>
      </c>
      <c r="K58" s="16">
        <f>Table11[[#This Row],['#Trees as of 12/31/23]]*Table11[[#This Row],[USA Allocation %]]</f>
        <v>263.71153054280325</v>
      </c>
      <c r="L58" s="16">
        <f>Table11[[#This Row],['#Replace 24]]*Table11[[#This Row],[USA Allocation %]]</f>
        <v>0</v>
      </c>
      <c r="M58" s="16">
        <f>IF(Table11[[#This Row],[Planting Year]]=2024,Table11['#Planted],0)</f>
        <v>0</v>
      </c>
      <c r="N58" s="16">
        <f>(Table11[[#This Row],[2024 '#Trees Inventory + Estimate]]*Table11[[#This Row],[USA Allocation %]])-SUM(Table37[[#This Row],['# Trees as of 12/31/23]:[New Trees/Planted in 2024]])</f>
        <v>0</v>
      </c>
      <c r="O58" s="16">
        <f>SUM(Table37[[#This Row],['# Trees as of 12/31/23]:[2024 Tree Losses]])</f>
        <v>263.71153054280325</v>
      </c>
      <c r="P58" s="16">
        <f>SUM(Table37[[#This Row],[Total Trees as of 12/31/24]]-Table37[[#This Row],['# Trees as of 12/31/23]])</f>
        <v>0</v>
      </c>
      <c r="Q58" s="16">
        <f>Table11[[#This Row],['#Total Replacements]]*Table11[[#This Row],[USA Allocation %]]</f>
        <v>157.35652173913044</v>
      </c>
      <c r="R58" s="16">
        <f>IF(Table37[[#This Row],['#Survival based on Inventory]]=0,Table37['#Survival based on Last Year Estimate],Table37['#Survival based on Inventory])</f>
        <v>263.71153054280319</v>
      </c>
      <c r="S58" s="16">
        <f>Table11[[#This Row],['#Planted]]*Table11[[#This Row],[USA Allocation %]]*Table11[[#This Row],[2024 Inventory Survival%-master]]</f>
        <v>0</v>
      </c>
      <c r="T58" s="16">
        <f>Table11[[#This Row],['#Planted]]*Table11[[#This Row],[USA Allocation %]]*Table11[[#This Row],[2024 Estimated Survival%]]</f>
        <v>263.71153054280319</v>
      </c>
      <c r="U58">
        <f>Table11[[#This Row],[ETP Year]]</f>
        <v>2016</v>
      </c>
      <c r="V58">
        <f>Table11[[#This Row],[Planting Year]]</f>
        <v>2018</v>
      </c>
      <c r="W58" s="8">
        <f>Table11[[#This Row],[Survival% as of 12/31/23]]</f>
        <v>0.92206828861120005</v>
      </c>
      <c r="X58" s="7">
        <f>Table11[[#This Row],[ETP'#s]]</f>
        <v>1</v>
      </c>
    </row>
    <row r="59" spans="1:24" x14ac:dyDescent="0.25">
      <c r="A59">
        <f>Table11[[#This Row],[Farmer'#]]</f>
        <v>10027</v>
      </c>
      <c r="B59" t="str">
        <f>Table11[[#This Row],[Representative]]</f>
        <v>Wendell Lynn</v>
      </c>
      <c r="C59" t="str">
        <f>Table11[[#This Row],[Contract Name]]</f>
        <v>Wendell Lynn</v>
      </c>
      <c r="D59" t="str">
        <f>Table11[[#This Row],[Status]]</f>
        <v>Active</v>
      </c>
      <c r="E59" t="str">
        <f>Table11[[#This Row],[Contract Code]]</f>
        <v>US0031</v>
      </c>
      <c r="F59" s="16">
        <f>Table11[[#This Row],['#TreesContract]]</f>
        <v>550</v>
      </c>
      <c r="G59" s="16">
        <f>Table11[[#This Row],['#Planted]]</f>
        <v>550</v>
      </c>
      <c r="H59" s="16">
        <f>Table11[[#This Row],['#TreesContract]]*Table11[[#This Row],[USA Allocation %]]</f>
        <v>62</v>
      </c>
      <c r="I59" s="16">
        <f>Table11[[#This Row],['#Planted]]*Table11[[#This Row],[USA Allocation %]]</f>
        <v>62</v>
      </c>
      <c r="J59" s="16">
        <f>Table11[[#This Row],[Contract Amendment]]*Table11[[#This Row],[USA Allocation %]]</f>
        <v>0</v>
      </c>
      <c r="K59" s="16">
        <f>Table11[[#This Row],['#Trees as of 12/31/23]]*Table11[[#This Row],[USA Allocation %]]</f>
        <v>48.521739130434788</v>
      </c>
      <c r="L59" s="16">
        <f>Table11[[#This Row],['#Replace 24]]*Table11[[#This Row],[USA Allocation %]]</f>
        <v>0</v>
      </c>
      <c r="M59" s="16">
        <f>IF(Table11[[#This Row],[Planting Year]]=2024,Table11['#Planted],0)</f>
        <v>0</v>
      </c>
      <c r="N59" s="16">
        <f>(Table11[[#This Row],[2024 '#Trees Inventory + Estimate]]*Table11[[#This Row],[USA Allocation %]])-SUM(Table37[[#This Row],['# Trees as of 12/31/23]:[New Trees/Planted in 2024]])</f>
        <v>0</v>
      </c>
      <c r="O59" s="16">
        <f>SUM(Table37[[#This Row],['# Trees as of 12/31/23]:[2024 Tree Losses]])</f>
        <v>48.521739130434788</v>
      </c>
      <c r="P59" s="16">
        <f>SUM(Table37[[#This Row],[Total Trees as of 12/31/24]]-Table37[[#This Row],['# Trees as of 12/31/23]])</f>
        <v>0</v>
      </c>
      <c r="Q59" s="16">
        <f>Table11[[#This Row],['#Total Replacements]]*Table11[[#This Row],[USA Allocation %]]</f>
        <v>22.545454545454547</v>
      </c>
      <c r="R59" s="16">
        <f>IF(Table37[[#This Row],['#Survival based on Inventory]]=0,Table37['#Survival based on Last Year Estimate],Table37['#Survival based on Inventory])</f>
        <v>48.521739130434781</v>
      </c>
      <c r="S59" s="16">
        <f>Table11[[#This Row],['#Planted]]*Table11[[#This Row],[USA Allocation %]]*Table11[[#This Row],[2024 Inventory Survival%-master]]</f>
        <v>0</v>
      </c>
      <c r="T59" s="16">
        <f>Table11[[#This Row],['#Planted]]*Table11[[#This Row],[USA Allocation %]]*Table11[[#This Row],[2024 Estimated Survival%]]</f>
        <v>48.521739130434781</v>
      </c>
      <c r="U59">
        <f>Table11[[#This Row],[ETP Year]]</f>
        <v>2016</v>
      </c>
      <c r="V59">
        <f>Table11[[#This Row],[Planting Year]]</f>
        <v>2018</v>
      </c>
      <c r="W59" s="8">
        <f>Table11[[#This Row],[Survival% as of 12/31/23]]</f>
        <v>0.78260869565217395</v>
      </c>
      <c r="X59" s="7">
        <f>Table11[[#This Row],[ETP'#s]]</f>
        <v>1</v>
      </c>
    </row>
    <row r="60" spans="1:24" x14ac:dyDescent="0.25">
      <c r="A60">
        <f>Table11[[#This Row],[Farmer'#]]</f>
        <v>10028</v>
      </c>
      <c r="B60" t="str">
        <f>Table11[[#This Row],[Representative]]</f>
        <v>Will Johnson</v>
      </c>
      <c r="C60" t="str">
        <f>Table11[[#This Row],[Contract Name]]</f>
        <v>Will and Amanda Johnson</v>
      </c>
      <c r="D60" t="str">
        <f>Table11[[#This Row],[Status]]</f>
        <v>Active</v>
      </c>
      <c r="E60" t="str">
        <f>Table11[[#This Row],[Contract Code]]</f>
        <v>US0032</v>
      </c>
      <c r="F60" s="16">
        <f>Table11[[#This Row],['#TreesContract]]</f>
        <v>1166</v>
      </c>
      <c r="G60" s="16">
        <f>Table11[[#This Row],['#Planted]]</f>
        <v>1166</v>
      </c>
      <c r="H60" s="16">
        <f>Table11[[#This Row],['#TreesContract]]*Table11[[#This Row],[USA Allocation %]]</f>
        <v>131.96788000000001</v>
      </c>
      <c r="I60" s="16">
        <f>Table11[[#This Row],['#Planted]]*Table11[[#This Row],[USA Allocation %]]</f>
        <v>131.96788000000001</v>
      </c>
      <c r="J60" s="16">
        <f>Table11[[#This Row],[Contract Amendment]]*Table11[[#This Row],[USA Allocation %]]</f>
        <v>0</v>
      </c>
      <c r="K60" s="16">
        <f>Table11[[#This Row],['#Trees as of 12/31/23]]*Table11[[#This Row],[USA Allocation %]]</f>
        <v>123.45382322580645</v>
      </c>
      <c r="L60" s="16">
        <f>Table11[[#This Row],['#Replace 24]]*Table11[[#This Row],[USA Allocation %]]</f>
        <v>0</v>
      </c>
      <c r="M60" s="16">
        <f>IF(Table11[[#This Row],[Planting Year]]=2024,Table11['#Planted],0)</f>
        <v>0</v>
      </c>
      <c r="N60" s="16">
        <f>(Table11[[#This Row],[2024 '#Trees Inventory + Estimate]]*Table11[[#This Row],[USA Allocation %]])-SUM(Table37[[#This Row],['# Trees as of 12/31/23]:[New Trees/Planted in 2024]])</f>
        <v>0</v>
      </c>
      <c r="O60" s="16">
        <f>SUM(Table37[[#This Row],['# Trees as of 12/31/23]:[2024 Tree Losses]])</f>
        <v>123.45382322580645</v>
      </c>
      <c r="P60" s="16">
        <f>SUM(Table37[[#This Row],[Total Trees as of 12/31/24]]-Table37[[#This Row],['# Trees as of 12/31/23]])</f>
        <v>0</v>
      </c>
      <c r="Q60" s="16">
        <f>Table11[[#This Row],['#Total Replacements]]*Table11[[#This Row],[USA Allocation %]]</f>
        <v>0</v>
      </c>
      <c r="R60" s="16">
        <f>IF(Table37[[#This Row],['#Survival based on Inventory]]=0,Table37['#Survival based on Last Year Estimate],Table37['#Survival based on Inventory])</f>
        <v>123.45382322580647</v>
      </c>
      <c r="S60" s="16">
        <f>Table11[[#This Row],['#Planted]]*Table11[[#This Row],[USA Allocation %]]*Table11[[#This Row],[2024 Inventory Survival%-master]]</f>
        <v>0</v>
      </c>
      <c r="T60" s="16">
        <f>Table11[[#This Row],['#Planted]]*Table11[[#This Row],[USA Allocation %]]*Table11[[#This Row],[2024 Estimated Survival%]]</f>
        <v>123.45382322580647</v>
      </c>
      <c r="U60">
        <f>Table11[[#This Row],[ETP Year]]</f>
        <v>2016</v>
      </c>
      <c r="V60">
        <f>Table11[[#This Row],[Planting Year]]</f>
        <v>2018</v>
      </c>
      <c r="W60" s="8">
        <f>Table11[[#This Row],[Survival% as of 12/31/23]]</f>
        <v>0.93548387096774199</v>
      </c>
      <c r="X60" s="7">
        <f>Table11[[#This Row],[ETP'#s]]</f>
        <v>1</v>
      </c>
    </row>
    <row r="61" spans="1:24" x14ac:dyDescent="0.25">
      <c r="A61">
        <f>Table11[[#This Row],[Farmer'#]]</f>
        <v>20008</v>
      </c>
      <c r="B61" t="str">
        <f>Table11[[#This Row],[Representative]]</f>
        <v>Carlos Navarro</v>
      </c>
      <c r="C61" t="str">
        <f>Table11[[#This Row],[Contract Name]]</f>
        <v>Carlos Navarro</v>
      </c>
      <c r="D61" t="str">
        <f>Table11[[#This Row],[Status]]</f>
        <v>Out of Program</v>
      </c>
      <c r="E61" t="str">
        <f>Table11[[#This Row],[Contract Code]]</f>
        <v>CR0025</v>
      </c>
      <c r="F61" s="16">
        <f>Table11[[#This Row],['#TreesContract]]</f>
        <v>350</v>
      </c>
      <c r="G61" s="16">
        <f>Table11[[#This Row],['#Planted]]</f>
        <v>350</v>
      </c>
      <c r="H61" s="16">
        <f>Table11[[#This Row],['#TreesContract]]*Table11[[#This Row],[USA Allocation %]]</f>
        <v>40</v>
      </c>
      <c r="I61" s="16">
        <f>Table11[[#This Row],['#Planted]]*Table11[[#This Row],[USA Allocation %]]</f>
        <v>40</v>
      </c>
      <c r="J61" s="16">
        <f>Table11[[#This Row],[Contract Amendment]]*Table11[[#This Row],[USA Allocation %]]</f>
        <v>0</v>
      </c>
      <c r="K61" s="16">
        <f>Table11[[#This Row],['#Trees as of 12/31/23]]*Table11[[#This Row],[USA Allocation %]]</f>
        <v>0</v>
      </c>
      <c r="L61" s="16">
        <f>Table11[[#This Row],['#Replace 24]]*Table11[[#This Row],[USA Allocation %]]</f>
        <v>0</v>
      </c>
      <c r="M61" s="16">
        <f>IF(Table11[[#This Row],[Planting Year]]=2024,Table11['#Planted],0)</f>
        <v>0</v>
      </c>
      <c r="N61" s="16">
        <f>(Table11[[#This Row],[2024 '#Trees Inventory + Estimate]]*Table11[[#This Row],[USA Allocation %]])-SUM(Table37[[#This Row],['# Trees as of 12/31/23]:[New Trees/Planted in 2024]])</f>
        <v>0</v>
      </c>
      <c r="O61" s="16">
        <f>SUM(Table37[[#This Row],['# Trees as of 12/31/23]:[2024 Tree Losses]])</f>
        <v>0</v>
      </c>
      <c r="P61" s="16">
        <f>SUM(Table37[[#This Row],[Total Trees as of 12/31/24]]-Table37[[#This Row],['# Trees as of 12/31/23]])</f>
        <v>0</v>
      </c>
      <c r="Q61" s="16">
        <f>Table11[[#This Row],['#Total Replacements]]*Table11[[#This Row],[USA Allocation %]]</f>
        <v>0</v>
      </c>
      <c r="R61" s="16">
        <f>IF(Table37[[#This Row],['#Survival based on Inventory]]=0,Table37['#Survival based on Last Year Estimate],Table37['#Survival based on Inventory])</f>
        <v>0</v>
      </c>
      <c r="S61" s="16">
        <f>Table11[[#This Row],['#Planted]]*Table11[[#This Row],[USA Allocation %]]*Table11[[#This Row],[2024 Inventory Survival%-master]]</f>
        <v>0</v>
      </c>
      <c r="T61" s="16">
        <f>Table11[[#This Row],['#Planted]]*Table11[[#This Row],[USA Allocation %]]*Table11[[#This Row],[2024 Estimated Survival%]]</f>
        <v>0</v>
      </c>
      <c r="U61">
        <f>Table11[[#This Row],[ETP Year]]</f>
        <v>2016</v>
      </c>
      <c r="V61">
        <f>Table11[[#This Row],[Planting Year]]</f>
        <v>2018</v>
      </c>
      <c r="W61" s="8">
        <f>Table11[[#This Row],[Survival% as of 12/31/23]]</f>
        <v>0</v>
      </c>
      <c r="X61" s="7">
        <f>Table11[[#This Row],[ETP'#s]]</f>
        <v>1</v>
      </c>
    </row>
    <row r="62" spans="1:24" x14ac:dyDescent="0.25">
      <c r="A62">
        <f>Table11[[#This Row],[Farmer'#]]</f>
        <v>20009</v>
      </c>
      <c r="B62" t="str">
        <f>Table11[[#This Row],[Representative]]</f>
        <v xml:space="preserve">David Guiterrez </v>
      </c>
      <c r="C62" t="str">
        <f>Table11[[#This Row],[Contract Name]]</f>
        <v>Edgar Gutierrez</v>
      </c>
      <c r="D62" t="str">
        <f>Table11[[#This Row],[Status]]</f>
        <v>Out of Program</v>
      </c>
      <c r="E62" t="str">
        <f>Table11[[#This Row],[Contract Code]]</f>
        <v>CR0026</v>
      </c>
      <c r="F62" s="16">
        <f>Table11[[#This Row],['#TreesContract]]</f>
        <v>500</v>
      </c>
      <c r="G62" s="16">
        <f>Table11[[#This Row],['#Planted]]</f>
        <v>500</v>
      </c>
      <c r="H62" s="16">
        <f>Table11[[#This Row],['#TreesContract]]*Table11[[#This Row],[USA Allocation %]]</f>
        <v>57</v>
      </c>
      <c r="I62" s="16">
        <f>Table11[[#This Row],['#Planted]]*Table11[[#This Row],[USA Allocation %]]</f>
        <v>57</v>
      </c>
      <c r="J62" s="16">
        <f>Table11[[#This Row],[Contract Amendment]]*Table11[[#This Row],[USA Allocation %]]</f>
        <v>0</v>
      </c>
      <c r="K62" s="16">
        <f>Table11[[#This Row],['#Trees as of 12/31/23]]*Table11[[#This Row],[USA Allocation %]]</f>
        <v>0</v>
      </c>
      <c r="L62" s="16">
        <f>Table11[[#This Row],['#Replace 24]]*Table11[[#This Row],[USA Allocation %]]</f>
        <v>0</v>
      </c>
      <c r="M62" s="16">
        <f>IF(Table11[[#This Row],[Planting Year]]=2024,Table11['#Planted],0)</f>
        <v>0</v>
      </c>
      <c r="N62" s="16">
        <f>(Table11[[#This Row],[2024 '#Trees Inventory + Estimate]]*Table11[[#This Row],[USA Allocation %]])-SUM(Table37[[#This Row],['# Trees as of 12/31/23]:[New Trees/Planted in 2024]])</f>
        <v>0</v>
      </c>
      <c r="O62" s="16">
        <f>SUM(Table37[[#This Row],['# Trees as of 12/31/23]:[2024 Tree Losses]])</f>
        <v>0</v>
      </c>
      <c r="P62" s="16">
        <f>SUM(Table37[[#This Row],[Total Trees as of 12/31/24]]-Table37[[#This Row],['# Trees as of 12/31/23]])</f>
        <v>0</v>
      </c>
      <c r="Q62" s="16">
        <f>Table11[[#This Row],['#Total Replacements]]*Table11[[#This Row],[USA Allocation %]]</f>
        <v>0</v>
      </c>
      <c r="R62" s="16">
        <f>IF(Table37[[#This Row],['#Survival based on Inventory]]=0,Table37['#Survival based on Last Year Estimate],Table37['#Survival based on Inventory])</f>
        <v>0</v>
      </c>
      <c r="S62" s="16">
        <f>Table11[[#This Row],['#Planted]]*Table11[[#This Row],[USA Allocation %]]*Table11[[#This Row],[2024 Inventory Survival%-master]]</f>
        <v>0</v>
      </c>
      <c r="T62" s="16">
        <f>Table11[[#This Row],['#Planted]]*Table11[[#This Row],[USA Allocation %]]*Table11[[#This Row],[2024 Estimated Survival%]]</f>
        <v>0</v>
      </c>
      <c r="U62">
        <f>Table11[[#This Row],[ETP Year]]</f>
        <v>2016</v>
      </c>
      <c r="V62">
        <f>Table11[[#This Row],[Planting Year]]</f>
        <v>2018</v>
      </c>
      <c r="W62" s="8">
        <f>Table11[[#This Row],[Survival% as of 12/31/23]]</f>
        <v>0</v>
      </c>
      <c r="X62" s="7">
        <f>Table11[[#This Row],[ETP'#s]]</f>
        <v>1</v>
      </c>
    </row>
    <row r="63" spans="1:24" x14ac:dyDescent="0.25">
      <c r="A63">
        <f>Table11[[#This Row],[Farmer'#]]</f>
        <v>20020</v>
      </c>
      <c r="B63" t="str">
        <f>Table11[[#This Row],[Representative]]</f>
        <v xml:space="preserve">Oscar Viquez </v>
      </c>
      <c r="C63" t="str">
        <f>Table11[[#This Row],[Contract Name]]</f>
        <v>Oscar Viquez,María Isabel Quesada Víquez, Eraida Quesada Víquez, Estelia Quesada Víquez</v>
      </c>
      <c r="D63" t="str">
        <f>Table11[[#This Row],[Status]]</f>
        <v>Out of Program</v>
      </c>
      <c r="E63" t="str">
        <f>Table11[[#This Row],[Contract Code]]</f>
        <v>CR0031</v>
      </c>
      <c r="F63" s="16">
        <f>Table11[[#This Row],['#TreesContract]]</f>
        <v>1000</v>
      </c>
      <c r="G63" s="16">
        <f>Table11[[#This Row],['#Planted]]</f>
        <v>1000</v>
      </c>
      <c r="H63" s="16">
        <f>Table11[[#This Row],['#TreesContract]]*Table11[[#This Row],[USA Allocation %]]</f>
        <v>113</v>
      </c>
      <c r="I63" s="16">
        <f>Table11[[#This Row],['#Planted]]*Table11[[#This Row],[USA Allocation %]]</f>
        <v>113</v>
      </c>
      <c r="J63" s="16">
        <f>Table11[[#This Row],[Contract Amendment]]*Table11[[#This Row],[USA Allocation %]]</f>
        <v>0</v>
      </c>
      <c r="K63" s="16">
        <f>Table11[[#This Row],['#Trees as of 12/31/23]]*Table11[[#This Row],[USA Allocation %]]</f>
        <v>0</v>
      </c>
      <c r="L63" s="16">
        <f>Table11[[#This Row],['#Replace 24]]*Table11[[#This Row],[USA Allocation %]]</f>
        <v>0</v>
      </c>
      <c r="M63" s="16">
        <f>IF(Table11[[#This Row],[Planting Year]]=2024,Table11['#Planted],0)</f>
        <v>0</v>
      </c>
      <c r="N63" s="16">
        <f>(Table11[[#This Row],[2024 '#Trees Inventory + Estimate]]*Table11[[#This Row],[USA Allocation %]])-SUM(Table37[[#This Row],['# Trees as of 12/31/23]:[New Trees/Planted in 2024]])</f>
        <v>0</v>
      </c>
      <c r="O63" s="16">
        <f>SUM(Table37[[#This Row],['# Trees as of 12/31/23]:[2024 Tree Losses]])</f>
        <v>0</v>
      </c>
      <c r="P63" s="16">
        <f>SUM(Table37[[#This Row],[Total Trees as of 12/31/24]]-Table37[[#This Row],['# Trees as of 12/31/23]])</f>
        <v>0</v>
      </c>
      <c r="Q63" s="16">
        <f>Table11[[#This Row],['#Total Replacements]]*Table11[[#This Row],[USA Allocation %]]</f>
        <v>0</v>
      </c>
      <c r="R63" s="16">
        <f>IF(Table37[[#This Row],['#Survival based on Inventory]]=0,Table37['#Survival based on Last Year Estimate],Table37['#Survival based on Inventory])</f>
        <v>0</v>
      </c>
      <c r="S63" s="16">
        <f>Table11[[#This Row],['#Planted]]*Table11[[#This Row],[USA Allocation %]]*Table11[[#This Row],[2024 Inventory Survival%-master]]</f>
        <v>0</v>
      </c>
      <c r="T63" s="16">
        <f>Table11[[#This Row],['#Planted]]*Table11[[#This Row],[USA Allocation %]]*Table11[[#This Row],[2024 Estimated Survival%]]</f>
        <v>0</v>
      </c>
      <c r="U63">
        <f>Table11[[#This Row],[ETP Year]]</f>
        <v>2016</v>
      </c>
      <c r="V63">
        <f>Table11[[#This Row],[Planting Year]]</f>
        <v>2018</v>
      </c>
      <c r="W63" s="8">
        <f>Table11[[#This Row],[Survival% as of 12/31/23]]</f>
        <v>0</v>
      </c>
      <c r="X63" s="7">
        <f>Table11[[#This Row],[ETP'#s]]</f>
        <v>1</v>
      </c>
    </row>
    <row r="64" spans="1:24" x14ac:dyDescent="0.25">
      <c r="A64">
        <f>Table11[[#This Row],[Farmer'#]]</f>
        <v>20022</v>
      </c>
      <c r="B64" t="str">
        <f>Table11[[#This Row],[Representative]]</f>
        <v>Carlos Hernandez</v>
      </c>
      <c r="C64" t="str">
        <f>Table11[[#This Row],[Contract Name]]</f>
        <v>Carlos Hernandez</v>
      </c>
      <c r="D64" t="str">
        <f>Table11[[#This Row],[Status]]</f>
        <v>Out of Program</v>
      </c>
      <c r="E64" t="str">
        <f>Table11[[#This Row],[Contract Code]]</f>
        <v>CR0023</v>
      </c>
      <c r="F64" s="16">
        <f>Table11[[#This Row],['#TreesContract]]</f>
        <v>750</v>
      </c>
      <c r="G64" s="16">
        <f>Table11[[#This Row],['#Planted]]</f>
        <v>750</v>
      </c>
      <c r="H64" s="16">
        <f>Table11[[#This Row],['#TreesContract]]*Table11[[#This Row],[USA Allocation %]]</f>
        <v>85</v>
      </c>
      <c r="I64" s="16">
        <f>Table11[[#This Row],['#Planted]]*Table11[[#This Row],[USA Allocation %]]</f>
        <v>85</v>
      </c>
      <c r="J64" s="16">
        <f>Table11[[#This Row],[Contract Amendment]]*Table11[[#This Row],[USA Allocation %]]</f>
        <v>0</v>
      </c>
      <c r="K64" s="16">
        <f>Table11[[#This Row],['#Trees as of 12/31/23]]*Table11[[#This Row],[USA Allocation %]]</f>
        <v>0</v>
      </c>
      <c r="L64" s="16">
        <f>Table11[[#This Row],['#Replace 24]]*Table11[[#This Row],[USA Allocation %]]</f>
        <v>0</v>
      </c>
      <c r="M64" s="16">
        <f>IF(Table11[[#This Row],[Planting Year]]=2024,Table11['#Planted],0)</f>
        <v>0</v>
      </c>
      <c r="N64" s="16">
        <f>(Table11[[#This Row],[2024 '#Trees Inventory + Estimate]]*Table11[[#This Row],[USA Allocation %]])-SUM(Table37[[#This Row],['# Trees as of 12/31/23]:[New Trees/Planted in 2024]])</f>
        <v>0</v>
      </c>
      <c r="O64" s="16">
        <f>SUM(Table37[[#This Row],['# Trees as of 12/31/23]:[2024 Tree Losses]])</f>
        <v>0</v>
      </c>
      <c r="P64" s="16">
        <f>SUM(Table37[[#This Row],[Total Trees as of 12/31/24]]-Table37[[#This Row],['# Trees as of 12/31/23]])</f>
        <v>0</v>
      </c>
      <c r="Q64" s="16">
        <f>Table11[[#This Row],['#Total Replacements]]*Table11[[#This Row],[USA Allocation %]]</f>
        <v>5.6666666666666661</v>
      </c>
      <c r="R64" s="16">
        <f>IF(Table37[[#This Row],['#Survival based on Inventory]]=0,Table37['#Survival based on Last Year Estimate],Table37['#Survival based on Inventory])</f>
        <v>0</v>
      </c>
      <c r="S64" s="16">
        <f>Table11[[#This Row],['#Planted]]*Table11[[#This Row],[USA Allocation %]]*Table11[[#This Row],[2024 Inventory Survival%-master]]</f>
        <v>0</v>
      </c>
      <c r="T64" s="16">
        <f>Table11[[#This Row],['#Planted]]*Table11[[#This Row],[USA Allocation %]]*Table11[[#This Row],[2024 Estimated Survival%]]</f>
        <v>0</v>
      </c>
      <c r="U64">
        <f>Table11[[#This Row],[ETP Year]]</f>
        <v>2016</v>
      </c>
      <c r="V64">
        <f>Table11[[#This Row],[Planting Year]]</f>
        <v>2018</v>
      </c>
      <c r="W64" s="8">
        <f>Table11[[#This Row],[Survival% as of 12/31/23]]</f>
        <v>0</v>
      </c>
      <c r="X64" s="7">
        <f>Table11[[#This Row],[ETP'#s]]</f>
        <v>1</v>
      </c>
    </row>
    <row r="65" spans="1:24" x14ac:dyDescent="0.25">
      <c r="A65">
        <f>Table11[[#This Row],[Farmer'#]]</f>
        <v>20023</v>
      </c>
      <c r="B65" t="str">
        <f>Table11[[#This Row],[Representative]]</f>
        <v>Carlos Montero</v>
      </c>
      <c r="C65" t="str">
        <f>Table11[[#This Row],[Contract Name]]</f>
        <v>Carlos Montero</v>
      </c>
      <c r="D65" t="str">
        <f>Table11[[#This Row],[Status]]</f>
        <v>Out of Program</v>
      </c>
      <c r="E65" t="str">
        <f>Table11[[#This Row],[Contract Code]]</f>
        <v>CR0024</v>
      </c>
      <c r="F65" s="16">
        <f>Table11[[#This Row],['#TreesContract]]</f>
        <v>2500</v>
      </c>
      <c r="G65" s="16">
        <f>Table11[[#This Row],['#Planted]]</f>
        <v>2500</v>
      </c>
      <c r="H65" s="16">
        <f>Table11[[#This Row],['#TreesContract]]*Table11[[#This Row],[USA Allocation %]]</f>
        <v>283</v>
      </c>
      <c r="I65" s="16">
        <f>Table11[[#This Row],['#Planted]]*Table11[[#This Row],[USA Allocation %]]</f>
        <v>283</v>
      </c>
      <c r="J65" s="16">
        <f>Table11[[#This Row],[Contract Amendment]]*Table11[[#This Row],[USA Allocation %]]</f>
        <v>0</v>
      </c>
      <c r="K65" s="16">
        <f>Table11[[#This Row],['#Trees as of 12/31/23]]*Table11[[#This Row],[USA Allocation %]]</f>
        <v>0</v>
      </c>
      <c r="L65" s="16">
        <f>Table11[[#This Row],['#Replace 24]]*Table11[[#This Row],[USA Allocation %]]</f>
        <v>0</v>
      </c>
      <c r="M65" s="16">
        <f>IF(Table11[[#This Row],[Planting Year]]=2024,Table11['#Planted],0)</f>
        <v>0</v>
      </c>
      <c r="N65" s="16">
        <f>(Table11[[#This Row],[2024 '#Trees Inventory + Estimate]]*Table11[[#This Row],[USA Allocation %]])-SUM(Table37[[#This Row],['# Trees as of 12/31/23]:[New Trees/Planted in 2024]])</f>
        <v>0</v>
      </c>
      <c r="O65" s="16">
        <f>SUM(Table37[[#This Row],['# Trees as of 12/31/23]:[2024 Tree Losses]])</f>
        <v>0</v>
      </c>
      <c r="P65" s="16">
        <f>SUM(Table37[[#This Row],[Total Trees as of 12/31/24]]-Table37[[#This Row],['# Trees as of 12/31/23]])</f>
        <v>0</v>
      </c>
      <c r="Q65" s="16">
        <f>Table11[[#This Row],['#Total Replacements]]*Table11[[#This Row],[USA Allocation %]]</f>
        <v>0</v>
      </c>
      <c r="R65" s="16">
        <f>IF(Table37[[#This Row],['#Survival based on Inventory]]=0,Table37['#Survival based on Last Year Estimate],Table37['#Survival based on Inventory])</f>
        <v>0</v>
      </c>
      <c r="S65" s="16">
        <f>Table11[[#This Row],['#Planted]]*Table11[[#This Row],[USA Allocation %]]*Table11[[#This Row],[2024 Inventory Survival%-master]]</f>
        <v>0</v>
      </c>
      <c r="T65" s="16">
        <f>Table11[[#This Row],['#Planted]]*Table11[[#This Row],[USA Allocation %]]*Table11[[#This Row],[2024 Estimated Survival%]]</f>
        <v>0</v>
      </c>
      <c r="U65">
        <f>Table11[[#This Row],[ETP Year]]</f>
        <v>2016</v>
      </c>
      <c r="V65">
        <f>Table11[[#This Row],[Planting Year]]</f>
        <v>2018</v>
      </c>
      <c r="W65" s="8">
        <f>Table11[[#This Row],[Survival% as of 12/31/23]]</f>
        <v>0</v>
      </c>
      <c r="X65" s="7">
        <f>Table11[[#This Row],[ETP'#s]]</f>
        <v>1</v>
      </c>
    </row>
    <row r="66" spans="1:24" x14ac:dyDescent="0.25">
      <c r="A66">
        <f>Table11[[#This Row],[Farmer'#]]</f>
        <v>20024</v>
      </c>
      <c r="B66" t="str">
        <f>Table11[[#This Row],[Representative]]</f>
        <v>Eduardo Gurdian</v>
      </c>
      <c r="C66" t="str">
        <f>Table11[[#This Row],[Contract Name]]</f>
        <v>Eduardo Gurdian</v>
      </c>
      <c r="D66" t="str">
        <f>Table11[[#This Row],[Status]]</f>
        <v>Out of Program</v>
      </c>
      <c r="E66" t="str">
        <f>Table11[[#This Row],[Contract Code]]</f>
        <v>CR0027</v>
      </c>
      <c r="F66" s="16">
        <f>Table11[[#This Row],['#TreesContract]]</f>
        <v>500</v>
      </c>
      <c r="G66" s="16">
        <f>Table11[[#This Row],['#Planted]]</f>
        <v>500</v>
      </c>
      <c r="H66" s="16">
        <f>Table11[[#This Row],['#TreesContract]]*Table11[[#This Row],[USA Allocation %]]</f>
        <v>57</v>
      </c>
      <c r="I66" s="16">
        <f>Table11[[#This Row],['#Planted]]*Table11[[#This Row],[USA Allocation %]]</f>
        <v>57</v>
      </c>
      <c r="J66" s="16">
        <f>Table11[[#This Row],[Contract Amendment]]*Table11[[#This Row],[USA Allocation %]]</f>
        <v>0</v>
      </c>
      <c r="K66" s="16">
        <f>Table11[[#This Row],['#Trees as of 12/31/23]]*Table11[[#This Row],[USA Allocation %]]</f>
        <v>0</v>
      </c>
      <c r="L66" s="16">
        <f>Table11[[#This Row],['#Replace 24]]*Table11[[#This Row],[USA Allocation %]]</f>
        <v>0</v>
      </c>
      <c r="M66" s="16">
        <f>IF(Table11[[#This Row],[Planting Year]]=2024,Table11['#Planted],0)</f>
        <v>0</v>
      </c>
      <c r="N66" s="16">
        <f>(Table11[[#This Row],[2024 '#Trees Inventory + Estimate]]*Table11[[#This Row],[USA Allocation %]])-SUM(Table37[[#This Row],['# Trees as of 12/31/23]:[New Trees/Planted in 2024]])</f>
        <v>0</v>
      </c>
      <c r="O66" s="16">
        <f>SUM(Table37[[#This Row],['# Trees as of 12/31/23]:[2024 Tree Losses]])</f>
        <v>0</v>
      </c>
      <c r="P66" s="16">
        <f>SUM(Table37[[#This Row],[Total Trees as of 12/31/24]]-Table37[[#This Row],['# Trees as of 12/31/23]])</f>
        <v>0</v>
      </c>
      <c r="Q66" s="16">
        <f>Table11[[#This Row],['#Total Replacements]]*Table11[[#This Row],[USA Allocation %]]</f>
        <v>0</v>
      </c>
      <c r="R66" s="16">
        <f>IF(Table37[[#This Row],['#Survival based on Inventory]]=0,Table37['#Survival based on Last Year Estimate],Table37['#Survival based on Inventory])</f>
        <v>0</v>
      </c>
      <c r="S66" s="16">
        <f>Table11[[#This Row],['#Planted]]*Table11[[#This Row],[USA Allocation %]]*Table11[[#This Row],[2024 Inventory Survival%-master]]</f>
        <v>0</v>
      </c>
      <c r="T66" s="16">
        <f>Table11[[#This Row],['#Planted]]*Table11[[#This Row],[USA Allocation %]]*Table11[[#This Row],[2024 Estimated Survival%]]</f>
        <v>0</v>
      </c>
      <c r="U66">
        <f>Table11[[#This Row],[ETP Year]]</f>
        <v>2016</v>
      </c>
      <c r="V66">
        <f>Table11[[#This Row],[Planting Year]]</f>
        <v>2018</v>
      </c>
      <c r="W66" s="8">
        <f>Table11[[#This Row],[Survival% as of 12/31/23]]</f>
        <v>0</v>
      </c>
      <c r="X66" s="7">
        <f>Table11[[#This Row],[ETP'#s]]</f>
        <v>1</v>
      </c>
    </row>
    <row r="67" spans="1:24" x14ac:dyDescent="0.25">
      <c r="A67">
        <f>Table11[[#This Row],[Farmer'#]]</f>
        <v>20025</v>
      </c>
      <c r="B67" t="str">
        <f>Table11[[#This Row],[Representative]]</f>
        <v>Edgardo Matamoros</v>
      </c>
      <c r="C67" t="str">
        <f>Table11[[#This Row],[Contract Name]]</f>
        <v>Juan Manuel Sanchez</v>
      </c>
      <c r="D67" t="str">
        <f>Table11[[#This Row],[Status]]</f>
        <v>Active</v>
      </c>
      <c r="E67" t="str">
        <f>Table11[[#This Row],[Contract Code]]</f>
        <v>CR0028</v>
      </c>
      <c r="F67" s="16">
        <f>Table11[[#This Row],['#TreesContract]]</f>
        <v>2000</v>
      </c>
      <c r="G67" s="16">
        <f>Table11[[#This Row],['#Planted]]</f>
        <v>2000</v>
      </c>
      <c r="H67" s="16">
        <f>Table11[[#This Row],['#TreesContract]]*Table11[[#This Row],[USA Allocation %]]</f>
        <v>226</v>
      </c>
      <c r="I67" s="16">
        <f>Table11[[#This Row],['#Planted]]*Table11[[#This Row],[USA Allocation %]]</f>
        <v>226</v>
      </c>
      <c r="J67" s="16">
        <f>Table11[[#This Row],[Contract Amendment]]*Table11[[#This Row],[USA Allocation %]]</f>
        <v>0</v>
      </c>
      <c r="K67" s="16">
        <f>Table11[[#This Row],['#Trees as of 12/31/23]]*Table11[[#This Row],[USA Allocation %]]</f>
        <v>126.56</v>
      </c>
      <c r="L67" s="16">
        <f>Table11[[#This Row],['#Replace 24]]*Table11[[#This Row],[USA Allocation %]]</f>
        <v>0</v>
      </c>
      <c r="M67" s="16">
        <f>IF(Table11[[#This Row],[Planting Year]]=2024,Table11['#Planted],0)</f>
        <v>0</v>
      </c>
      <c r="N67" s="16">
        <f>(Table11[[#This Row],[2024 '#Trees Inventory + Estimate]]*Table11[[#This Row],[USA Allocation %]])-SUM(Table37[[#This Row],['# Trees as of 12/31/23]:[New Trees/Planted in 2024]])</f>
        <v>0</v>
      </c>
      <c r="O67" s="16">
        <f>SUM(Table37[[#This Row],['# Trees as of 12/31/23]:[2024 Tree Losses]])</f>
        <v>126.56</v>
      </c>
      <c r="P67" s="16">
        <f>SUM(Table37[[#This Row],[Total Trees as of 12/31/24]]-Table37[[#This Row],['# Trees as of 12/31/23]])</f>
        <v>0</v>
      </c>
      <c r="Q67" s="16">
        <f>Table11[[#This Row],['#Total Replacements]]*Table11[[#This Row],[USA Allocation %]]</f>
        <v>192.1</v>
      </c>
      <c r="R67" s="16">
        <f>IF(Table37[[#This Row],['#Survival based on Inventory]]=0,Table37['#Survival based on Last Year Estimate],Table37['#Survival based on Inventory])</f>
        <v>126.56000000000002</v>
      </c>
      <c r="S67" s="16">
        <f>Table11[[#This Row],['#Planted]]*Table11[[#This Row],[USA Allocation %]]*Table11[[#This Row],[2024 Inventory Survival%-master]]</f>
        <v>0</v>
      </c>
      <c r="T67" s="16">
        <f>Table11[[#This Row],['#Planted]]*Table11[[#This Row],[USA Allocation %]]*Table11[[#This Row],[2024 Estimated Survival%]]</f>
        <v>126.56000000000002</v>
      </c>
      <c r="U67">
        <f>Table11[[#This Row],[ETP Year]]</f>
        <v>2016</v>
      </c>
      <c r="V67">
        <f>Table11[[#This Row],[Planting Year]]</f>
        <v>2018</v>
      </c>
      <c r="W67" s="8">
        <f>Table11[[#This Row],[Survival% as of 12/31/23]]</f>
        <v>0.56000000000000005</v>
      </c>
      <c r="X67" s="7">
        <f>Table11[[#This Row],[ETP'#s]]</f>
        <v>1</v>
      </c>
    </row>
    <row r="68" spans="1:24" x14ac:dyDescent="0.25">
      <c r="A68">
        <f>Table11[[#This Row],[Farmer'#]]</f>
        <v>20026</v>
      </c>
      <c r="B68" t="str">
        <f>Table11[[#This Row],[Representative]]</f>
        <v>María Julia Ramirez</v>
      </c>
      <c r="C68" t="str">
        <f>Table11[[#This Row],[Contract Name]]</f>
        <v>María Julia Ramirez</v>
      </c>
      <c r="D68" t="str">
        <f>Table11[[#This Row],[Status]]</f>
        <v>Active</v>
      </c>
      <c r="E68" t="str">
        <f>Table11[[#This Row],[Contract Code]]</f>
        <v>CR0029</v>
      </c>
      <c r="F68" s="16">
        <f>Table11[[#This Row],['#TreesContract]]</f>
        <v>500</v>
      </c>
      <c r="G68" s="16">
        <f>Table11[[#This Row],['#Planted]]</f>
        <v>500</v>
      </c>
      <c r="H68" s="16">
        <f>Table11[[#This Row],['#TreesContract]]*Table11[[#This Row],[USA Allocation %]]</f>
        <v>57</v>
      </c>
      <c r="I68" s="16">
        <f>Table11[[#This Row],['#Planted]]*Table11[[#This Row],[USA Allocation %]]</f>
        <v>57</v>
      </c>
      <c r="J68" s="16">
        <f>Table11[[#This Row],[Contract Amendment]]*Table11[[#This Row],[USA Allocation %]]</f>
        <v>0</v>
      </c>
      <c r="K68" s="16">
        <f>Table11[[#This Row],['#Trees as of 12/31/23]]*Table11[[#This Row],[USA Allocation %]]</f>
        <v>34.200000000000003</v>
      </c>
      <c r="L68" s="16">
        <f>Table11[[#This Row],['#Replace 24]]*Table11[[#This Row],[USA Allocation %]]</f>
        <v>0</v>
      </c>
      <c r="M68" s="16">
        <f>IF(Table11[[#This Row],[Planting Year]]=2024,Table11['#Planted],0)</f>
        <v>0</v>
      </c>
      <c r="N68" s="16">
        <f>(Table11[[#This Row],[2024 '#Trees Inventory + Estimate]]*Table11[[#This Row],[USA Allocation %]])-SUM(Table37[[#This Row],['# Trees as of 12/31/23]:[New Trees/Planted in 2024]])</f>
        <v>0</v>
      </c>
      <c r="O68" s="16">
        <f>SUM(Table37[[#This Row],['# Trees as of 12/31/23]:[2024 Tree Losses]])</f>
        <v>34.200000000000003</v>
      </c>
      <c r="P68" s="16">
        <f>SUM(Table37[[#This Row],[Total Trees as of 12/31/24]]-Table37[[#This Row],['# Trees as of 12/31/23]])</f>
        <v>0</v>
      </c>
      <c r="Q68" s="16">
        <f>Table11[[#This Row],['#Total Replacements]]*Table11[[#This Row],[USA Allocation %]]</f>
        <v>45.6</v>
      </c>
      <c r="R68" s="16">
        <f>IF(Table37[[#This Row],['#Survival based on Inventory]]=0,Table37['#Survival based on Last Year Estimate],Table37['#Survival based on Inventory])</f>
        <v>34.199999999999996</v>
      </c>
      <c r="S68" s="16">
        <f>Table11[[#This Row],['#Planted]]*Table11[[#This Row],[USA Allocation %]]*Table11[[#This Row],[2024 Inventory Survival%-master]]</f>
        <v>0</v>
      </c>
      <c r="T68" s="16">
        <f>Table11[[#This Row],['#Planted]]*Table11[[#This Row],[USA Allocation %]]*Table11[[#This Row],[2024 Estimated Survival%]]</f>
        <v>34.199999999999996</v>
      </c>
      <c r="U68">
        <f>Table11[[#This Row],[ETP Year]]</f>
        <v>2016</v>
      </c>
      <c r="V68">
        <f>Table11[[#This Row],[Planting Year]]</f>
        <v>2018</v>
      </c>
      <c r="W68" s="8">
        <f>Table11[[#This Row],[Survival% as of 12/31/23]]</f>
        <v>0.6</v>
      </c>
      <c r="X68" s="7">
        <f>Table11[[#This Row],[ETP'#s]]</f>
        <v>1</v>
      </c>
    </row>
    <row r="69" spans="1:24" x14ac:dyDescent="0.25">
      <c r="A69">
        <f>Table11[[#This Row],[Farmer'#]]</f>
        <v>20027</v>
      </c>
      <c r="B69" t="str">
        <f>Table11[[#This Row],[Representative]]</f>
        <v>Mayela Quesada</v>
      </c>
      <c r="C69" t="str">
        <f>Table11[[#This Row],[Contract Name]]</f>
        <v>Mayela Quesada</v>
      </c>
      <c r="D69" t="str">
        <f>Table11[[#This Row],[Status]]</f>
        <v>Active</v>
      </c>
      <c r="E69" t="str">
        <f>Table11[[#This Row],[Contract Code]]</f>
        <v>CR0030</v>
      </c>
      <c r="F69" s="16">
        <f>Table11[[#This Row],['#TreesContract]]</f>
        <v>1000</v>
      </c>
      <c r="G69" s="16">
        <f>Table11[[#This Row],['#Planted]]</f>
        <v>1000</v>
      </c>
      <c r="H69" s="16">
        <f>Table11[[#This Row],['#TreesContract]]*Table11[[#This Row],[USA Allocation %]]</f>
        <v>113</v>
      </c>
      <c r="I69" s="16">
        <f>Table11[[#This Row],['#Planted]]*Table11[[#This Row],[USA Allocation %]]</f>
        <v>113</v>
      </c>
      <c r="J69" s="16">
        <f>Table11[[#This Row],[Contract Amendment]]*Table11[[#This Row],[USA Allocation %]]</f>
        <v>0</v>
      </c>
      <c r="K69" s="16">
        <f>Table11[[#This Row],['#Trees as of 12/31/23]]*Table11[[#This Row],[USA Allocation %]]</f>
        <v>67.8</v>
      </c>
      <c r="L69" s="16">
        <f>Table11[[#This Row],['#Replace 24]]*Table11[[#This Row],[USA Allocation %]]</f>
        <v>0</v>
      </c>
      <c r="M69" s="16">
        <f>IF(Table11[[#This Row],[Planting Year]]=2024,Table11['#Planted],0)</f>
        <v>0</v>
      </c>
      <c r="N69" s="16">
        <f>(Table11[[#This Row],[2024 '#Trees Inventory + Estimate]]*Table11[[#This Row],[USA Allocation %]])-SUM(Table37[[#This Row],['# Trees as of 12/31/23]:[New Trees/Planted in 2024]])</f>
        <v>0</v>
      </c>
      <c r="O69" s="16">
        <f>SUM(Table37[[#This Row],['# Trees as of 12/31/23]:[2024 Tree Losses]])</f>
        <v>67.8</v>
      </c>
      <c r="P69" s="16">
        <f>SUM(Table37[[#This Row],[Total Trees as of 12/31/24]]-Table37[[#This Row],['# Trees as of 12/31/23]])</f>
        <v>0</v>
      </c>
      <c r="Q69" s="16">
        <f>Table11[[#This Row],['#Total Replacements]]*Table11[[#This Row],[USA Allocation %]]</f>
        <v>106.22</v>
      </c>
      <c r="R69" s="16">
        <f>IF(Table37[[#This Row],['#Survival based on Inventory]]=0,Table37['#Survival based on Last Year Estimate],Table37['#Survival based on Inventory])</f>
        <v>67.8</v>
      </c>
      <c r="S69" s="16">
        <f>Table11[[#This Row],['#Planted]]*Table11[[#This Row],[USA Allocation %]]*Table11[[#This Row],[2024 Inventory Survival%-master]]</f>
        <v>0</v>
      </c>
      <c r="T69" s="16">
        <f>Table11[[#This Row],['#Planted]]*Table11[[#This Row],[USA Allocation %]]*Table11[[#This Row],[2024 Estimated Survival%]]</f>
        <v>67.8</v>
      </c>
      <c r="U69">
        <f>Table11[[#This Row],[ETP Year]]</f>
        <v>2016</v>
      </c>
      <c r="V69">
        <f>Table11[[#This Row],[Planting Year]]</f>
        <v>2018</v>
      </c>
      <c r="W69" s="8">
        <f>Table11[[#This Row],[Survival% as of 12/31/23]]</f>
        <v>0.6</v>
      </c>
      <c r="X69" s="7">
        <f>Table11[[#This Row],[ETP'#s]]</f>
        <v>1</v>
      </c>
    </row>
    <row r="70" spans="1:24" x14ac:dyDescent="0.25">
      <c r="A70">
        <f>Table11[[#This Row],[Farmer'#]]</f>
        <v>20028</v>
      </c>
      <c r="B70" t="str">
        <f>Table11[[#This Row],[Representative]]</f>
        <v>Rene Ceciliano</v>
      </c>
      <c r="C70" t="str">
        <f>Table11[[#This Row],[Contract Name]]</f>
        <v>Inversiones Los Alpinos S.A</v>
      </c>
      <c r="D70" t="str">
        <f>Table11[[#This Row],[Status]]</f>
        <v>Out of Program</v>
      </c>
      <c r="E70" t="str">
        <f>Table11[[#This Row],[Contract Code]]</f>
        <v>CR0032</v>
      </c>
      <c r="F70" s="16">
        <f>Table11[[#This Row],['#TreesContract]]</f>
        <v>1000</v>
      </c>
      <c r="G70" s="16">
        <f>Table11[[#This Row],['#Planted]]</f>
        <v>1000</v>
      </c>
      <c r="H70" s="16">
        <f>Table11[[#This Row],['#TreesContract]]*Table11[[#This Row],[USA Allocation %]]</f>
        <v>113</v>
      </c>
      <c r="I70" s="16">
        <f>Table11[[#This Row],['#Planted]]*Table11[[#This Row],[USA Allocation %]]</f>
        <v>113</v>
      </c>
      <c r="J70" s="16">
        <f>Table11[[#This Row],[Contract Amendment]]*Table11[[#This Row],[USA Allocation %]]</f>
        <v>0</v>
      </c>
      <c r="K70" s="16">
        <f>Table11[[#This Row],['#Trees as of 12/31/23]]*Table11[[#This Row],[USA Allocation %]]</f>
        <v>0</v>
      </c>
      <c r="L70" s="16">
        <f>Table11[[#This Row],['#Replace 24]]*Table11[[#This Row],[USA Allocation %]]</f>
        <v>0</v>
      </c>
      <c r="M70" s="16">
        <f>IF(Table11[[#This Row],[Planting Year]]=2024,Table11['#Planted],0)</f>
        <v>0</v>
      </c>
      <c r="N70" s="16">
        <f>(Table11[[#This Row],[2024 '#Trees Inventory + Estimate]]*Table11[[#This Row],[USA Allocation %]])-SUM(Table37[[#This Row],['# Trees as of 12/31/23]:[New Trees/Planted in 2024]])</f>
        <v>0</v>
      </c>
      <c r="O70" s="16">
        <f>SUM(Table37[[#This Row],['# Trees as of 12/31/23]:[2024 Tree Losses]])</f>
        <v>0</v>
      </c>
      <c r="P70" s="16">
        <f>SUM(Table37[[#This Row],[Total Trees as of 12/31/24]]-Table37[[#This Row],['# Trees as of 12/31/23]])</f>
        <v>0</v>
      </c>
      <c r="Q70" s="16">
        <f>Table11[[#This Row],['#Total Replacements]]*Table11[[#This Row],[USA Allocation %]]</f>
        <v>56.5</v>
      </c>
      <c r="R70" s="16">
        <f>IF(Table37[[#This Row],['#Survival based on Inventory]]=0,Table37['#Survival based on Last Year Estimate],Table37['#Survival based on Inventory])</f>
        <v>0</v>
      </c>
      <c r="S70" s="16">
        <f>Table11[[#This Row],['#Planted]]*Table11[[#This Row],[USA Allocation %]]*Table11[[#This Row],[2024 Inventory Survival%-master]]</f>
        <v>0</v>
      </c>
      <c r="T70" s="16">
        <f>Table11[[#This Row],['#Planted]]*Table11[[#This Row],[USA Allocation %]]*Table11[[#This Row],[2024 Estimated Survival%]]</f>
        <v>0</v>
      </c>
      <c r="U70">
        <f>Table11[[#This Row],[ETP Year]]</f>
        <v>2016</v>
      </c>
      <c r="V70">
        <f>Table11[[#This Row],[Planting Year]]</f>
        <v>2018</v>
      </c>
      <c r="W70" s="8">
        <f>Table11[[#This Row],[Survival% as of 12/31/23]]</f>
        <v>0</v>
      </c>
      <c r="X70" s="7">
        <f>Table11[[#This Row],[ETP'#s]]</f>
        <v>1</v>
      </c>
    </row>
    <row r="71" spans="1:24" x14ac:dyDescent="0.25">
      <c r="A71">
        <f>Table11[[#This Row],[Farmer'#]]</f>
        <v>20029</v>
      </c>
      <c r="B71" t="str">
        <f>Table11[[#This Row],[Representative]]</f>
        <v>Ricardo Simpson</v>
      </c>
      <c r="C71" t="str">
        <f>Table11[[#This Row],[Contract Name]]</f>
        <v>Ricardo Simpson</v>
      </c>
      <c r="D71" t="str">
        <f>Table11[[#This Row],[Status]]</f>
        <v>Out of Program</v>
      </c>
      <c r="E71" t="str">
        <f>Table11[[#This Row],[Contract Code]]</f>
        <v>CR0033</v>
      </c>
      <c r="F71" s="16">
        <f>Table11[[#This Row],['#TreesContract]]</f>
        <v>1100</v>
      </c>
      <c r="G71" s="16">
        <f>Table11[[#This Row],['#Planted]]</f>
        <v>1100</v>
      </c>
      <c r="H71" s="16">
        <f>Table11[[#This Row],['#TreesContract]]*Table11[[#This Row],[USA Allocation %]]</f>
        <v>124</v>
      </c>
      <c r="I71" s="16">
        <f>Table11[[#This Row],['#Planted]]*Table11[[#This Row],[USA Allocation %]]</f>
        <v>124</v>
      </c>
      <c r="J71" s="16">
        <f>Table11[[#This Row],[Contract Amendment]]*Table11[[#This Row],[USA Allocation %]]</f>
        <v>0</v>
      </c>
      <c r="K71" s="16">
        <f>Table11[[#This Row],['#Trees as of 12/31/23]]*Table11[[#This Row],[USA Allocation %]]</f>
        <v>0</v>
      </c>
      <c r="L71" s="16">
        <f>Table11[[#This Row],['#Replace 24]]*Table11[[#This Row],[USA Allocation %]]</f>
        <v>0</v>
      </c>
      <c r="M71" s="16">
        <f>IF(Table11[[#This Row],[Planting Year]]=2024,Table11['#Planted],0)</f>
        <v>0</v>
      </c>
      <c r="N71" s="16">
        <f>(Table11[[#This Row],[2024 '#Trees Inventory + Estimate]]*Table11[[#This Row],[USA Allocation %]])-SUM(Table37[[#This Row],['# Trees as of 12/31/23]:[New Trees/Planted in 2024]])</f>
        <v>0</v>
      </c>
      <c r="O71" s="16">
        <f>SUM(Table37[[#This Row],['# Trees as of 12/31/23]:[2024 Tree Losses]])</f>
        <v>0</v>
      </c>
      <c r="P71" s="16">
        <f>SUM(Table37[[#This Row],[Total Trees as of 12/31/24]]-Table37[[#This Row],['# Trees as of 12/31/23]])</f>
        <v>0</v>
      </c>
      <c r="Q71" s="16">
        <f>Table11[[#This Row],['#Total Replacements]]*Table11[[#This Row],[USA Allocation %]]</f>
        <v>33.81818181818182</v>
      </c>
      <c r="R71" s="16">
        <f>IF(Table37[[#This Row],['#Survival based on Inventory]]=0,Table37['#Survival based on Last Year Estimate],Table37['#Survival based on Inventory])</f>
        <v>0</v>
      </c>
      <c r="S71" s="16">
        <f>Table11[[#This Row],['#Planted]]*Table11[[#This Row],[USA Allocation %]]*Table11[[#This Row],[2024 Inventory Survival%-master]]</f>
        <v>0</v>
      </c>
      <c r="T71" s="16">
        <f>Table11[[#This Row],['#Planted]]*Table11[[#This Row],[USA Allocation %]]*Table11[[#This Row],[2024 Estimated Survival%]]</f>
        <v>0</v>
      </c>
      <c r="U71">
        <f>Table11[[#This Row],[ETP Year]]</f>
        <v>2016</v>
      </c>
      <c r="V71">
        <f>Table11[[#This Row],[Planting Year]]</f>
        <v>2018</v>
      </c>
      <c r="W71" s="8">
        <f>Table11[[#This Row],[Survival% as of 12/31/23]]</f>
        <v>0</v>
      </c>
      <c r="X71" s="7">
        <f>Table11[[#This Row],[ETP'#s]]</f>
        <v>1</v>
      </c>
    </row>
    <row r="72" spans="1:24" x14ac:dyDescent="0.25">
      <c r="A72">
        <f>Table11[[#This Row],[Farmer'#]]</f>
        <v>20030</v>
      </c>
      <c r="B72" t="str">
        <f>Table11[[#This Row],[Representative]]</f>
        <v>Richard Valverde</v>
      </c>
      <c r="C72" t="str">
        <f>Table11[[#This Row],[Contract Name]]</f>
        <v>Richard Valverde</v>
      </c>
      <c r="D72" t="str">
        <f>Table11[[#This Row],[Status]]</f>
        <v>Out of Program</v>
      </c>
      <c r="E72" t="str">
        <f>Table11[[#This Row],[Contract Code]]</f>
        <v>CR0034</v>
      </c>
      <c r="F72" s="16">
        <f>Table11[[#This Row],['#TreesContract]]</f>
        <v>1100</v>
      </c>
      <c r="G72" s="16">
        <f>Table11[[#This Row],['#Planted]]</f>
        <v>1100</v>
      </c>
      <c r="H72" s="16">
        <f>Table11[[#This Row],['#TreesContract]]*Table11[[#This Row],[USA Allocation %]]</f>
        <v>125</v>
      </c>
      <c r="I72" s="16">
        <f>Table11[[#This Row],['#Planted]]*Table11[[#This Row],[USA Allocation %]]</f>
        <v>125</v>
      </c>
      <c r="J72" s="16">
        <f>Table11[[#This Row],[Contract Amendment]]*Table11[[#This Row],[USA Allocation %]]</f>
        <v>0</v>
      </c>
      <c r="K72" s="16">
        <f>Table11[[#This Row],['#Trees as of 12/31/23]]*Table11[[#This Row],[USA Allocation %]]</f>
        <v>0</v>
      </c>
      <c r="L72" s="16">
        <f>Table11[[#This Row],['#Replace 24]]*Table11[[#This Row],[USA Allocation %]]</f>
        <v>0</v>
      </c>
      <c r="M72" s="16">
        <f>IF(Table11[[#This Row],[Planting Year]]=2024,Table11['#Planted],0)</f>
        <v>0</v>
      </c>
      <c r="N72" s="16">
        <f>(Table11[[#This Row],[2024 '#Trees Inventory + Estimate]]*Table11[[#This Row],[USA Allocation %]])-SUM(Table37[[#This Row],['# Trees as of 12/31/23]:[New Trees/Planted in 2024]])</f>
        <v>0</v>
      </c>
      <c r="O72" s="16">
        <f>SUM(Table37[[#This Row],['# Trees as of 12/31/23]:[2024 Tree Losses]])</f>
        <v>0</v>
      </c>
      <c r="P72" s="16">
        <f>SUM(Table37[[#This Row],[Total Trees as of 12/31/24]]-Table37[[#This Row],['# Trees as of 12/31/23]])</f>
        <v>0</v>
      </c>
      <c r="Q72" s="16">
        <f>Table11[[#This Row],['#Total Replacements]]*Table11[[#This Row],[USA Allocation %]]</f>
        <v>0</v>
      </c>
      <c r="R72" s="16">
        <f>IF(Table37[[#This Row],['#Survival based on Inventory]]=0,Table37['#Survival based on Last Year Estimate],Table37['#Survival based on Inventory])</f>
        <v>0</v>
      </c>
      <c r="S72" s="16">
        <f>Table11[[#This Row],['#Planted]]*Table11[[#This Row],[USA Allocation %]]*Table11[[#This Row],[2024 Inventory Survival%-master]]</f>
        <v>0</v>
      </c>
      <c r="T72" s="16">
        <f>Table11[[#This Row],['#Planted]]*Table11[[#This Row],[USA Allocation %]]*Table11[[#This Row],[2024 Estimated Survival%]]</f>
        <v>0</v>
      </c>
      <c r="U72">
        <f>Table11[[#This Row],[ETP Year]]</f>
        <v>2016</v>
      </c>
      <c r="V72">
        <f>Table11[[#This Row],[Planting Year]]</f>
        <v>2018</v>
      </c>
      <c r="W72" s="8">
        <f>Table11[[#This Row],[Survival% as of 12/31/23]]</f>
        <v>0</v>
      </c>
      <c r="X72" s="7">
        <f>Table11[[#This Row],[ETP'#s]]</f>
        <v>1</v>
      </c>
    </row>
    <row r="73" spans="1:24" x14ac:dyDescent="0.25">
      <c r="A73">
        <f>Table11[[#This Row],[Farmer'#]]</f>
        <v>10021</v>
      </c>
      <c r="B73" t="str">
        <f>Table11[[#This Row],[Representative]]</f>
        <v>Grover Plunkett</v>
      </c>
      <c r="C73" t="str">
        <f>Table11[[#This Row],[Contract Name]]</f>
        <v>Southern Innovative Investments LLC</v>
      </c>
      <c r="D73" t="str">
        <f>Table11[[#This Row],[Status]]</f>
        <v>Active</v>
      </c>
      <c r="E73" t="str">
        <f>Table11[[#This Row],[Contract Code]]</f>
        <v>US0042</v>
      </c>
      <c r="F73" s="16">
        <f>Table11[[#This Row],['#TreesContract]]</f>
        <v>15620</v>
      </c>
      <c r="G73" s="16">
        <f>Table11[[#This Row],['#Planted]]</f>
        <v>15620</v>
      </c>
      <c r="H73" s="16">
        <f>Table11[[#This Row],['#TreesContract]]*Table11[[#This Row],[USA Allocation %]]</f>
        <v>0</v>
      </c>
      <c r="I73" s="16">
        <f>Table11[[#This Row],['#Planted]]*Table11[[#This Row],[USA Allocation %]]</f>
        <v>0</v>
      </c>
      <c r="J73" s="16">
        <f>Table11[[#This Row],[Contract Amendment]]*Table11[[#This Row],[USA Allocation %]]</f>
        <v>0</v>
      </c>
      <c r="K73" s="16">
        <f>Table11[[#This Row],['#Trees as of 12/31/23]]*Table11[[#This Row],[USA Allocation %]]</f>
        <v>0</v>
      </c>
      <c r="L73" s="16">
        <f>Table11[[#This Row],['#Replace 24]]*Table11[[#This Row],[USA Allocation %]]</f>
        <v>0</v>
      </c>
      <c r="M73" s="16">
        <f>IF(Table11[[#This Row],[Planting Year]]=2024,Table11['#Planted],0)</f>
        <v>0</v>
      </c>
      <c r="N73" s="16">
        <f>(Table11[[#This Row],[2024 '#Trees Inventory + Estimate]]*Table11[[#This Row],[USA Allocation %]])-SUM(Table37[[#This Row],['# Trees as of 12/31/23]:[New Trees/Planted in 2024]])</f>
        <v>0</v>
      </c>
      <c r="O73" s="16">
        <f>SUM(Table37[[#This Row],['# Trees as of 12/31/23]:[2024 Tree Losses]])</f>
        <v>0</v>
      </c>
      <c r="P73" s="16">
        <f>SUM(Table37[[#This Row],[Total Trees as of 12/31/24]]-Table37[[#This Row],['# Trees as of 12/31/23]])</f>
        <v>0</v>
      </c>
      <c r="Q73" s="16">
        <f>Table11[[#This Row],['#Total Replacements]]*Table11[[#This Row],[USA Allocation %]]</f>
        <v>0</v>
      </c>
      <c r="R73" s="16">
        <f>IF(Table37[[#This Row],['#Survival based on Inventory]]=0,Table37['#Survival based on Last Year Estimate],Table37['#Survival based on Inventory])</f>
        <v>0</v>
      </c>
      <c r="S73" s="16">
        <f>Table11[[#This Row],['#Planted]]*Table11[[#This Row],[USA Allocation %]]*Table11[[#This Row],[2024 Inventory Survival%-master]]</f>
        <v>0</v>
      </c>
      <c r="T73" s="16">
        <f>Table11[[#This Row],['#Planted]]*Table11[[#This Row],[USA Allocation %]]*Table11[[#This Row],[2024 Estimated Survival%]]</f>
        <v>0</v>
      </c>
      <c r="U73">
        <f>Table11[[#This Row],[ETP Year]]</f>
        <v>2017</v>
      </c>
      <c r="V73">
        <f>Table11[[#This Row],[Planting Year]]</f>
        <v>2019</v>
      </c>
      <c r="W73" s="8">
        <f>Table11[[#This Row],[Survival% as of 12/31/23]]</f>
        <v>0.4152352481607674</v>
      </c>
      <c r="X73" s="7">
        <f>Table11[[#This Row],[ETP'#s]]</f>
        <v>1</v>
      </c>
    </row>
    <row r="74" spans="1:24" x14ac:dyDescent="0.25">
      <c r="A74">
        <f>Table11[[#This Row],[Farmer'#]]</f>
        <v>10029</v>
      </c>
      <c r="B74" t="str">
        <f>Table11[[#This Row],[Representative]]</f>
        <v>Alfie Kelly</v>
      </c>
      <c r="C74" t="str">
        <f>Table11[[#This Row],[Contract Name]]</f>
        <v>Alfie Kelly</v>
      </c>
      <c r="D74" t="str">
        <f>Table11[[#This Row],[Status]]</f>
        <v>Out of Program</v>
      </c>
      <c r="E74" t="str">
        <f>Table11[[#This Row],[Contract Code]]</f>
        <v>US0033</v>
      </c>
      <c r="F74" s="16">
        <f>Table11[[#This Row],['#TreesContract]]</f>
        <v>4400</v>
      </c>
      <c r="G74" s="16">
        <f>Table11[[#This Row],['#Planted]]</f>
        <v>4400</v>
      </c>
      <c r="H74" s="16">
        <f>Table11[[#This Row],['#TreesContract]]*Table11[[#This Row],[USA Allocation %]]</f>
        <v>2816</v>
      </c>
      <c r="I74" s="16">
        <f>Table11[[#This Row],['#Planted]]*Table11[[#This Row],[USA Allocation %]]</f>
        <v>2816</v>
      </c>
      <c r="J74" s="16">
        <f>Table11[[#This Row],[Contract Amendment]]*Table11[[#This Row],[USA Allocation %]]</f>
        <v>0</v>
      </c>
      <c r="K74" s="16">
        <f>Table11[[#This Row],['#Trees as of 12/31/23]]*Table11[[#This Row],[USA Allocation %]]</f>
        <v>0</v>
      </c>
      <c r="L74" s="16">
        <f>Table11[[#This Row],['#Replace 24]]*Table11[[#This Row],[USA Allocation %]]</f>
        <v>0</v>
      </c>
      <c r="M74" s="16">
        <f>IF(Table11[[#This Row],[Planting Year]]=2024,Table11['#Planted],0)</f>
        <v>0</v>
      </c>
      <c r="N74" s="16">
        <f>(Table11[[#This Row],[2024 '#Trees Inventory + Estimate]]*Table11[[#This Row],[USA Allocation %]])-SUM(Table37[[#This Row],['# Trees as of 12/31/23]:[New Trees/Planted in 2024]])</f>
        <v>0</v>
      </c>
      <c r="O74" s="16">
        <f>SUM(Table37[[#This Row],['# Trees as of 12/31/23]:[2024 Tree Losses]])</f>
        <v>0</v>
      </c>
      <c r="P74" s="16">
        <f>SUM(Table37[[#This Row],[Total Trees as of 12/31/24]]-Table37[[#This Row],['# Trees as of 12/31/23]])</f>
        <v>0</v>
      </c>
      <c r="Q74" s="16">
        <f>Table11[[#This Row],['#Total Replacements]]*Table11[[#This Row],[USA Allocation %]]</f>
        <v>1408</v>
      </c>
      <c r="R74" s="16">
        <f>IF(Table37[[#This Row],['#Survival based on Inventory]]=0,Table37['#Survival based on Last Year Estimate],Table37['#Survival based on Inventory])</f>
        <v>0</v>
      </c>
      <c r="S74" s="16">
        <f>Table11[[#This Row],['#Planted]]*Table11[[#This Row],[USA Allocation %]]*Table11[[#This Row],[2024 Inventory Survival%-master]]</f>
        <v>0</v>
      </c>
      <c r="T74" s="16">
        <f>Table11[[#This Row],['#Planted]]*Table11[[#This Row],[USA Allocation %]]*Table11[[#This Row],[2024 Estimated Survival%]]</f>
        <v>0</v>
      </c>
      <c r="U74">
        <f>Table11[[#This Row],[ETP Year]]</f>
        <v>2018</v>
      </c>
      <c r="V74">
        <f>Table11[[#This Row],[Planting Year]]</f>
        <v>2019</v>
      </c>
      <c r="W74" s="8">
        <f>Table11[[#This Row],[Survival% as of 12/31/23]]</f>
        <v>0</v>
      </c>
      <c r="X74" s="7">
        <f>Table11[[#This Row],[ETP'#s]]</f>
        <v>1</v>
      </c>
    </row>
    <row r="75" spans="1:24" x14ac:dyDescent="0.25">
      <c r="A75">
        <f>Table11[[#This Row],[Farmer'#]]</f>
        <v>10030</v>
      </c>
      <c r="B75" t="str">
        <f>Table11[[#This Row],[Representative]]</f>
        <v>Billy Whittaker</v>
      </c>
      <c r="C75" t="str">
        <f>Table11[[#This Row],[Contract Name]]</f>
        <v>Billy Whittaker</v>
      </c>
      <c r="D75" t="str">
        <f>Table11[[#This Row],[Status]]</f>
        <v>Active</v>
      </c>
      <c r="E75" t="str">
        <f>Table11[[#This Row],[Contract Code]]</f>
        <v>US0034</v>
      </c>
      <c r="F75" s="16">
        <f>Table11[[#This Row],['#TreesContract]]</f>
        <v>1100</v>
      </c>
      <c r="G75" s="16">
        <f>Table11[[#This Row],['#Planted]]</f>
        <v>1100</v>
      </c>
      <c r="H75" s="16">
        <f>Table11[[#This Row],['#TreesContract]]*Table11[[#This Row],[USA Allocation %]]</f>
        <v>704</v>
      </c>
      <c r="I75" s="16">
        <f>Table11[[#This Row],['#Planted]]*Table11[[#This Row],[USA Allocation %]]</f>
        <v>704</v>
      </c>
      <c r="J75" s="16">
        <f>Table11[[#This Row],[Contract Amendment]]*Table11[[#This Row],[USA Allocation %]]</f>
        <v>0</v>
      </c>
      <c r="K75" s="16">
        <f>Table11[[#This Row],['#Trees as of 12/31/23]]*Table11[[#This Row],[USA Allocation %]]</f>
        <v>672.35840000000007</v>
      </c>
      <c r="L75" s="16">
        <f>Table11[[#This Row],['#Replace 24]]*Table11[[#This Row],[USA Allocation %]]</f>
        <v>0</v>
      </c>
      <c r="M75" s="16">
        <f>IF(Table11[[#This Row],[Planting Year]]=2024,Table11['#Planted],0)</f>
        <v>0</v>
      </c>
      <c r="N75" s="16">
        <f>(Table11[[#This Row],[2024 '#Trees Inventory + Estimate]]*Table11[[#This Row],[USA Allocation %]])-SUM(Table37[[#This Row],['# Trees as of 12/31/23]:[New Trees/Planted in 2024]])</f>
        <v>0</v>
      </c>
      <c r="O75" s="16">
        <f>SUM(Table37[[#This Row],['# Trees as of 12/31/23]:[2024 Tree Losses]])</f>
        <v>672.35840000000007</v>
      </c>
      <c r="P75" s="16">
        <f>SUM(Table37[[#This Row],[Total Trees as of 12/31/24]]-Table37[[#This Row],['# Trees as of 12/31/23]])</f>
        <v>0</v>
      </c>
      <c r="Q75" s="16">
        <f>Table11[[#This Row],['#Total Replacements]]*Table11[[#This Row],[USA Allocation %]]</f>
        <v>1110.4000000000001</v>
      </c>
      <c r="R75" s="16">
        <f>IF(Table37[[#This Row],['#Survival based on Inventory]]=0,Table37['#Survival based on Last Year Estimate],Table37['#Survival based on Inventory])</f>
        <v>672.35840000000007</v>
      </c>
      <c r="S75" s="16">
        <f>Table11[[#This Row],['#Planted]]*Table11[[#This Row],[USA Allocation %]]*Table11[[#This Row],[2024 Inventory Survival%-master]]</f>
        <v>0</v>
      </c>
      <c r="T75" s="16">
        <f>Table11[[#This Row],['#Planted]]*Table11[[#This Row],[USA Allocation %]]*Table11[[#This Row],[2024 Estimated Survival%]]</f>
        <v>672.35840000000007</v>
      </c>
      <c r="U75">
        <f>Table11[[#This Row],[ETP Year]]</f>
        <v>2018</v>
      </c>
      <c r="V75">
        <f>Table11[[#This Row],[Planting Year]]</f>
        <v>2019</v>
      </c>
      <c r="W75" s="8">
        <f>Table11[[#This Row],[Survival% as of 12/31/23]]</f>
        <v>0.9550545454545456</v>
      </c>
      <c r="X75" s="7">
        <f>Table11[[#This Row],[ETP'#s]]</f>
        <v>1</v>
      </c>
    </row>
    <row r="76" spans="1:24" x14ac:dyDescent="0.25">
      <c r="A76">
        <f>Table11[[#This Row],[Farmer'#]]</f>
        <v>10030</v>
      </c>
      <c r="B76" t="str">
        <f>Table11[[#This Row],[Representative]]</f>
        <v>Billy Whittaker</v>
      </c>
      <c r="C76" t="str">
        <f>Table11[[#This Row],[Contract Name]]</f>
        <v>Billy Whittaker and Joyce P Earnest</v>
      </c>
      <c r="D76" t="str">
        <f>Table11[[#This Row],[Status]]</f>
        <v>Active</v>
      </c>
      <c r="E76" t="str">
        <f>Table11[[#This Row],[Contract Code]]</f>
        <v>US0035</v>
      </c>
      <c r="F76" s="16">
        <f>Table11[[#This Row],['#TreesContract]]</f>
        <v>460</v>
      </c>
      <c r="G76" s="16">
        <f>Table11[[#This Row],['#Planted]]</f>
        <v>460</v>
      </c>
      <c r="H76" s="16">
        <f>Table11[[#This Row],['#TreesContract]]*Table11[[#This Row],[USA Allocation %]]</f>
        <v>294</v>
      </c>
      <c r="I76" s="16">
        <f>Table11[[#This Row],['#Planted]]*Table11[[#This Row],[USA Allocation %]]</f>
        <v>294</v>
      </c>
      <c r="J76" s="16">
        <f>Table11[[#This Row],[Contract Amendment]]*Table11[[#This Row],[USA Allocation %]]</f>
        <v>0</v>
      </c>
      <c r="K76" s="16">
        <f>Table11[[#This Row],['#Trees as of 12/31/23]]*Table11[[#This Row],[USA Allocation %]]</f>
        <v>44.739130434782616</v>
      </c>
      <c r="L76" s="16">
        <f>Table11[[#This Row],['#Replace 24]]*Table11[[#This Row],[USA Allocation %]]</f>
        <v>0</v>
      </c>
      <c r="M76" s="16">
        <f>IF(Table11[[#This Row],[Planting Year]]=2024,Table11['#Planted],0)</f>
        <v>0</v>
      </c>
      <c r="N76" s="16">
        <f>(Table11[[#This Row],[2024 '#Trees Inventory + Estimate]]*Table11[[#This Row],[USA Allocation %]])-SUM(Table37[[#This Row],['# Trees as of 12/31/23]:[New Trees/Planted in 2024]])</f>
        <v>0</v>
      </c>
      <c r="O76" s="16">
        <f>SUM(Table37[[#This Row],['# Trees as of 12/31/23]:[2024 Tree Losses]])</f>
        <v>44.739130434782616</v>
      </c>
      <c r="P76" s="16">
        <f>SUM(Table37[[#This Row],[Total Trees as of 12/31/24]]-Table37[[#This Row],['# Trees as of 12/31/23]])</f>
        <v>0</v>
      </c>
      <c r="Q76" s="16">
        <f>Table11[[#This Row],['#Total Replacements]]*Table11[[#This Row],[USA Allocation %]]</f>
        <v>235.83913043478259</v>
      </c>
      <c r="R76" s="16">
        <f>IF(Table37[[#This Row],['#Survival based on Inventory]]=0,Table37['#Survival based on Last Year Estimate],Table37['#Survival based on Inventory])</f>
        <v>44.739130434782616</v>
      </c>
      <c r="S76" s="16">
        <f>Table11[[#This Row],['#Planted]]*Table11[[#This Row],[USA Allocation %]]*Table11[[#This Row],[2024 Inventory Survival%-master]]</f>
        <v>0</v>
      </c>
      <c r="T76" s="16">
        <f>Table11[[#This Row],['#Planted]]*Table11[[#This Row],[USA Allocation %]]*Table11[[#This Row],[2024 Estimated Survival%]]</f>
        <v>44.739130434782616</v>
      </c>
      <c r="U76">
        <f>Table11[[#This Row],[ETP Year]]</f>
        <v>2018</v>
      </c>
      <c r="V76">
        <f>Table11[[#This Row],[Planting Year]]</f>
        <v>2019</v>
      </c>
      <c r="W76" s="8">
        <f>Table11[[#This Row],[Survival% as of 12/31/23]]</f>
        <v>0.1521739130434783</v>
      </c>
      <c r="X76" s="7">
        <f>Table11[[#This Row],[ETP'#s]]</f>
        <v>1</v>
      </c>
    </row>
    <row r="77" spans="1:24" x14ac:dyDescent="0.25">
      <c r="A77">
        <f>Table11[[#This Row],[Farmer'#]]</f>
        <v>10030</v>
      </c>
      <c r="B77" t="str">
        <f>Table11[[#This Row],[Representative]]</f>
        <v>Billy Whittaker</v>
      </c>
      <c r="C77" t="str">
        <f>Table11[[#This Row],[Contract Name]]</f>
        <v>Two Rivers Timbers LLC</v>
      </c>
      <c r="D77" t="str">
        <f>Table11[[#This Row],[Status]]</f>
        <v>Out of Program</v>
      </c>
      <c r="E77" t="str">
        <f>Table11[[#This Row],[Contract Code]]</f>
        <v>US0036</v>
      </c>
      <c r="F77" s="16">
        <f>Table11[[#This Row],['#TreesContract]]</f>
        <v>1300</v>
      </c>
      <c r="G77" s="16">
        <f>Table11[[#This Row],['#Planted]]</f>
        <v>1300</v>
      </c>
      <c r="H77" s="16">
        <f>Table11[[#This Row],['#TreesContract]]*Table11[[#This Row],[USA Allocation %]]</f>
        <v>832</v>
      </c>
      <c r="I77" s="16">
        <f>Table11[[#This Row],['#Planted]]*Table11[[#This Row],[USA Allocation %]]</f>
        <v>832</v>
      </c>
      <c r="J77" s="16">
        <f>Table11[[#This Row],[Contract Amendment]]*Table11[[#This Row],[USA Allocation %]]</f>
        <v>0</v>
      </c>
      <c r="K77" s="16">
        <f>Table11[[#This Row],['#Trees as of 12/31/23]]*Table11[[#This Row],[USA Allocation %]]</f>
        <v>0</v>
      </c>
      <c r="L77" s="16">
        <f>Table11[[#This Row],['#Replace 24]]*Table11[[#This Row],[USA Allocation %]]</f>
        <v>0</v>
      </c>
      <c r="M77" s="16">
        <f>IF(Table11[[#This Row],[Planting Year]]=2024,Table11['#Planted],0)</f>
        <v>0</v>
      </c>
      <c r="N77" s="16">
        <f>(Table11[[#This Row],[2024 '#Trees Inventory + Estimate]]*Table11[[#This Row],[USA Allocation %]])-SUM(Table37[[#This Row],['# Trees as of 12/31/23]:[New Trees/Planted in 2024]])</f>
        <v>0</v>
      </c>
      <c r="O77" s="16">
        <f>SUM(Table37[[#This Row],['# Trees as of 12/31/23]:[2024 Tree Losses]])</f>
        <v>0</v>
      </c>
      <c r="P77" s="16">
        <f>SUM(Table37[[#This Row],[Total Trees as of 12/31/24]]-Table37[[#This Row],['# Trees as of 12/31/23]])</f>
        <v>0</v>
      </c>
      <c r="Q77" s="16">
        <f>Table11[[#This Row],['#Total Replacements]]*Table11[[#This Row],[USA Allocation %]]</f>
        <v>0</v>
      </c>
      <c r="R77" s="16">
        <f>IF(Table37[[#This Row],['#Survival based on Inventory]]=0,Table37['#Survival based on Last Year Estimate],Table37['#Survival based on Inventory])</f>
        <v>0</v>
      </c>
      <c r="S77" s="16">
        <f>Table11[[#This Row],['#Planted]]*Table11[[#This Row],[USA Allocation %]]*Table11[[#This Row],[2024 Inventory Survival%-master]]</f>
        <v>0</v>
      </c>
      <c r="T77" s="16">
        <f>Table11[[#This Row],['#Planted]]*Table11[[#This Row],[USA Allocation %]]*Table11[[#This Row],[2024 Estimated Survival%]]</f>
        <v>0</v>
      </c>
      <c r="U77">
        <f>Table11[[#This Row],[ETP Year]]</f>
        <v>2018</v>
      </c>
      <c r="V77">
        <f>Table11[[#This Row],[Planting Year]]</f>
        <v>2019</v>
      </c>
      <c r="W77" s="8">
        <f>Table11[[#This Row],[Survival% as of 12/31/23]]</f>
        <v>0</v>
      </c>
      <c r="X77" s="7">
        <f>Table11[[#This Row],[ETP'#s]]</f>
        <v>1</v>
      </c>
    </row>
    <row r="78" spans="1:24" x14ac:dyDescent="0.25">
      <c r="A78">
        <f>Table11[[#This Row],[Farmer'#]]</f>
        <v>10031</v>
      </c>
      <c r="B78" t="str">
        <f>Table11[[#This Row],[Representative]]</f>
        <v>Cheryl Meserole</v>
      </c>
      <c r="C78" t="str">
        <f>Table11[[#This Row],[Contract Name]]</f>
        <v>Cheryl Meserole</v>
      </c>
      <c r="D78" t="str">
        <f>Table11[[#This Row],[Status]]</f>
        <v>Active</v>
      </c>
      <c r="E78" t="str">
        <f>Table11[[#This Row],[Contract Code]]</f>
        <v>US0037</v>
      </c>
      <c r="F78" s="16">
        <f>Table11[[#This Row],['#TreesContract]]</f>
        <v>550</v>
      </c>
      <c r="G78" s="16">
        <f>Table11[[#This Row],['#Planted]]</f>
        <v>550</v>
      </c>
      <c r="H78" s="16">
        <f>Table11[[#This Row],['#TreesContract]]*Table11[[#This Row],[USA Allocation %]]</f>
        <v>352</v>
      </c>
      <c r="I78" s="16">
        <f>Table11[[#This Row],['#Planted]]*Table11[[#This Row],[USA Allocation %]]</f>
        <v>352</v>
      </c>
      <c r="J78" s="16">
        <f>Table11[[#This Row],[Contract Amendment]]*Table11[[#This Row],[USA Allocation %]]</f>
        <v>0</v>
      </c>
      <c r="K78" s="16">
        <f>Table11[[#This Row],['#Trees as of 12/31/23]]*Table11[[#This Row],[USA Allocation %]]</f>
        <v>346.36799999999994</v>
      </c>
      <c r="L78" s="16">
        <f>Table11[[#This Row],['#Replace 24]]*Table11[[#This Row],[USA Allocation %]]</f>
        <v>0</v>
      </c>
      <c r="M78" s="16">
        <f>IF(Table11[[#This Row],[Planting Year]]=2024,Table11['#Planted],0)</f>
        <v>0</v>
      </c>
      <c r="N78" s="16">
        <f>(Table11[[#This Row],[2024 '#Trees Inventory + Estimate]]*Table11[[#This Row],[USA Allocation %]])-SUM(Table37[[#This Row],['# Trees as of 12/31/23]:[New Trees/Planted in 2024]])</f>
        <v>0</v>
      </c>
      <c r="O78" s="16">
        <f>SUM(Table37[[#This Row],['# Trees as of 12/31/23]:[2024 Tree Losses]])</f>
        <v>346.36799999999994</v>
      </c>
      <c r="P78" s="16">
        <f>SUM(Table37[[#This Row],[Total Trees as of 12/31/24]]-Table37[[#This Row],['# Trees as of 12/31/23]])</f>
        <v>0</v>
      </c>
      <c r="Q78" s="16">
        <f>Table11[[#This Row],['#Total Replacements]]*Table11[[#This Row],[USA Allocation %]]</f>
        <v>393.6</v>
      </c>
      <c r="R78" s="16">
        <f>IF(Table37[[#This Row],['#Survival based on Inventory]]=0,Table37['#Survival based on Last Year Estimate],Table37['#Survival based on Inventory])</f>
        <v>346.36799999999994</v>
      </c>
      <c r="S78" s="16">
        <f>Table11[[#This Row],['#Planted]]*Table11[[#This Row],[USA Allocation %]]*Table11[[#This Row],[2024 Inventory Survival%-master]]</f>
        <v>0</v>
      </c>
      <c r="T78" s="16">
        <f>Table11[[#This Row],['#Planted]]*Table11[[#This Row],[USA Allocation %]]*Table11[[#This Row],[2024 Estimated Survival%]]</f>
        <v>346.36799999999994</v>
      </c>
      <c r="U78">
        <f>Table11[[#This Row],[ETP Year]]</f>
        <v>2018</v>
      </c>
      <c r="V78">
        <f>Table11[[#This Row],[Planting Year]]</f>
        <v>2019</v>
      </c>
      <c r="W78" s="8">
        <f>Table11[[#This Row],[Survival% as of 12/31/23]]</f>
        <v>0.98399999999999987</v>
      </c>
      <c r="X78" s="7">
        <f>Table11[[#This Row],[ETP'#s]]</f>
        <v>1</v>
      </c>
    </row>
    <row r="79" spans="1:24" x14ac:dyDescent="0.25">
      <c r="A79">
        <f>Table11[[#This Row],[Farmer'#]]</f>
        <v>10032</v>
      </c>
      <c r="B79" t="str">
        <f>Table11[[#This Row],[Representative]]</f>
        <v>Dan McClure</v>
      </c>
      <c r="C79" t="str">
        <f>Table11[[#This Row],[Contract Name]]</f>
        <v>The Langdon Group WW LLC</v>
      </c>
      <c r="D79" t="str">
        <f>Table11[[#This Row],[Status]]</f>
        <v>Active</v>
      </c>
      <c r="E79" t="str">
        <f>Table11[[#This Row],[Contract Code]]</f>
        <v>US0038</v>
      </c>
      <c r="F79" s="16">
        <f>Table11[[#This Row],['#TreesContract]]</f>
        <v>3400</v>
      </c>
      <c r="G79" s="16">
        <f>Table11[[#This Row],['#Planted]]</f>
        <v>3400</v>
      </c>
      <c r="H79" s="16">
        <f>Table11[[#This Row],['#TreesContract]]*Table11[[#This Row],[USA Allocation %]]</f>
        <v>2176</v>
      </c>
      <c r="I79" s="16">
        <f>Table11[[#This Row],['#Planted]]*Table11[[#This Row],[USA Allocation %]]</f>
        <v>2176</v>
      </c>
      <c r="J79" s="16">
        <f>Table11[[#This Row],[Contract Amendment]]*Table11[[#This Row],[USA Allocation %]]</f>
        <v>0</v>
      </c>
      <c r="K79" s="16">
        <f>Table11[[#This Row],['#Trees as of 12/31/23]]*Table11[[#This Row],[USA Allocation %]]</f>
        <v>1360</v>
      </c>
      <c r="L79" s="16">
        <f>Table11[[#This Row],['#Replace 24]]*Table11[[#This Row],[USA Allocation %]]</f>
        <v>0</v>
      </c>
      <c r="M79" s="16">
        <f>IF(Table11[[#This Row],[Planting Year]]=2024,Table11['#Planted],0)</f>
        <v>0</v>
      </c>
      <c r="N79" s="16">
        <f>(Table11[[#This Row],[2024 '#Trees Inventory + Estimate]]*Table11[[#This Row],[USA Allocation %]])-SUM(Table37[[#This Row],['# Trees as of 12/31/23]:[New Trees/Planted in 2024]])</f>
        <v>0</v>
      </c>
      <c r="O79" s="16">
        <f>SUM(Table37[[#This Row],['# Trees as of 12/31/23]:[2024 Tree Losses]])</f>
        <v>1360</v>
      </c>
      <c r="P79" s="16">
        <f>SUM(Table37[[#This Row],[Total Trees as of 12/31/24]]-Table37[[#This Row],['# Trees as of 12/31/23]])</f>
        <v>0</v>
      </c>
      <c r="Q79" s="16">
        <f>Table11[[#This Row],['#Total Replacements]]*Table11[[#This Row],[USA Allocation %]]</f>
        <v>2286.08</v>
      </c>
      <c r="R79" s="16">
        <f>IF(Table37[[#This Row],['#Survival based on Inventory]]=0,Table37['#Survival based on Last Year Estimate],Table37['#Survival based on Inventory])</f>
        <v>1360</v>
      </c>
      <c r="S79" s="16">
        <f>Table11[[#This Row],['#Planted]]*Table11[[#This Row],[USA Allocation %]]*Table11[[#This Row],[2024 Inventory Survival%-master]]</f>
        <v>0</v>
      </c>
      <c r="T79" s="16">
        <f>Table11[[#This Row],['#Planted]]*Table11[[#This Row],[USA Allocation %]]*Table11[[#This Row],[2024 Estimated Survival%]]</f>
        <v>1360</v>
      </c>
      <c r="U79">
        <f>Table11[[#This Row],[ETP Year]]</f>
        <v>2018</v>
      </c>
      <c r="V79">
        <f>Table11[[#This Row],[Planting Year]]</f>
        <v>2019</v>
      </c>
      <c r="W79" s="8">
        <f>Table11[[#This Row],[Survival% as of 12/31/23]]</f>
        <v>0.625</v>
      </c>
      <c r="X79" s="7">
        <f>Table11[[#This Row],[ETP'#s]]</f>
        <v>1</v>
      </c>
    </row>
    <row r="80" spans="1:24" x14ac:dyDescent="0.25">
      <c r="A80">
        <f>Table11[[#This Row],[Farmer'#]]</f>
        <v>10033</v>
      </c>
      <c r="B80" t="str">
        <f>Table11[[#This Row],[Representative]]</f>
        <v>David Chang</v>
      </c>
      <c r="C80" t="str">
        <f>Table11[[#This Row],[Contract Name]]</f>
        <v>David Chang</v>
      </c>
      <c r="D80" t="str">
        <f>Table11[[#This Row],[Status]]</f>
        <v>Active</v>
      </c>
      <c r="E80" t="str">
        <f>Table11[[#This Row],[Contract Code]]</f>
        <v>US0039</v>
      </c>
      <c r="F80" s="16">
        <f>Table11[[#This Row],['#TreesContract]]</f>
        <v>1100</v>
      </c>
      <c r="G80" s="16">
        <f>Table11[[#This Row],['#Planted]]</f>
        <v>1100</v>
      </c>
      <c r="H80" s="16">
        <f>Table11[[#This Row],['#TreesContract]]*Table11[[#This Row],[USA Allocation %]]</f>
        <v>704</v>
      </c>
      <c r="I80" s="16">
        <f>Table11[[#This Row],['#Planted]]*Table11[[#This Row],[USA Allocation %]]</f>
        <v>704</v>
      </c>
      <c r="J80" s="16">
        <f>Table11[[#This Row],[Contract Amendment]]*Table11[[#This Row],[USA Allocation %]]</f>
        <v>0</v>
      </c>
      <c r="K80" s="16">
        <f>Table11[[#This Row],['#Trees as of 12/31/23]]*Table11[[#This Row],[USA Allocation %]]</f>
        <v>677.20467692307693</v>
      </c>
      <c r="L80" s="16">
        <f>Table11[[#This Row],['#Replace 24]]*Table11[[#This Row],[USA Allocation %]]</f>
        <v>0</v>
      </c>
      <c r="M80" s="16">
        <f>IF(Table11[[#This Row],[Planting Year]]=2024,Table11['#Planted],0)</f>
        <v>0</v>
      </c>
      <c r="N80" s="16">
        <f>(Table11[[#This Row],[2024 '#Trees Inventory + Estimate]]*Table11[[#This Row],[USA Allocation %]])-SUM(Table37[[#This Row],['# Trees as of 12/31/23]:[New Trees/Planted in 2024]])</f>
        <v>0</v>
      </c>
      <c r="O80" s="16">
        <f>SUM(Table37[[#This Row],['# Trees as of 12/31/23]:[2024 Tree Losses]])</f>
        <v>677.20467692307693</v>
      </c>
      <c r="P80" s="16">
        <f>SUM(Table37[[#This Row],[Total Trees as of 12/31/24]]-Table37[[#This Row],['# Trees as of 12/31/23]])</f>
        <v>0</v>
      </c>
      <c r="Q80" s="16">
        <f>Table11[[#This Row],['#Total Replacements]]*Table11[[#This Row],[USA Allocation %]]</f>
        <v>102.4</v>
      </c>
      <c r="R80" s="16">
        <f>IF(Table37[[#This Row],['#Survival based on Inventory]]=0,Table37['#Survival based on Last Year Estimate],Table37['#Survival based on Inventory])</f>
        <v>677.20467692307693</v>
      </c>
      <c r="S80" s="16">
        <f>Table11[[#This Row],['#Planted]]*Table11[[#This Row],[USA Allocation %]]*Table11[[#This Row],[2024 Inventory Survival%-master]]</f>
        <v>0</v>
      </c>
      <c r="T80" s="16">
        <f>Table11[[#This Row],['#Planted]]*Table11[[#This Row],[USA Allocation %]]*Table11[[#This Row],[2024 Estimated Survival%]]</f>
        <v>677.20467692307693</v>
      </c>
      <c r="U80">
        <f>Table11[[#This Row],[ETP Year]]</f>
        <v>2018</v>
      </c>
      <c r="V80">
        <f>Table11[[#This Row],[Planting Year]]</f>
        <v>2019</v>
      </c>
      <c r="W80" s="8">
        <f>Table11[[#This Row],[Survival% as of 12/31/23]]</f>
        <v>0.96193846153846152</v>
      </c>
      <c r="X80" s="7">
        <f>Table11[[#This Row],[ETP'#s]]</f>
        <v>1</v>
      </c>
    </row>
    <row r="81" spans="1:24" x14ac:dyDescent="0.25">
      <c r="A81">
        <f>Table11[[#This Row],[Farmer'#]]</f>
        <v>10034</v>
      </c>
      <c r="B81" t="str">
        <f>Table11[[#This Row],[Representative]]</f>
        <v>David Peterson</v>
      </c>
      <c r="C81" t="str">
        <f>Table11[[#This Row],[Contract Name]]</f>
        <v>David Peterson</v>
      </c>
      <c r="D81" t="str">
        <f>Table11[[#This Row],[Status]]</f>
        <v>Active</v>
      </c>
      <c r="E81" t="str">
        <f>Table11[[#This Row],[Contract Code]]</f>
        <v>US0040</v>
      </c>
      <c r="F81" s="16">
        <f>Table11[[#This Row],['#TreesContract]]</f>
        <v>1320</v>
      </c>
      <c r="G81" s="16">
        <f>Table11[[#This Row],['#Planted]]</f>
        <v>1320</v>
      </c>
      <c r="H81" s="16">
        <f>Table11[[#This Row],['#TreesContract]]*Table11[[#This Row],[USA Allocation %]]</f>
        <v>845</v>
      </c>
      <c r="I81" s="16">
        <f>Table11[[#This Row],['#Planted]]*Table11[[#This Row],[USA Allocation %]]</f>
        <v>845</v>
      </c>
      <c r="J81" s="16">
        <f>Table11[[#This Row],[Contract Amendment]]*Table11[[#This Row],[USA Allocation %]]</f>
        <v>0</v>
      </c>
      <c r="K81" s="16">
        <f>Table11[[#This Row],['#Trees as of 12/31/23]]*Table11[[#This Row],[USA Allocation %]]</f>
        <v>790.09543517182408</v>
      </c>
      <c r="L81" s="16">
        <f>Table11[[#This Row],['#Replace 24]]*Table11[[#This Row],[USA Allocation %]]</f>
        <v>0</v>
      </c>
      <c r="M81" s="16">
        <f>IF(Table11[[#This Row],[Planting Year]]=2024,Table11['#Planted],0)</f>
        <v>0</v>
      </c>
      <c r="N81" s="16">
        <f>(Table11[[#This Row],[2024 '#Trees Inventory + Estimate]]*Table11[[#This Row],[USA Allocation %]])-SUM(Table37[[#This Row],['# Trees as of 12/31/23]:[New Trees/Planted in 2024]])</f>
        <v>0</v>
      </c>
      <c r="O81" s="16">
        <f>SUM(Table37[[#This Row],['# Trees as of 12/31/23]:[2024 Tree Losses]])</f>
        <v>790.09543517182408</v>
      </c>
      <c r="P81" s="16">
        <f>SUM(Table37[[#This Row],[Total Trees as of 12/31/24]]-Table37[[#This Row],['# Trees as of 12/31/23]])</f>
        <v>0</v>
      </c>
      <c r="Q81" s="16">
        <f>Table11[[#This Row],['#Total Replacements]]*Table11[[#This Row],[USA Allocation %]]</f>
        <v>0</v>
      </c>
      <c r="R81" s="16">
        <f>IF(Table37[[#This Row],['#Survival based on Inventory]]=0,Table37['#Survival based on Last Year Estimate],Table37['#Survival based on Inventory])</f>
        <v>790.09543517182408</v>
      </c>
      <c r="S81" s="16">
        <f>Table11[[#This Row],['#Planted]]*Table11[[#This Row],[USA Allocation %]]*Table11[[#This Row],[2024 Inventory Survival%-master]]</f>
        <v>0</v>
      </c>
      <c r="T81" s="16">
        <f>Table11[[#This Row],['#Planted]]*Table11[[#This Row],[USA Allocation %]]*Table11[[#This Row],[2024 Estimated Survival%]]</f>
        <v>790.09543517182408</v>
      </c>
      <c r="U81">
        <f>Table11[[#This Row],[ETP Year]]</f>
        <v>2018</v>
      </c>
      <c r="V81">
        <f>Table11[[#This Row],[Planting Year]]</f>
        <v>2019</v>
      </c>
      <c r="W81" s="8">
        <f>Table11[[#This Row],[Survival% as of 12/31/23]]</f>
        <v>0.93502418363529483</v>
      </c>
      <c r="X81" s="7">
        <f>Table11[[#This Row],[ETP'#s]]</f>
        <v>1</v>
      </c>
    </row>
    <row r="82" spans="1:24" x14ac:dyDescent="0.25">
      <c r="A82">
        <f>Table11[[#This Row],[Farmer'#]]</f>
        <v>10035</v>
      </c>
      <c r="B82" t="str">
        <f>Table11[[#This Row],[Representative]]</f>
        <v>Derek Bass</v>
      </c>
      <c r="C82" t="str">
        <f>Table11[[#This Row],[Contract Name]]</f>
        <v>Derek Bass</v>
      </c>
      <c r="D82" t="str">
        <f>Table11[[#This Row],[Status]]</f>
        <v>Active</v>
      </c>
      <c r="E82" t="str">
        <f>Table11[[#This Row],[Contract Code]]</f>
        <v>US0041</v>
      </c>
      <c r="F82" s="16">
        <f>Table11[[#This Row],['#TreesContract]]</f>
        <v>1100</v>
      </c>
      <c r="G82" s="16">
        <f>Table11[[#This Row],['#Planted]]</f>
        <v>1100</v>
      </c>
      <c r="H82" s="16">
        <f>Table11[[#This Row],['#TreesContract]]*Table11[[#This Row],[USA Allocation %]]</f>
        <v>704</v>
      </c>
      <c r="I82" s="16">
        <f>Table11[[#This Row],['#Planted]]*Table11[[#This Row],[USA Allocation %]]</f>
        <v>704</v>
      </c>
      <c r="J82" s="16">
        <f>Table11[[#This Row],[Contract Amendment]]*Table11[[#This Row],[USA Allocation %]]</f>
        <v>0</v>
      </c>
      <c r="K82" s="16">
        <f>Table11[[#This Row],['#Trees as of 12/31/23]]*Table11[[#This Row],[USA Allocation %]]</f>
        <v>556.66108767676769</v>
      </c>
      <c r="L82" s="16">
        <f>Table11[[#This Row],['#Replace 24]]*Table11[[#This Row],[USA Allocation %]]</f>
        <v>0</v>
      </c>
      <c r="M82" s="16">
        <f>IF(Table11[[#This Row],[Planting Year]]=2024,Table11['#Planted],0)</f>
        <v>0</v>
      </c>
      <c r="N82" s="16">
        <f>(Table11[[#This Row],[2024 '#Trees Inventory + Estimate]]*Table11[[#This Row],[USA Allocation %]])-SUM(Table37[[#This Row],['# Trees as of 12/31/23]:[New Trees/Planted in 2024]])</f>
        <v>0</v>
      </c>
      <c r="O82" s="16">
        <f>SUM(Table37[[#This Row],['# Trees as of 12/31/23]:[2024 Tree Losses]])</f>
        <v>556.66108767676769</v>
      </c>
      <c r="P82" s="16">
        <f>SUM(Table37[[#This Row],[Total Trees as of 12/31/24]]-Table37[[#This Row],['# Trees as of 12/31/23]])</f>
        <v>0</v>
      </c>
      <c r="Q82" s="16">
        <f>Table11[[#This Row],['#Total Replacements]]*Table11[[#This Row],[USA Allocation %]]</f>
        <v>343.68</v>
      </c>
      <c r="R82" s="16">
        <f>IF(Table37[[#This Row],['#Survival based on Inventory]]=0,Table37['#Survival based on Last Year Estimate],Table37['#Survival based on Inventory])</f>
        <v>556.66108767676769</v>
      </c>
      <c r="S82" s="16">
        <f>Table11[[#This Row],['#Planted]]*Table11[[#This Row],[USA Allocation %]]*Table11[[#This Row],[2024 Inventory Survival%-master]]</f>
        <v>0</v>
      </c>
      <c r="T82" s="16">
        <f>Table11[[#This Row],['#Planted]]*Table11[[#This Row],[USA Allocation %]]*Table11[[#This Row],[2024 Estimated Survival%]]</f>
        <v>556.66108767676769</v>
      </c>
      <c r="U82">
        <f>Table11[[#This Row],[ETP Year]]</f>
        <v>2018</v>
      </c>
      <c r="V82">
        <f>Table11[[#This Row],[Planting Year]]</f>
        <v>2019</v>
      </c>
      <c r="W82" s="8">
        <f>Table11[[#This Row],[Survival% as of 12/31/23]]</f>
        <v>0.79071177226813594</v>
      </c>
      <c r="X82" s="7">
        <f>Table11[[#This Row],[ETP'#s]]</f>
        <v>1</v>
      </c>
    </row>
    <row r="83" spans="1:24" x14ac:dyDescent="0.25">
      <c r="A83">
        <f>Table11[[#This Row],[Farmer'#]]</f>
        <v>10036</v>
      </c>
      <c r="B83" t="str">
        <f>Table11[[#This Row],[Representative]]</f>
        <v>Jason Humphries</v>
      </c>
      <c r="C83" t="str">
        <f>Table11[[#This Row],[Contract Name]]</f>
        <v>Jason Humphries</v>
      </c>
      <c r="D83" t="str">
        <f>Table11[[#This Row],[Status]]</f>
        <v>Active</v>
      </c>
      <c r="E83" t="str">
        <f>Table11[[#This Row],[Contract Code]]</f>
        <v>US0043</v>
      </c>
      <c r="F83" s="16">
        <f>Table11[[#This Row],['#TreesContract]]</f>
        <v>3170</v>
      </c>
      <c r="G83" s="16">
        <f>Table11[[#This Row],['#Planted]]</f>
        <v>3170</v>
      </c>
      <c r="H83" s="16">
        <f>Table11[[#This Row],['#TreesContract]]*Table11[[#This Row],[USA Allocation %]]</f>
        <v>2029</v>
      </c>
      <c r="I83" s="16">
        <f>Table11[[#This Row],['#Planted]]*Table11[[#This Row],[USA Allocation %]]</f>
        <v>2029</v>
      </c>
      <c r="J83" s="16">
        <f>Table11[[#This Row],[Contract Amendment]]*Table11[[#This Row],[USA Allocation %]]</f>
        <v>0</v>
      </c>
      <c r="K83" s="16">
        <f>Table11[[#This Row],['#Trees as of 12/31/23]]*Table11[[#This Row],[USA Allocation %]]</f>
        <v>1986.6969795859168</v>
      </c>
      <c r="L83" s="16">
        <f>Table11[[#This Row],['#Replace 24]]*Table11[[#This Row],[USA Allocation %]]</f>
        <v>0</v>
      </c>
      <c r="M83" s="16">
        <f>IF(Table11[[#This Row],[Planting Year]]=2024,Table11['#Planted],0)</f>
        <v>0</v>
      </c>
      <c r="N83" s="16">
        <f>(Table11[[#This Row],[2024 '#Trees Inventory + Estimate]]*Table11[[#This Row],[USA Allocation %]])-SUM(Table37[[#This Row],['# Trees as of 12/31/23]:[New Trees/Planted in 2024]])</f>
        <v>0</v>
      </c>
      <c r="O83" s="16">
        <f>SUM(Table37[[#This Row],['# Trees as of 12/31/23]:[2024 Tree Losses]])</f>
        <v>1986.6969795859168</v>
      </c>
      <c r="P83" s="16">
        <f>SUM(Table37[[#This Row],[Total Trees as of 12/31/24]]-Table37[[#This Row],['# Trees as of 12/31/23]])</f>
        <v>0</v>
      </c>
      <c r="Q83" s="16">
        <f>Table11[[#This Row],['#Total Replacements]]*Table11[[#This Row],[USA Allocation %]]</f>
        <v>160.01577287066246</v>
      </c>
      <c r="R83" s="16">
        <f>IF(Table37[[#This Row],['#Survival based on Inventory]]=0,Table37['#Survival based on Last Year Estimate],Table37['#Survival based on Inventory])</f>
        <v>1986.696979585917</v>
      </c>
      <c r="S83" s="16">
        <f>Table11[[#This Row],['#Planted]]*Table11[[#This Row],[USA Allocation %]]*Table11[[#This Row],[2024 Inventory Survival%-master]]</f>
        <v>0</v>
      </c>
      <c r="T83" s="16">
        <f>Table11[[#This Row],['#Planted]]*Table11[[#This Row],[USA Allocation %]]*Table11[[#This Row],[2024 Estimated Survival%]]</f>
        <v>1986.696979585917</v>
      </c>
      <c r="U83">
        <f>Table11[[#This Row],[ETP Year]]</f>
        <v>2018</v>
      </c>
      <c r="V83">
        <f>Table11[[#This Row],[Planting Year]]</f>
        <v>2019</v>
      </c>
      <c r="W83" s="8">
        <f>Table11[[#This Row],[Survival% as of 12/31/23]]</f>
        <v>0.97915080314732228</v>
      </c>
      <c r="X83" s="7">
        <f>Table11[[#This Row],[ETP'#s]]</f>
        <v>1</v>
      </c>
    </row>
    <row r="84" spans="1:24" x14ac:dyDescent="0.25">
      <c r="A84">
        <f>Table11[[#This Row],[Farmer'#]]</f>
        <v>10037</v>
      </c>
      <c r="B84" t="str">
        <f>Table11[[#This Row],[Representative]]</f>
        <v>Jimmy Aplin</v>
      </c>
      <c r="C84" t="str">
        <f>Table11[[#This Row],[Contract Name]]</f>
        <v>Jimmy Aplin</v>
      </c>
      <c r="D84" t="str">
        <f>Table11[[#This Row],[Status]]</f>
        <v>Out of Program</v>
      </c>
      <c r="E84" t="str">
        <f>Table11[[#This Row],[Contract Code]]</f>
        <v>US0044</v>
      </c>
      <c r="F84" s="16">
        <f>Table11[[#This Row],['#TreesContract]]</f>
        <v>1100</v>
      </c>
      <c r="G84" s="16">
        <f>Table11[[#This Row],['#Planted]]</f>
        <v>1100</v>
      </c>
      <c r="H84" s="16">
        <f>Table11[[#This Row],['#TreesContract]]*Table11[[#This Row],[USA Allocation %]]</f>
        <v>704</v>
      </c>
      <c r="I84" s="16">
        <f>Table11[[#This Row],['#Planted]]*Table11[[#This Row],[USA Allocation %]]</f>
        <v>704</v>
      </c>
      <c r="J84" s="16">
        <f>Table11[[#This Row],[Contract Amendment]]*Table11[[#This Row],[USA Allocation %]]</f>
        <v>0</v>
      </c>
      <c r="K84" s="16">
        <f>Table11[[#This Row],['#Trees as of 12/31/23]]*Table11[[#This Row],[USA Allocation %]]</f>
        <v>0</v>
      </c>
      <c r="L84" s="16">
        <f>Table11[[#This Row],['#Replace 24]]*Table11[[#This Row],[USA Allocation %]]</f>
        <v>0</v>
      </c>
      <c r="M84" s="16">
        <f>IF(Table11[[#This Row],[Planting Year]]=2024,Table11['#Planted],0)</f>
        <v>0</v>
      </c>
      <c r="N84" s="16">
        <f>(Table11[[#This Row],[2024 '#Trees Inventory + Estimate]]*Table11[[#This Row],[USA Allocation %]])-SUM(Table37[[#This Row],['# Trees as of 12/31/23]:[New Trees/Planted in 2024]])</f>
        <v>0</v>
      </c>
      <c r="O84" s="16">
        <f>SUM(Table37[[#This Row],['# Trees as of 12/31/23]:[2024 Tree Losses]])</f>
        <v>0</v>
      </c>
      <c r="P84" s="16">
        <f>SUM(Table37[[#This Row],[Total Trees as of 12/31/24]]-Table37[[#This Row],['# Trees as of 12/31/23]])</f>
        <v>0</v>
      </c>
      <c r="Q84" s="16">
        <f>Table11[[#This Row],['#Total Replacements]]*Table11[[#This Row],[USA Allocation %]]</f>
        <v>704</v>
      </c>
      <c r="R84" s="16">
        <f>IF(Table37[[#This Row],['#Survival based on Inventory]]=0,Table37['#Survival based on Last Year Estimate],Table37['#Survival based on Inventory])</f>
        <v>0</v>
      </c>
      <c r="S84" s="16">
        <f>Table11[[#This Row],['#Planted]]*Table11[[#This Row],[USA Allocation %]]*Table11[[#This Row],[2024 Inventory Survival%-master]]</f>
        <v>0</v>
      </c>
      <c r="T84" s="16">
        <f>Table11[[#This Row],['#Planted]]*Table11[[#This Row],[USA Allocation %]]*Table11[[#This Row],[2024 Estimated Survival%]]</f>
        <v>0</v>
      </c>
      <c r="U84">
        <f>Table11[[#This Row],[ETP Year]]</f>
        <v>2018</v>
      </c>
      <c r="V84">
        <f>Table11[[#This Row],[Planting Year]]</f>
        <v>2019</v>
      </c>
      <c r="W84" s="8">
        <f>Table11[[#This Row],[Survival% as of 12/31/23]]</f>
        <v>0</v>
      </c>
      <c r="X84" s="7">
        <f>Table11[[#This Row],[ETP'#s]]</f>
        <v>1</v>
      </c>
    </row>
    <row r="85" spans="1:24" x14ac:dyDescent="0.25">
      <c r="A85">
        <f>Table11[[#This Row],[Farmer'#]]</f>
        <v>10038</v>
      </c>
      <c r="B85" t="str">
        <f>Table11[[#This Row],[Representative]]</f>
        <v>Michael Masengil</v>
      </c>
      <c r="C85" t="str">
        <f>Table11[[#This Row],[Contract Name]]</f>
        <v>Michael Masengil</v>
      </c>
      <c r="D85" t="str">
        <f>Table11[[#This Row],[Status]]</f>
        <v>Active</v>
      </c>
      <c r="E85" t="str">
        <f>Table11[[#This Row],[Contract Code]]</f>
        <v>US0045</v>
      </c>
      <c r="F85" s="16">
        <f>Table11[[#This Row],['#TreesContract]]</f>
        <v>1100</v>
      </c>
      <c r="G85" s="16">
        <f>Table11[[#This Row],['#Planted]]</f>
        <v>1100</v>
      </c>
      <c r="H85" s="16">
        <f>Table11[[#This Row],['#TreesContract]]*Table11[[#This Row],[USA Allocation %]]</f>
        <v>704</v>
      </c>
      <c r="I85" s="16">
        <f>Table11[[#This Row],['#Planted]]*Table11[[#This Row],[USA Allocation %]]</f>
        <v>704</v>
      </c>
      <c r="J85" s="16">
        <f>Table11[[#This Row],[Contract Amendment]]*Table11[[#This Row],[USA Allocation %]]</f>
        <v>0</v>
      </c>
      <c r="K85" s="16">
        <f>Table11[[#This Row],['#Trees as of 12/31/23]]*Table11[[#This Row],[USA Allocation %]]</f>
        <v>596.56271794871793</v>
      </c>
      <c r="L85" s="16">
        <f>Table11[[#This Row],['#Replace 24]]*Table11[[#This Row],[USA Allocation %]]</f>
        <v>0</v>
      </c>
      <c r="M85" s="16">
        <f>IF(Table11[[#This Row],[Planting Year]]=2024,Table11['#Planted],0)</f>
        <v>0</v>
      </c>
      <c r="N85" s="16">
        <f>(Table11[[#This Row],[2024 '#Trees Inventory + Estimate]]*Table11[[#This Row],[USA Allocation %]])-SUM(Table37[[#This Row],['# Trees as of 12/31/23]:[New Trees/Planted in 2024]])</f>
        <v>0</v>
      </c>
      <c r="O85" s="16">
        <f>SUM(Table37[[#This Row],['# Trees as of 12/31/23]:[2024 Tree Losses]])</f>
        <v>596.56271794871793</v>
      </c>
      <c r="P85" s="16">
        <f>SUM(Table37[[#This Row],[Total Trees as of 12/31/24]]-Table37[[#This Row],['# Trees as of 12/31/23]])</f>
        <v>0</v>
      </c>
      <c r="Q85" s="16">
        <f>Table11[[#This Row],['#Total Replacements]]*Table11[[#This Row],[USA Allocation %]]</f>
        <v>567.68000000000006</v>
      </c>
      <c r="R85" s="16">
        <f>IF(Table37[[#This Row],['#Survival based on Inventory]]=0,Table37['#Survival based on Last Year Estimate],Table37['#Survival based on Inventory])</f>
        <v>596.56271794871793</v>
      </c>
      <c r="S85" s="16">
        <f>Table11[[#This Row],['#Planted]]*Table11[[#This Row],[USA Allocation %]]*Table11[[#This Row],[2024 Inventory Survival%-master]]</f>
        <v>0</v>
      </c>
      <c r="T85" s="16">
        <f>Table11[[#This Row],['#Planted]]*Table11[[#This Row],[USA Allocation %]]*Table11[[#This Row],[2024 Estimated Survival%]]</f>
        <v>596.56271794871793</v>
      </c>
      <c r="U85">
        <f>Table11[[#This Row],[ETP Year]]</f>
        <v>2018</v>
      </c>
      <c r="V85">
        <f>Table11[[#This Row],[Planting Year]]</f>
        <v>2019</v>
      </c>
      <c r="W85" s="8">
        <f>Table11[[#This Row],[Survival% as of 12/31/23]]</f>
        <v>0.84739022435897426</v>
      </c>
      <c r="X85" s="7">
        <f>Table11[[#This Row],[ETP'#s]]</f>
        <v>1</v>
      </c>
    </row>
    <row r="86" spans="1:24" x14ac:dyDescent="0.25">
      <c r="A86">
        <f>Table11[[#This Row],[Farmer'#]]</f>
        <v>10039</v>
      </c>
      <c r="B86" t="str">
        <f>Table11[[#This Row],[Representative]]</f>
        <v>Ricky and Darcy Dollar</v>
      </c>
      <c r="C86" t="str">
        <f>Table11[[#This Row],[Contract Name]]</f>
        <v>Ricky and/or Darcy Dollar</v>
      </c>
      <c r="D86" t="str">
        <f>Table11[[#This Row],[Status]]</f>
        <v>Out of Program</v>
      </c>
      <c r="E86" t="str">
        <f>Table11[[#This Row],[Contract Code]]</f>
        <v>US0046</v>
      </c>
      <c r="F86" s="16">
        <f>Table11[[#This Row],['#TreesContract]]</f>
        <v>1100</v>
      </c>
      <c r="G86" s="16">
        <f>Table11[[#This Row],['#Planted]]</f>
        <v>1100</v>
      </c>
      <c r="H86" s="16">
        <f>Table11[[#This Row],['#TreesContract]]*Table11[[#This Row],[USA Allocation %]]</f>
        <v>704</v>
      </c>
      <c r="I86" s="16">
        <f>Table11[[#This Row],['#Planted]]*Table11[[#This Row],[USA Allocation %]]</f>
        <v>704</v>
      </c>
      <c r="J86" s="16">
        <f>Table11[[#This Row],[Contract Amendment]]*Table11[[#This Row],[USA Allocation %]]</f>
        <v>0</v>
      </c>
      <c r="K86" s="16">
        <f>Table11[[#This Row],['#Trees as of 12/31/23]]*Table11[[#This Row],[USA Allocation %]]</f>
        <v>307.35999993600001</v>
      </c>
      <c r="L86" s="16">
        <f>Table11[[#This Row],['#Replace 24]]*Table11[[#This Row],[USA Allocation %]]</f>
        <v>0</v>
      </c>
      <c r="M86" s="16">
        <f>IF(Table11[[#This Row],[Planting Year]]=2024,Table11['#Planted],0)</f>
        <v>0</v>
      </c>
      <c r="N86" s="16">
        <f>(Table11[[#This Row],[2024 '#Trees Inventory + Estimate]]*Table11[[#This Row],[USA Allocation %]])-SUM(Table37[[#This Row],['# Trees as of 12/31/23]:[New Trees/Planted in 2024]])</f>
        <v>-307.35999993600001</v>
      </c>
      <c r="O86" s="16">
        <f>SUM(Table37[[#This Row],['# Trees as of 12/31/23]:[2024 Tree Losses]])</f>
        <v>0</v>
      </c>
      <c r="P86" s="16">
        <f>SUM(Table37[[#This Row],[Total Trees as of 12/31/24]]-Table37[[#This Row],['# Trees as of 12/31/23]])</f>
        <v>-307.35999993600001</v>
      </c>
      <c r="Q86" s="16">
        <f>Table11[[#This Row],['#Total Replacements]]*Table11[[#This Row],[USA Allocation %]]</f>
        <v>783.36</v>
      </c>
      <c r="R86" s="16">
        <f>IF(Table37[[#This Row],['#Survival based on Inventory]]=0,Table37['#Survival based on Last Year Estimate],Table37['#Survival based on Inventory])</f>
        <v>0</v>
      </c>
      <c r="S86" s="16">
        <f>Table11[[#This Row],['#Planted]]*Table11[[#This Row],[USA Allocation %]]*Table11[[#This Row],[2024 Inventory Survival%-master]]</f>
        <v>0</v>
      </c>
      <c r="T86" s="16">
        <f>Table11[[#This Row],['#Planted]]*Table11[[#This Row],[USA Allocation %]]*Table11[[#This Row],[2024 Estimated Survival%]]</f>
        <v>0</v>
      </c>
      <c r="U86">
        <f>Table11[[#This Row],[ETP Year]]</f>
        <v>2018</v>
      </c>
      <c r="V86">
        <f>Table11[[#This Row],[Planting Year]]</f>
        <v>2019</v>
      </c>
      <c r="W86" s="8">
        <f>Table11[[#This Row],[Survival% as of 12/31/23]]</f>
        <v>0.43659090909090909</v>
      </c>
      <c r="X86" s="7">
        <f>Table11[[#This Row],[ETP'#s]]</f>
        <v>1</v>
      </c>
    </row>
    <row r="87" spans="1:24" x14ac:dyDescent="0.25">
      <c r="A87">
        <f>Table11[[#This Row],[Farmer'#]]</f>
        <v>10040</v>
      </c>
      <c r="B87" t="str">
        <f>Table11[[#This Row],[Representative]]</f>
        <v>Scott Willis</v>
      </c>
      <c r="C87" t="str">
        <f>Table11[[#This Row],[Contract Name]]</f>
        <v>Scott Willis</v>
      </c>
      <c r="D87" t="str">
        <f>Table11[[#This Row],[Status]]</f>
        <v>Active</v>
      </c>
      <c r="E87" t="str">
        <f>Table11[[#This Row],[Contract Code]]</f>
        <v>US0047</v>
      </c>
      <c r="F87" s="16">
        <f>Table11[[#This Row],['#TreesContract]]</f>
        <v>1100</v>
      </c>
      <c r="G87" s="16">
        <f>Table11[[#This Row],['#Planted]]</f>
        <v>1100</v>
      </c>
      <c r="H87" s="16">
        <f>Table11[[#This Row],['#TreesContract]]*Table11[[#This Row],[USA Allocation %]]</f>
        <v>704</v>
      </c>
      <c r="I87" s="16">
        <f>Table11[[#This Row],['#Planted]]*Table11[[#This Row],[USA Allocation %]]</f>
        <v>704</v>
      </c>
      <c r="J87" s="16">
        <f>Table11[[#This Row],[Contract Amendment]]*Table11[[#This Row],[USA Allocation %]]</f>
        <v>0</v>
      </c>
      <c r="K87" s="16">
        <f>Table11[[#This Row],['#Trees as of 12/31/23]]*Table11[[#This Row],[USA Allocation %]]</f>
        <v>686.37257142857152</v>
      </c>
      <c r="L87" s="16">
        <f>Table11[[#This Row],['#Replace 24]]*Table11[[#This Row],[USA Allocation %]]</f>
        <v>0</v>
      </c>
      <c r="M87" s="16">
        <f>IF(Table11[[#This Row],[Planting Year]]=2024,Table11['#Planted],0)</f>
        <v>0</v>
      </c>
      <c r="N87" s="16">
        <f>(Table11[[#This Row],[2024 '#Trees Inventory + Estimate]]*Table11[[#This Row],[USA Allocation %]])-SUM(Table37[[#This Row],['# Trees as of 12/31/23]:[New Trees/Planted in 2024]])</f>
        <v>0</v>
      </c>
      <c r="O87" s="16">
        <f>SUM(Table37[[#This Row],['# Trees as of 12/31/23]:[2024 Tree Losses]])</f>
        <v>686.37257142857152</v>
      </c>
      <c r="P87" s="16">
        <f>SUM(Table37[[#This Row],[Total Trees as of 12/31/24]]-Table37[[#This Row],['# Trees as of 12/31/23]])</f>
        <v>0</v>
      </c>
      <c r="Q87" s="16">
        <f>Table11[[#This Row],['#Total Replacements]]*Table11[[#This Row],[USA Allocation %]]</f>
        <v>92.16</v>
      </c>
      <c r="R87" s="16">
        <f>IF(Table37[[#This Row],['#Survival based on Inventory]]=0,Table37['#Survival based on Last Year Estimate],Table37['#Survival based on Inventory])</f>
        <v>686.37257142857152</v>
      </c>
      <c r="S87" s="16">
        <f>Table11[[#This Row],['#Planted]]*Table11[[#This Row],[USA Allocation %]]*Table11[[#This Row],[2024 Inventory Survival%-master]]</f>
        <v>0</v>
      </c>
      <c r="T87" s="16">
        <f>Table11[[#This Row],['#Planted]]*Table11[[#This Row],[USA Allocation %]]*Table11[[#This Row],[2024 Estimated Survival%]]</f>
        <v>686.37257142857152</v>
      </c>
      <c r="U87">
        <f>Table11[[#This Row],[ETP Year]]</f>
        <v>2018</v>
      </c>
      <c r="V87">
        <f>Table11[[#This Row],[Planting Year]]</f>
        <v>2019</v>
      </c>
      <c r="W87" s="8">
        <f>Table11[[#This Row],[Survival% as of 12/31/23]]</f>
        <v>0.97496103896103914</v>
      </c>
      <c r="X87" s="7">
        <f>Table11[[#This Row],[ETP'#s]]</f>
        <v>1</v>
      </c>
    </row>
    <row r="88" spans="1:24" x14ac:dyDescent="0.25">
      <c r="A88">
        <f>Table11[[#This Row],[Farmer'#]]</f>
        <v>10041</v>
      </c>
      <c r="B88" t="str">
        <f>Table11[[#This Row],[Representative]]</f>
        <v>Shawn Harrison</v>
      </c>
      <c r="C88" t="str">
        <f>Table11[[#This Row],[Contract Name]]</f>
        <v>Shawn Harrison</v>
      </c>
      <c r="D88" t="str">
        <f>Table11[[#This Row],[Status]]</f>
        <v>Out of Program</v>
      </c>
      <c r="E88" t="str">
        <f>Table11[[#This Row],[Contract Code]]</f>
        <v>US0048</v>
      </c>
      <c r="F88" s="16">
        <f>Table11[[#This Row],['#TreesContract]]</f>
        <v>1100</v>
      </c>
      <c r="G88" s="16">
        <f>Table11[[#This Row],['#Planted]]</f>
        <v>1100</v>
      </c>
      <c r="H88" s="16">
        <f>Table11[[#This Row],['#TreesContract]]*Table11[[#This Row],[USA Allocation %]]</f>
        <v>704</v>
      </c>
      <c r="I88" s="16">
        <f>Table11[[#This Row],['#Planted]]*Table11[[#This Row],[USA Allocation %]]</f>
        <v>704</v>
      </c>
      <c r="J88" s="16">
        <f>Table11[[#This Row],[Contract Amendment]]*Table11[[#This Row],[USA Allocation %]]</f>
        <v>0</v>
      </c>
      <c r="K88" s="16">
        <f>Table11[[#This Row],['#Trees as of 12/31/23]]*Table11[[#This Row],[USA Allocation %]]</f>
        <v>0</v>
      </c>
      <c r="L88" s="16">
        <f>Table11[[#This Row],['#Replace 24]]*Table11[[#This Row],[USA Allocation %]]</f>
        <v>0</v>
      </c>
      <c r="M88" s="16">
        <f>IF(Table11[[#This Row],[Planting Year]]=2024,Table11['#Planted],0)</f>
        <v>0</v>
      </c>
      <c r="N88" s="16">
        <f>(Table11[[#This Row],[2024 '#Trees Inventory + Estimate]]*Table11[[#This Row],[USA Allocation %]])-SUM(Table37[[#This Row],['# Trees as of 12/31/23]:[New Trees/Planted in 2024]])</f>
        <v>0</v>
      </c>
      <c r="O88" s="16">
        <f>SUM(Table37[[#This Row],['# Trees as of 12/31/23]:[2024 Tree Losses]])</f>
        <v>0</v>
      </c>
      <c r="P88" s="16">
        <f>SUM(Table37[[#This Row],[Total Trees as of 12/31/24]]-Table37[[#This Row],['# Trees as of 12/31/23]])</f>
        <v>0</v>
      </c>
      <c r="Q88" s="16">
        <f>Table11[[#This Row],['#Total Replacements]]*Table11[[#This Row],[USA Allocation %]]</f>
        <v>40.96</v>
      </c>
      <c r="R88" s="16">
        <f>IF(Table37[[#This Row],['#Survival based on Inventory]]=0,Table37['#Survival based on Last Year Estimate],Table37['#Survival based on Inventory])</f>
        <v>0</v>
      </c>
      <c r="S88" s="16">
        <f>Table11[[#This Row],['#Planted]]*Table11[[#This Row],[USA Allocation %]]*Table11[[#This Row],[2024 Inventory Survival%-master]]</f>
        <v>0</v>
      </c>
      <c r="T88" s="16">
        <f>Table11[[#This Row],['#Planted]]*Table11[[#This Row],[USA Allocation %]]*Table11[[#This Row],[2024 Estimated Survival%]]</f>
        <v>0</v>
      </c>
      <c r="U88">
        <f>Table11[[#This Row],[ETP Year]]</f>
        <v>2018</v>
      </c>
      <c r="V88">
        <f>Table11[[#This Row],[Planting Year]]</f>
        <v>2019</v>
      </c>
      <c r="W88" s="8">
        <f>Table11[[#This Row],[Survival% as of 12/31/23]]</f>
        <v>0</v>
      </c>
      <c r="X88" s="7">
        <f>Table11[[#This Row],[ETP'#s]]</f>
        <v>1</v>
      </c>
    </row>
    <row r="89" spans="1:24" x14ac:dyDescent="0.25">
      <c r="A89">
        <f>Table11[[#This Row],[Farmer'#]]</f>
        <v>10042</v>
      </c>
      <c r="B89" t="str">
        <f>Table11[[#This Row],[Representative]]</f>
        <v>Steven Whittaker</v>
      </c>
      <c r="C89" t="str">
        <f>Table11[[#This Row],[Contract Name]]</f>
        <v>Steven Whittaker</v>
      </c>
      <c r="D89" t="str">
        <f>Table11[[#This Row],[Status]]</f>
        <v>Active</v>
      </c>
      <c r="E89" t="str">
        <f>Table11[[#This Row],[Contract Code]]</f>
        <v>US0049</v>
      </c>
      <c r="F89" s="16">
        <f>Table11[[#This Row],['#TreesContract]]</f>
        <v>880</v>
      </c>
      <c r="G89" s="16">
        <f>Table11[[#This Row],['#Planted]]</f>
        <v>880</v>
      </c>
      <c r="H89" s="16">
        <f>Table11[[#This Row],['#TreesContract]]*Table11[[#This Row],[USA Allocation %]]</f>
        <v>563.20000000000005</v>
      </c>
      <c r="I89" s="16">
        <f>Table11[[#This Row],['#Planted]]*Table11[[#This Row],[USA Allocation %]]</f>
        <v>563.20000000000005</v>
      </c>
      <c r="J89" s="16">
        <f>Table11[[#This Row],[Contract Amendment]]*Table11[[#This Row],[USA Allocation %]]</f>
        <v>0</v>
      </c>
      <c r="K89" s="16">
        <f>Table11[[#This Row],['#Trees as of 12/31/23]]*Table11[[#This Row],[USA Allocation %]]</f>
        <v>563.20000000000005</v>
      </c>
      <c r="L89" s="16">
        <f>Table11[[#This Row],['#Replace 24]]*Table11[[#This Row],[USA Allocation %]]</f>
        <v>0</v>
      </c>
      <c r="M89" s="16">
        <f>IF(Table11[[#This Row],[Planting Year]]=2024,Table11['#Planted],0)</f>
        <v>0</v>
      </c>
      <c r="N89" s="16">
        <f>(Table11[[#This Row],[2024 '#Trees Inventory + Estimate]]*Table11[[#This Row],[USA Allocation %]])-SUM(Table37[[#This Row],['# Trees as of 12/31/23]:[New Trees/Planted in 2024]])</f>
        <v>0</v>
      </c>
      <c r="O89" s="16">
        <f>SUM(Table37[[#This Row],['# Trees as of 12/31/23]:[2024 Tree Losses]])</f>
        <v>563.20000000000005</v>
      </c>
      <c r="P89" s="16">
        <f>SUM(Table37[[#This Row],[Total Trees as of 12/31/24]]-Table37[[#This Row],['# Trees as of 12/31/23]])</f>
        <v>0</v>
      </c>
      <c r="Q89" s="16">
        <f>Table11[[#This Row],['#Total Replacements]]*Table11[[#This Row],[USA Allocation %]]</f>
        <v>205.44</v>
      </c>
      <c r="R89" s="16">
        <f>IF(Table37[[#This Row],['#Survival based on Inventory]]=0,Table37['#Survival based on Last Year Estimate],Table37['#Survival based on Inventory])</f>
        <v>563.20000000000005</v>
      </c>
      <c r="S89" s="16">
        <f>Table11[[#This Row],['#Planted]]*Table11[[#This Row],[USA Allocation %]]*Table11[[#This Row],[2024 Inventory Survival%-master]]</f>
        <v>0</v>
      </c>
      <c r="T89" s="16">
        <f>Table11[[#This Row],['#Planted]]*Table11[[#This Row],[USA Allocation %]]*Table11[[#This Row],[2024 Estimated Survival%]]</f>
        <v>563.20000000000005</v>
      </c>
      <c r="U89">
        <f>Table11[[#This Row],[ETP Year]]</f>
        <v>2018</v>
      </c>
      <c r="V89">
        <f>Table11[[#This Row],[Planting Year]]</f>
        <v>2019</v>
      </c>
      <c r="W89" s="8">
        <f>Table11[[#This Row],[Survival% as of 12/31/23]]</f>
        <v>1</v>
      </c>
      <c r="X89" s="7">
        <f>Table11[[#This Row],[ETP'#s]]</f>
        <v>1</v>
      </c>
    </row>
    <row r="90" spans="1:24" x14ac:dyDescent="0.25">
      <c r="A90">
        <f>Table11[[#This Row],[Farmer'#]]</f>
        <v>10043</v>
      </c>
      <c r="B90" t="str">
        <f>Table11[[#This Row],[Representative]]</f>
        <v>Teddy Meeks</v>
      </c>
      <c r="C90" t="str">
        <f>Table11[[#This Row],[Contract Name]]</f>
        <v>Teddy Meeks</v>
      </c>
      <c r="D90" t="str">
        <f>Table11[[#This Row],[Status]]</f>
        <v>RFT</v>
      </c>
      <c r="E90" t="str">
        <f>Table11[[#This Row],[Contract Code]]</f>
        <v>US0050</v>
      </c>
      <c r="F90" s="16">
        <f>Table11[[#This Row],['#TreesContract]]</f>
        <v>1100</v>
      </c>
      <c r="G90" s="16">
        <f>Table11[[#This Row],['#Planted]]</f>
        <v>1100</v>
      </c>
      <c r="H90" s="16">
        <f>Table11[[#This Row],['#TreesContract]]*Table11[[#This Row],[USA Allocation %]]</f>
        <v>704</v>
      </c>
      <c r="I90" s="16">
        <f>Table11[[#This Row],['#Planted]]*Table11[[#This Row],[USA Allocation %]]</f>
        <v>704</v>
      </c>
      <c r="J90" s="16">
        <f>Table11[[#This Row],[Contract Amendment]]*Table11[[#This Row],[USA Allocation %]]</f>
        <v>0</v>
      </c>
      <c r="K90" s="16">
        <f>Table11[[#This Row],['#Trees as of 12/31/23]]*Table11[[#This Row],[USA Allocation %]]</f>
        <v>0</v>
      </c>
      <c r="L90" s="16">
        <f>Table11[[#This Row],['#Replace 24]]*Table11[[#This Row],[USA Allocation %]]</f>
        <v>0</v>
      </c>
      <c r="M90" s="16">
        <f>IF(Table11[[#This Row],[Planting Year]]=2024,Table11['#Planted],0)</f>
        <v>0</v>
      </c>
      <c r="N90" s="16">
        <f>(Table11[[#This Row],[2024 '#Trees Inventory + Estimate]]*Table11[[#This Row],[USA Allocation %]])-SUM(Table37[[#This Row],['# Trees as of 12/31/23]:[New Trees/Planted in 2024]])</f>
        <v>0</v>
      </c>
      <c r="O90" s="16">
        <f>SUM(Table37[[#This Row],['# Trees as of 12/31/23]:[2024 Tree Losses]])</f>
        <v>0</v>
      </c>
      <c r="P90" s="16">
        <f>SUM(Table37[[#This Row],[Total Trees as of 12/31/24]]-Table37[[#This Row],['# Trees as of 12/31/23]])</f>
        <v>0</v>
      </c>
      <c r="Q90" s="16">
        <f>Table11[[#This Row],['#Total Replacements]]*Table11[[#This Row],[USA Allocation %]]</f>
        <v>564.48</v>
      </c>
      <c r="R90" s="16">
        <f>IF(Table37[[#This Row],['#Survival based on Inventory]]=0,Table37['#Survival based on Last Year Estimate],Table37['#Survival based on Inventory])</f>
        <v>0</v>
      </c>
      <c r="S90" s="16">
        <f>Table11[[#This Row],['#Planted]]*Table11[[#This Row],[USA Allocation %]]*Table11[[#This Row],[2024 Inventory Survival%-master]]</f>
        <v>0</v>
      </c>
      <c r="T90" s="16">
        <f>Table11[[#This Row],['#Planted]]*Table11[[#This Row],[USA Allocation %]]*Table11[[#This Row],[2024 Estimated Survival%]]</f>
        <v>0</v>
      </c>
      <c r="U90">
        <f>Table11[[#This Row],[ETP Year]]</f>
        <v>2018</v>
      </c>
      <c r="V90">
        <f>Table11[[#This Row],[Planting Year]]</f>
        <v>2019</v>
      </c>
      <c r="W90" s="8">
        <f>Table11[[#This Row],[Survival% as of 12/31/23]]</f>
        <v>0</v>
      </c>
      <c r="X90" s="7">
        <f>Table11[[#This Row],[ETP'#s]]</f>
        <v>1</v>
      </c>
    </row>
    <row r="91" spans="1:24" x14ac:dyDescent="0.25">
      <c r="A91">
        <f>Table11[[#This Row],[Farmer'#]]</f>
        <v>10044</v>
      </c>
      <c r="B91" t="str">
        <f>Table11[[#This Row],[Representative]]</f>
        <v>Wayne Moseley</v>
      </c>
      <c r="C91" t="str">
        <f>Table11[[#This Row],[Contract Name]]</f>
        <v>Wayne Moseley</v>
      </c>
      <c r="D91" t="str">
        <f>Table11[[#This Row],[Status]]</f>
        <v>Active</v>
      </c>
      <c r="E91" t="str">
        <f>Table11[[#This Row],[Contract Code]]</f>
        <v>US0051</v>
      </c>
      <c r="F91" s="16">
        <f>Table11[[#This Row],['#TreesContract]]</f>
        <v>1100</v>
      </c>
      <c r="G91" s="16">
        <f>Table11[[#This Row],['#Planted]]</f>
        <v>1100</v>
      </c>
      <c r="H91" s="16">
        <f>Table11[[#This Row],['#TreesContract]]*Table11[[#This Row],[USA Allocation %]]</f>
        <v>704</v>
      </c>
      <c r="I91" s="16">
        <f>Table11[[#This Row],['#Planted]]*Table11[[#This Row],[USA Allocation %]]</f>
        <v>704</v>
      </c>
      <c r="J91" s="16">
        <f>Table11[[#This Row],[Contract Amendment]]*Table11[[#This Row],[USA Allocation %]]</f>
        <v>0</v>
      </c>
      <c r="K91" s="16">
        <f>Table11[[#This Row],['#Trees as of 12/31/23]]*Table11[[#This Row],[USA Allocation %]]</f>
        <v>247.67999999999998</v>
      </c>
      <c r="L91" s="16">
        <f>Table11[[#This Row],['#Replace 24]]*Table11[[#This Row],[USA Allocation %]]</f>
        <v>0</v>
      </c>
      <c r="M91" s="16">
        <f>IF(Table11[[#This Row],[Planting Year]]=2024,Table11['#Planted],0)</f>
        <v>0</v>
      </c>
      <c r="N91" s="16">
        <f>(Table11[[#This Row],[2024 '#Trees Inventory + Estimate]]*Table11[[#This Row],[USA Allocation %]])-SUM(Table37[[#This Row],['# Trees as of 12/31/23]:[New Trees/Planted in 2024]])</f>
        <v>0</v>
      </c>
      <c r="O91" s="16">
        <f>SUM(Table37[[#This Row],['# Trees as of 12/31/23]:[2024 Tree Losses]])</f>
        <v>247.67999999999998</v>
      </c>
      <c r="P91" s="16">
        <f>SUM(Table37[[#This Row],[Total Trees as of 12/31/24]]-Table37[[#This Row],['# Trees as of 12/31/23]])</f>
        <v>0</v>
      </c>
      <c r="Q91" s="16">
        <f>Table11[[#This Row],['#Total Replacements]]*Table11[[#This Row],[USA Allocation %]]</f>
        <v>460.8</v>
      </c>
      <c r="R91" s="16">
        <f>IF(Table37[[#This Row],['#Survival based on Inventory]]=0,Table37['#Survival based on Last Year Estimate],Table37['#Survival based on Inventory])</f>
        <v>247.67999999999995</v>
      </c>
      <c r="S91" s="16">
        <f>Table11[[#This Row],['#Planted]]*Table11[[#This Row],[USA Allocation %]]*Table11[[#This Row],[2024 Inventory Survival%-master]]</f>
        <v>0</v>
      </c>
      <c r="T91" s="16">
        <f>Table11[[#This Row],['#Planted]]*Table11[[#This Row],[USA Allocation %]]*Table11[[#This Row],[2024 Estimated Survival%]]</f>
        <v>247.67999999999995</v>
      </c>
      <c r="U91">
        <f>Table11[[#This Row],[ETP Year]]</f>
        <v>2018</v>
      </c>
      <c r="V91">
        <f>Table11[[#This Row],[Planting Year]]</f>
        <v>2019</v>
      </c>
      <c r="W91" s="8">
        <f>Table11[[#This Row],[Survival% as of 12/31/23]]</f>
        <v>0.35181818181818175</v>
      </c>
      <c r="X91" s="7">
        <f>Table11[[#This Row],[ETP'#s]]</f>
        <v>1</v>
      </c>
    </row>
    <row r="92" spans="1:24" x14ac:dyDescent="0.25">
      <c r="A92">
        <f>Table11[[#This Row],[Farmer'#]]</f>
        <v>20009</v>
      </c>
      <c r="B92" t="str">
        <f>Table11[[#This Row],[Representative]]</f>
        <v>David Gutierrez</v>
      </c>
      <c r="C92" t="str">
        <f>Table11[[#This Row],[Contract Name]]</f>
        <v>Edgar Gutierrez</v>
      </c>
      <c r="D92" t="str">
        <f>Table11[[#This Row],[Status]]</f>
        <v>Out of Program</v>
      </c>
      <c r="E92" t="str">
        <f>Table11[[#This Row],[Contract Code]]</f>
        <v>CR0085</v>
      </c>
      <c r="F92" s="16">
        <f>Table11[[#This Row],['#TreesContract]]</f>
        <v>285</v>
      </c>
      <c r="G92" s="16">
        <f>Table11[[#This Row],['#Planted]]</f>
        <v>285</v>
      </c>
      <c r="H92" s="16">
        <f>Table11[[#This Row],['#TreesContract]]*Table11[[#This Row],[USA Allocation %]]</f>
        <v>182.4</v>
      </c>
      <c r="I92" s="16">
        <f>Table11[[#This Row],['#Planted]]*Table11[[#This Row],[USA Allocation %]]</f>
        <v>182.4</v>
      </c>
      <c r="J92" s="16">
        <f>Table11[[#This Row],[Contract Amendment]]*Table11[[#This Row],[USA Allocation %]]</f>
        <v>0</v>
      </c>
      <c r="K92" s="16">
        <f>Table11[[#This Row],['#Trees as of 12/31/23]]*Table11[[#This Row],[USA Allocation %]]</f>
        <v>0</v>
      </c>
      <c r="L92" s="16">
        <f>Table11[[#This Row],['#Replace 24]]*Table11[[#This Row],[USA Allocation %]]</f>
        <v>0</v>
      </c>
      <c r="M92" s="16">
        <f>IF(Table11[[#This Row],[Planting Year]]=2024,Table11['#Planted],0)</f>
        <v>0</v>
      </c>
      <c r="N92" s="16">
        <f>(Table11[[#This Row],[2024 '#Trees Inventory + Estimate]]*Table11[[#This Row],[USA Allocation %]])-SUM(Table37[[#This Row],['# Trees as of 12/31/23]:[New Trees/Planted in 2024]])</f>
        <v>0</v>
      </c>
      <c r="O92" s="16">
        <f>SUM(Table37[[#This Row],['# Trees as of 12/31/23]:[2024 Tree Losses]])</f>
        <v>0</v>
      </c>
      <c r="P92" s="16">
        <f>SUM(Table37[[#This Row],[Total Trees as of 12/31/24]]-Table37[[#This Row],['# Trees as of 12/31/23]])</f>
        <v>0</v>
      </c>
      <c r="Q92" s="16">
        <f>Table11[[#This Row],['#Total Replacements]]*Table11[[#This Row],[USA Allocation %]]</f>
        <v>0</v>
      </c>
      <c r="R92" s="16">
        <f>IF(Table37[[#This Row],['#Survival based on Inventory]]=0,Table37['#Survival based on Last Year Estimate],Table37['#Survival based on Inventory])</f>
        <v>0</v>
      </c>
      <c r="S92" s="16">
        <f>Table11[[#This Row],['#Planted]]*Table11[[#This Row],[USA Allocation %]]*Table11[[#This Row],[2024 Inventory Survival%-master]]</f>
        <v>0</v>
      </c>
      <c r="T92" s="16">
        <f>Table11[[#This Row],['#Planted]]*Table11[[#This Row],[USA Allocation %]]*Table11[[#This Row],[2024 Estimated Survival%]]</f>
        <v>0</v>
      </c>
      <c r="U92">
        <f>Table11[[#This Row],[ETP Year]]</f>
        <v>2018</v>
      </c>
      <c r="V92">
        <f>Table11[[#This Row],[Planting Year]]</f>
        <v>2019</v>
      </c>
      <c r="W92" s="8">
        <f>Table11[[#This Row],[Survival% as of 12/31/23]]</f>
        <v>0</v>
      </c>
      <c r="X92" s="7">
        <f>Table11[[#This Row],[ETP'#s]]</f>
        <v>1</v>
      </c>
    </row>
    <row r="93" spans="1:24" x14ac:dyDescent="0.25">
      <c r="A93">
        <f>Table11[[#This Row],[Farmer'#]]</f>
        <v>20023</v>
      </c>
      <c r="B93" t="str">
        <f>Table11[[#This Row],[Representative]]</f>
        <v>Carlos Montero</v>
      </c>
      <c r="C93" t="str">
        <f>Table11[[#This Row],[Contract Name]]</f>
        <v>Carlos Montero</v>
      </c>
      <c r="D93" t="str">
        <f>Table11[[#This Row],[Status]]</f>
        <v>RFT</v>
      </c>
      <c r="E93" t="str">
        <f>Table11[[#This Row],[Contract Code]]</f>
        <v>CR0083</v>
      </c>
      <c r="F93" s="16">
        <f>Table11[[#This Row],['#TreesContract]]</f>
        <v>4000</v>
      </c>
      <c r="G93" s="16">
        <f>Table11[[#This Row],['#Planted]]</f>
        <v>4000</v>
      </c>
      <c r="H93" s="16">
        <f>Table11[[#This Row],['#TreesContract]]*Table11[[#This Row],[USA Allocation %]]</f>
        <v>2560</v>
      </c>
      <c r="I93" s="16">
        <f>Table11[[#This Row],['#Planted]]*Table11[[#This Row],[USA Allocation %]]</f>
        <v>2560</v>
      </c>
      <c r="J93" s="16">
        <f>Table11[[#This Row],[Contract Amendment]]*Table11[[#This Row],[USA Allocation %]]</f>
        <v>0</v>
      </c>
      <c r="K93" s="16">
        <f>Table11[[#This Row],['#Trees as of 12/31/23]]*Table11[[#This Row],[USA Allocation %]]</f>
        <v>0</v>
      </c>
      <c r="L93" s="16">
        <f>Table11[[#This Row],['#Replace 24]]*Table11[[#This Row],[USA Allocation %]]</f>
        <v>0</v>
      </c>
      <c r="M93" s="16">
        <f>IF(Table11[[#This Row],[Planting Year]]=2024,Table11['#Planted],0)</f>
        <v>0</v>
      </c>
      <c r="N93" s="16">
        <f>(Table11[[#This Row],[2024 '#Trees Inventory + Estimate]]*Table11[[#This Row],[USA Allocation %]])-SUM(Table37[[#This Row],['# Trees as of 12/31/23]:[New Trees/Planted in 2024]])</f>
        <v>0</v>
      </c>
      <c r="O93" s="16">
        <f>SUM(Table37[[#This Row],['# Trees as of 12/31/23]:[2024 Tree Losses]])</f>
        <v>0</v>
      </c>
      <c r="P93" s="16">
        <f>SUM(Table37[[#This Row],[Total Trees as of 12/31/24]]-Table37[[#This Row],['# Trees as of 12/31/23]])</f>
        <v>0</v>
      </c>
      <c r="Q93" s="16">
        <f>Table11[[#This Row],['#Total Replacements]]*Table11[[#This Row],[USA Allocation %]]</f>
        <v>0</v>
      </c>
      <c r="R93" s="16">
        <f>IF(Table37[[#This Row],['#Survival based on Inventory]]=0,Table37['#Survival based on Last Year Estimate],Table37['#Survival based on Inventory])</f>
        <v>0</v>
      </c>
      <c r="S93" s="16">
        <f>Table11[[#This Row],['#Planted]]*Table11[[#This Row],[USA Allocation %]]*Table11[[#This Row],[2024 Inventory Survival%-master]]</f>
        <v>0</v>
      </c>
      <c r="T93" s="16">
        <f>Table11[[#This Row],['#Planted]]*Table11[[#This Row],[USA Allocation %]]*Table11[[#This Row],[2024 Estimated Survival%]]</f>
        <v>0</v>
      </c>
      <c r="U93">
        <f>Table11[[#This Row],[ETP Year]]</f>
        <v>2018</v>
      </c>
      <c r="V93">
        <f>Table11[[#This Row],[Planting Year]]</f>
        <v>2019</v>
      </c>
      <c r="W93" s="8">
        <f>Table11[[#This Row],[Survival% as of 12/31/23]]</f>
        <v>0</v>
      </c>
      <c r="X93" s="7">
        <f>Table11[[#This Row],[ETP'#s]]</f>
        <v>1</v>
      </c>
    </row>
    <row r="94" spans="1:24" x14ac:dyDescent="0.25">
      <c r="A94">
        <f>Table11[[#This Row],[Farmer'#]]</f>
        <v>20074</v>
      </c>
      <c r="B94" t="str">
        <f>Table11[[#This Row],[Representative]]</f>
        <v>Carlos Batalla</v>
      </c>
      <c r="C94" t="str">
        <f>Table11[[#This Row],[Contract Name]]</f>
        <v>Carlos Batalla</v>
      </c>
      <c r="D94" t="str">
        <f>Table11[[#This Row],[Status]]</f>
        <v>Out of Program</v>
      </c>
      <c r="E94" t="str">
        <f>Table11[[#This Row],[Contract Code]]</f>
        <v>CR0080</v>
      </c>
      <c r="F94" s="16">
        <f>Table11[[#This Row],['#TreesContract]]</f>
        <v>500</v>
      </c>
      <c r="G94" s="16">
        <f>Table11[[#This Row],['#Planted]]</f>
        <v>500</v>
      </c>
      <c r="H94" s="16">
        <f>Table11[[#This Row],['#TreesContract]]*Table11[[#This Row],[USA Allocation %]]</f>
        <v>320</v>
      </c>
      <c r="I94" s="16">
        <f>Table11[[#This Row],['#Planted]]*Table11[[#This Row],[USA Allocation %]]</f>
        <v>320</v>
      </c>
      <c r="J94" s="16">
        <f>Table11[[#This Row],[Contract Amendment]]*Table11[[#This Row],[USA Allocation %]]</f>
        <v>0</v>
      </c>
      <c r="K94" s="16">
        <f>Table11[[#This Row],['#Trees as of 12/31/23]]*Table11[[#This Row],[USA Allocation %]]</f>
        <v>0</v>
      </c>
      <c r="L94" s="16">
        <f>Table11[[#This Row],['#Replace 24]]*Table11[[#This Row],[USA Allocation %]]</f>
        <v>0</v>
      </c>
      <c r="M94" s="16">
        <f>IF(Table11[[#This Row],[Planting Year]]=2024,Table11['#Planted],0)</f>
        <v>0</v>
      </c>
      <c r="N94" s="16">
        <f>(Table11[[#This Row],[2024 '#Trees Inventory + Estimate]]*Table11[[#This Row],[USA Allocation %]])-SUM(Table37[[#This Row],['# Trees as of 12/31/23]:[New Trees/Planted in 2024]])</f>
        <v>0</v>
      </c>
      <c r="O94" s="16">
        <f>SUM(Table37[[#This Row],['# Trees as of 12/31/23]:[2024 Tree Losses]])</f>
        <v>0</v>
      </c>
      <c r="P94" s="16">
        <f>SUM(Table37[[#This Row],[Total Trees as of 12/31/24]]-Table37[[#This Row],['# Trees as of 12/31/23]])</f>
        <v>0</v>
      </c>
      <c r="Q94" s="16">
        <f>Table11[[#This Row],['#Total Replacements]]*Table11[[#This Row],[USA Allocation %]]</f>
        <v>0</v>
      </c>
      <c r="R94" s="16">
        <f>IF(Table37[[#This Row],['#Survival based on Inventory]]=0,Table37['#Survival based on Last Year Estimate],Table37['#Survival based on Inventory])</f>
        <v>0</v>
      </c>
      <c r="S94" s="16">
        <f>Table11[[#This Row],['#Planted]]*Table11[[#This Row],[USA Allocation %]]*Table11[[#This Row],[2024 Inventory Survival%-master]]</f>
        <v>0</v>
      </c>
      <c r="T94" s="16">
        <f>Table11[[#This Row],['#Planted]]*Table11[[#This Row],[USA Allocation %]]*Table11[[#This Row],[2024 Estimated Survival%]]</f>
        <v>0</v>
      </c>
      <c r="U94">
        <f>Table11[[#This Row],[ETP Year]]</f>
        <v>2018</v>
      </c>
      <c r="V94">
        <f>Table11[[#This Row],[Planting Year]]</f>
        <v>2019</v>
      </c>
      <c r="W94" s="8">
        <f>Table11[[#This Row],[Survival% as of 12/31/23]]</f>
        <v>0</v>
      </c>
      <c r="X94" s="7">
        <f>Table11[[#This Row],[ETP'#s]]</f>
        <v>1</v>
      </c>
    </row>
    <row r="95" spans="1:24" x14ac:dyDescent="0.25">
      <c r="A95">
        <f>Table11[[#This Row],[Farmer'#]]</f>
        <v>20075</v>
      </c>
      <c r="B95" t="str">
        <f>Table11[[#This Row],[Representative]]</f>
        <v>Carlos Castro Solano</v>
      </c>
      <c r="C95" t="str">
        <f>Table11[[#This Row],[Contract Name]]</f>
        <v>Corporacion Lummal S.A</v>
      </c>
      <c r="D95" t="str">
        <f>Table11[[#This Row],[Status]]</f>
        <v>RFT</v>
      </c>
      <c r="E95" t="str">
        <f>Table11[[#This Row],[Contract Code]]</f>
        <v>CR0081</v>
      </c>
      <c r="F95" s="16">
        <f>Table11[[#This Row],['#TreesContract]]</f>
        <v>4000</v>
      </c>
      <c r="G95" s="16">
        <f>Table11[[#This Row],['#Planted]]</f>
        <v>4000</v>
      </c>
      <c r="H95" s="16">
        <f>Table11[[#This Row],['#TreesContract]]*Table11[[#This Row],[USA Allocation %]]</f>
        <v>2560</v>
      </c>
      <c r="I95" s="16">
        <f>Table11[[#This Row],['#Planted]]*Table11[[#This Row],[USA Allocation %]]</f>
        <v>2560</v>
      </c>
      <c r="J95" s="16">
        <f>Table11[[#This Row],[Contract Amendment]]*Table11[[#This Row],[USA Allocation %]]</f>
        <v>0</v>
      </c>
      <c r="K95" s="16">
        <f>Table11[[#This Row],['#Trees as of 12/31/23]]*Table11[[#This Row],[USA Allocation %]]</f>
        <v>998.4</v>
      </c>
      <c r="L95" s="16">
        <f>Table11[[#This Row],['#Replace 24]]*Table11[[#This Row],[USA Allocation %]]</f>
        <v>0</v>
      </c>
      <c r="M95" s="16">
        <f>IF(Table11[[#This Row],[Planting Year]]=2024,Table11['#Planted],0)</f>
        <v>0</v>
      </c>
      <c r="N95" s="16">
        <f>(Table11[[#This Row],[2024 '#Trees Inventory + Estimate]]*Table11[[#This Row],[USA Allocation %]])-SUM(Table37[[#This Row],['# Trees as of 12/31/23]:[New Trees/Planted in 2024]])</f>
        <v>0</v>
      </c>
      <c r="O95" s="16">
        <f>SUM(Table37[[#This Row],['# Trees as of 12/31/23]:[2024 Tree Losses]])</f>
        <v>998.4</v>
      </c>
      <c r="P95" s="16">
        <f>SUM(Table37[[#This Row],[Total Trees as of 12/31/24]]-Table37[[#This Row],['# Trees as of 12/31/23]])</f>
        <v>0</v>
      </c>
      <c r="Q95" s="16">
        <f>Table11[[#This Row],['#Total Replacements]]*Table11[[#This Row],[USA Allocation %]]</f>
        <v>720</v>
      </c>
      <c r="R95" s="16">
        <f>IF(Table37[[#This Row],['#Survival based on Inventory]]=0,Table37['#Survival based on Last Year Estimate],Table37['#Survival based on Inventory])</f>
        <v>998.40000000000009</v>
      </c>
      <c r="S95" s="16">
        <f>Table11[[#This Row],['#Planted]]*Table11[[#This Row],[USA Allocation %]]*Table11[[#This Row],[2024 Inventory Survival%-master]]</f>
        <v>0</v>
      </c>
      <c r="T95" s="16">
        <f>Table11[[#This Row],['#Planted]]*Table11[[#This Row],[USA Allocation %]]*Table11[[#This Row],[2024 Estimated Survival%]]</f>
        <v>998.40000000000009</v>
      </c>
      <c r="U95">
        <f>Table11[[#This Row],[ETP Year]]</f>
        <v>2018</v>
      </c>
      <c r="V95">
        <f>Table11[[#This Row],[Planting Year]]</f>
        <v>2019</v>
      </c>
      <c r="W95" s="8">
        <f>Table11[[#This Row],[Survival% as of 12/31/23]]</f>
        <v>0.39</v>
      </c>
      <c r="X95" s="7">
        <f>Table11[[#This Row],[ETP'#s]]</f>
        <v>1</v>
      </c>
    </row>
    <row r="96" spans="1:24" x14ac:dyDescent="0.25">
      <c r="A96">
        <f>Table11[[#This Row],[Farmer'#]]</f>
        <v>20076</v>
      </c>
      <c r="B96" t="str">
        <f>Table11[[#This Row],[Representative]]</f>
        <v>Gustavo Arias</v>
      </c>
      <c r="C96" t="str">
        <f>Table11[[#This Row],[Contract Name]]</f>
        <v>Carlos Luis Arias</v>
      </c>
      <c r="D96" t="str">
        <f>Table11[[#This Row],[Status]]</f>
        <v>RFT</v>
      </c>
      <c r="E96" t="str">
        <f>Table11[[#This Row],[Contract Code]]</f>
        <v>CR0082</v>
      </c>
      <c r="F96" s="16">
        <f>Table11[[#This Row],['#TreesContract]]</f>
        <v>1000</v>
      </c>
      <c r="G96" s="16">
        <f>Table11[[#This Row],['#Planted]]</f>
        <v>1000</v>
      </c>
      <c r="H96" s="16">
        <f>Table11[[#This Row],['#TreesContract]]*Table11[[#This Row],[USA Allocation %]]</f>
        <v>640</v>
      </c>
      <c r="I96" s="16">
        <f>Table11[[#This Row],['#Planted]]*Table11[[#This Row],[USA Allocation %]]</f>
        <v>640</v>
      </c>
      <c r="J96" s="16">
        <f>Table11[[#This Row],[Contract Amendment]]*Table11[[#This Row],[USA Allocation %]]</f>
        <v>0</v>
      </c>
      <c r="K96" s="16">
        <f>Table11[[#This Row],['#Trees as of 12/31/23]]*Table11[[#This Row],[USA Allocation %]]</f>
        <v>395.93883333333338</v>
      </c>
      <c r="L96" s="16">
        <f>Table11[[#This Row],['#Replace 24]]*Table11[[#This Row],[USA Allocation %]]</f>
        <v>0</v>
      </c>
      <c r="M96" s="16">
        <f>IF(Table11[[#This Row],[Planting Year]]=2024,Table11['#Planted],0)</f>
        <v>0</v>
      </c>
      <c r="N96" s="16">
        <f>(Table11[[#This Row],[2024 '#Trees Inventory + Estimate]]*Table11[[#This Row],[USA Allocation %]])-SUM(Table37[[#This Row],['# Trees as of 12/31/23]:[New Trees/Planted in 2024]])</f>
        <v>0</v>
      </c>
      <c r="O96" s="16">
        <f>SUM(Table37[[#This Row],['# Trees as of 12/31/23]:[2024 Tree Losses]])</f>
        <v>395.93883333333338</v>
      </c>
      <c r="P96" s="16">
        <f>SUM(Table37[[#This Row],[Total Trees as of 12/31/24]]-Table37[[#This Row],['# Trees as of 12/31/23]])</f>
        <v>0</v>
      </c>
      <c r="Q96" s="16">
        <f>Table11[[#This Row],['#Total Replacements]]*Table11[[#This Row],[USA Allocation %]]</f>
        <v>419.2</v>
      </c>
      <c r="R96" s="16">
        <f>IF(Table37[[#This Row],['#Survival based on Inventory]]=0,Table37['#Survival based on Last Year Estimate],Table37['#Survival based on Inventory])</f>
        <v>395.93883333333338</v>
      </c>
      <c r="S96" s="16">
        <f>Table11[[#This Row],['#Planted]]*Table11[[#This Row],[USA Allocation %]]*Table11[[#This Row],[2024 Inventory Survival%-master]]</f>
        <v>0</v>
      </c>
      <c r="T96" s="16">
        <f>Table11[[#This Row],['#Planted]]*Table11[[#This Row],[USA Allocation %]]*Table11[[#This Row],[2024 Estimated Survival%]]</f>
        <v>395.93883333333338</v>
      </c>
      <c r="U96">
        <f>Table11[[#This Row],[ETP Year]]</f>
        <v>2018</v>
      </c>
      <c r="V96">
        <f>Table11[[#This Row],[Planting Year]]</f>
        <v>2019</v>
      </c>
      <c r="W96" s="8">
        <f>Table11[[#This Row],[Survival% as of 12/31/23]]</f>
        <v>0.6186544270833334</v>
      </c>
      <c r="X96" s="7">
        <f>Table11[[#This Row],[ETP'#s]]</f>
        <v>1</v>
      </c>
    </row>
    <row r="97" spans="1:24" x14ac:dyDescent="0.25">
      <c r="A97">
        <f>Table11[[#This Row],[Farmer'#]]</f>
        <v>20077</v>
      </c>
      <c r="B97" t="str">
        <f>Table11[[#This Row],[Representative]]</f>
        <v>Carmelita Soto</v>
      </c>
      <c r="C97" t="str">
        <f>Table11[[#This Row],[Contract Name]]</f>
        <v>Carmelita Soto</v>
      </c>
      <c r="D97" t="str">
        <f>Table11[[#This Row],[Status]]</f>
        <v>Out of Program</v>
      </c>
      <c r="E97" t="str">
        <f>Table11[[#This Row],[Contract Code]]</f>
        <v>CR0084</v>
      </c>
      <c r="F97" s="16">
        <f>Table11[[#This Row],['#TreesContract]]</f>
        <v>1000</v>
      </c>
      <c r="G97" s="16">
        <f>Table11[[#This Row],['#Planted]]</f>
        <v>1000</v>
      </c>
      <c r="H97" s="16">
        <f>Table11[[#This Row],['#TreesContract]]*Table11[[#This Row],[USA Allocation %]]</f>
        <v>640</v>
      </c>
      <c r="I97" s="16">
        <f>Table11[[#This Row],['#Planted]]*Table11[[#This Row],[USA Allocation %]]</f>
        <v>640</v>
      </c>
      <c r="J97" s="16">
        <f>Table11[[#This Row],[Contract Amendment]]*Table11[[#This Row],[USA Allocation %]]</f>
        <v>0</v>
      </c>
      <c r="K97" s="16">
        <f>Table11[[#This Row],['#Trees as of 12/31/23]]*Table11[[#This Row],[USA Allocation %]]</f>
        <v>640</v>
      </c>
      <c r="L97" s="16">
        <f>Table11[[#This Row],['#Replace 24]]*Table11[[#This Row],[USA Allocation %]]</f>
        <v>0</v>
      </c>
      <c r="M97" s="16">
        <f>IF(Table11[[#This Row],[Planting Year]]=2024,Table11['#Planted],0)</f>
        <v>0</v>
      </c>
      <c r="N97" s="16">
        <f>(Table11[[#This Row],[2024 '#Trees Inventory + Estimate]]*Table11[[#This Row],[USA Allocation %]])-SUM(Table37[[#This Row],['# Trees as of 12/31/23]:[New Trees/Planted in 2024]])</f>
        <v>-640</v>
      </c>
      <c r="O97" s="16">
        <f>SUM(Table37[[#This Row],['# Trees as of 12/31/23]:[2024 Tree Losses]])</f>
        <v>0</v>
      </c>
      <c r="P97" s="16">
        <f>SUM(Table37[[#This Row],[Total Trees as of 12/31/24]]-Table37[[#This Row],['# Trees as of 12/31/23]])</f>
        <v>-640</v>
      </c>
      <c r="Q97" s="16">
        <f>Table11[[#This Row],['#Total Replacements]]*Table11[[#This Row],[USA Allocation %]]</f>
        <v>736</v>
      </c>
      <c r="R97" s="16">
        <f>IF(Table37[[#This Row],['#Survival based on Inventory]]=0,Table37['#Survival based on Last Year Estimate],Table37['#Survival based on Inventory])</f>
        <v>0</v>
      </c>
      <c r="S97" s="16">
        <f>Table11[[#This Row],['#Planted]]*Table11[[#This Row],[USA Allocation %]]*Table11[[#This Row],[2024 Inventory Survival%-master]]</f>
        <v>0</v>
      </c>
      <c r="T97" s="16">
        <f>Table11[[#This Row],['#Planted]]*Table11[[#This Row],[USA Allocation %]]*Table11[[#This Row],[2024 Estimated Survival%]]</f>
        <v>0</v>
      </c>
      <c r="U97">
        <f>Table11[[#This Row],[ETP Year]]</f>
        <v>2018</v>
      </c>
      <c r="V97">
        <f>Table11[[#This Row],[Planting Year]]</f>
        <v>2019</v>
      </c>
      <c r="W97" s="8">
        <f>Table11[[#This Row],[Survival% as of 12/31/23]]</f>
        <v>1</v>
      </c>
      <c r="X97" s="7">
        <f>Table11[[#This Row],[ETP'#s]]</f>
        <v>1</v>
      </c>
    </row>
    <row r="98" spans="1:24" x14ac:dyDescent="0.25">
      <c r="A98">
        <f>Table11[[#This Row],[Farmer'#]]</f>
        <v>20078</v>
      </c>
      <c r="B98" t="str">
        <f>Table11[[#This Row],[Representative]]</f>
        <v>Agner Chinchlla</v>
      </c>
      <c r="C98" t="str">
        <f>Table11[[#This Row],[Contract Name]]</f>
        <v xml:space="preserve">Edgar Chinchilla Quesada </v>
      </c>
      <c r="D98" t="str">
        <f>Table11[[#This Row],[Status]]</f>
        <v>Out of Program</v>
      </c>
      <c r="E98" t="str">
        <f>Table11[[#This Row],[Contract Code]]</f>
        <v>CR0086</v>
      </c>
      <c r="F98" s="16">
        <f>Table11[[#This Row],['#TreesContract]]</f>
        <v>1700</v>
      </c>
      <c r="G98" s="16">
        <f>Table11[[#This Row],['#Planted]]</f>
        <v>1700</v>
      </c>
      <c r="H98" s="16">
        <f>Table11[[#This Row],['#TreesContract]]*Table11[[#This Row],[USA Allocation %]]</f>
        <v>1088</v>
      </c>
      <c r="I98" s="16">
        <f>Table11[[#This Row],['#Planted]]*Table11[[#This Row],[USA Allocation %]]</f>
        <v>1088</v>
      </c>
      <c r="J98" s="16">
        <f>Table11[[#This Row],[Contract Amendment]]*Table11[[#This Row],[USA Allocation %]]</f>
        <v>0</v>
      </c>
      <c r="K98" s="16">
        <f>Table11[[#This Row],['#Trees as of 12/31/23]]*Table11[[#This Row],[USA Allocation %]]</f>
        <v>1088</v>
      </c>
      <c r="L98" s="16">
        <f>Table11[[#This Row],['#Replace 24]]*Table11[[#This Row],[USA Allocation %]]</f>
        <v>0</v>
      </c>
      <c r="M98" s="16">
        <f>IF(Table11[[#This Row],[Planting Year]]=2024,Table11['#Planted],0)</f>
        <v>0</v>
      </c>
      <c r="N98" s="16">
        <f>(Table11[[#This Row],[2024 '#Trees Inventory + Estimate]]*Table11[[#This Row],[USA Allocation %]])-SUM(Table37[[#This Row],['# Trees as of 12/31/23]:[New Trees/Planted in 2024]])</f>
        <v>-1088</v>
      </c>
      <c r="O98" s="16">
        <f>SUM(Table37[[#This Row],['# Trees as of 12/31/23]:[2024 Tree Losses]])</f>
        <v>0</v>
      </c>
      <c r="P98" s="16">
        <f>SUM(Table37[[#This Row],[Total Trees as of 12/31/24]]-Table37[[#This Row],['# Trees as of 12/31/23]])</f>
        <v>-1088</v>
      </c>
      <c r="Q98" s="16">
        <f>Table11[[#This Row],['#Total Replacements]]*Table11[[#This Row],[USA Allocation %]]</f>
        <v>784</v>
      </c>
      <c r="R98" s="16">
        <f>IF(Table37[[#This Row],['#Survival based on Inventory]]=0,Table37['#Survival based on Last Year Estimate],Table37['#Survival based on Inventory])</f>
        <v>0</v>
      </c>
      <c r="S98" s="16">
        <f>Table11[[#This Row],['#Planted]]*Table11[[#This Row],[USA Allocation %]]*Table11[[#This Row],[2024 Inventory Survival%-master]]</f>
        <v>0</v>
      </c>
      <c r="T98" s="16">
        <f>Table11[[#This Row],['#Planted]]*Table11[[#This Row],[USA Allocation %]]*Table11[[#This Row],[2024 Estimated Survival%]]</f>
        <v>0</v>
      </c>
      <c r="U98">
        <f>Table11[[#This Row],[ETP Year]]</f>
        <v>2018</v>
      </c>
      <c r="V98">
        <f>Table11[[#This Row],[Planting Year]]</f>
        <v>2019</v>
      </c>
      <c r="W98" s="8">
        <f>Table11[[#This Row],[Survival% as of 12/31/23]]</f>
        <v>1</v>
      </c>
      <c r="X98" s="7">
        <f>Table11[[#This Row],[ETP'#s]]</f>
        <v>1</v>
      </c>
    </row>
    <row r="99" spans="1:24" x14ac:dyDescent="0.25">
      <c r="A99">
        <f>Table11[[#This Row],[Farmer'#]]</f>
        <v>20079</v>
      </c>
      <c r="B99" t="str">
        <f>Table11[[#This Row],[Representative]]</f>
        <v>Francisco Flores</v>
      </c>
      <c r="C99" t="str">
        <f>Table11[[#This Row],[Contract Name]]</f>
        <v>Beneficio La Guaria S.A</v>
      </c>
      <c r="D99" t="str">
        <f>Table11[[#This Row],[Status]]</f>
        <v>RFT</v>
      </c>
      <c r="E99" t="str">
        <f>Table11[[#This Row],[Contract Code]]</f>
        <v>CR0087</v>
      </c>
      <c r="F99" s="16">
        <f>Table11[[#This Row],['#TreesContract]]</f>
        <v>4500</v>
      </c>
      <c r="G99" s="16">
        <f>Table11[[#This Row],['#Planted]]</f>
        <v>4500</v>
      </c>
      <c r="H99" s="16">
        <f>Table11[[#This Row],['#TreesContract]]*Table11[[#This Row],[USA Allocation %]]</f>
        <v>2880</v>
      </c>
      <c r="I99" s="16">
        <f>Table11[[#This Row],['#Planted]]*Table11[[#This Row],[USA Allocation %]]</f>
        <v>2880</v>
      </c>
      <c r="J99" s="16">
        <f>Table11[[#This Row],[Contract Amendment]]*Table11[[#This Row],[USA Allocation %]]</f>
        <v>0</v>
      </c>
      <c r="K99" s="16">
        <f>Table11[[#This Row],['#Trees as of 12/31/23]]*Table11[[#This Row],[USA Allocation %]]</f>
        <v>1733.9896888888888</v>
      </c>
      <c r="L99" s="16">
        <f>Table11[[#This Row],['#Replace 24]]*Table11[[#This Row],[USA Allocation %]]</f>
        <v>0</v>
      </c>
      <c r="M99" s="16">
        <f>IF(Table11[[#This Row],[Planting Year]]=2024,Table11['#Planted],0)</f>
        <v>0</v>
      </c>
      <c r="N99" s="16">
        <f>(Table11[[#This Row],[2024 '#Trees Inventory + Estimate]]*Table11[[#This Row],[USA Allocation %]])-SUM(Table37[[#This Row],['# Trees as of 12/31/23]:[New Trees/Planted in 2024]])</f>
        <v>0</v>
      </c>
      <c r="O99" s="16">
        <f>SUM(Table37[[#This Row],['# Trees as of 12/31/23]:[2024 Tree Losses]])</f>
        <v>1733.9896888888888</v>
      </c>
      <c r="P99" s="16">
        <f>SUM(Table37[[#This Row],[Total Trees as of 12/31/24]]-Table37[[#This Row],['# Trees as of 12/31/23]])</f>
        <v>0</v>
      </c>
      <c r="Q99" s="16">
        <f>Table11[[#This Row],['#Total Replacements]]*Table11[[#This Row],[USA Allocation %]]</f>
        <v>960</v>
      </c>
      <c r="R99" s="16">
        <f>IF(Table37[[#This Row],['#Survival based on Inventory]]=0,Table37['#Survival based on Last Year Estimate],Table37['#Survival based on Inventory])</f>
        <v>1733.9896888888891</v>
      </c>
      <c r="S99" s="16">
        <f>Table11[[#This Row],['#Planted]]*Table11[[#This Row],[USA Allocation %]]*Table11[[#This Row],[2024 Inventory Survival%-master]]</f>
        <v>0</v>
      </c>
      <c r="T99" s="16">
        <f>Table11[[#This Row],['#Planted]]*Table11[[#This Row],[USA Allocation %]]*Table11[[#This Row],[2024 Estimated Survival%]]</f>
        <v>1733.9896888888891</v>
      </c>
      <c r="U99">
        <f>Table11[[#This Row],[ETP Year]]</f>
        <v>2018</v>
      </c>
      <c r="V99">
        <f>Table11[[#This Row],[Planting Year]]</f>
        <v>2019</v>
      </c>
      <c r="W99" s="8">
        <f>Table11[[#This Row],[Survival% as of 12/31/23]]</f>
        <v>0.60207975308641981</v>
      </c>
      <c r="X99" s="7">
        <f>Table11[[#This Row],[ETP'#s]]</f>
        <v>1</v>
      </c>
    </row>
    <row r="100" spans="1:24" x14ac:dyDescent="0.25">
      <c r="A100">
        <f>Table11[[#This Row],[Farmer'#]]</f>
        <v>20080</v>
      </c>
      <c r="B100" t="str">
        <f>Table11[[#This Row],[Representative]]</f>
        <v>Leonardo Cordero</v>
      </c>
      <c r="C100" t="str">
        <f>Table11[[#This Row],[Contract Name]]</f>
        <v>Greivin Cordero</v>
      </c>
      <c r="D100" t="str">
        <f>Table11[[#This Row],[Status]]</f>
        <v>RFT</v>
      </c>
      <c r="E100" t="str">
        <f>Table11[[#This Row],[Contract Code]]</f>
        <v>CR0088</v>
      </c>
      <c r="F100" s="16">
        <f>Table11[[#This Row],['#TreesContract]]</f>
        <v>1000</v>
      </c>
      <c r="G100" s="16">
        <f>Table11[[#This Row],['#Planted]]</f>
        <v>1000</v>
      </c>
      <c r="H100" s="16">
        <f>Table11[[#This Row],['#TreesContract]]*Table11[[#This Row],[USA Allocation %]]</f>
        <v>640</v>
      </c>
      <c r="I100" s="16">
        <f>Table11[[#This Row],['#Planted]]*Table11[[#This Row],[USA Allocation %]]</f>
        <v>640</v>
      </c>
      <c r="J100" s="16">
        <f>Table11[[#This Row],[Contract Amendment]]*Table11[[#This Row],[USA Allocation %]]</f>
        <v>0</v>
      </c>
      <c r="K100" s="16">
        <f>Table11[[#This Row],['#Trees as of 12/31/23]]*Table11[[#This Row],[USA Allocation %]]</f>
        <v>576</v>
      </c>
      <c r="L100" s="16">
        <f>Table11[[#This Row],['#Replace 24]]*Table11[[#This Row],[USA Allocation %]]</f>
        <v>0</v>
      </c>
      <c r="M100" s="16">
        <f>IF(Table11[[#This Row],[Planting Year]]=2024,Table11['#Planted],0)</f>
        <v>0</v>
      </c>
      <c r="N100" s="16">
        <f>(Table11[[#This Row],[2024 '#Trees Inventory + Estimate]]*Table11[[#This Row],[USA Allocation %]])-SUM(Table37[[#This Row],['# Trees as of 12/31/23]:[New Trees/Planted in 2024]])</f>
        <v>0</v>
      </c>
      <c r="O100" s="16">
        <f>SUM(Table37[[#This Row],['# Trees as of 12/31/23]:[2024 Tree Losses]])</f>
        <v>576</v>
      </c>
      <c r="P100" s="16">
        <f>SUM(Table37[[#This Row],[Total Trees as of 12/31/24]]-Table37[[#This Row],['# Trees as of 12/31/23]])</f>
        <v>0</v>
      </c>
      <c r="Q100" s="16">
        <f>Table11[[#This Row],['#Total Replacements]]*Table11[[#This Row],[USA Allocation %]]</f>
        <v>256</v>
      </c>
      <c r="R100" s="16">
        <f>IF(Table37[[#This Row],['#Survival based on Inventory]]=0,Table37['#Survival based on Last Year Estimate],Table37['#Survival based on Inventory])</f>
        <v>576</v>
      </c>
      <c r="S100" s="16">
        <f>Table11[[#This Row],['#Planted]]*Table11[[#This Row],[USA Allocation %]]*Table11[[#This Row],[2024 Inventory Survival%-master]]</f>
        <v>0</v>
      </c>
      <c r="T100" s="16">
        <f>Table11[[#This Row],['#Planted]]*Table11[[#This Row],[USA Allocation %]]*Table11[[#This Row],[2024 Estimated Survival%]]</f>
        <v>576</v>
      </c>
      <c r="U100">
        <f>Table11[[#This Row],[ETP Year]]</f>
        <v>2018</v>
      </c>
      <c r="V100">
        <f>Table11[[#This Row],[Planting Year]]</f>
        <v>2019</v>
      </c>
      <c r="W100" s="8">
        <f>Table11[[#This Row],[Survival% as of 12/31/23]]</f>
        <v>0.9</v>
      </c>
      <c r="X100" s="7">
        <f>Table11[[#This Row],[ETP'#s]]</f>
        <v>1</v>
      </c>
    </row>
    <row r="101" spans="1:24" x14ac:dyDescent="0.25">
      <c r="A101">
        <f>Table11[[#This Row],[Farmer'#]]</f>
        <v>20081</v>
      </c>
      <c r="B101" t="str">
        <f>Table11[[#This Row],[Representative]]</f>
        <v>Miguel Corrales Venegas</v>
      </c>
      <c r="C101" t="str">
        <f>Table11[[#This Row],[Contract Name]]</f>
        <v>Miguel Corrales Venegas</v>
      </c>
      <c r="D101" t="str">
        <f>Table11[[#This Row],[Status]]</f>
        <v>Active</v>
      </c>
      <c r="E101" t="str">
        <f>Table11[[#This Row],[Contract Code]]</f>
        <v>CR0089</v>
      </c>
      <c r="F101" s="16">
        <f>Table11[[#This Row],['#TreesContract]]</f>
        <v>2000</v>
      </c>
      <c r="G101" s="16">
        <f>Table11[[#This Row],['#Planted]]</f>
        <v>2000</v>
      </c>
      <c r="H101" s="16">
        <f>Table11[[#This Row],['#TreesContract]]*Table11[[#This Row],[USA Allocation %]]</f>
        <v>1280</v>
      </c>
      <c r="I101" s="16">
        <f>Table11[[#This Row],['#Planted]]*Table11[[#This Row],[USA Allocation %]]</f>
        <v>1280</v>
      </c>
      <c r="J101" s="16">
        <f>Table11[[#This Row],[Contract Amendment]]*Table11[[#This Row],[USA Allocation %]]</f>
        <v>0</v>
      </c>
      <c r="K101" s="16">
        <f>Table11[[#This Row],['#Trees as of 12/31/23]]*Table11[[#This Row],[USA Allocation %]]</f>
        <v>902.82182384064731</v>
      </c>
      <c r="L101" s="16">
        <f>Table11[[#This Row],['#Replace 24]]*Table11[[#This Row],[USA Allocation %]]</f>
        <v>0</v>
      </c>
      <c r="M101" s="16">
        <f>IF(Table11[[#This Row],[Planting Year]]=2024,Table11['#Planted],0)</f>
        <v>0</v>
      </c>
      <c r="N101" s="16">
        <f>(Table11[[#This Row],[2024 '#Trees Inventory + Estimate]]*Table11[[#This Row],[USA Allocation %]])-SUM(Table37[[#This Row],['# Trees as of 12/31/23]:[New Trees/Planted in 2024]])</f>
        <v>0</v>
      </c>
      <c r="O101" s="16">
        <f>SUM(Table37[[#This Row],['# Trees as of 12/31/23]:[2024 Tree Losses]])</f>
        <v>902.82182384064731</v>
      </c>
      <c r="P101" s="16">
        <f>SUM(Table37[[#This Row],[Total Trees as of 12/31/24]]-Table37[[#This Row],['# Trees as of 12/31/23]])</f>
        <v>0</v>
      </c>
      <c r="Q101" s="16">
        <f>Table11[[#This Row],['#Total Replacements]]*Table11[[#This Row],[USA Allocation %]]</f>
        <v>364.8</v>
      </c>
      <c r="R101" s="16">
        <f>IF(Table37[[#This Row],['#Survival based on Inventory]]=0,Table37['#Survival based on Last Year Estimate],Table37['#Survival based on Inventory])</f>
        <v>902.82182384064731</v>
      </c>
      <c r="S101" s="16">
        <f>Table11[[#This Row],['#Planted]]*Table11[[#This Row],[USA Allocation %]]*Table11[[#This Row],[2024 Inventory Survival%-master]]</f>
        <v>0</v>
      </c>
      <c r="T101" s="16">
        <f>Table11[[#This Row],['#Planted]]*Table11[[#This Row],[USA Allocation %]]*Table11[[#This Row],[2024 Estimated Survival%]]</f>
        <v>902.82182384064731</v>
      </c>
      <c r="U101">
        <f>Table11[[#This Row],[ETP Year]]</f>
        <v>2018</v>
      </c>
      <c r="V101">
        <f>Table11[[#This Row],[Planting Year]]</f>
        <v>2019</v>
      </c>
      <c r="W101" s="8">
        <f>Table11[[#This Row],[Survival% as of 12/31/23]]</f>
        <v>0.70532954987550567</v>
      </c>
      <c r="X101" s="7">
        <f>Table11[[#This Row],[ETP'#s]]</f>
        <v>1</v>
      </c>
    </row>
    <row r="102" spans="1:24" x14ac:dyDescent="0.25">
      <c r="A102">
        <f>Table11[[#This Row],[Farmer'#]]</f>
        <v>20082</v>
      </c>
      <c r="B102" t="str">
        <f>Table11[[#This Row],[Representative]]</f>
        <v>Omar Cascante</v>
      </c>
      <c r="C102" t="str">
        <f>Table11[[#This Row],[Contract Name]]</f>
        <v>Omar Cascante</v>
      </c>
      <c r="D102" t="str">
        <f>Table11[[#This Row],[Status]]</f>
        <v>Out of Program</v>
      </c>
      <c r="E102" t="str">
        <f>Table11[[#This Row],[Contract Code]]</f>
        <v>CR0090</v>
      </c>
      <c r="F102" s="16">
        <f>Table11[[#This Row],['#TreesContract]]</f>
        <v>1800</v>
      </c>
      <c r="G102" s="16">
        <f>Table11[[#This Row],['#Planted]]</f>
        <v>1800</v>
      </c>
      <c r="H102" s="16">
        <f>Table11[[#This Row],['#TreesContract]]*Table11[[#This Row],[USA Allocation %]]</f>
        <v>1152</v>
      </c>
      <c r="I102" s="16">
        <f>Table11[[#This Row],['#Planted]]*Table11[[#This Row],[USA Allocation %]]</f>
        <v>1152</v>
      </c>
      <c r="J102" s="16">
        <f>Table11[[#This Row],[Contract Amendment]]*Table11[[#This Row],[USA Allocation %]]</f>
        <v>0</v>
      </c>
      <c r="K102" s="16">
        <f>Table11[[#This Row],['#Trees as of 12/31/23]]*Table11[[#This Row],[USA Allocation %]]</f>
        <v>0</v>
      </c>
      <c r="L102" s="16">
        <f>Table11[[#This Row],['#Replace 24]]*Table11[[#This Row],[USA Allocation %]]</f>
        <v>0</v>
      </c>
      <c r="M102" s="16">
        <f>IF(Table11[[#This Row],[Planting Year]]=2024,Table11['#Planted],0)</f>
        <v>0</v>
      </c>
      <c r="N102" s="16">
        <f>(Table11[[#This Row],[2024 '#Trees Inventory + Estimate]]*Table11[[#This Row],[USA Allocation %]])-SUM(Table37[[#This Row],['# Trees as of 12/31/23]:[New Trees/Planted in 2024]])</f>
        <v>0</v>
      </c>
      <c r="O102" s="16">
        <f>SUM(Table37[[#This Row],['# Trees as of 12/31/23]:[2024 Tree Losses]])</f>
        <v>0</v>
      </c>
      <c r="P102" s="16">
        <f>SUM(Table37[[#This Row],[Total Trees as of 12/31/24]]-Table37[[#This Row],['# Trees as of 12/31/23]])</f>
        <v>0</v>
      </c>
      <c r="Q102" s="16">
        <f>Table11[[#This Row],['#Total Replacements]]*Table11[[#This Row],[USA Allocation %]]</f>
        <v>0</v>
      </c>
      <c r="R102" s="16">
        <f>IF(Table37[[#This Row],['#Survival based on Inventory]]=0,Table37['#Survival based on Last Year Estimate],Table37['#Survival based on Inventory])</f>
        <v>0</v>
      </c>
      <c r="S102" s="16">
        <f>Table11[[#This Row],['#Planted]]*Table11[[#This Row],[USA Allocation %]]*Table11[[#This Row],[2024 Inventory Survival%-master]]</f>
        <v>0</v>
      </c>
      <c r="T102" s="16">
        <f>Table11[[#This Row],['#Planted]]*Table11[[#This Row],[USA Allocation %]]*Table11[[#This Row],[2024 Estimated Survival%]]</f>
        <v>0</v>
      </c>
      <c r="U102">
        <f>Table11[[#This Row],[ETP Year]]</f>
        <v>2018</v>
      </c>
      <c r="V102">
        <f>Table11[[#This Row],[Planting Year]]</f>
        <v>2019</v>
      </c>
      <c r="W102" s="8">
        <f>Table11[[#This Row],[Survival% as of 12/31/23]]</f>
        <v>0</v>
      </c>
      <c r="X102" s="7">
        <f>Table11[[#This Row],[ETP'#s]]</f>
        <v>1</v>
      </c>
    </row>
    <row r="103" spans="1:24" x14ac:dyDescent="0.25">
      <c r="A103">
        <f>Table11[[#This Row],[Farmer'#]]</f>
        <v>20083</v>
      </c>
      <c r="B103" t="str">
        <f>Table11[[#This Row],[Representative]]</f>
        <v>William Mora</v>
      </c>
      <c r="C103" t="str">
        <f>Table11[[#This Row],[Contract Name]]</f>
        <v>William Mora</v>
      </c>
      <c r="D103" t="str">
        <f>Table11[[#This Row],[Status]]</f>
        <v>Out of Program</v>
      </c>
      <c r="E103" t="str">
        <f>Table11[[#This Row],[Contract Code]]</f>
        <v>CR0091</v>
      </c>
      <c r="F103" s="16">
        <f>Table11[[#This Row],['#TreesContract]]</f>
        <v>1000</v>
      </c>
      <c r="G103" s="16">
        <f>Table11[[#This Row],['#Planted]]</f>
        <v>1000</v>
      </c>
      <c r="H103" s="16">
        <f>Table11[[#This Row],['#TreesContract]]*Table11[[#This Row],[USA Allocation %]]</f>
        <v>640</v>
      </c>
      <c r="I103" s="16">
        <f>Table11[[#This Row],['#Planted]]*Table11[[#This Row],[USA Allocation %]]</f>
        <v>640</v>
      </c>
      <c r="J103" s="16">
        <f>Table11[[#This Row],[Contract Amendment]]*Table11[[#This Row],[USA Allocation %]]</f>
        <v>0</v>
      </c>
      <c r="K103" s="16">
        <f>Table11[[#This Row],['#Trees as of 12/31/23]]*Table11[[#This Row],[USA Allocation %]]</f>
        <v>0</v>
      </c>
      <c r="L103" s="16">
        <f>Table11[[#This Row],['#Replace 24]]*Table11[[#This Row],[USA Allocation %]]</f>
        <v>0</v>
      </c>
      <c r="M103" s="16">
        <f>IF(Table11[[#This Row],[Planting Year]]=2024,Table11['#Planted],0)</f>
        <v>0</v>
      </c>
      <c r="N103" s="16">
        <f>(Table11[[#This Row],[2024 '#Trees Inventory + Estimate]]*Table11[[#This Row],[USA Allocation %]])-SUM(Table37[[#This Row],['# Trees as of 12/31/23]:[New Trees/Planted in 2024]])</f>
        <v>0</v>
      </c>
      <c r="O103" s="16">
        <f>SUM(Table37[[#This Row],['# Trees as of 12/31/23]:[2024 Tree Losses]])</f>
        <v>0</v>
      </c>
      <c r="P103" s="16">
        <f>SUM(Table37[[#This Row],[Total Trees as of 12/31/24]]-Table37[[#This Row],['# Trees as of 12/31/23]])</f>
        <v>0</v>
      </c>
      <c r="Q103" s="16">
        <f>Table11[[#This Row],['#Total Replacements]]*Table11[[#This Row],[USA Allocation %]]</f>
        <v>0</v>
      </c>
      <c r="R103" s="16">
        <f>IF(Table37[[#This Row],['#Survival based on Inventory]]=0,Table37['#Survival based on Last Year Estimate],Table37['#Survival based on Inventory])</f>
        <v>0</v>
      </c>
      <c r="S103" s="16">
        <f>Table11[[#This Row],['#Planted]]*Table11[[#This Row],[USA Allocation %]]*Table11[[#This Row],[2024 Inventory Survival%-master]]</f>
        <v>0</v>
      </c>
      <c r="T103" s="16">
        <f>Table11[[#This Row],['#Planted]]*Table11[[#This Row],[USA Allocation %]]*Table11[[#This Row],[2024 Estimated Survival%]]</f>
        <v>0</v>
      </c>
      <c r="U103">
        <f>Table11[[#This Row],[ETP Year]]</f>
        <v>2018</v>
      </c>
      <c r="V103">
        <f>Table11[[#This Row],[Planting Year]]</f>
        <v>2019</v>
      </c>
      <c r="W103" s="8">
        <f>Table11[[#This Row],[Survival% as of 12/31/23]]</f>
        <v>0</v>
      </c>
      <c r="X103" s="7">
        <f>Table11[[#This Row],[ETP'#s]]</f>
        <v>1</v>
      </c>
    </row>
    <row r="104" spans="1:24" x14ac:dyDescent="0.25">
      <c r="A104">
        <f>Table11[[#This Row],[Farmer'#]]</f>
        <v>30001</v>
      </c>
      <c r="B104" t="str">
        <f>Table11[[#This Row],[Representative]]</f>
        <v xml:space="preserve">José Scheel </v>
      </c>
      <c r="C104" t="str">
        <f>Table11[[#This Row],[Contract Name]]</f>
        <v>Ada Patricia Scheel Bartlett</v>
      </c>
      <c r="D104" t="str">
        <f>Table11[[#This Row],[Status]]</f>
        <v>Active</v>
      </c>
      <c r="E104" t="str">
        <f>Table11[[#This Row],[Contract Code]]</f>
        <v>GT0001</v>
      </c>
      <c r="F104" s="16">
        <f>Table11[[#This Row],['#TreesContract]]</f>
        <v>1000</v>
      </c>
      <c r="G104" s="16">
        <f>Table11[[#This Row],['#Planted]]</f>
        <v>1000</v>
      </c>
      <c r="H104" s="16">
        <f>Table11[[#This Row],['#TreesContract]]*Table11[[#This Row],[USA Allocation %]]</f>
        <v>640</v>
      </c>
      <c r="I104" s="16">
        <f>Table11[[#This Row],['#Planted]]*Table11[[#This Row],[USA Allocation %]]</f>
        <v>640</v>
      </c>
      <c r="J104" s="16">
        <f>Table11[[#This Row],[Contract Amendment]]*Table11[[#This Row],[USA Allocation %]]</f>
        <v>0</v>
      </c>
      <c r="K104" s="16">
        <f>Table11[[#This Row],['#Trees as of 12/31/23]]*Table11[[#This Row],[USA Allocation %]]</f>
        <v>640</v>
      </c>
      <c r="L104" s="16">
        <f>Table11[[#This Row],['#Replace 24]]*Table11[[#This Row],[USA Allocation %]]</f>
        <v>0</v>
      </c>
      <c r="M104" s="16">
        <f>IF(Table11[[#This Row],[Planting Year]]=2024,Table11['#Planted],0)</f>
        <v>0</v>
      </c>
      <c r="N104" s="16">
        <f>(Table11[[#This Row],[2024 '#Trees Inventory + Estimate]]*Table11[[#This Row],[USA Allocation %]])-SUM(Table37[[#This Row],['# Trees as of 12/31/23]:[New Trees/Planted in 2024]])</f>
        <v>0</v>
      </c>
      <c r="O104" s="16">
        <f>SUM(Table37[[#This Row],['# Trees as of 12/31/23]:[2024 Tree Losses]])</f>
        <v>640</v>
      </c>
      <c r="P104" s="16">
        <f>SUM(Table37[[#This Row],[Total Trees as of 12/31/24]]-Table37[[#This Row],['# Trees as of 12/31/23]])</f>
        <v>0</v>
      </c>
      <c r="Q104" s="16">
        <f>Table11[[#This Row],['#Total Replacements]]*Table11[[#This Row],[USA Allocation %]]</f>
        <v>320</v>
      </c>
      <c r="R104" s="16">
        <f>IF(Table37[[#This Row],['#Survival based on Inventory]]=0,Table37['#Survival based on Last Year Estimate],Table37['#Survival based on Inventory])</f>
        <v>640</v>
      </c>
      <c r="S104" s="16">
        <f>Table11[[#This Row],['#Planted]]*Table11[[#This Row],[USA Allocation %]]*Table11[[#This Row],[2024 Inventory Survival%-master]]</f>
        <v>0</v>
      </c>
      <c r="T104" s="16">
        <f>Table11[[#This Row],['#Planted]]*Table11[[#This Row],[USA Allocation %]]*Table11[[#This Row],[2024 Estimated Survival%]]</f>
        <v>640</v>
      </c>
      <c r="U104">
        <f>Table11[[#This Row],[ETP Year]]</f>
        <v>2018</v>
      </c>
      <c r="V104">
        <f>Table11[[#This Row],[Planting Year]]</f>
        <v>2019</v>
      </c>
      <c r="W104" s="8">
        <f>Table11[[#This Row],[Survival% as of 12/31/23]]</f>
        <v>1</v>
      </c>
      <c r="X104" s="7">
        <f>Table11[[#This Row],[ETP'#s]]</f>
        <v>1</v>
      </c>
    </row>
    <row r="105" spans="1:24" x14ac:dyDescent="0.25">
      <c r="A105">
        <f>Table11[[#This Row],[Farmer'#]]</f>
        <v>30002</v>
      </c>
      <c r="B105" t="str">
        <f>Table11[[#This Row],[Representative]]</f>
        <v>Christopher Michael Schwart Marklan</v>
      </c>
      <c r="C105" t="str">
        <f>Table11[[#This Row],[Contract Name]]</f>
        <v>Christopher Michael Schwart Marklan</v>
      </c>
      <c r="D105" t="str">
        <f>Table11[[#This Row],[Status]]</f>
        <v>Out of Program</v>
      </c>
      <c r="E105" t="str">
        <f>Table11[[#This Row],[Contract Code]]</f>
        <v>GT0002</v>
      </c>
      <c r="F105" s="16">
        <f>Table11[[#This Row],['#TreesContract]]</f>
        <v>1000</v>
      </c>
      <c r="G105" s="16">
        <f>Table11[[#This Row],['#Planted]]</f>
        <v>1000</v>
      </c>
      <c r="H105" s="16">
        <f>Table11[[#This Row],['#TreesContract]]*Table11[[#This Row],[USA Allocation %]]</f>
        <v>640</v>
      </c>
      <c r="I105" s="16">
        <f>Table11[[#This Row],['#Planted]]*Table11[[#This Row],[USA Allocation %]]</f>
        <v>640</v>
      </c>
      <c r="J105" s="16">
        <f>Table11[[#This Row],[Contract Amendment]]*Table11[[#This Row],[USA Allocation %]]</f>
        <v>0</v>
      </c>
      <c r="K105" s="16">
        <f>Table11[[#This Row],['#Trees as of 12/31/23]]*Table11[[#This Row],[USA Allocation %]]</f>
        <v>0</v>
      </c>
      <c r="L105" s="16">
        <f>Table11[[#This Row],['#Replace 24]]*Table11[[#This Row],[USA Allocation %]]</f>
        <v>0</v>
      </c>
      <c r="M105" s="16">
        <f>IF(Table11[[#This Row],[Planting Year]]=2024,Table11['#Planted],0)</f>
        <v>0</v>
      </c>
      <c r="N105" s="16">
        <f>(Table11[[#This Row],[2024 '#Trees Inventory + Estimate]]*Table11[[#This Row],[USA Allocation %]])-SUM(Table37[[#This Row],['# Trees as of 12/31/23]:[New Trees/Planted in 2024]])</f>
        <v>0</v>
      </c>
      <c r="O105" s="16">
        <f>SUM(Table37[[#This Row],['# Trees as of 12/31/23]:[2024 Tree Losses]])</f>
        <v>0</v>
      </c>
      <c r="P105" s="16">
        <f>SUM(Table37[[#This Row],[Total Trees as of 12/31/24]]-Table37[[#This Row],['# Trees as of 12/31/23]])</f>
        <v>0</v>
      </c>
      <c r="Q105" s="16">
        <f>Table11[[#This Row],['#Total Replacements]]*Table11[[#This Row],[USA Allocation %]]</f>
        <v>0</v>
      </c>
      <c r="R105" s="16">
        <f>IF(Table37[[#This Row],['#Survival based on Inventory]]=0,Table37['#Survival based on Last Year Estimate],Table37['#Survival based on Inventory])</f>
        <v>0</v>
      </c>
      <c r="S105" s="16">
        <f>Table11[[#This Row],['#Planted]]*Table11[[#This Row],[USA Allocation %]]*Table11[[#This Row],[2024 Inventory Survival%-master]]</f>
        <v>0</v>
      </c>
      <c r="T105" s="16">
        <f>Table11[[#This Row],['#Planted]]*Table11[[#This Row],[USA Allocation %]]*Table11[[#This Row],[2024 Estimated Survival%]]</f>
        <v>0</v>
      </c>
      <c r="U105">
        <f>Table11[[#This Row],[ETP Year]]</f>
        <v>2018</v>
      </c>
      <c r="V105">
        <f>Table11[[#This Row],[Planting Year]]</f>
        <v>2019</v>
      </c>
      <c r="W105" s="8">
        <f>Table11[[#This Row],[Survival% as of 12/31/23]]</f>
        <v>0</v>
      </c>
      <c r="X105" s="7">
        <f>Table11[[#This Row],[ETP'#s]]</f>
        <v>1</v>
      </c>
    </row>
    <row r="106" spans="1:24" x14ac:dyDescent="0.25">
      <c r="A106">
        <f>Table11[[#This Row],[Farmer'#]]</f>
        <v>30003</v>
      </c>
      <c r="B106" t="str">
        <f>Table11[[#This Row],[Representative]]</f>
        <v>Edgar Rodolfo Grisolia</v>
      </c>
      <c r="C106" t="str">
        <f>Table11[[#This Row],[Contract Name]]</f>
        <v>Edgar Rodolfo Grisolia</v>
      </c>
      <c r="D106" t="str">
        <f>Table11[[#This Row],[Status]]</f>
        <v>Out of Program</v>
      </c>
      <c r="E106" t="str">
        <f>Table11[[#This Row],[Contract Code]]</f>
        <v>GT0003</v>
      </c>
      <c r="F106" s="16">
        <f>Table11[[#This Row],['#TreesContract]]</f>
        <v>1000</v>
      </c>
      <c r="G106" s="16">
        <f>Table11[[#This Row],['#Planted]]</f>
        <v>1000</v>
      </c>
      <c r="H106" s="16">
        <f>Table11[[#This Row],['#TreesContract]]*Table11[[#This Row],[USA Allocation %]]</f>
        <v>640</v>
      </c>
      <c r="I106" s="16">
        <f>Table11[[#This Row],['#Planted]]*Table11[[#This Row],[USA Allocation %]]</f>
        <v>640</v>
      </c>
      <c r="J106" s="16">
        <f>Table11[[#This Row],[Contract Amendment]]*Table11[[#This Row],[USA Allocation %]]</f>
        <v>0</v>
      </c>
      <c r="K106" s="16">
        <f>Table11[[#This Row],['#Trees as of 12/31/23]]*Table11[[#This Row],[USA Allocation %]]</f>
        <v>0</v>
      </c>
      <c r="L106" s="16">
        <f>Table11[[#This Row],['#Replace 24]]*Table11[[#This Row],[USA Allocation %]]</f>
        <v>0</v>
      </c>
      <c r="M106" s="16">
        <f>IF(Table11[[#This Row],[Planting Year]]=2024,Table11['#Planted],0)</f>
        <v>0</v>
      </c>
      <c r="N106" s="16">
        <f>(Table11[[#This Row],[2024 '#Trees Inventory + Estimate]]*Table11[[#This Row],[USA Allocation %]])-SUM(Table37[[#This Row],['# Trees as of 12/31/23]:[New Trees/Planted in 2024]])</f>
        <v>0</v>
      </c>
      <c r="O106" s="16">
        <f>SUM(Table37[[#This Row],['# Trees as of 12/31/23]:[2024 Tree Losses]])</f>
        <v>0</v>
      </c>
      <c r="P106" s="16">
        <f>SUM(Table37[[#This Row],[Total Trees as of 12/31/24]]-Table37[[#This Row],['# Trees as of 12/31/23]])</f>
        <v>0</v>
      </c>
      <c r="Q106" s="16">
        <f>Table11[[#This Row],['#Total Replacements]]*Table11[[#This Row],[USA Allocation %]]</f>
        <v>0</v>
      </c>
      <c r="R106" s="16">
        <f>IF(Table37[[#This Row],['#Survival based on Inventory]]=0,Table37['#Survival based on Last Year Estimate],Table37['#Survival based on Inventory])</f>
        <v>0</v>
      </c>
      <c r="S106" s="16">
        <f>Table11[[#This Row],['#Planted]]*Table11[[#This Row],[USA Allocation %]]*Table11[[#This Row],[2024 Inventory Survival%-master]]</f>
        <v>0</v>
      </c>
      <c r="T106" s="16">
        <f>Table11[[#This Row],['#Planted]]*Table11[[#This Row],[USA Allocation %]]*Table11[[#This Row],[2024 Estimated Survival%]]</f>
        <v>0</v>
      </c>
      <c r="U106">
        <f>Table11[[#This Row],[ETP Year]]</f>
        <v>2018</v>
      </c>
      <c r="V106">
        <f>Table11[[#This Row],[Planting Year]]</f>
        <v>2019</v>
      </c>
      <c r="W106" s="8">
        <f>Table11[[#This Row],[Survival% as of 12/31/23]]</f>
        <v>0</v>
      </c>
      <c r="X106" s="7">
        <f>Table11[[#This Row],[ETP'#s]]</f>
        <v>1</v>
      </c>
    </row>
    <row r="107" spans="1:24" x14ac:dyDescent="0.25">
      <c r="A107">
        <f>Table11[[#This Row],[Farmer'#]]</f>
        <v>30004</v>
      </c>
      <c r="B107" t="str">
        <f>Table11[[#This Row],[Representative]]</f>
        <v>Jorge Guillermo Castillo Mastahinich</v>
      </c>
      <c r="C107" t="str">
        <f>Table11[[#This Row],[Contract Name]]</f>
        <v>Jorge Guillermo Castillo Mastahinich</v>
      </c>
      <c r="D107" t="str">
        <f>Table11[[#This Row],[Status]]</f>
        <v>Out of Program</v>
      </c>
      <c r="E107" t="str">
        <f>Table11[[#This Row],[Contract Code]]</f>
        <v>GT0004</v>
      </c>
      <c r="F107" s="16">
        <f>Table11[[#This Row],['#TreesContract]]</f>
        <v>1000</v>
      </c>
      <c r="G107" s="16">
        <f>Table11[[#This Row],['#Planted]]</f>
        <v>1000</v>
      </c>
      <c r="H107" s="16">
        <f>Table11[[#This Row],['#TreesContract]]*Table11[[#This Row],[USA Allocation %]]</f>
        <v>640</v>
      </c>
      <c r="I107" s="16">
        <f>Table11[[#This Row],['#Planted]]*Table11[[#This Row],[USA Allocation %]]</f>
        <v>640</v>
      </c>
      <c r="J107" s="16">
        <f>Table11[[#This Row],[Contract Amendment]]*Table11[[#This Row],[USA Allocation %]]</f>
        <v>0</v>
      </c>
      <c r="K107" s="16">
        <f>Table11[[#This Row],['#Trees as of 12/31/23]]*Table11[[#This Row],[USA Allocation %]]</f>
        <v>0</v>
      </c>
      <c r="L107" s="16">
        <f>Table11[[#This Row],['#Replace 24]]*Table11[[#This Row],[USA Allocation %]]</f>
        <v>0</v>
      </c>
      <c r="M107" s="16">
        <f>IF(Table11[[#This Row],[Planting Year]]=2024,Table11['#Planted],0)</f>
        <v>0</v>
      </c>
      <c r="N107" s="16">
        <f>(Table11[[#This Row],[2024 '#Trees Inventory + Estimate]]*Table11[[#This Row],[USA Allocation %]])-SUM(Table37[[#This Row],['# Trees as of 12/31/23]:[New Trees/Planted in 2024]])</f>
        <v>0</v>
      </c>
      <c r="O107" s="16">
        <f>SUM(Table37[[#This Row],['# Trees as of 12/31/23]:[2024 Tree Losses]])</f>
        <v>0</v>
      </c>
      <c r="P107" s="16">
        <f>SUM(Table37[[#This Row],[Total Trees as of 12/31/24]]-Table37[[#This Row],['# Trees as of 12/31/23]])</f>
        <v>0</v>
      </c>
      <c r="Q107" s="16">
        <f>Table11[[#This Row],['#Total Replacements]]*Table11[[#This Row],[USA Allocation %]]</f>
        <v>0</v>
      </c>
      <c r="R107" s="16">
        <f>IF(Table37[[#This Row],['#Survival based on Inventory]]=0,Table37['#Survival based on Last Year Estimate],Table37['#Survival based on Inventory])</f>
        <v>0</v>
      </c>
      <c r="S107" s="16">
        <f>Table11[[#This Row],['#Planted]]*Table11[[#This Row],[USA Allocation %]]*Table11[[#This Row],[2024 Inventory Survival%-master]]</f>
        <v>0</v>
      </c>
      <c r="T107" s="16">
        <f>Table11[[#This Row],['#Planted]]*Table11[[#This Row],[USA Allocation %]]*Table11[[#This Row],[2024 Estimated Survival%]]</f>
        <v>0</v>
      </c>
      <c r="U107">
        <f>Table11[[#This Row],[ETP Year]]</f>
        <v>2018</v>
      </c>
      <c r="V107">
        <f>Table11[[#This Row],[Planting Year]]</f>
        <v>2019</v>
      </c>
      <c r="W107" s="8">
        <f>Table11[[#This Row],[Survival% as of 12/31/23]]</f>
        <v>0</v>
      </c>
      <c r="X107" s="7">
        <f>Table11[[#This Row],[ETP'#s]]</f>
        <v>1</v>
      </c>
    </row>
    <row r="108" spans="1:24" x14ac:dyDescent="0.25">
      <c r="A108">
        <f>Table11[[#This Row],[Farmer'#]]</f>
        <v>30005</v>
      </c>
      <c r="B108" t="str">
        <f>Table11[[#This Row],[Representative]]</f>
        <v>Jose Antonio Mombiela Mastahinich</v>
      </c>
      <c r="C108" t="str">
        <f>Table11[[#This Row],[Contract Name]]</f>
        <v>Jose Antonio Mombiela Mastahinich</v>
      </c>
      <c r="D108" t="str">
        <f>Table11[[#This Row],[Status]]</f>
        <v>Out of Program</v>
      </c>
      <c r="E108" t="str">
        <f>Table11[[#This Row],[Contract Code]]</f>
        <v>GT0005</v>
      </c>
      <c r="F108" s="16">
        <f>Table11[[#This Row],['#TreesContract]]</f>
        <v>1056</v>
      </c>
      <c r="G108" s="16">
        <f>Table11[[#This Row],['#Planted]]</f>
        <v>1056</v>
      </c>
      <c r="H108" s="16">
        <f>Table11[[#This Row],['#TreesContract]]*Table11[[#This Row],[USA Allocation %]]</f>
        <v>675.99999999999989</v>
      </c>
      <c r="I108" s="16">
        <f>Table11[[#This Row],['#Planted]]*Table11[[#This Row],[USA Allocation %]]</f>
        <v>675.99999999999989</v>
      </c>
      <c r="J108" s="16">
        <f>Table11[[#This Row],[Contract Amendment]]*Table11[[#This Row],[USA Allocation %]]</f>
        <v>0</v>
      </c>
      <c r="K108" s="16">
        <f>Table11[[#This Row],['#Trees as of 12/31/23]]*Table11[[#This Row],[USA Allocation %]]</f>
        <v>0</v>
      </c>
      <c r="L108" s="16">
        <f>Table11[[#This Row],['#Replace 24]]*Table11[[#This Row],[USA Allocation %]]</f>
        <v>0</v>
      </c>
      <c r="M108" s="16">
        <f>IF(Table11[[#This Row],[Planting Year]]=2024,Table11['#Planted],0)</f>
        <v>0</v>
      </c>
      <c r="N108" s="16">
        <f>(Table11[[#This Row],[2024 '#Trees Inventory + Estimate]]*Table11[[#This Row],[USA Allocation %]])-SUM(Table37[[#This Row],['# Trees as of 12/31/23]:[New Trees/Planted in 2024]])</f>
        <v>0</v>
      </c>
      <c r="O108" s="16">
        <f>SUM(Table37[[#This Row],['# Trees as of 12/31/23]:[2024 Tree Losses]])</f>
        <v>0</v>
      </c>
      <c r="P108" s="16">
        <f>SUM(Table37[[#This Row],[Total Trees as of 12/31/24]]-Table37[[#This Row],['# Trees as of 12/31/23]])</f>
        <v>0</v>
      </c>
      <c r="Q108" s="16">
        <f>Table11[[#This Row],['#Total Replacements]]*Table11[[#This Row],[USA Allocation %]]</f>
        <v>0</v>
      </c>
      <c r="R108" s="16">
        <f>IF(Table37[[#This Row],['#Survival based on Inventory]]=0,Table37['#Survival based on Last Year Estimate],Table37['#Survival based on Inventory])</f>
        <v>0</v>
      </c>
      <c r="S108" s="16">
        <f>Table11[[#This Row],['#Planted]]*Table11[[#This Row],[USA Allocation %]]*Table11[[#This Row],[2024 Inventory Survival%-master]]</f>
        <v>0</v>
      </c>
      <c r="T108" s="16">
        <f>Table11[[#This Row],['#Planted]]*Table11[[#This Row],[USA Allocation %]]*Table11[[#This Row],[2024 Estimated Survival%]]</f>
        <v>0</v>
      </c>
      <c r="U108">
        <f>Table11[[#This Row],[ETP Year]]</f>
        <v>2018</v>
      </c>
      <c r="V108">
        <f>Table11[[#This Row],[Planting Year]]</f>
        <v>2019</v>
      </c>
      <c r="W108" s="8">
        <f>Table11[[#This Row],[Survival% as of 12/31/23]]</f>
        <v>0</v>
      </c>
      <c r="X108" s="7">
        <f>Table11[[#This Row],[ETP'#s]]</f>
        <v>1</v>
      </c>
    </row>
    <row r="109" spans="1:24" x14ac:dyDescent="0.25">
      <c r="A109">
        <f>Table11[[#This Row],[Farmer'#]]</f>
        <v>30006</v>
      </c>
      <c r="B109" t="str">
        <f>Table11[[#This Row],[Representative]]</f>
        <v>Luis Fernando Morán Peréz</v>
      </c>
      <c r="C109" t="str">
        <f>Table11[[#This Row],[Contract Name]]</f>
        <v>Luis Fernando Morán Peréz</v>
      </c>
      <c r="D109" t="str">
        <f>Table11[[#This Row],[Status]]</f>
        <v>Active</v>
      </c>
      <c r="E109" t="str">
        <f>Table11[[#This Row],[Contract Code]]</f>
        <v>GT0006</v>
      </c>
      <c r="F109" s="16">
        <f>Table11[[#This Row],['#TreesContract]]</f>
        <v>15000</v>
      </c>
      <c r="G109" s="16">
        <f>Table11[[#This Row],['#Planted]]</f>
        <v>15000</v>
      </c>
      <c r="H109" s="16">
        <f>Table11[[#This Row],['#TreesContract]]*Table11[[#This Row],[USA Allocation %]]</f>
        <v>9600</v>
      </c>
      <c r="I109" s="16">
        <f>Table11[[#This Row],['#Planted]]*Table11[[#This Row],[USA Allocation %]]</f>
        <v>9600</v>
      </c>
      <c r="J109" s="16">
        <f>Table11[[#This Row],[Contract Amendment]]*Table11[[#This Row],[USA Allocation %]]</f>
        <v>0</v>
      </c>
      <c r="K109" s="16">
        <f>Table11[[#This Row],['#Trees as of 12/31/23]]*Table11[[#This Row],[USA Allocation %]]</f>
        <v>4648.6648286860645</v>
      </c>
      <c r="L109" s="16">
        <f>Table11[[#This Row],['#Replace 24]]*Table11[[#This Row],[USA Allocation %]]</f>
        <v>0</v>
      </c>
      <c r="M109" s="16">
        <f>IF(Table11[[#This Row],[Planting Year]]=2024,Table11['#Planted],0)</f>
        <v>0</v>
      </c>
      <c r="N109" s="16">
        <f>(Table11[[#This Row],[2024 '#Trees Inventory + Estimate]]*Table11[[#This Row],[USA Allocation %]])-SUM(Table37[[#This Row],['# Trees as of 12/31/23]:[New Trees/Planted in 2024]])</f>
        <v>0</v>
      </c>
      <c r="O109" s="16">
        <f>SUM(Table37[[#This Row],['# Trees as of 12/31/23]:[2024 Tree Losses]])</f>
        <v>4648.6648286860645</v>
      </c>
      <c r="P109" s="16">
        <f>SUM(Table37[[#This Row],[Total Trees as of 12/31/24]]-Table37[[#This Row],['# Trees as of 12/31/23]])</f>
        <v>0</v>
      </c>
      <c r="Q109" s="16">
        <f>Table11[[#This Row],['#Total Replacements]]*Table11[[#This Row],[USA Allocation %]]</f>
        <v>0</v>
      </c>
      <c r="R109" s="16">
        <f>IF(Table37[[#This Row],['#Survival based on Inventory]]=0,Table37['#Survival based on Last Year Estimate],Table37['#Survival based on Inventory])</f>
        <v>4648.6648286860636</v>
      </c>
      <c r="S109" s="16">
        <f>Table11[[#This Row],['#Planted]]*Table11[[#This Row],[USA Allocation %]]*Table11[[#This Row],[2024 Inventory Survival%-master]]</f>
        <v>0</v>
      </c>
      <c r="T109" s="16">
        <f>Table11[[#This Row],['#Planted]]*Table11[[#This Row],[USA Allocation %]]*Table11[[#This Row],[2024 Estimated Survival%]]</f>
        <v>4648.6648286860636</v>
      </c>
      <c r="U109">
        <f>Table11[[#This Row],[ETP Year]]</f>
        <v>2018</v>
      </c>
      <c r="V109">
        <f>Table11[[#This Row],[Planting Year]]</f>
        <v>2019</v>
      </c>
      <c r="W109" s="8">
        <f>Table11[[#This Row],[Survival% as of 12/31/23]]</f>
        <v>0.48423591965479834</v>
      </c>
      <c r="X109" s="7">
        <f>Table11[[#This Row],[ETP'#s]]</f>
        <v>1</v>
      </c>
    </row>
    <row r="110" spans="1:24" x14ac:dyDescent="0.25">
      <c r="A110">
        <f>Table11[[#This Row],[Farmer'#]]</f>
        <v>30007</v>
      </c>
      <c r="B110" t="str">
        <f>Table11[[#This Row],[Representative]]</f>
        <v>Miguel Roberto Mombiela Bruni</v>
      </c>
      <c r="C110" t="str">
        <f>Table11[[#This Row],[Contract Name]]</f>
        <v>Miguel Roberto Mombiela Bruni</v>
      </c>
      <c r="D110" t="str">
        <f>Table11[[#This Row],[Status]]</f>
        <v>Active</v>
      </c>
      <c r="E110" t="str">
        <f>Table11[[#This Row],[Contract Code]]</f>
        <v>GT0007</v>
      </c>
      <c r="F110" s="16">
        <f>Table11[[#This Row],['#TreesContract]]</f>
        <v>300</v>
      </c>
      <c r="G110" s="16">
        <f>Table11[[#This Row],['#Planted]]</f>
        <v>300</v>
      </c>
      <c r="H110" s="16">
        <f>Table11[[#This Row],['#TreesContract]]*Table11[[#This Row],[USA Allocation %]]</f>
        <v>192</v>
      </c>
      <c r="I110" s="16">
        <f>Table11[[#This Row],['#Planted]]*Table11[[#This Row],[USA Allocation %]]</f>
        <v>192</v>
      </c>
      <c r="J110" s="16">
        <f>Table11[[#This Row],[Contract Amendment]]*Table11[[#This Row],[USA Allocation %]]</f>
        <v>0</v>
      </c>
      <c r="K110" s="16">
        <f>Table11[[#This Row],['#Trees as of 12/31/23]]*Table11[[#This Row],[USA Allocation %]]</f>
        <v>166.66606250666669</v>
      </c>
      <c r="L110" s="16">
        <f>Table11[[#This Row],['#Replace 24]]*Table11[[#This Row],[USA Allocation %]]</f>
        <v>0</v>
      </c>
      <c r="M110" s="16">
        <f>IF(Table11[[#This Row],[Planting Year]]=2024,Table11['#Planted],0)</f>
        <v>0</v>
      </c>
      <c r="N110" s="16">
        <f>(Table11[[#This Row],[2024 '#Trees Inventory + Estimate]]*Table11[[#This Row],[USA Allocation %]])-SUM(Table37[[#This Row],['# Trees as of 12/31/23]:[New Trees/Planted in 2024]])</f>
        <v>0</v>
      </c>
      <c r="O110" s="16">
        <f>SUM(Table37[[#This Row],['# Trees as of 12/31/23]:[2024 Tree Losses]])</f>
        <v>166.66606250666669</v>
      </c>
      <c r="P110" s="16">
        <f>SUM(Table37[[#This Row],[Total Trees as of 12/31/24]]-Table37[[#This Row],['# Trees as of 12/31/23]])</f>
        <v>0</v>
      </c>
      <c r="Q110" s="16">
        <f>Table11[[#This Row],['#Total Replacements]]*Table11[[#This Row],[USA Allocation %]]</f>
        <v>192</v>
      </c>
      <c r="R110" s="16">
        <f>IF(Table37[[#This Row],['#Survival based on Inventory]]=0,Table37['#Survival based on Last Year Estimate],Table37['#Survival based on Inventory])</f>
        <v>166.66606250666666</v>
      </c>
      <c r="S110" s="16">
        <f>Table11[[#This Row],['#Planted]]*Table11[[#This Row],[USA Allocation %]]*Table11[[#This Row],[2024 Inventory Survival%-master]]</f>
        <v>0</v>
      </c>
      <c r="T110" s="16">
        <f>Table11[[#This Row],['#Planted]]*Table11[[#This Row],[USA Allocation %]]*Table11[[#This Row],[2024 Estimated Survival%]]</f>
        <v>166.66606250666666</v>
      </c>
      <c r="U110">
        <f>Table11[[#This Row],[ETP Year]]</f>
        <v>2018</v>
      </c>
      <c r="V110">
        <f>Table11[[#This Row],[Planting Year]]</f>
        <v>2019</v>
      </c>
      <c r="W110" s="8">
        <f>Table11[[#This Row],[Survival% as of 12/31/23]]</f>
        <v>0.8680524088888889</v>
      </c>
      <c r="X110" s="7">
        <f>Table11[[#This Row],[ETP'#s]]</f>
        <v>1</v>
      </c>
    </row>
    <row r="111" spans="1:24" x14ac:dyDescent="0.25">
      <c r="A111">
        <f>Table11[[#This Row],[Farmer'#]]</f>
        <v>30008</v>
      </c>
      <c r="B111" t="str">
        <f>Table11[[#This Row],[Representative]]</f>
        <v>Pablo Antonio Castillo Mastahinich</v>
      </c>
      <c r="C111" t="str">
        <f>Table11[[#This Row],[Contract Name]]</f>
        <v>Pablo Antonio Castillo Mastahinich</v>
      </c>
      <c r="D111" t="str">
        <f>Table11[[#This Row],[Status]]</f>
        <v>Out of Program</v>
      </c>
      <c r="E111" t="str">
        <f>Table11[[#This Row],[Contract Code]]</f>
        <v>GT0008</v>
      </c>
      <c r="F111" s="16">
        <f>Table11[[#This Row],['#TreesContract]]</f>
        <v>1000</v>
      </c>
      <c r="G111" s="16">
        <f>Table11[[#This Row],['#Planted]]</f>
        <v>1000</v>
      </c>
      <c r="H111" s="16">
        <f>Table11[[#This Row],['#TreesContract]]*Table11[[#This Row],[USA Allocation %]]</f>
        <v>640</v>
      </c>
      <c r="I111" s="16">
        <f>Table11[[#This Row],['#Planted]]*Table11[[#This Row],[USA Allocation %]]</f>
        <v>640</v>
      </c>
      <c r="J111" s="16">
        <f>Table11[[#This Row],[Contract Amendment]]*Table11[[#This Row],[USA Allocation %]]</f>
        <v>0</v>
      </c>
      <c r="K111" s="16">
        <f>Table11[[#This Row],['#Trees as of 12/31/23]]*Table11[[#This Row],[USA Allocation %]]</f>
        <v>0</v>
      </c>
      <c r="L111" s="16">
        <f>Table11[[#This Row],['#Replace 24]]*Table11[[#This Row],[USA Allocation %]]</f>
        <v>0</v>
      </c>
      <c r="M111" s="16">
        <f>IF(Table11[[#This Row],[Planting Year]]=2024,Table11['#Planted],0)</f>
        <v>0</v>
      </c>
      <c r="N111" s="16">
        <f>(Table11[[#This Row],[2024 '#Trees Inventory + Estimate]]*Table11[[#This Row],[USA Allocation %]])-SUM(Table37[[#This Row],['# Trees as of 12/31/23]:[New Trees/Planted in 2024]])</f>
        <v>0</v>
      </c>
      <c r="O111" s="16">
        <f>SUM(Table37[[#This Row],['# Trees as of 12/31/23]:[2024 Tree Losses]])</f>
        <v>0</v>
      </c>
      <c r="P111" s="16">
        <f>SUM(Table37[[#This Row],[Total Trees as of 12/31/24]]-Table37[[#This Row],['# Trees as of 12/31/23]])</f>
        <v>0</v>
      </c>
      <c r="Q111" s="16">
        <f>Table11[[#This Row],['#Total Replacements]]*Table11[[#This Row],[USA Allocation %]]</f>
        <v>0</v>
      </c>
      <c r="R111" s="16">
        <f>IF(Table37[[#This Row],['#Survival based on Inventory]]=0,Table37['#Survival based on Last Year Estimate],Table37['#Survival based on Inventory])</f>
        <v>0</v>
      </c>
      <c r="S111" s="16">
        <f>Table11[[#This Row],['#Planted]]*Table11[[#This Row],[USA Allocation %]]*Table11[[#This Row],[2024 Inventory Survival%-master]]</f>
        <v>0</v>
      </c>
      <c r="T111" s="16">
        <f>Table11[[#This Row],['#Planted]]*Table11[[#This Row],[USA Allocation %]]*Table11[[#This Row],[2024 Estimated Survival%]]</f>
        <v>0</v>
      </c>
      <c r="U111">
        <f>Table11[[#This Row],[ETP Year]]</f>
        <v>2018</v>
      </c>
      <c r="V111">
        <f>Table11[[#This Row],[Planting Year]]</f>
        <v>2019</v>
      </c>
      <c r="W111" s="8">
        <f>Table11[[#This Row],[Survival% as of 12/31/23]]</f>
        <v>0</v>
      </c>
      <c r="X111" s="7">
        <f>Table11[[#This Row],[ETP'#s]]</f>
        <v>1</v>
      </c>
    </row>
    <row r="112" spans="1:24" x14ac:dyDescent="0.25">
      <c r="A112">
        <f>Table11[[#This Row],[Farmer'#]]</f>
        <v>30009</v>
      </c>
      <c r="B112" t="str">
        <f>Table11[[#This Row],[Representative]]</f>
        <v xml:space="preserve">Pedro Antonio Mombiela De León </v>
      </c>
      <c r="C112" t="str">
        <f>Table11[[#This Row],[Contract Name]]</f>
        <v xml:space="preserve">Pedro Antonio Mombiela De León </v>
      </c>
      <c r="D112" t="str">
        <f>Table11[[#This Row],[Status]]</f>
        <v>Active</v>
      </c>
      <c r="E112" t="str">
        <f>Table11[[#This Row],[Contract Code]]</f>
        <v>GT0009</v>
      </c>
      <c r="F112" s="16">
        <f>Table11[[#This Row],['#TreesContract]]</f>
        <v>550</v>
      </c>
      <c r="G112" s="16">
        <f>Table11[[#This Row],['#Planted]]</f>
        <v>550</v>
      </c>
      <c r="H112" s="16">
        <f>Table11[[#This Row],['#TreesContract]]*Table11[[#This Row],[USA Allocation %]]</f>
        <v>352</v>
      </c>
      <c r="I112" s="16">
        <f>Table11[[#This Row],['#Planted]]*Table11[[#This Row],[USA Allocation %]]</f>
        <v>352</v>
      </c>
      <c r="J112" s="16">
        <f>Table11[[#This Row],[Contract Amendment]]*Table11[[#This Row],[USA Allocation %]]</f>
        <v>0</v>
      </c>
      <c r="K112" s="16">
        <f>Table11[[#This Row],['#Trees as of 12/31/23]]*Table11[[#This Row],[USA Allocation %]]</f>
        <v>287.92580464761903</v>
      </c>
      <c r="L112" s="16">
        <f>Table11[[#This Row],['#Replace 24]]*Table11[[#This Row],[USA Allocation %]]</f>
        <v>0</v>
      </c>
      <c r="M112" s="16">
        <f>IF(Table11[[#This Row],[Planting Year]]=2024,Table11['#Planted],0)</f>
        <v>0</v>
      </c>
      <c r="N112" s="16">
        <f>(Table11[[#This Row],[2024 '#Trees Inventory + Estimate]]*Table11[[#This Row],[USA Allocation %]])-SUM(Table37[[#This Row],['# Trees as of 12/31/23]:[New Trees/Planted in 2024]])</f>
        <v>0</v>
      </c>
      <c r="O112" s="16">
        <f>SUM(Table37[[#This Row],['# Trees as of 12/31/23]:[2024 Tree Losses]])</f>
        <v>287.92580464761903</v>
      </c>
      <c r="P112" s="16">
        <f>SUM(Table37[[#This Row],[Total Trees as of 12/31/24]]-Table37[[#This Row],['# Trees as of 12/31/23]])</f>
        <v>0</v>
      </c>
      <c r="Q112" s="16">
        <f>Table11[[#This Row],['#Total Replacements]]*Table11[[#This Row],[USA Allocation %]]</f>
        <v>352</v>
      </c>
      <c r="R112" s="16">
        <f>IF(Table37[[#This Row],['#Survival based on Inventory]]=0,Table37['#Survival based on Last Year Estimate],Table37['#Survival based on Inventory])</f>
        <v>287.92580464761903</v>
      </c>
      <c r="S112" s="16">
        <f>Table11[[#This Row],['#Planted]]*Table11[[#This Row],[USA Allocation %]]*Table11[[#This Row],[2024 Inventory Survival%-master]]</f>
        <v>0</v>
      </c>
      <c r="T112" s="16">
        <f>Table11[[#This Row],['#Planted]]*Table11[[#This Row],[USA Allocation %]]*Table11[[#This Row],[2024 Estimated Survival%]]</f>
        <v>287.92580464761903</v>
      </c>
      <c r="U112">
        <f>Table11[[#This Row],[ETP Year]]</f>
        <v>2018</v>
      </c>
      <c r="V112">
        <f>Table11[[#This Row],[Planting Year]]</f>
        <v>2019</v>
      </c>
      <c r="W112" s="8">
        <f>Table11[[#This Row],[Survival% as of 12/31/23]]</f>
        <v>0.81797103593073583</v>
      </c>
      <c r="X112" s="7">
        <f>Table11[[#This Row],[ETP'#s]]</f>
        <v>1</v>
      </c>
    </row>
    <row r="113" spans="1:24" x14ac:dyDescent="0.25">
      <c r="A113">
        <f>Table11[[#This Row],[Farmer'#]]</f>
        <v>30010</v>
      </c>
      <c r="B113" t="str">
        <f>Table11[[#This Row],[Representative]]</f>
        <v>Pedro Maximiliano Mombiela De Leon</v>
      </c>
      <c r="C113" t="str">
        <f>Table11[[#This Row],[Contract Name]]</f>
        <v>Pedro Maximiliano Mombiela De Leon</v>
      </c>
      <c r="D113" t="str">
        <f>Table11[[#This Row],[Status]]</f>
        <v>Out of Program</v>
      </c>
      <c r="E113" t="str">
        <f>Table11[[#This Row],[Contract Code]]</f>
        <v>GT0010</v>
      </c>
      <c r="F113" s="16">
        <f>Table11[[#This Row],['#TreesContract]]</f>
        <v>1000</v>
      </c>
      <c r="G113" s="16">
        <f>Table11[[#This Row],['#Planted]]</f>
        <v>0</v>
      </c>
      <c r="H113" s="16">
        <f>Table11[[#This Row],['#TreesContract]]*Table11[[#This Row],[USA Allocation %]]</f>
        <v>1000</v>
      </c>
      <c r="I113" s="16">
        <f>Table11[[#This Row],['#Planted]]*Table11[[#This Row],[USA Allocation %]]</f>
        <v>0</v>
      </c>
      <c r="J113" s="16">
        <f>Table11[[#This Row],[Contract Amendment]]*Table11[[#This Row],[USA Allocation %]]</f>
        <v>0</v>
      </c>
      <c r="K113" s="16">
        <f>Table11[[#This Row],['#Trees as of 12/31/23]]*Table11[[#This Row],[USA Allocation %]]</f>
        <v>0</v>
      </c>
      <c r="L113" s="16">
        <f>Table11[[#This Row],['#Replace 24]]*Table11[[#This Row],[USA Allocation %]]</f>
        <v>0</v>
      </c>
      <c r="M113" s="16">
        <f>IF(Table11[[#This Row],[Planting Year]]=2024,Table11['#Planted],0)</f>
        <v>0</v>
      </c>
      <c r="N113" s="16">
        <f>(Table11[[#This Row],[2024 '#Trees Inventory + Estimate]]*Table11[[#This Row],[USA Allocation %]])-SUM(Table37[[#This Row],['# Trees as of 12/31/23]:[New Trees/Planted in 2024]])</f>
        <v>0</v>
      </c>
      <c r="O113" s="16">
        <f>SUM(Table37[[#This Row],['# Trees as of 12/31/23]:[2024 Tree Losses]])</f>
        <v>0</v>
      </c>
      <c r="P113" s="16">
        <f>SUM(Table37[[#This Row],[Total Trees as of 12/31/24]]-Table37[[#This Row],['# Trees as of 12/31/23]])</f>
        <v>0</v>
      </c>
      <c r="Q113" s="16">
        <f>Table11[[#This Row],['#Total Replacements]]*Table11[[#This Row],[USA Allocation %]]</f>
        <v>0</v>
      </c>
      <c r="R113" s="16">
        <f>IF(Table37[[#This Row],['#Survival based on Inventory]]=0,Table37['#Survival based on Last Year Estimate],Table37['#Survival based on Inventory])</f>
        <v>0</v>
      </c>
      <c r="S113" s="16">
        <f>Table11[[#This Row],['#Planted]]*Table11[[#This Row],[USA Allocation %]]*Table11[[#This Row],[2024 Inventory Survival%-master]]</f>
        <v>0</v>
      </c>
      <c r="T113" s="16">
        <f>Table11[[#This Row],['#Planted]]*Table11[[#This Row],[USA Allocation %]]*Table11[[#This Row],[2024 Estimated Survival%]]</f>
        <v>0</v>
      </c>
      <c r="U113">
        <f>Table11[[#This Row],[ETP Year]]</f>
        <v>2018</v>
      </c>
      <c r="V113">
        <f>Table11[[#This Row],[Planting Year]]</f>
        <v>2019</v>
      </c>
      <c r="W113" s="8">
        <f>Table11[[#This Row],[Survival% as of 12/31/23]]</f>
        <v>0</v>
      </c>
      <c r="X113" s="7">
        <f>Table11[[#This Row],[ETP'#s]]</f>
        <v>0</v>
      </c>
    </row>
    <row r="114" spans="1:24" x14ac:dyDescent="0.25">
      <c r="A114">
        <f>Table11[[#This Row],[Farmer'#]]</f>
        <v>30011</v>
      </c>
      <c r="B114" t="str">
        <f>Table11[[#This Row],[Representative]]</f>
        <v xml:space="preserve">Erick Cienfuegos </v>
      </c>
      <c r="C114" t="str">
        <f>Table11[[#This Row],[Contract Name]]</f>
        <v>Rudy Israel Cienfuegos Cordón</v>
      </c>
      <c r="D114" t="str">
        <f>Table11[[#This Row],[Status]]</f>
        <v>RFT</v>
      </c>
      <c r="E114" t="str">
        <f>Table11[[#This Row],[Contract Code]]</f>
        <v>GT0011</v>
      </c>
      <c r="F114" s="16">
        <f>Table11[[#This Row],['#TreesContract]]</f>
        <v>1000</v>
      </c>
      <c r="G114" s="16">
        <f>Table11[[#This Row],['#Planted]]</f>
        <v>1000</v>
      </c>
      <c r="H114" s="16">
        <f>Table11[[#This Row],['#TreesContract]]*Table11[[#This Row],[USA Allocation %]]</f>
        <v>640</v>
      </c>
      <c r="I114" s="16">
        <f>Table11[[#This Row],['#Planted]]*Table11[[#This Row],[USA Allocation %]]</f>
        <v>640</v>
      </c>
      <c r="J114" s="16">
        <f>Table11[[#This Row],[Contract Amendment]]*Table11[[#This Row],[USA Allocation %]]</f>
        <v>0</v>
      </c>
      <c r="K114" s="16">
        <f>Table11[[#This Row],['#Trees as of 12/31/23]]*Table11[[#This Row],[USA Allocation %]]</f>
        <v>117.81818181818183</v>
      </c>
      <c r="L114" s="16">
        <f>Table11[[#This Row],['#Replace 24]]*Table11[[#This Row],[USA Allocation %]]</f>
        <v>0</v>
      </c>
      <c r="M114" s="16">
        <f>IF(Table11[[#This Row],[Planting Year]]=2024,Table11['#Planted],0)</f>
        <v>0</v>
      </c>
      <c r="N114" s="16">
        <f>(Table11[[#This Row],[2024 '#Trees Inventory + Estimate]]*Table11[[#This Row],[USA Allocation %]])-SUM(Table37[[#This Row],['# Trees as of 12/31/23]:[New Trees/Planted in 2024]])</f>
        <v>0</v>
      </c>
      <c r="O114" s="16">
        <f>SUM(Table37[[#This Row],['# Trees as of 12/31/23]:[2024 Tree Losses]])</f>
        <v>117.81818181818183</v>
      </c>
      <c r="P114" s="16">
        <f>SUM(Table37[[#This Row],[Total Trees as of 12/31/24]]-Table37[[#This Row],['# Trees as of 12/31/23]])</f>
        <v>0</v>
      </c>
      <c r="Q114" s="16">
        <f>Table11[[#This Row],['#Total Replacements]]*Table11[[#This Row],[USA Allocation %]]</f>
        <v>0</v>
      </c>
      <c r="R114" s="16">
        <f>IF(Table37[[#This Row],['#Survival based on Inventory]]=0,Table37['#Survival based on Last Year Estimate],Table37['#Survival based on Inventory])</f>
        <v>117.81818181818181</v>
      </c>
      <c r="S114" s="16">
        <f>Table11[[#This Row],['#Planted]]*Table11[[#This Row],[USA Allocation %]]*Table11[[#This Row],[2024 Inventory Survival%-master]]</f>
        <v>0</v>
      </c>
      <c r="T114" s="16">
        <f>Table11[[#This Row],['#Planted]]*Table11[[#This Row],[USA Allocation %]]*Table11[[#This Row],[2024 Estimated Survival%]]</f>
        <v>117.81818181818181</v>
      </c>
      <c r="U114">
        <f>Table11[[#This Row],[ETP Year]]</f>
        <v>2018</v>
      </c>
      <c r="V114">
        <f>Table11[[#This Row],[Planting Year]]</f>
        <v>2019</v>
      </c>
      <c r="W114" s="8">
        <f>Table11[[#This Row],[Survival% as of 12/31/23]]</f>
        <v>0.18409090909090908</v>
      </c>
      <c r="X114" s="7">
        <f>Table11[[#This Row],[ETP'#s]]</f>
        <v>1</v>
      </c>
    </row>
    <row r="115" spans="1:24" x14ac:dyDescent="0.25">
      <c r="A115">
        <f>Table11[[#This Row],[Farmer'#]]</f>
        <v>40001</v>
      </c>
      <c r="B115" t="str">
        <f>Table11[[#This Row],[Representative]]</f>
        <v>Jose Angel Hurtado Márquez</v>
      </c>
      <c r="C115" t="str">
        <f>Table11[[#This Row],[Contract Name]]</f>
        <v>Jose Angel Hurtado Márquez</v>
      </c>
      <c r="D115" t="str">
        <f>Table11[[#This Row],[Status]]</f>
        <v>Out of Program</v>
      </c>
      <c r="E115" t="str">
        <f>Table11[[#This Row],[Contract Code]]</f>
        <v>MX0001</v>
      </c>
      <c r="F115" s="16">
        <f>Table11[[#This Row],['#TreesContract]]</f>
        <v>5000</v>
      </c>
      <c r="G115" s="16">
        <f>Table11[[#This Row],['#Planted]]</f>
        <v>5000</v>
      </c>
      <c r="H115" s="16">
        <f>Table11[[#This Row],['#TreesContract]]*Table11[[#This Row],[USA Allocation %]]</f>
        <v>3200</v>
      </c>
      <c r="I115" s="16">
        <f>Table11[[#This Row],['#Planted]]*Table11[[#This Row],[USA Allocation %]]</f>
        <v>3200</v>
      </c>
      <c r="J115" s="16">
        <f>Table11[[#This Row],[Contract Amendment]]*Table11[[#This Row],[USA Allocation %]]</f>
        <v>0</v>
      </c>
      <c r="K115" s="16">
        <f>Table11[[#This Row],['#Trees as of 12/31/23]]*Table11[[#This Row],[USA Allocation %]]</f>
        <v>0</v>
      </c>
      <c r="L115" s="16">
        <f>Table11[[#This Row],['#Replace 24]]*Table11[[#This Row],[USA Allocation %]]</f>
        <v>0</v>
      </c>
      <c r="M115" s="16">
        <f>IF(Table11[[#This Row],[Planting Year]]=2024,Table11['#Planted],0)</f>
        <v>0</v>
      </c>
      <c r="N115" s="16">
        <f>(Table11[[#This Row],[2024 '#Trees Inventory + Estimate]]*Table11[[#This Row],[USA Allocation %]])-SUM(Table37[[#This Row],['# Trees as of 12/31/23]:[New Trees/Planted in 2024]])</f>
        <v>0</v>
      </c>
      <c r="O115" s="16">
        <f>SUM(Table37[[#This Row],['# Trees as of 12/31/23]:[2024 Tree Losses]])</f>
        <v>0</v>
      </c>
      <c r="P115" s="16">
        <f>SUM(Table37[[#This Row],[Total Trees as of 12/31/24]]-Table37[[#This Row],['# Trees as of 12/31/23]])</f>
        <v>0</v>
      </c>
      <c r="Q115" s="16">
        <f>Table11[[#This Row],['#Total Replacements]]*Table11[[#This Row],[USA Allocation %]]</f>
        <v>0</v>
      </c>
      <c r="R115" s="16">
        <f>IF(Table37[[#This Row],['#Survival based on Inventory]]=0,Table37['#Survival based on Last Year Estimate],Table37['#Survival based on Inventory])</f>
        <v>0</v>
      </c>
      <c r="S115" s="16">
        <f>Table11[[#This Row],['#Planted]]*Table11[[#This Row],[USA Allocation %]]*Table11[[#This Row],[2024 Inventory Survival%-master]]</f>
        <v>0</v>
      </c>
      <c r="T115" s="16">
        <f>Table11[[#This Row],['#Planted]]*Table11[[#This Row],[USA Allocation %]]*Table11[[#This Row],[2024 Estimated Survival%]]</f>
        <v>0</v>
      </c>
      <c r="U115">
        <f>Table11[[#This Row],[ETP Year]]</f>
        <v>2018</v>
      </c>
      <c r="V115">
        <f>Table11[[#This Row],[Planting Year]]</f>
        <v>2019</v>
      </c>
      <c r="W115" s="8">
        <f>Table11[[#This Row],[Survival% as of 12/31/23]]</f>
        <v>0</v>
      </c>
      <c r="X115" s="7">
        <f>Table11[[#This Row],[ETP'#s]]</f>
        <v>1</v>
      </c>
    </row>
    <row r="116" spans="1:24" x14ac:dyDescent="0.25">
      <c r="A116">
        <f>Table11[[#This Row],[Farmer'#]]</f>
        <v>40002</v>
      </c>
      <c r="B116" t="str">
        <f>Table11[[#This Row],[Representative]]</f>
        <v>José Francisco Sánchez Rojas</v>
      </c>
      <c r="C116" t="str">
        <f>Table11[[#This Row],[Contract Name]]</f>
        <v>José Francisco Sánchez Rojas</v>
      </c>
      <c r="D116" t="str">
        <f>Table11[[#This Row],[Status]]</f>
        <v>Out of Program</v>
      </c>
      <c r="E116" t="str">
        <f>Table11[[#This Row],[Contract Code]]</f>
        <v>MX0002</v>
      </c>
      <c r="F116" s="16">
        <f>Table11[[#This Row],['#TreesContract]]</f>
        <v>2000</v>
      </c>
      <c r="G116" s="16">
        <f>Table11[[#This Row],['#Planted]]</f>
        <v>2000</v>
      </c>
      <c r="H116" s="16">
        <f>Table11[[#This Row],['#TreesContract]]*Table11[[#This Row],[USA Allocation %]]</f>
        <v>1280</v>
      </c>
      <c r="I116" s="16">
        <f>Table11[[#This Row],['#Planted]]*Table11[[#This Row],[USA Allocation %]]</f>
        <v>1280</v>
      </c>
      <c r="J116" s="16">
        <f>Table11[[#This Row],[Contract Amendment]]*Table11[[#This Row],[USA Allocation %]]</f>
        <v>0</v>
      </c>
      <c r="K116" s="16">
        <f>Table11[[#This Row],['#Trees as of 12/31/23]]*Table11[[#This Row],[USA Allocation %]]</f>
        <v>0</v>
      </c>
      <c r="L116" s="16">
        <f>Table11[[#This Row],['#Replace 24]]*Table11[[#This Row],[USA Allocation %]]</f>
        <v>0</v>
      </c>
      <c r="M116" s="16">
        <f>IF(Table11[[#This Row],[Planting Year]]=2024,Table11['#Planted],0)</f>
        <v>0</v>
      </c>
      <c r="N116" s="16">
        <f>(Table11[[#This Row],[2024 '#Trees Inventory + Estimate]]*Table11[[#This Row],[USA Allocation %]])-SUM(Table37[[#This Row],['# Trees as of 12/31/23]:[New Trees/Planted in 2024]])</f>
        <v>0</v>
      </c>
      <c r="O116" s="16">
        <f>SUM(Table37[[#This Row],['# Trees as of 12/31/23]:[2024 Tree Losses]])</f>
        <v>0</v>
      </c>
      <c r="P116" s="16">
        <f>SUM(Table37[[#This Row],[Total Trees as of 12/31/24]]-Table37[[#This Row],['# Trees as of 12/31/23]])</f>
        <v>0</v>
      </c>
      <c r="Q116" s="16">
        <f>Table11[[#This Row],['#Total Replacements]]*Table11[[#This Row],[USA Allocation %]]</f>
        <v>0</v>
      </c>
      <c r="R116" s="16">
        <f>IF(Table37[[#This Row],['#Survival based on Inventory]]=0,Table37['#Survival based on Last Year Estimate],Table37['#Survival based on Inventory])</f>
        <v>0</v>
      </c>
      <c r="S116" s="16">
        <f>Table11[[#This Row],['#Planted]]*Table11[[#This Row],[USA Allocation %]]*Table11[[#This Row],[2024 Inventory Survival%-master]]</f>
        <v>0</v>
      </c>
      <c r="T116" s="16">
        <f>Table11[[#This Row],['#Planted]]*Table11[[#This Row],[USA Allocation %]]*Table11[[#This Row],[2024 Estimated Survival%]]</f>
        <v>0</v>
      </c>
      <c r="U116">
        <f>Table11[[#This Row],[ETP Year]]</f>
        <v>2018</v>
      </c>
      <c r="V116">
        <f>Table11[[#This Row],[Planting Year]]</f>
        <v>2019</v>
      </c>
      <c r="W116" s="8">
        <f>Table11[[#This Row],[Survival% as of 12/31/23]]</f>
        <v>0</v>
      </c>
      <c r="X116" s="7">
        <f>Table11[[#This Row],[ETP'#s]]</f>
        <v>1</v>
      </c>
    </row>
    <row r="117" spans="1:24" x14ac:dyDescent="0.25">
      <c r="A117">
        <f>Table11[[#This Row],[Farmer'#]]</f>
        <v>10030</v>
      </c>
      <c r="B117" t="str">
        <f>Table11[[#This Row],[Representative]]</f>
        <v>Billy Whittaker</v>
      </c>
      <c r="C117" t="str">
        <f>Table11[[#This Row],[Contract Name]]</f>
        <v>Billy Whittaker</v>
      </c>
      <c r="D117" t="str">
        <f>Table11[[#This Row],[Status]]</f>
        <v>Active</v>
      </c>
      <c r="E117" t="str">
        <f>Table11[[#This Row],[Contract Code]]</f>
        <v>US0056</v>
      </c>
      <c r="F117" s="16">
        <f>Table11[[#This Row],['#TreesContract]]</f>
        <v>1320</v>
      </c>
      <c r="G117" s="16">
        <f>Table11[[#This Row],['#Planted]]</f>
        <v>1320</v>
      </c>
      <c r="H117" s="16">
        <f>Table11[[#This Row],['#TreesContract]]*Table11[[#This Row],[USA Allocation %]]</f>
        <v>1320</v>
      </c>
      <c r="I117" s="16">
        <f>Table11[[#This Row],['#Planted]]*Table11[[#This Row],[USA Allocation %]]</f>
        <v>1320</v>
      </c>
      <c r="J117" s="16">
        <f>Table11[[#This Row],[Contract Amendment]]*Table11[[#This Row],[USA Allocation %]]</f>
        <v>0</v>
      </c>
      <c r="K117" s="16">
        <f>Table11[[#This Row],['#Trees as of 12/31/23]]*Table11[[#This Row],[USA Allocation %]]</f>
        <v>1320</v>
      </c>
      <c r="L117" s="16">
        <f>Table11[[#This Row],['#Replace 24]]*Table11[[#This Row],[USA Allocation %]]</f>
        <v>0</v>
      </c>
      <c r="M117" s="16">
        <f>IF(Table11[[#This Row],[Planting Year]]=2024,Table11['#Planted],0)</f>
        <v>0</v>
      </c>
      <c r="N117" s="16">
        <f>(Table11[[#This Row],[2024 '#Trees Inventory + Estimate]]*Table11[[#This Row],[USA Allocation %]])-SUM(Table37[[#This Row],['# Trees as of 12/31/23]:[New Trees/Planted in 2024]])</f>
        <v>-51</v>
      </c>
      <c r="O117" s="16">
        <f>SUM(Table37[[#This Row],['# Trees as of 12/31/23]:[2024 Tree Losses]])</f>
        <v>1269</v>
      </c>
      <c r="P117" s="16">
        <f>SUM(Table37[[#This Row],[Total Trees as of 12/31/24]]-Table37[[#This Row],['# Trees as of 12/31/23]])</f>
        <v>-51</v>
      </c>
      <c r="Q117" s="16">
        <f>Table11[[#This Row],['#Total Replacements]]*Table11[[#This Row],[USA Allocation %]]</f>
        <v>928</v>
      </c>
      <c r="R117" s="16">
        <f>IF(Table37[[#This Row],['#Survival based on Inventory]]=0,Table37['#Survival based on Last Year Estimate],Table37['#Survival based on Inventory])</f>
        <v>1268.52</v>
      </c>
      <c r="S117" s="16">
        <f>Table11[[#This Row],['#Planted]]*Table11[[#This Row],[USA Allocation %]]*Table11[[#This Row],[2024 Inventory Survival%-master]]</f>
        <v>1268.52</v>
      </c>
      <c r="T117" s="16">
        <f>Table11[[#This Row],['#Planted]]*Table11[[#This Row],[USA Allocation %]]*Table11[[#This Row],[2024 Estimated Survival%]]</f>
        <v>1268.52</v>
      </c>
      <c r="U117">
        <f>Table11[[#This Row],[ETP Year]]</f>
        <v>2018</v>
      </c>
      <c r="V117">
        <f>Table11[[#This Row],[Planting Year]]</f>
        <v>2020</v>
      </c>
      <c r="W117" s="8">
        <f>Table11[[#This Row],[Survival% as of 12/31/23]]</f>
        <v>1</v>
      </c>
      <c r="X117" s="7">
        <f>Table11[[#This Row],[ETP'#s]]</f>
        <v>1</v>
      </c>
    </row>
    <row r="118" spans="1:24" x14ac:dyDescent="0.25">
      <c r="A118">
        <f>Table11[[#This Row],[Farmer'#]]</f>
        <v>10033</v>
      </c>
      <c r="B118" t="str">
        <f>Table11[[#This Row],[Representative]]</f>
        <v>David Chang</v>
      </c>
      <c r="C118" t="str">
        <f>Table11[[#This Row],[Contract Name]]</f>
        <v>David Chang</v>
      </c>
      <c r="D118" t="str">
        <f>Table11[[#This Row],[Status]]</f>
        <v>Active</v>
      </c>
      <c r="E118" t="str">
        <f>Table11[[#This Row],[Contract Code]]</f>
        <v>US0062</v>
      </c>
      <c r="F118" s="16">
        <f>Table11[[#This Row],['#TreesContract]]</f>
        <v>550</v>
      </c>
      <c r="G118" s="16">
        <f>Table11[[#This Row],['#Planted]]</f>
        <v>550</v>
      </c>
      <c r="H118" s="16">
        <f>Table11[[#This Row],['#TreesContract]]*Table11[[#This Row],[USA Allocation %]]</f>
        <v>550</v>
      </c>
      <c r="I118" s="16">
        <f>Table11[[#This Row],['#Planted]]*Table11[[#This Row],[USA Allocation %]]</f>
        <v>550</v>
      </c>
      <c r="J118" s="16">
        <f>Table11[[#This Row],[Contract Amendment]]*Table11[[#This Row],[USA Allocation %]]</f>
        <v>0</v>
      </c>
      <c r="K118" s="16">
        <f>Table11[[#This Row],['#Trees as of 12/31/23]]*Table11[[#This Row],[USA Allocation %]]</f>
        <v>453.75</v>
      </c>
      <c r="L118" s="16">
        <f>Table11[[#This Row],['#Replace 24]]*Table11[[#This Row],[USA Allocation %]]</f>
        <v>0</v>
      </c>
      <c r="M118" s="16">
        <f>IF(Table11[[#This Row],[Planting Year]]=2024,Table11['#Planted],0)</f>
        <v>0</v>
      </c>
      <c r="N118" s="16">
        <f>(Table11[[#This Row],[2024 '#Trees Inventory + Estimate]]*Table11[[#This Row],[USA Allocation %]])-SUM(Table37[[#This Row],['# Trees as of 12/31/23]:[New Trees/Planted in 2024]])</f>
        <v>35.25</v>
      </c>
      <c r="O118" s="16">
        <f>SUM(Table37[[#This Row],['# Trees as of 12/31/23]:[2024 Tree Losses]])</f>
        <v>489</v>
      </c>
      <c r="P118" s="16">
        <f>SUM(Table37[[#This Row],[Total Trees as of 12/31/24]]-Table37[[#This Row],['# Trees as of 12/31/23]])</f>
        <v>35.25</v>
      </c>
      <c r="Q118" s="16">
        <f>Table11[[#This Row],['#Total Replacements]]*Table11[[#This Row],[USA Allocation %]]</f>
        <v>128</v>
      </c>
      <c r="R118" s="16">
        <f>IF(Table37[[#This Row],['#Survival based on Inventory]]=0,Table37['#Survival based on Last Year Estimate],Table37['#Survival based on Inventory])</f>
        <v>488.95</v>
      </c>
      <c r="S118" s="16">
        <f>Table11[[#This Row],['#Planted]]*Table11[[#This Row],[USA Allocation %]]*Table11[[#This Row],[2024 Inventory Survival%-master]]</f>
        <v>488.95</v>
      </c>
      <c r="T118" s="16">
        <f>Table11[[#This Row],['#Planted]]*Table11[[#This Row],[USA Allocation %]]*Table11[[#This Row],[2024 Estimated Survival%]]</f>
        <v>489.5</v>
      </c>
      <c r="U118">
        <f>Table11[[#This Row],[ETP Year]]</f>
        <v>2020</v>
      </c>
      <c r="V118">
        <f>Table11[[#This Row],[Planting Year]]</f>
        <v>2020</v>
      </c>
      <c r="W118" s="8">
        <f>Table11[[#This Row],[Survival% as of 12/31/23]]</f>
        <v>0.82499999999999996</v>
      </c>
      <c r="X118" s="7">
        <f>Table11[[#This Row],[ETP'#s]]</f>
        <v>1</v>
      </c>
    </row>
    <row r="119" spans="1:24" x14ac:dyDescent="0.25">
      <c r="A119">
        <f>Table11[[#This Row],[Farmer'#]]</f>
        <v>10035</v>
      </c>
      <c r="B119" t="str">
        <f>Table11[[#This Row],[Representative]]</f>
        <v>Derek Bass</v>
      </c>
      <c r="C119" t="str">
        <f>Table11[[#This Row],[Contract Name]]</f>
        <v>Derek Bass</v>
      </c>
      <c r="D119" t="str">
        <f>Table11[[#This Row],[Status]]</f>
        <v>Active</v>
      </c>
      <c r="E119" t="str">
        <f>Table11[[#This Row],[Contract Code]]</f>
        <v>US0063</v>
      </c>
      <c r="F119" s="16">
        <f>Table11[[#This Row],['#TreesContract]]</f>
        <v>440</v>
      </c>
      <c r="G119" s="16">
        <f>Table11[[#This Row],['#Planted]]</f>
        <v>440</v>
      </c>
      <c r="H119" s="16">
        <f>Table11[[#This Row],['#TreesContract]]*Table11[[#This Row],[USA Allocation %]]</f>
        <v>440</v>
      </c>
      <c r="I119" s="16">
        <f>Table11[[#This Row],['#Planted]]*Table11[[#This Row],[USA Allocation %]]</f>
        <v>440</v>
      </c>
      <c r="J119" s="16">
        <f>Table11[[#This Row],[Contract Amendment]]*Table11[[#This Row],[USA Allocation %]]</f>
        <v>0</v>
      </c>
      <c r="K119" s="16">
        <f>Table11[[#This Row],['#Trees as of 12/31/23]]*Table11[[#This Row],[USA Allocation %]]</f>
        <v>338</v>
      </c>
      <c r="L119" s="16">
        <f>Table11[[#This Row],['#Replace 24]]*Table11[[#This Row],[USA Allocation %]]</f>
        <v>0</v>
      </c>
      <c r="M119" s="16">
        <f>IF(Table11[[#This Row],[Planting Year]]=2024,Table11['#Planted],0)</f>
        <v>0</v>
      </c>
      <c r="N119" s="16">
        <f>(Table11[[#This Row],[2024 '#Trees Inventory + Estimate]]*Table11[[#This Row],[USA Allocation %]])-SUM(Table37[[#This Row],['# Trees as of 12/31/23]:[New Trees/Planted in 2024]])</f>
        <v>-158</v>
      </c>
      <c r="O119" s="16">
        <f>SUM(Table37[[#This Row],['# Trees as of 12/31/23]:[2024 Tree Losses]])</f>
        <v>180</v>
      </c>
      <c r="P119" s="16">
        <f>SUM(Table37[[#This Row],[Total Trees as of 12/31/24]]-Table37[[#This Row],['# Trees as of 12/31/23]])</f>
        <v>-158</v>
      </c>
      <c r="Q119" s="16">
        <f>Table11[[#This Row],['#Total Replacements]]*Table11[[#This Row],[USA Allocation %]]</f>
        <v>88</v>
      </c>
      <c r="R119" s="16">
        <f>IF(Table37[[#This Row],['#Survival based on Inventory]]=0,Table37['#Survival based on Last Year Estimate],Table37['#Survival based on Inventory])</f>
        <v>179.95999999999998</v>
      </c>
      <c r="S119" s="16">
        <f>Table11[[#This Row],['#Planted]]*Table11[[#This Row],[USA Allocation %]]*Table11[[#This Row],[2024 Inventory Survival%-master]]</f>
        <v>179.95999999999998</v>
      </c>
      <c r="T119" s="16">
        <f>Table11[[#This Row],['#Planted]]*Table11[[#This Row],[USA Allocation %]]*Table11[[#This Row],[2024 Estimated Survival%]]</f>
        <v>180.39999999999998</v>
      </c>
      <c r="U119">
        <f>Table11[[#This Row],[ETP Year]]</f>
        <v>2020</v>
      </c>
      <c r="V119">
        <f>Table11[[#This Row],[Planting Year]]</f>
        <v>2020</v>
      </c>
      <c r="W119" s="8">
        <f>Table11[[#This Row],[Survival% as of 12/31/23]]</f>
        <v>0.76818181818181819</v>
      </c>
      <c r="X119" s="7">
        <f>Table11[[#This Row],[ETP'#s]]</f>
        <v>1</v>
      </c>
    </row>
    <row r="120" spans="1:24" x14ac:dyDescent="0.25">
      <c r="A120">
        <f>Table11[[#This Row],[Farmer'#]]</f>
        <v>10042</v>
      </c>
      <c r="B120" t="str">
        <f>Table11[[#This Row],[Representative]]</f>
        <v>Steven Whittaker</v>
      </c>
      <c r="C120" t="str">
        <f>Table11[[#This Row],[Contract Name]]</f>
        <v>Janet Whittaker</v>
      </c>
      <c r="D120" t="str">
        <f>Table11[[#This Row],[Status]]</f>
        <v>Active</v>
      </c>
      <c r="E120" t="str">
        <f>Table11[[#This Row],[Contract Code]]</f>
        <v>US0086</v>
      </c>
      <c r="F120" s="16">
        <f>Table11[[#This Row],['#TreesContract]]</f>
        <v>380</v>
      </c>
      <c r="G120" s="16">
        <f>Table11[[#This Row],['#Planted]]</f>
        <v>380</v>
      </c>
      <c r="H120" s="16">
        <f>Table11[[#This Row],['#TreesContract]]*Table11[[#This Row],[USA Allocation %]]</f>
        <v>380</v>
      </c>
      <c r="I120" s="16">
        <f>Table11[[#This Row],['#Planted]]*Table11[[#This Row],[USA Allocation %]]</f>
        <v>380</v>
      </c>
      <c r="J120" s="16">
        <f>Table11[[#This Row],[Contract Amendment]]*Table11[[#This Row],[USA Allocation %]]</f>
        <v>0</v>
      </c>
      <c r="K120" s="16">
        <f>Table11[[#This Row],['#Trees as of 12/31/23]]*Table11[[#This Row],[USA Allocation %]]</f>
        <v>380</v>
      </c>
      <c r="L120" s="16">
        <f>Table11[[#This Row],['#Replace 24]]*Table11[[#This Row],[USA Allocation %]]</f>
        <v>0</v>
      </c>
      <c r="M120" s="16">
        <f>IF(Table11[[#This Row],[Planting Year]]=2024,Table11['#Planted],0)</f>
        <v>0</v>
      </c>
      <c r="N120" s="16">
        <f>(Table11[[#This Row],[2024 '#Trees Inventory + Estimate]]*Table11[[#This Row],[USA Allocation %]])-SUM(Table37[[#This Row],['# Trees as of 12/31/23]:[New Trees/Planted in 2024]])</f>
        <v>-25</v>
      </c>
      <c r="O120" s="16">
        <f>SUM(Table37[[#This Row],['# Trees as of 12/31/23]:[2024 Tree Losses]])</f>
        <v>355</v>
      </c>
      <c r="P120" s="16">
        <f>SUM(Table37[[#This Row],[Total Trees as of 12/31/24]]-Table37[[#This Row],['# Trees as of 12/31/23]])</f>
        <v>-25</v>
      </c>
      <c r="Q120" s="16">
        <f>Table11[[#This Row],['#Total Replacements]]*Table11[[#This Row],[USA Allocation %]]</f>
        <v>106</v>
      </c>
      <c r="R120" s="16">
        <f>IF(Table37[[#This Row],['#Survival based on Inventory]]=0,Table37['#Survival based on Last Year Estimate],Table37['#Survival based on Inventory])</f>
        <v>354.54</v>
      </c>
      <c r="S120" s="16">
        <f>Table11[[#This Row],['#Planted]]*Table11[[#This Row],[USA Allocation %]]*Table11[[#This Row],[2024 Inventory Survival%-master]]</f>
        <v>354.54</v>
      </c>
      <c r="T120" s="16">
        <f>Table11[[#This Row],['#Planted]]*Table11[[#This Row],[USA Allocation %]]*Table11[[#This Row],[2024 Estimated Survival%]]</f>
        <v>353.40000000000003</v>
      </c>
      <c r="U120">
        <f>Table11[[#This Row],[ETP Year]]</f>
        <v>2020</v>
      </c>
      <c r="V120">
        <f>Table11[[#This Row],[Planting Year]]</f>
        <v>2020</v>
      </c>
      <c r="W120" s="8">
        <f>Table11[[#This Row],[Survival% as of 12/31/23]]</f>
        <v>1</v>
      </c>
      <c r="X120" s="7">
        <f>Table11[[#This Row],[ETP'#s]]</f>
        <v>1</v>
      </c>
    </row>
    <row r="121" spans="1:24" x14ac:dyDescent="0.25">
      <c r="A121">
        <f>Table11[[#This Row],[Farmer'#]]</f>
        <v>10042</v>
      </c>
      <c r="B121" t="str">
        <f>Table11[[#This Row],[Representative]]</f>
        <v>Steven Whittaker</v>
      </c>
      <c r="C121" t="str">
        <f>Table11[[#This Row],[Contract Name]]</f>
        <v>Steven Whittaker</v>
      </c>
      <c r="D121" t="str">
        <f>Table11[[#This Row],[Status]]</f>
        <v>Active</v>
      </c>
      <c r="E121" t="str">
        <f>Table11[[#This Row],[Contract Code]]</f>
        <v>US0087</v>
      </c>
      <c r="F121" s="16">
        <f>Table11[[#This Row],['#TreesContract]]</f>
        <v>1100</v>
      </c>
      <c r="G121" s="16">
        <f>Table11[[#This Row],['#Planted]]</f>
        <v>1100</v>
      </c>
      <c r="H121" s="16">
        <f>Table11[[#This Row],['#TreesContract]]*Table11[[#This Row],[USA Allocation %]]</f>
        <v>1100</v>
      </c>
      <c r="I121" s="16">
        <f>Table11[[#This Row],['#Planted]]*Table11[[#This Row],[USA Allocation %]]</f>
        <v>1100</v>
      </c>
      <c r="J121" s="16">
        <f>Table11[[#This Row],[Contract Amendment]]*Table11[[#This Row],[USA Allocation %]]</f>
        <v>0</v>
      </c>
      <c r="K121" s="16">
        <f>Table11[[#This Row],['#Trees as of 12/31/23]]*Table11[[#This Row],[USA Allocation %]]</f>
        <v>1100</v>
      </c>
      <c r="L121" s="16">
        <f>Table11[[#This Row],['#Replace 24]]*Table11[[#This Row],[USA Allocation %]]</f>
        <v>0</v>
      </c>
      <c r="M121" s="16">
        <f>IF(Table11[[#This Row],[Planting Year]]=2024,Table11['#Planted],0)</f>
        <v>0</v>
      </c>
      <c r="N121" s="16">
        <f>(Table11[[#This Row],[2024 '#Trees Inventory + Estimate]]*Table11[[#This Row],[USA Allocation %]])-SUM(Table37[[#This Row],['# Trees as of 12/31/23]:[New Trees/Planted in 2024]])</f>
        <v>-96</v>
      </c>
      <c r="O121" s="16">
        <f>SUM(Table37[[#This Row],['# Trees as of 12/31/23]:[2024 Tree Losses]])</f>
        <v>1004</v>
      </c>
      <c r="P121" s="16">
        <f>SUM(Table37[[#This Row],[Total Trees as of 12/31/24]]-Table37[[#This Row],['# Trees as of 12/31/23]])</f>
        <v>-96</v>
      </c>
      <c r="Q121" s="16">
        <f>Table11[[#This Row],['#Total Replacements]]*Table11[[#This Row],[USA Allocation %]]</f>
        <v>1230</v>
      </c>
      <c r="R121" s="16">
        <f>IF(Table37[[#This Row],['#Survival based on Inventory]]=0,Table37['#Survival based on Last Year Estimate],Table37['#Survival based on Inventory])</f>
        <v>1004.3000000000001</v>
      </c>
      <c r="S121" s="16">
        <f>Table11[[#This Row],['#Planted]]*Table11[[#This Row],[USA Allocation %]]*Table11[[#This Row],[2024 Inventory Survival%-master]]</f>
        <v>1004.3000000000001</v>
      </c>
      <c r="T121" s="16">
        <f>Table11[[#This Row],['#Planted]]*Table11[[#This Row],[USA Allocation %]]*Table11[[#This Row],[2024 Estimated Survival%]]</f>
        <v>1001</v>
      </c>
      <c r="U121">
        <f>Table11[[#This Row],[ETP Year]]</f>
        <v>2020</v>
      </c>
      <c r="V121">
        <f>Table11[[#This Row],[Planting Year]]</f>
        <v>2020</v>
      </c>
      <c r="W121" s="8">
        <f>Table11[[#This Row],[Survival% as of 12/31/23]]</f>
        <v>1</v>
      </c>
      <c r="X121" s="7">
        <f>Table11[[#This Row],[ETP'#s]]</f>
        <v>1</v>
      </c>
    </row>
    <row r="122" spans="1:24" x14ac:dyDescent="0.25">
      <c r="A122">
        <f>Table11[[#This Row],[Farmer'#]]</f>
        <v>10045</v>
      </c>
      <c r="B122" t="str">
        <f>Table11[[#This Row],[Representative]]</f>
        <v>Andy Youngblood</v>
      </c>
      <c r="C122" t="str">
        <f>Table11[[#This Row],[Contract Name]]</f>
        <v>Andy Youngblood</v>
      </c>
      <c r="D122" t="str">
        <f>Table11[[#This Row],[Status]]</f>
        <v>Active</v>
      </c>
      <c r="E122" t="str">
        <f>Table11[[#This Row],[Contract Code]]</f>
        <v>US0052</v>
      </c>
      <c r="F122" s="16">
        <f>Table11[[#This Row],['#TreesContract]]</f>
        <v>1100</v>
      </c>
      <c r="G122" s="16">
        <f>Table11[[#This Row],['#Planted]]</f>
        <v>1100</v>
      </c>
      <c r="H122" s="16">
        <f>Table11[[#This Row],['#TreesContract]]*Table11[[#This Row],[USA Allocation %]]</f>
        <v>1100</v>
      </c>
      <c r="I122" s="16">
        <f>Table11[[#This Row],['#Planted]]*Table11[[#This Row],[USA Allocation %]]</f>
        <v>1100</v>
      </c>
      <c r="J122" s="16">
        <f>Table11[[#This Row],[Contract Amendment]]*Table11[[#This Row],[USA Allocation %]]</f>
        <v>0</v>
      </c>
      <c r="K122" s="16">
        <f>Table11[[#This Row],['#Trees as of 12/31/23]]*Table11[[#This Row],[USA Allocation %]]</f>
        <v>907.5</v>
      </c>
      <c r="L122" s="16">
        <f>Table11[[#This Row],['#Replace 24]]*Table11[[#This Row],[USA Allocation %]]</f>
        <v>0</v>
      </c>
      <c r="M122" s="16">
        <f>IF(Table11[[#This Row],[Planting Year]]=2024,Table11['#Planted],0)</f>
        <v>0</v>
      </c>
      <c r="N122" s="16">
        <f>(Table11[[#This Row],[2024 '#Trees Inventory + Estimate]]*Table11[[#This Row],[USA Allocation %]])-SUM(Table37[[#This Row],['# Trees as of 12/31/23]:[New Trees/Planted in 2024]])</f>
        <v>0</v>
      </c>
      <c r="O122" s="16">
        <f>SUM(Table37[[#This Row],['# Trees as of 12/31/23]:[2024 Tree Losses]])</f>
        <v>907.5</v>
      </c>
      <c r="P122" s="16">
        <f>SUM(Table37[[#This Row],[Total Trees as of 12/31/24]]-Table37[[#This Row],['# Trees as of 12/31/23]])</f>
        <v>0</v>
      </c>
      <c r="Q122" s="16">
        <f>Table11[[#This Row],['#Total Replacements]]*Table11[[#This Row],[USA Allocation %]]</f>
        <v>400</v>
      </c>
      <c r="R122" s="16">
        <f>IF(Table37[[#This Row],['#Survival based on Inventory]]=0,Table37['#Survival based on Last Year Estimate],Table37['#Survival based on Inventory])</f>
        <v>907.5</v>
      </c>
      <c r="S122" s="16">
        <f>Table11[[#This Row],['#Planted]]*Table11[[#This Row],[USA Allocation %]]*Table11[[#This Row],[2024 Inventory Survival%-master]]</f>
        <v>0</v>
      </c>
      <c r="T122" s="16">
        <f>Table11[[#This Row],['#Planted]]*Table11[[#This Row],[USA Allocation %]]*Table11[[#This Row],[2024 Estimated Survival%]]</f>
        <v>907.5</v>
      </c>
      <c r="U122">
        <f>Table11[[#This Row],[ETP Year]]</f>
        <v>2020</v>
      </c>
      <c r="V122">
        <f>Table11[[#This Row],[Planting Year]]</f>
        <v>2020</v>
      </c>
      <c r="W122" s="8">
        <f>Table11[[#This Row],[Survival% as of 12/31/23]]</f>
        <v>0.82499999999999996</v>
      </c>
      <c r="X122" s="7">
        <f>Table11[[#This Row],[ETP'#s]]</f>
        <v>1</v>
      </c>
    </row>
    <row r="123" spans="1:24" x14ac:dyDescent="0.25">
      <c r="A123">
        <f>Table11[[#This Row],[Farmer'#]]</f>
        <v>10046</v>
      </c>
      <c r="B123" t="str">
        <f>Table11[[#This Row],[Representative]]</f>
        <v>Anthony Cowart</v>
      </c>
      <c r="C123" t="str">
        <f>Table11[[#This Row],[Contract Name]]</f>
        <v>Jimmy A Cowart, Steve Anthony Cowart, and Christy Cowart Murphy</v>
      </c>
      <c r="D123" t="str">
        <f>Table11[[#This Row],[Status]]</f>
        <v>Out of Program</v>
      </c>
      <c r="E123" t="str">
        <f>Table11[[#This Row],[Contract Code]]</f>
        <v>US0053</v>
      </c>
      <c r="F123" s="16">
        <f>Table11[[#This Row],['#TreesContract]]</f>
        <v>3300</v>
      </c>
      <c r="G123" s="16">
        <f>Table11[[#This Row],['#Planted]]</f>
        <v>3300</v>
      </c>
      <c r="H123" s="16">
        <f>Table11[[#This Row],['#TreesContract]]*Table11[[#This Row],[USA Allocation %]]</f>
        <v>3300</v>
      </c>
      <c r="I123" s="16">
        <f>Table11[[#This Row],['#Planted]]*Table11[[#This Row],[USA Allocation %]]</f>
        <v>3300</v>
      </c>
      <c r="J123" s="16">
        <f>Table11[[#This Row],[Contract Amendment]]*Table11[[#This Row],[USA Allocation %]]</f>
        <v>0</v>
      </c>
      <c r="K123" s="16">
        <f>Table11[[#This Row],['#Trees as of 12/31/23]]*Table11[[#This Row],[USA Allocation %]]</f>
        <v>0</v>
      </c>
      <c r="L123" s="16">
        <f>Table11[[#This Row],['#Replace 24]]*Table11[[#This Row],[USA Allocation %]]</f>
        <v>0</v>
      </c>
      <c r="M123" s="16">
        <f>IF(Table11[[#This Row],[Planting Year]]=2024,Table11['#Planted],0)</f>
        <v>0</v>
      </c>
      <c r="N123" s="16">
        <f>(Table11[[#This Row],[2024 '#Trees Inventory + Estimate]]*Table11[[#This Row],[USA Allocation %]])-SUM(Table37[[#This Row],['# Trees as of 12/31/23]:[New Trees/Planted in 2024]])</f>
        <v>0</v>
      </c>
      <c r="O123" s="16">
        <f>SUM(Table37[[#This Row],['# Trees as of 12/31/23]:[2024 Tree Losses]])</f>
        <v>0</v>
      </c>
      <c r="P123" s="16">
        <f>SUM(Table37[[#This Row],[Total Trees as of 12/31/24]]-Table37[[#This Row],['# Trees as of 12/31/23]])</f>
        <v>0</v>
      </c>
      <c r="Q123" s="16">
        <f>Table11[[#This Row],['#Total Replacements]]*Table11[[#This Row],[USA Allocation %]]</f>
        <v>1661</v>
      </c>
      <c r="R123" s="16">
        <f>IF(Table37[[#This Row],['#Survival based on Inventory]]=0,Table37['#Survival based on Last Year Estimate],Table37['#Survival based on Inventory])</f>
        <v>0</v>
      </c>
      <c r="S123" s="16">
        <f>Table11[[#This Row],['#Planted]]*Table11[[#This Row],[USA Allocation %]]*Table11[[#This Row],[2024 Inventory Survival%-master]]</f>
        <v>0</v>
      </c>
      <c r="T123" s="16">
        <f>Table11[[#This Row],['#Planted]]*Table11[[#This Row],[USA Allocation %]]*Table11[[#This Row],[2024 Estimated Survival%]]</f>
        <v>0</v>
      </c>
      <c r="U123">
        <f>Table11[[#This Row],[ETP Year]]</f>
        <v>2020</v>
      </c>
      <c r="V123">
        <f>Table11[[#This Row],[Planting Year]]</f>
        <v>2020</v>
      </c>
      <c r="W123" s="8">
        <f>Table11[[#This Row],[Survival% as of 12/31/23]]</f>
        <v>0</v>
      </c>
      <c r="X123" s="7">
        <f>Table11[[#This Row],[ETP'#s]]</f>
        <v>1</v>
      </c>
    </row>
    <row r="124" spans="1:24" x14ac:dyDescent="0.25">
      <c r="A124">
        <f>Table11[[#This Row],[Farmer'#]]</f>
        <v>10047</v>
      </c>
      <c r="B124" t="str">
        <f>Table11[[#This Row],[Representative]]</f>
        <v>William Franklin</v>
      </c>
      <c r="C124" t="str">
        <f>Table11[[#This Row],[Contract Name]]</f>
        <v>William Franklin</v>
      </c>
      <c r="D124" t="str">
        <f>Table11[[#This Row],[Status]]</f>
        <v>Active</v>
      </c>
      <c r="E124" t="str">
        <f>Table11[[#This Row],[Contract Code]]</f>
        <v>US0054</v>
      </c>
      <c r="F124" s="16">
        <f>Table11[[#This Row],['#TreesContract]]</f>
        <v>1100</v>
      </c>
      <c r="G124" s="16">
        <f>Table11[[#This Row],['#Planted]]</f>
        <v>1100</v>
      </c>
      <c r="H124" s="16">
        <f>Table11[[#This Row],['#TreesContract]]*Table11[[#This Row],[USA Allocation %]]</f>
        <v>1100</v>
      </c>
      <c r="I124" s="16">
        <f>Table11[[#This Row],['#Planted]]*Table11[[#This Row],[USA Allocation %]]</f>
        <v>1100</v>
      </c>
      <c r="J124" s="16">
        <f>Table11[[#This Row],[Contract Amendment]]*Table11[[#This Row],[USA Allocation %]]</f>
        <v>0</v>
      </c>
      <c r="K124" s="16">
        <f>Table11[[#This Row],['#Trees as of 12/31/23]]*Table11[[#This Row],[USA Allocation %]]</f>
        <v>1100</v>
      </c>
      <c r="L124" s="16">
        <f>Table11[[#This Row],['#Replace 24]]*Table11[[#This Row],[USA Allocation %]]</f>
        <v>0</v>
      </c>
      <c r="M124" s="16">
        <f>IF(Table11[[#This Row],[Planting Year]]=2024,Table11['#Planted],0)</f>
        <v>0</v>
      </c>
      <c r="N124" s="16">
        <f>(Table11[[#This Row],[2024 '#Trees Inventory + Estimate]]*Table11[[#This Row],[USA Allocation %]])-SUM(Table37[[#This Row],['# Trees as of 12/31/23]:[New Trees/Planted in 2024]])</f>
        <v>0</v>
      </c>
      <c r="O124" s="16">
        <f>SUM(Table37[[#This Row],['# Trees as of 12/31/23]:[2024 Tree Losses]])</f>
        <v>1100</v>
      </c>
      <c r="P124" s="16">
        <f>SUM(Table37[[#This Row],[Total Trees as of 12/31/24]]-Table37[[#This Row],['# Trees as of 12/31/23]])</f>
        <v>0</v>
      </c>
      <c r="Q124" s="16">
        <f>Table11[[#This Row],['#Total Replacements]]*Table11[[#This Row],[USA Allocation %]]</f>
        <v>750</v>
      </c>
      <c r="R124" s="16">
        <f>IF(Table37[[#This Row],['#Survival based on Inventory]]=0,Table37['#Survival based on Last Year Estimate],Table37['#Survival based on Inventory])</f>
        <v>1100</v>
      </c>
      <c r="S124" s="16">
        <f>Table11[[#This Row],['#Planted]]*Table11[[#This Row],[USA Allocation %]]*Table11[[#This Row],[2024 Inventory Survival%-master]]</f>
        <v>0</v>
      </c>
      <c r="T124" s="16">
        <f>Table11[[#This Row],['#Planted]]*Table11[[#This Row],[USA Allocation %]]*Table11[[#This Row],[2024 Estimated Survival%]]</f>
        <v>1100</v>
      </c>
      <c r="U124">
        <f>Table11[[#This Row],[ETP Year]]</f>
        <v>2020</v>
      </c>
      <c r="V124">
        <f>Table11[[#This Row],[Planting Year]]</f>
        <v>2020</v>
      </c>
      <c r="W124" s="8">
        <f>Table11[[#This Row],[Survival% as of 12/31/23]]</f>
        <v>1</v>
      </c>
      <c r="X124" s="7">
        <f>Table11[[#This Row],[ETP'#s]]</f>
        <v>1</v>
      </c>
    </row>
    <row r="125" spans="1:24" x14ac:dyDescent="0.25">
      <c r="A125">
        <f>Table11[[#This Row],[Farmer'#]]</f>
        <v>10048</v>
      </c>
      <c r="B125" t="str">
        <f>Table11[[#This Row],[Representative]]</f>
        <v>Billy Strange</v>
      </c>
      <c r="C125" t="str">
        <f>Table11[[#This Row],[Contract Name]]</f>
        <v>Billy Strange</v>
      </c>
      <c r="D125" t="str">
        <f>Table11[[#This Row],[Status]]</f>
        <v>Active</v>
      </c>
      <c r="E125" t="str">
        <f>Table11[[#This Row],[Contract Code]]</f>
        <v>US0055</v>
      </c>
      <c r="F125" s="16">
        <f>Table11[[#This Row],['#TreesContract]]</f>
        <v>500</v>
      </c>
      <c r="G125" s="16">
        <f>Table11[[#This Row],['#Planted]]</f>
        <v>500</v>
      </c>
      <c r="H125" s="16">
        <f>Table11[[#This Row],['#TreesContract]]*Table11[[#This Row],[USA Allocation %]]</f>
        <v>500</v>
      </c>
      <c r="I125" s="16">
        <f>Table11[[#This Row],['#Planted]]*Table11[[#This Row],[USA Allocation %]]</f>
        <v>500</v>
      </c>
      <c r="J125" s="16">
        <f>Table11[[#This Row],[Contract Amendment]]*Table11[[#This Row],[USA Allocation %]]</f>
        <v>0</v>
      </c>
      <c r="K125" s="16">
        <f>Table11[[#This Row],['#Trees as of 12/31/23]]*Table11[[#This Row],[USA Allocation %]]</f>
        <v>500</v>
      </c>
      <c r="L125" s="16">
        <f>Table11[[#This Row],['#Replace 24]]*Table11[[#This Row],[USA Allocation %]]</f>
        <v>0</v>
      </c>
      <c r="M125" s="16">
        <f>IF(Table11[[#This Row],[Planting Year]]=2024,Table11['#Planted],0)</f>
        <v>0</v>
      </c>
      <c r="N125" s="16">
        <f>(Table11[[#This Row],[2024 '#Trees Inventory + Estimate]]*Table11[[#This Row],[USA Allocation %]])-SUM(Table37[[#This Row],['# Trees as of 12/31/23]:[New Trees/Planted in 2024]])</f>
        <v>0</v>
      </c>
      <c r="O125" s="16">
        <f>SUM(Table37[[#This Row],['# Trees as of 12/31/23]:[2024 Tree Losses]])</f>
        <v>500</v>
      </c>
      <c r="P125" s="16">
        <f>SUM(Table37[[#This Row],[Total Trees as of 12/31/24]]-Table37[[#This Row],['# Trees as of 12/31/23]])</f>
        <v>0</v>
      </c>
      <c r="Q125" s="16">
        <f>Table11[[#This Row],['#Total Replacements]]*Table11[[#This Row],[USA Allocation %]]</f>
        <v>380</v>
      </c>
      <c r="R125" s="16">
        <f>IF(Table37[[#This Row],['#Survival based on Inventory]]=0,Table37['#Survival based on Last Year Estimate],Table37['#Survival based on Inventory])</f>
        <v>500</v>
      </c>
      <c r="S125" s="16">
        <f>Table11[[#This Row],['#Planted]]*Table11[[#This Row],[USA Allocation %]]*Table11[[#This Row],[2024 Inventory Survival%-master]]</f>
        <v>0</v>
      </c>
      <c r="T125" s="16">
        <f>Table11[[#This Row],['#Planted]]*Table11[[#This Row],[USA Allocation %]]*Table11[[#This Row],[2024 Estimated Survival%]]</f>
        <v>500</v>
      </c>
      <c r="U125">
        <f>Table11[[#This Row],[ETP Year]]</f>
        <v>2020</v>
      </c>
      <c r="V125">
        <f>Table11[[#This Row],[Planting Year]]</f>
        <v>2020</v>
      </c>
      <c r="W125" s="8">
        <f>Table11[[#This Row],[Survival% as of 12/31/23]]</f>
        <v>1</v>
      </c>
      <c r="X125" s="7">
        <f>Table11[[#This Row],[ETP'#s]]</f>
        <v>1</v>
      </c>
    </row>
    <row r="126" spans="1:24" x14ac:dyDescent="0.25">
      <c r="A126">
        <f>Table11[[#This Row],[Farmer'#]]</f>
        <v>10049</v>
      </c>
      <c r="B126" t="str">
        <f>Table11[[#This Row],[Representative]]</f>
        <v>Carl Womack</v>
      </c>
      <c r="C126" t="str">
        <f>Table11[[#This Row],[Contract Name]]</f>
        <v>Carl Womack</v>
      </c>
      <c r="D126" t="str">
        <f>Table11[[#This Row],[Status]]</f>
        <v>Active</v>
      </c>
      <c r="E126" t="str">
        <f>Table11[[#This Row],[Contract Code]]</f>
        <v>US0057</v>
      </c>
      <c r="F126" s="16">
        <f>Table11[[#This Row],['#TreesContract]]</f>
        <v>1650</v>
      </c>
      <c r="G126" s="16">
        <f>Table11[[#This Row],['#Planted]]</f>
        <v>1650</v>
      </c>
      <c r="H126" s="16">
        <f>Table11[[#This Row],['#TreesContract]]*Table11[[#This Row],[USA Allocation %]]</f>
        <v>1650</v>
      </c>
      <c r="I126" s="16">
        <f>Table11[[#This Row],['#Planted]]*Table11[[#This Row],[USA Allocation %]]</f>
        <v>1650</v>
      </c>
      <c r="J126" s="16">
        <f>Table11[[#This Row],[Contract Amendment]]*Table11[[#This Row],[USA Allocation %]]</f>
        <v>0</v>
      </c>
      <c r="K126" s="16">
        <f>Table11[[#This Row],['#Trees as of 12/31/23]]*Table11[[#This Row],[USA Allocation %]]</f>
        <v>1650</v>
      </c>
      <c r="L126" s="16">
        <f>Table11[[#This Row],['#Replace 24]]*Table11[[#This Row],[USA Allocation %]]</f>
        <v>0</v>
      </c>
      <c r="M126" s="16">
        <f>IF(Table11[[#This Row],[Planting Year]]=2024,Table11['#Planted],0)</f>
        <v>0</v>
      </c>
      <c r="N126" s="16">
        <f>(Table11[[#This Row],[2024 '#Trees Inventory + Estimate]]*Table11[[#This Row],[USA Allocation %]])-SUM(Table37[[#This Row],['# Trees as of 12/31/23]:[New Trees/Planted in 2024]])</f>
        <v>-59</v>
      </c>
      <c r="O126" s="16">
        <f>SUM(Table37[[#This Row],['# Trees as of 12/31/23]:[2024 Tree Losses]])</f>
        <v>1591</v>
      </c>
      <c r="P126" s="16">
        <f>SUM(Table37[[#This Row],[Total Trees as of 12/31/24]]-Table37[[#This Row],['# Trees as of 12/31/23]])</f>
        <v>-59</v>
      </c>
      <c r="Q126" s="16">
        <f>Table11[[#This Row],['#Total Replacements]]*Table11[[#This Row],[USA Allocation %]]</f>
        <v>1180</v>
      </c>
      <c r="R126" s="16">
        <f>IF(Table37[[#This Row],['#Survival based on Inventory]]=0,Table37['#Survival based on Last Year Estimate],Table37['#Survival based on Inventory])</f>
        <v>1590.6</v>
      </c>
      <c r="S126" s="16">
        <f>Table11[[#This Row],['#Planted]]*Table11[[#This Row],[USA Allocation %]]*Table11[[#This Row],[2024 Inventory Survival%-master]]</f>
        <v>1590.6</v>
      </c>
      <c r="T126" s="16">
        <f>Table11[[#This Row],['#Planted]]*Table11[[#This Row],[USA Allocation %]]*Table11[[#This Row],[2024 Estimated Survival%]]</f>
        <v>1590.6</v>
      </c>
      <c r="U126">
        <f>Table11[[#This Row],[ETP Year]]</f>
        <v>2020</v>
      </c>
      <c r="V126">
        <f>Table11[[#This Row],[Planting Year]]</f>
        <v>2020</v>
      </c>
      <c r="W126" s="8">
        <f>Table11[[#This Row],[Survival% as of 12/31/23]]</f>
        <v>1</v>
      </c>
      <c r="X126" s="7">
        <f>Table11[[#This Row],[ETP'#s]]</f>
        <v>1</v>
      </c>
    </row>
    <row r="127" spans="1:24" x14ac:dyDescent="0.25">
      <c r="A127">
        <f>Table11[[#This Row],[Farmer'#]]</f>
        <v>10050</v>
      </c>
      <c r="B127" t="str">
        <f>Table11[[#This Row],[Representative]]</f>
        <v>Chad Payne</v>
      </c>
      <c r="C127" t="str">
        <f>Table11[[#This Row],[Contract Name]]</f>
        <v>Chadwin Payne</v>
      </c>
      <c r="D127" t="str">
        <f>Table11[[#This Row],[Status]]</f>
        <v>Active</v>
      </c>
      <c r="E127" t="str">
        <f>Table11[[#This Row],[Contract Code]]</f>
        <v>US0058</v>
      </c>
      <c r="F127" s="16">
        <f>Table11[[#This Row],['#TreesContract]]</f>
        <v>1100</v>
      </c>
      <c r="G127" s="16">
        <f>Table11[[#This Row],['#Planted]]</f>
        <v>1100</v>
      </c>
      <c r="H127" s="16">
        <f>Table11[[#This Row],['#TreesContract]]*Table11[[#This Row],[USA Allocation %]]</f>
        <v>1100</v>
      </c>
      <c r="I127" s="16">
        <f>Table11[[#This Row],['#Planted]]*Table11[[#This Row],[USA Allocation %]]</f>
        <v>1100</v>
      </c>
      <c r="J127" s="16">
        <f>Table11[[#This Row],[Contract Amendment]]*Table11[[#This Row],[USA Allocation %]]</f>
        <v>0</v>
      </c>
      <c r="K127" s="16">
        <f>Table11[[#This Row],['#Trees as of 12/31/23]]*Table11[[#This Row],[USA Allocation %]]</f>
        <v>1087</v>
      </c>
      <c r="L127" s="16">
        <f>Table11[[#This Row],['#Replace 24]]*Table11[[#This Row],[USA Allocation %]]</f>
        <v>0</v>
      </c>
      <c r="M127" s="16">
        <f>IF(Table11[[#This Row],[Planting Year]]=2024,Table11['#Planted],0)</f>
        <v>0</v>
      </c>
      <c r="N127" s="16">
        <f>(Table11[[#This Row],[2024 '#Trees Inventory + Estimate]]*Table11[[#This Row],[USA Allocation %]])-SUM(Table37[[#This Row],['# Trees as of 12/31/23]:[New Trees/Planted in 2024]])</f>
        <v>0</v>
      </c>
      <c r="O127" s="16">
        <f>SUM(Table37[[#This Row],['# Trees as of 12/31/23]:[2024 Tree Losses]])</f>
        <v>1087</v>
      </c>
      <c r="P127" s="16">
        <f>SUM(Table37[[#This Row],[Total Trees as of 12/31/24]]-Table37[[#This Row],['# Trees as of 12/31/23]])</f>
        <v>0</v>
      </c>
      <c r="Q127" s="16">
        <f>Table11[[#This Row],['#Total Replacements]]*Table11[[#This Row],[USA Allocation %]]</f>
        <v>441</v>
      </c>
      <c r="R127" s="16">
        <f>IF(Table37[[#This Row],['#Survival based on Inventory]]=0,Table37['#Survival based on Last Year Estimate],Table37['#Survival based on Inventory])</f>
        <v>1092.3</v>
      </c>
      <c r="S127" s="16">
        <f>Table11[[#This Row],['#Planted]]*Table11[[#This Row],[USA Allocation %]]*Table11[[#This Row],[2024 Inventory Survival%-master]]</f>
        <v>0</v>
      </c>
      <c r="T127" s="16">
        <f>Table11[[#This Row],['#Planted]]*Table11[[#This Row],[USA Allocation %]]*Table11[[#This Row],[2024 Estimated Survival%]]</f>
        <v>1092.3</v>
      </c>
      <c r="U127">
        <f>Table11[[#This Row],[ETP Year]]</f>
        <v>2020</v>
      </c>
      <c r="V127">
        <f>Table11[[#This Row],[Planting Year]]</f>
        <v>2020</v>
      </c>
      <c r="W127" s="8">
        <f>Table11[[#This Row],[Survival% as of 12/31/23]]</f>
        <v>0.98818181818181816</v>
      </c>
      <c r="X127" s="7">
        <f>Table11[[#This Row],[ETP'#s]]</f>
        <v>1</v>
      </c>
    </row>
    <row r="128" spans="1:24" x14ac:dyDescent="0.25">
      <c r="A128">
        <f>Table11[[#This Row],[Farmer'#]]</f>
        <v>10051</v>
      </c>
      <c r="B128" t="str">
        <f>Table11[[#This Row],[Representative]]</f>
        <v>Dale Ratliff</v>
      </c>
      <c r="C128" t="str">
        <f>Table11[[#This Row],[Contract Name]]</f>
        <v>W.D. Ratliff</v>
      </c>
      <c r="D128" t="str">
        <f>Table11[[#This Row],[Status]]</f>
        <v>Active</v>
      </c>
      <c r="E128" t="str">
        <f>Table11[[#This Row],[Contract Code]]</f>
        <v>US0059</v>
      </c>
      <c r="F128" s="16">
        <f>Table11[[#This Row],['#TreesContract]]</f>
        <v>1360</v>
      </c>
      <c r="G128" s="16">
        <f>Table11[[#This Row],['#Planted]]</f>
        <v>1360</v>
      </c>
      <c r="H128" s="16">
        <f>Table11[[#This Row],['#TreesContract]]*Table11[[#This Row],[USA Allocation %]]</f>
        <v>1360</v>
      </c>
      <c r="I128" s="16">
        <f>Table11[[#This Row],['#Planted]]*Table11[[#This Row],[USA Allocation %]]</f>
        <v>1360</v>
      </c>
      <c r="J128" s="16">
        <f>Table11[[#This Row],[Contract Amendment]]*Table11[[#This Row],[USA Allocation %]]</f>
        <v>0</v>
      </c>
      <c r="K128" s="16">
        <f>Table11[[#This Row],['#Trees as of 12/31/23]]*Table11[[#This Row],[USA Allocation %]]</f>
        <v>1360</v>
      </c>
      <c r="L128" s="16">
        <f>Table11[[#This Row],['#Replace 24]]*Table11[[#This Row],[USA Allocation %]]</f>
        <v>0</v>
      </c>
      <c r="M128" s="16">
        <f>IF(Table11[[#This Row],[Planting Year]]=2024,Table11['#Planted],0)</f>
        <v>0</v>
      </c>
      <c r="N128" s="16">
        <f>(Table11[[#This Row],[2024 '#Trees Inventory + Estimate]]*Table11[[#This Row],[USA Allocation %]])-SUM(Table37[[#This Row],['# Trees as of 12/31/23]:[New Trees/Planted in 2024]])</f>
        <v>-10</v>
      </c>
      <c r="O128" s="16">
        <f>SUM(Table37[[#This Row],['# Trees as of 12/31/23]:[2024 Tree Losses]])</f>
        <v>1350</v>
      </c>
      <c r="P128" s="16">
        <f>SUM(Table37[[#This Row],[Total Trees as of 12/31/24]]-Table37[[#This Row],['# Trees as of 12/31/23]])</f>
        <v>-10</v>
      </c>
      <c r="Q128" s="16">
        <f>Table11[[#This Row],['#Total Replacements]]*Table11[[#This Row],[USA Allocation %]]</f>
        <v>541</v>
      </c>
      <c r="R128" s="16">
        <f>IF(Table37[[#This Row],['#Survival based on Inventory]]=0,Table37['#Survival based on Last Year Estimate],Table37['#Survival based on Inventory])</f>
        <v>1350.48</v>
      </c>
      <c r="S128" s="16">
        <f>Table11[[#This Row],['#Planted]]*Table11[[#This Row],[USA Allocation %]]*Table11[[#This Row],[2024 Inventory Survival%-master]]</f>
        <v>1350.48</v>
      </c>
      <c r="T128" s="16">
        <f>Table11[[#This Row],['#Planted]]*Table11[[#This Row],[USA Allocation %]]*Table11[[#This Row],[2024 Estimated Survival%]]</f>
        <v>1346.4</v>
      </c>
      <c r="U128">
        <f>Table11[[#This Row],[ETP Year]]</f>
        <v>2020</v>
      </c>
      <c r="V128">
        <f>Table11[[#This Row],[Planting Year]]</f>
        <v>2020</v>
      </c>
      <c r="W128" s="8">
        <f>Table11[[#This Row],[Survival% as of 12/31/23]]</f>
        <v>1</v>
      </c>
      <c r="X128" s="7">
        <f>Table11[[#This Row],[ETP'#s]]</f>
        <v>1</v>
      </c>
    </row>
    <row r="129" spans="1:24" x14ac:dyDescent="0.25">
      <c r="A129">
        <f>Table11[[#This Row],[Farmer'#]]</f>
        <v>10052</v>
      </c>
      <c r="B129" t="str">
        <f>Table11[[#This Row],[Representative]]</f>
        <v>Daniel Perez</v>
      </c>
      <c r="C129" t="str">
        <f>Table11[[#This Row],[Contract Name]]</f>
        <v>Daniel Perez</v>
      </c>
      <c r="D129" t="str">
        <f>Table11[[#This Row],[Status]]</f>
        <v>RFT</v>
      </c>
      <c r="E129" t="str">
        <f>Table11[[#This Row],[Contract Code]]</f>
        <v>US0060</v>
      </c>
      <c r="F129" s="16">
        <f>Table11[[#This Row],['#TreesContract]]</f>
        <v>1100</v>
      </c>
      <c r="G129" s="16">
        <f>Table11[[#This Row],['#Planted]]</f>
        <v>1100</v>
      </c>
      <c r="H129" s="16">
        <f>Table11[[#This Row],['#TreesContract]]*Table11[[#This Row],[USA Allocation %]]</f>
        <v>1100</v>
      </c>
      <c r="I129" s="16">
        <f>Table11[[#This Row],['#Planted]]*Table11[[#This Row],[USA Allocation %]]</f>
        <v>1100</v>
      </c>
      <c r="J129" s="16">
        <f>Table11[[#This Row],[Contract Amendment]]*Table11[[#This Row],[USA Allocation %]]</f>
        <v>0</v>
      </c>
      <c r="K129" s="16">
        <f>Table11[[#This Row],['#Trees as of 12/31/23]]*Table11[[#This Row],[USA Allocation %]]</f>
        <v>687.5</v>
      </c>
      <c r="L129" s="16">
        <f>Table11[[#This Row],['#Replace 24]]*Table11[[#This Row],[USA Allocation %]]</f>
        <v>0</v>
      </c>
      <c r="M129" s="16">
        <f>IF(Table11[[#This Row],[Planting Year]]=2024,Table11['#Planted],0)</f>
        <v>0</v>
      </c>
      <c r="N129" s="16">
        <f>(Table11[[#This Row],[2024 '#Trees Inventory + Estimate]]*Table11[[#This Row],[USA Allocation %]])-SUM(Table37[[#This Row],['# Trees as of 12/31/23]:[New Trees/Planted in 2024]])</f>
        <v>0</v>
      </c>
      <c r="O129" s="16">
        <f>SUM(Table37[[#This Row],['# Trees as of 12/31/23]:[2024 Tree Losses]])</f>
        <v>687.5</v>
      </c>
      <c r="P129" s="16">
        <f>SUM(Table37[[#This Row],[Total Trees as of 12/31/24]]-Table37[[#This Row],['# Trees as of 12/31/23]])</f>
        <v>0</v>
      </c>
      <c r="Q129" s="16">
        <f>Table11[[#This Row],['#Total Replacements]]*Table11[[#This Row],[USA Allocation %]]</f>
        <v>250</v>
      </c>
      <c r="R129" s="16">
        <f>IF(Table37[[#This Row],['#Survival based on Inventory]]=0,Table37['#Survival based on Last Year Estimate],Table37['#Survival based on Inventory])</f>
        <v>687.5</v>
      </c>
      <c r="S129" s="16">
        <f>Table11[[#This Row],['#Planted]]*Table11[[#This Row],[USA Allocation %]]*Table11[[#This Row],[2024 Inventory Survival%-master]]</f>
        <v>0</v>
      </c>
      <c r="T129" s="16">
        <f>Table11[[#This Row],['#Planted]]*Table11[[#This Row],[USA Allocation %]]*Table11[[#This Row],[2024 Estimated Survival%]]</f>
        <v>687.5</v>
      </c>
      <c r="U129">
        <f>Table11[[#This Row],[ETP Year]]</f>
        <v>2020</v>
      </c>
      <c r="V129">
        <f>Table11[[#This Row],[Planting Year]]</f>
        <v>2020</v>
      </c>
      <c r="W129" s="8">
        <f>Table11[[#This Row],[Survival% as of 12/31/23]]</f>
        <v>0.625</v>
      </c>
      <c r="X129" s="7">
        <f>Table11[[#This Row],[ETP'#s]]</f>
        <v>1</v>
      </c>
    </row>
    <row r="130" spans="1:24" x14ac:dyDescent="0.25">
      <c r="A130">
        <f>Table11[[#This Row],[Farmer'#]]</f>
        <v>10053</v>
      </c>
      <c r="B130" t="str">
        <f>Table11[[#This Row],[Representative]]</f>
        <v>Darren Beachem</v>
      </c>
      <c r="C130" t="str">
        <f>Table11[[#This Row],[Contract Name]]</f>
        <v>Darren Beachem</v>
      </c>
      <c r="D130" t="str">
        <f>Table11[[#This Row],[Status]]</f>
        <v>Active</v>
      </c>
      <c r="E130" t="str">
        <f>Table11[[#This Row],[Contract Code]]</f>
        <v>US0061</v>
      </c>
      <c r="F130" s="16">
        <f>Table11[[#This Row],['#TreesContract]]</f>
        <v>2200</v>
      </c>
      <c r="G130" s="16">
        <f>Table11[[#This Row],['#Planted]]</f>
        <v>2200</v>
      </c>
      <c r="H130" s="16">
        <f>Table11[[#This Row],['#TreesContract]]*Table11[[#This Row],[USA Allocation %]]</f>
        <v>2200</v>
      </c>
      <c r="I130" s="16">
        <f>Table11[[#This Row],['#Planted]]*Table11[[#This Row],[USA Allocation %]]</f>
        <v>2200</v>
      </c>
      <c r="J130" s="16">
        <f>Table11[[#This Row],[Contract Amendment]]*Table11[[#This Row],[USA Allocation %]]</f>
        <v>0</v>
      </c>
      <c r="K130" s="16">
        <f>Table11[[#This Row],['#Trees as of 12/31/23]]*Table11[[#This Row],[USA Allocation %]]</f>
        <v>2200</v>
      </c>
      <c r="L130" s="16">
        <f>Table11[[#This Row],['#Replace 24]]*Table11[[#This Row],[USA Allocation %]]</f>
        <v>0</v>
      </c>
      <c r="M130" s="16">
        <f>IF(Table11[[#This Row],[Planting Year]]=2024,Table11['#Planted],0)</f>
        <v>0</v>
      </c>
      <c r="N130" s="16">
        <f>(Table11[[#This Row],[2024 '#Trees Inventory + Estimate]]*Table11[[#This Row],[USA Allocation %]])-SUM(Table37[[#This Row],['# Trees as of 12/31/23]:[New Trees/Planted in 2024]])</f>
        <v>0</v>
      </c>
      <c r="O130" s="16">
        <f>SUM(Table37[[#This Row],['# Trees as of 12/31/23]:[2024 Tree Losses]])</f>
        <v>2200</v>
      </c>
      <c r="P130" s="16">
        <f>SUM(Table37[[#This Row],[Total Trees as of 12/31/24]]-Table37[[#This Row],['# Trees as of 12/31/23]])</f>
        <v>0</v>
      </c>
      <c r="Q130" s="16">
        <f>Table11[[#This Row],['#Total Replacements]]*Table11[[#This Row],[USA Allocation %]]</f>
        <v>1460</v>
      </c>
      <c r="R130" s="16">
        <f>IF(Table37[[#This Row],['#Survival based on Inventory]]=0,Table37['#Survival based on Last Year Estimate],Table37['#Survival based on Inventory])</f>
        <v>2200</v>
      </c>
      <c r="S130" s="16">
        <f>Table11[[#This Row],['#Planted]]*Table11[[#This Row],[USA Allocation %]]*Table11[[#This Row],[2024 Inventory Survival%-master]]</f>
        <v>0</v>
      </c>
      <c r="T130" s="16">
        <f>Table11[[#This Row],['#Planted]]*Table11[[#This Row],[USA Allocation %]]*Table11[[#This Row],[2024 Estimated Survival%]]</f>
        <v>2200</v>
      </c>
      <c r="U130">
        <f>Table11[[#This Row],[ETP Year]]</f>
        <v>2020</v>
      </c>
      <c r="V130">
        <f>Table11[[#This Row],[Planting Year]]</f>
        <v>2020</v>
      </c>
      <c r="W130" s="8">
        <f>Table11[[#This Row],[Survival% as of 12/31/23]]</f>
        <v>1</v>
      </c>
      <c r="X130" s="7">
        <f>Table11[[#This Row],[ETP'#s]]</f>
        <v>1</v>
      </c>
    </row>
    <row r="131" spans="1:24" x14ac:dyDescent="0.25">
      <c r="A131">
        <f>Table11[[#This Row],[Farmer'#]]</f>
        <v>10054</v>
      </c>
      <c r="B131" t="str">
        <f>Table11[[#This Row],[Representative]]</f>
        <v>Ed Davenport</v>
      </c>
      <c r="C131" t="str">
        <f>Table11[[#This Row],[Contract Name]]</f>
        <v>Ed Davenport</v>
      </c>
      <c r="D131" t="str">
        <f>Table11[[#This Row],[Status]]</f>
        <v>Active</v>
      </c>
      <c r="E131" t="str">
        <f>Table11[[#This Row],[Contract Code]]</f>
        <v>US0064</v>
      </c>
      <c r="F131" s="16">
        <f>Table11[[#This Row],['#TreesContract]]</f>
        <v>1100</v>
      </c>
      <c r="G131" s="16">
        <f>Table11[[#This Row],['#Planted]]</f>
        <v>1100</v>
      </c>
      <c r="H131" s="16">
        <f>Table11[[#This Row],['#TreesContract]]*Table11[[#This Row],[USA Allocation %]]</f>
        <v>1100</v>
      </c>
      <c r="I131" s="16">
        <f>Table11[[#This Row],['#Planted]]*Table11[[#This Row],[USA Allocation %]]</f>
        <v>1100</v>
      </c>
      <c r="J131" s="16">
        <f>Table11[[#This Row],[Contract Amendment]]*Table11[[#This Row],[USA Allocation %]]</f>
        <v>0</v>
      </c>
      <c r="K131" s="16">
        <f>Table11[[#This Row],['#Trees as of 12/31/23]]*Table11[[#This Row],[USA Allocation %]]</f>
        <v>1100</v>
      </c>
      <c r="L131" s="16">
        <f>Table11[[#This Row],['#Replace 24]]*Table11[[#This Row],[USA Allocation %]]</f>
        <v>0</v>
      </c>
      <c r="M131" s="16">
        <f>IF(Table11[[#This Row],[Planting Year]]=2024,Table11['#Planted],0)</f>
        <v>0</v>
      </c>
      <c r="N131" s="16">
        <f>(Table11[[#This Row],[2024 '#Trees Inventory + Estimate]]*Table11[[#This Row],[USA Allocation %]])-SUM(Table37[[#This Row],['# Trees as of 12/31/23]:[New Trees/Planted in 2024]])</f>
        <v>0</v>
      </c>
      <c r="O131" s="16">
        <f>SUM(Table37[[#This Row],['# Trees as of 12/31/23]:[2024 Tree Losses]])</f>
        <v>1100</v>
      </c>
      <c r="P131" s="16">
        <f>SUM(Table37[[#This Row],[Total Trees as of 12/31/24]]-Table37[[#This Row],['# Trees as of 12/31/23]])</f>
        <v>0</v>
      </c>
      <c r="Q131" s="16">
        <f>Table11[[#This Row],['#Total Replacements]]*Table11[[#This Row],[USA Allocation %]]</f>
        <v>422</v>
      </c>
      <c r="R131" s="16">
        <f>IF(Table37[[#This Row],['#Survival based on Inventory]]=0,Table37['#Survival based on Last Year Estimate],Table37['#Survival based on Inventory])</f>
        <v>678.7</v>
      </c>
      <c r="S131" s="16">
        <f>Table11[[#This Row],['#Planted]]*Table11[[#This Row],[USA Allocation %]]*Table11[[#This Row],[2024 Inventory Survival%-master]]</f>
        <v>0</v>
      </c>
      <c r="T131" s="16">
        <f>Table11[[#This Row],['#Planted]]*Table11[[#This Row],[USA Allocation %]]*Table11[[#This Row],[2024 Estimated Survival%]]</f>
        <v>678.7</v>
      </c>
      <c r="U131">
        <f>Table11[[#This Row],[ETP Year]]</f>
        <v>2020</v>
      </c>
      <c r="V131">
        <f>Table11[[#This Row],[Planting Year]]</f>
        <v>2020</v>
      </c>
      <c r="W131" s="8">
        <f>Table11[[#This Row],[Survival% as of 12/31/23]]</f>
        <v>1</v>
      </c>
      <c r="X131" s="7">
        <f>Table11[[#This Row],[ETP'#s]]</f>
        <v>1</v>
      </c>
    </row>
    <row r="132" spans="1:24" x14ac:dyDescent="0.25">
      <c r="A132">
        <f>Table11[[#This Row],[Farmer'#]]</f>
        <v>10055</v>
      </c>
      <c r="B132" t="str">
        <f>Table11[[#This Row],[Representative]]</f>
        <v>Glenn Sanders</v>
      </c>
      <c r="C132" t="str">
        <f>Table11[[#This Row],[Contract Name]]</f>
        <v>Glen Sanders</v>
      </c>
      <c r="D132" t="str">
        <f>Table11[[#This Row],[Status]]</f>
        <v>Active</v>
      </c>
      <c r="E132" t="str">
        <f>Table11[[#This Row],[Contract Code]]</f>
        <v>US0065</v>
      </c>
      <c r="F132" s="16">
        <f>Table11[[#This Row],['#TreesContract]]</f>
        <v>1100</v>
      </c>
      <c r="G132" s="16">
        <f>Table11[[#This Row],['#Planted]]</f>
        <v>1100</v>
      </c>
      <c r="H132" s="16">
        <f>Table11[[#This Row],['#TreesContract]]*Table11[[#This Row],[USA Allocation %]]</f>
        <v>1100</v>
      </c>
      <c r="I132" s="16">
        <f>Table11[[#This Row],['#Planted]]*Table11[[#This Row],[USA Allocation %]]</f>
        <v>1100</v>
      </c>
      <c r="J132" s="16">
        <f>Table11[[#This Row],[Contract Amendment]]*Table11[[#This Row],[USA Allocation %]]</f>
        <v>0</v>
      </c>
      <c r="K132" s="16">
        <f>Table11[[#This Row],['#Trees as of 12/31/23]]*Table11[[#This Row],[USA Allocation %]]</f>
        <v>1087</v>
      </c>
      <c r="L132" s="16">
        <f>Table11[[#This Row],['#Replace 24]]*Table11[[#This Row],[USA Allocation %]]</f>
        <v>0</v>
      </c>
      <c r="M132" s="16">
        <f>IF(Table11[[#This Row],[Planting Year]]=2024,Table11['#Planted],0)</f>
        <v>0</v>
      </c>
      <c r="N132" s="16">
        <f>(Table11[[#This Row],[2024 '#Trees Inventory + Estimate]]*Table11[[#This Row],[USA Allocation %]])-SUM(Table37[[#This Row],['# Trees as of 12/31/23]:[New Trees/Planted in 2024]])</f>
        <v>2</v>
      </c>
      <c r="O132" s="16">
        <f>SUM(Table37[[#This Row],['# Trees as of 12/31/23]:[2024 Tree Losses]])</f>
        <v>1089</v>
      </c>
      <c r="P132" s="16">
        <f>SUM(Table37[[#This Row],[Total Trees as of 12/31/24]]-Table37[[#This Row],['# Trees as of 12/31/23]])</f>
        <v>2</v>
      </c>
      <c r="Q132" s="16">
        <f>Table11[[#This Row],['#Total Replacements]]*Table11[[#This Row],[USA Allocation %]]</f>
        <v>656</v>
      </c>
      <c r="R132" s="16">
        <f>IF(Table37[[#This Row],['#Survival based on Inventory]]=0,Table37['#Survival based on Last Year Estimate],Table37['#Survival based on Inventory])</f>
        <v>1089</v>
      </c>
      <c r="S132" s="16">
        <f>Table11[[#This Row],['#Planted]]*Table11[[#This Row],[USA Allocation %]]*Table11[[#This Row],[2024 Inventory Survival%-master]]</f>
        <v>1089</v>
      </c>
      <c r="T132" s="16">
        <f>Table11[[#This Row],['#Planted]]*Table11[[#This Row],[USA Allocation %]]*Table11[[#This Row],[2024 Estimated Survival%]]</f>
        <v>1089</v>
      </c>
      <c r="U132">
        <f>Table11[[#This Row],[ETP Year]]</f>
        <v>2020</v>
      </c>
      <c r="V132">
        <f>Table11[[#This Row],[Planting Year]]</f>
        <v>2020</v>
      </c>
      <c r="W132" s="8">
        <f>Table11[[#This Row],[Survival% as of 12/31/23]]</f>
        <v>0.98818181818181816</v>
      </c>
      <c r="X132" s="7">
        <f>Table11[[#This Row],[ETP'#s]]</f>
        <v>1</v>
      </c>
    </row>
    <row r="133" spans="1:24" x14ac:dyDescent="0.25">
      <c r="A133">
        <f>Table11[[#This Row],[Farmer'#]]</f>
        <v>10056</v>
      </c>
      <c r="B133" t="str">
        <f>Table11[[#This Row],[Representative]]</f>
        <v>Glenn Preskitt</v>
      </c>
      <c r="C133" t="str">
        <f>Table11[[#This Row],[Contract Name]]</f>
        <v>Glenn Preskitt</v>
      </c>
      <c r="D133" t="str">
        <f>Table11[[#This Row],[Status]]</f>
        <v>Out of Program</v>
      </c>
      <c r="E133" t="str">
        <f>Table11[[#This Row],[Contract Code]]</f>
        <v>US0066</v>
      </c>
      <c r="F133" s="16">
        <f>Table11[[#This Row],['#TreesContract]]</f>
        <v>5500</v>
      </c>
      <c r="G133" s="16">
        <f>Table11[[#This Row],['#Planted]]</f>
        <v>5500</v>
      </c>
      <c r="H133" s="16">
        <f>Table11[[#This Row],['#TreesContract]]*Table11[[#This Row],[USA Allocation %]]</f>
        <v>5500</v>
      </c>
      <c r="I133" s="16">
        <f>Table11[[#This Row],['#Planted]]*Table11[[#This Row],[USA Allocation %]]</f>
        <v>5500</v>
      </c>
      <c r="J133" s="16">
        <f>Table11[[#This Row],[Contract Amendment]]*Table11[[#This Row],[USA Allocation %]]</f>
        <v>0</v>
      </c>
      <c r="K133" s="16">
        <f>Table11[[#This Row],['#Trees as of 12/31/23]]*Table11[[#This Row],[USA Allocation %]]</f>
        <v>4290</v>
      </c>
      <c r="L133" s="16">
        <f>Table11[[#This Row],['#Replace 24]]*Table11[[#This Row],[USA Allocation %]]</f>
        <v>0</v>
      </c>
      <c r="M133" s="16">
        <f>IF(Table11[[#This Row],[Planting Year]]=2024,Table11['#Planted],0)</f>
        <v>0</v>
      </c>
      <c r="N133" s="16">
        <f>(Table11[[#This Row],[2024 '#Trees Inventory + Estimate]]*Table11[[#This Row],[USA Allocation %]])-SUM(Table37[[#This Row],['# Trees as of 12/31/23]:[New Trees/Planted in 2024]])</f>
        <v>-4290</v>
      </c>
      <c r="O133" s="16">
        <f>SUM(Table37[[#This Row],['# Trees as of 12/31/23]:[2024 Tree Losses]])</f>
        <v>0</v>
      </c>
      <c r="P133" s="16">
        <f>SUM(Table37[[#This Row],[Total Trees as of 12/31/24]]-Table37[[#This Row],['# Trees as of 12/31/23]])</f>
        <v>-4290</v>
      </c>
      <c r="Q133" s="16">
        <f>Table11[[#This Row],['#Total Replacements]]*Table11[[#This Row],[USA Allocation %]]</f>
        <v>204</v>
      </c>
      <c r="R133" s="16">
        <f>IF(Table37[[#This Row],['#Survival based on Inventory]]=0,Table37['#Survival based on Last Year Estimate],Table37['#Survival based on Inventory])</f>
        <v>0</v>
      </c>
      <c r="S133" s="16">
        <f>Table11[[#This Row],['#Planted]]*Table11[[#This Row],[USA Allocation %]]*Table11[[#This Row],[2024 Inventory Survival%-master]]</f>
        <v>0</v>
      </c>
      <c r="T133" s="16">
        <f>Table11[[#This Row],['#Planted]]*Table11[[#This Row],[USA Allocation %]]*Table11[[#This Row],[2024 Estimated Survival%]]</f>
        <v>0</v>
      </c>
      <c r="U133">
        <f>Table11[[#This Row],[ETP Year]]</f>
        <v>2020</v>
      </c>
      <c r="V133">
        <f>Table11[[#This Row],[Planting Year]]</f>
        <v>2020</v>
      </c>
      <c r="W133" s="8">
        <f>Table11[[#This Row],[Survival% as of 12/31/23]]</f>
        <v>0.78</v>
      </c>
      <c r="X133" s="7">
        <f>Table11[[#This Row],[ETP'#s]]</f>
        <v>1</v>
      </c>
    </row>
    <row r="134" spans="1:24" x14ac:dyDescent="0.25">
      <c r="A134">
        <f>Table11[[#This Row],[Farmer'#]]</f>
        <v>10057</v>
      </c>
      <c r="B134" t="str">
        <f>Table11[[#This Row],[Representative]]</f>
        <v>Guy Goodson</v>
      </c>
      <c r="C134" t="str">
        <f>Table11[[#This Row],[Contract Name]]</f>
        <v>Guy Goodson</v>
      </c>
      <c r="D134" t="str">
        <f>Table11[[#This Row],[Status]]</f>
        <v>Active</v>
      </c>
      <c r="E134" t="str">
        <f>Table11[[#This Row],[Contract Code]]</f>
        <v>US0067</v>
      </c>
      <c r="F134" s="16">
        <f>Table11[[#This Row],['#TreesContract]]</f>
        <v>2200</v>
      </c>
      <c r="G134" s="16">
        <f>Table11[[#This Row],['#Planted]]</f>
        <v>2200</v>
      </c>
      <c r="H134" s="16">
        <f>Table11[[#This Row],['#TreesContract]]*Table11[[#This Row],[USA Allocation %]]</f>
        <v>2200</v>
      </c>
      <c r="I134" s="16">
        <f>Table11[[#This Row],['#Planted]]*Table11[[#This Row],[USA Allocation %]]</f>
        <v>2200</v>
      </c>
      <c r="J134" s="16">
        <f>Table11[[#This Row],[Contract Amendment]]*Table11[[#This Row],[USA Allocation %]]</f>
        <v>0</v>
      </c>
      <c r="K134" s="16">
        <f>Table11[[#This Row],['#Trees as of 12/31/23]]*Table11[[#This Row],[USA Allocation %]]</f>
        <v>2025</v>
      </c>
      <c r="L134" s="16">
        <f>Table11[[#This Row],['#Replace 24]]*Table11[[#This Row],[USA Allocation %]]</f>
        <v>0</v>
      </c>
      <c r="M134" s="16">
        <f>IF(Table11[[#This Row],[Planting Year]]=2024,Table11['#Planted],0)</f>
        <v>0</v>
      </c>
      <c r="N134" s="16">
        <f>(Table11[[#This Row],[2024 '#Trees Inventory + Estimate]]*Table11[[#This Row],[USA Allocation %]])-SUM(Table37[[#This Row],['# Trees as of 12/31/23]:[New Trees/Planted in 2024]])</f>
        <v>-586</v>
      </c>
      <c r="O134" s="16">
        <f>SUM(Table37[[#This Row],['# Trees as of 12/31/23]:[2024 Tree Losses]])</f>
        <v>1439</v>
      </c>
      <c r="P134" s="16">
        <f>SUM(Table37[[#This Row],[Total Trees as of 12/31/24]]-Table37[[#This Row],['# Trees as of 12/31/23]])</f>
        <v>-586</v>
      </c>
      <c r="Q134" s="16">
        <f>Table11[[#This Row],['#Total Replacements]]*Table11[[#This Row],[USA Allocation %]]</f>
        <v>1210</v>
      </c>
      <c r="R134" s="16">
        <f>IF(Table37[[#This Row],['#Survival based on Inventory]]=0,Table37['#Survival based on Last Year Estimate],Table37['#Survival based on Inventory])</f>
        <v>1438.8</v>
      </c>
      <c r="S134" s="16">
        <f>Table11[[#This Row],['#Planted]]*Table11[[#This Row],[USA Allocation %]]*Table11[[#This Row],[2024 Inventory Survival%-master]]</f>
        <v>1438.8</v>
      </c>
      <c r="T134" s="16">
        <f>Table11[[#This Row],['#Planted]]*Table11[[#This Row],[USA Allocation %]]*Table11[[#This Row],[2024 Estimated Survival%]]</f>
        <v>1430</v>
      </c>
      <c r="U134">
        <f>Table11[[#This Row],[ETP Year]]</f>
        <v>2020</v>
      </c>
      <c r="V134">
        <f>Table11[[#This Row],[Planting Year]]</f>
        <v>2020</v>
      </c>
      <c r="W134" s="8">
        <f>Table11[[#This Row],[Survival% as of 12/31/23]]</f>
        <v>0.92045454545454541</v>
      </c>
      <c r="X134" s="7">
        <f>Table11[[#This Row],[ETP'#s]]</f>
        <v>1</v>
      </c>
    </row>
    <row r="135" spans="1:24" x14ac:dyDescent="0.25">
      <c r="A135">
        <f>Table11[[#This Row],[Farmer'#]]</f>
        <v>10058</v>
      </c>
      <c r="B135" t="str">
        <f>Table11[[#This Row],[Representative]]</f>
        <v>Jeff Barnes</v>
      </c>
      <c r="C135" t="str">
        <f>Table11[[#This Row],[Contract Name]]</f>
        <v>Richard and Trudie Barnes</v>
      </c>
      <c r="D135" t="str">
        <f>Table11[[#This Row],[Status]]</f>
        <v>Active</v>
      </c>
      <c r="E135" t="str">
        <f>Table11[[#This Row],[Contract Code]]</f>
        <v>US0068</v>
      </c>
      <c r="F135" s="16">
        <f>Table11[[#This Row],['#TreesContract]]</f>
        <v>1100</v>
      </c>
      <c r="G135" s="16">
        <f>Table11[[#This Row],['#Planted]]</f>
        <v>1100</v>
      </c>
      <c r="H135" s="16">
        <f>Table11[[#This Row],['#TreesContract]]*Table11[[#This Row],[USA Allocation %]]</f>
        <v>1100</v>
      </c>
      <c r="I135" s="16">
        <f>Table11[[#This Row],['#Planted]]*Table11[[#This Row],[USA Allocation %]]</f>
        <v>1100</v>
      </c>
      <c r="J135" s="16">
        <f>Table11[[#This Row],[Contract Amendment]]*Table11[[#This Row],[USA Allocation %]]</f>
        <v>0</v>
      </c>
      <c r="K135" s="16">
        <f>Table11[[#This Row],['#Trees as of 12/31/23]]*Table11[[#This Row],[USA Allocation %]]</f>
        <v>992.5</v>
      </c>
      <c r="L135" s="16">
        <f>Table11[[#This Row],['#Replace 24]]*Table11[[#This Row],[USA Allocation %]]</f>
        <v>0</v>
      </c>
      <c r="M135" s="16">
        <f>IF(Table11[[#This Row],[Planting Year]]=2024,Table11['#Planted],0)</f>
        <v>0</v>
      </c>
      <c r="N135" s="16">
        <f>(Table11[[#This Row],[2024 '#Trees Inventory + Estimate]]*Table11[[#This Row],[USA Allocation %]])-SUM(Table37[[#This Row],['# Trees as of 12/31/23]:[New Trees/Planted in 2024]])</f>
        <v>-313.5</v>
      </c>
      <c r="O135" s="16">
        <f>SUM(Table37[[#This Row],['# Trees as of 12/31/23]:[2024 Tree Losses]])</f>
        <v>679</v>
      </c>
      <c r="P135" s="16">
        <f>SUM(Table37[[#This Row],[Total Trees as of 12/31/24]]-Table37[[#This Row],['# Trees as of 12/31/23]])</f>
        <v>-313.5</v>
      </c>
      <c r="Q135" s="16">
        <f>Table11[[#This Row],['#Total Replacements]]*Table11[[#This Row],[USA Allocation %]]</f>
        <v>714</v>
      </c>
      <c r="R135" s="16">
        <f>IF(Table37[[#This Row],['#Survival based on Inventory]]=0,Table37['#Survival based on Last Year Estimate],Table37['#Survival based on Inventory])</f>
        <v>678.7</v>
      </c>
      <c r="S135" s="16">
        <f>Table11[[#This Row],['#Planted]]*Table11[[#This Row],[USA Allocation %]]*Table11[[#This Row],[2024 Inventory Survival%-master]]</f>
        <v>678.7</v>
      </c>
      <c r="T135" s="16">
        <f>Table11[[#This Row],['#Planted]]*Table11[[#This Row],[USA Allocation %]]*Table11[[#This Row],[2024 Estimated Survival%]]</f>
        <v>682</v>
      </c>
      <c r="U135">
        <f>Table11[[#This Row],[ETP Year]]</f>
        <v>2020</v>
      </c>
      <c r="V135">
        <f>Table11[[#This Row],[Planting Year]]</f>
        <v>2020</v>
      </c>
      <c r="W135" s="8">
        <f>Table11[[#This Row],[Survival% as of 12/31/23]]</f>
        <v>0.90227272727272723</v>
      </c>
      <c r="X135" s="7">
        <f>Table11[[#This Row],[ETP'#s]]</f>
        <v>1</v>
      </c>
    </row>
    <row r="136" spans="1:24" x14ac:dyDescent="0.25">
      <c r="A136">
        <f>Table11[[#This Row],[Farmer'#]]</f>
        <v>10059</v>
      </c>
      <c r="B136" t="str">
        <f>Table11[[#This Row],[Representative]]</f>
        <v>Jeff George</v>
      </c>
      <c r="C136" t="str">
        <f>Table11[[#This Row],[Contract Name]]</f>
        <v>Jeff George</v>
      </c>
      <c r="D136" t="str">
        <f>Table11[[#This Row],[Status]]</f>
        <v>Active</v>
      </c>
      <c r="E136" t="str">
        <f>Table11[[#This Row],[Contract Code]]</f>
        <v>US0069</v>
      </c>
      <c r="F136" s="16">
        <f>Table11[[#This Row],['#TreesContract]]</f>
        <v>1100</v>
      </c>
      <c r="G136" s="16">
        <f>Table11[[#This Row],['#Planted]]</f>
        <v>1100</v>
      </c>
      <c r="H136" s="16">
        <f>Table11[[#This Row],['#TreesContract]]*Table11[[#This Row],[USA Allocation %]]</f>
        <v>1100</v>
      </c>
      <c r="I136" s="16">
        <f>Table11[[#This Row],['#Planted]]*Table11[[#This Row],[USA Allocation %]]</f>
        <v>1100</v>
      </c>
      <c r="J136" s="16">
        <f>Table11[[#This Row],[Contract Amendment]]*Table11[[#This Row],[USA Allocation %]]</f>
        <v>0</v>
      </c>
      <c r="K136" s="16">
        <f>Table11[[#This Row],['#Trees as of 12/31/23]]*Table11[[#This Row],[USA Allocation %]]</f>
        <v>1100</v>
      </c>
      <c r="L136" s="16">
        <f>Table11[[#This Row],['#Replace 24]]*Table11[[#This Row],[USA Allocation %]]</f>
        <v>0</v>
      </c>
      <c r="M136" s="16">
        <f>IF(Table11[[#This Row],[Planting Year]]=2024,Table11['#Planted],0)</f>
        <v>0</v>
      </c>
      <c r="N136" s="16">
        <f>(Table11[[#This Row],[2024 '#Trees Inventory + Estimate]]*Table11[[#This Row],[USA Allocation %]])-SUM(Table37[[#This Row],['# Trees as of 12/31/23]:[New Trees/Planted in 2024]])</f>
        <v>0</v>
      </c>
      <c r="O136" s="16">
        <f>SUM(Table37[[#This Row],['# Trees as of 12/31/23]:[2024 Tree Losses]])</f>
        <v>1100</v>
      </c>
      <c r="P136" s="16">
        <f>SUM(Table37[[#This Row],[Total Trees as of 12/31/24]]-Table37[[#This Row],['# Trees as of 12/31/23]])</f>
        <v>0</v>
      </c>
      <c r="Q136" s="16">
        <f>Table11[[#This Row],['#Total Replacements]]*Table11[[#This Row],[USA Allocation %]]</f>
        <v>184</v>
      </c>
      <c r="R136" s="16">
        <f>IF(Table37[[#This Row],['#Survival based on Inventory]]=0,Table37['#Survival based on Last Year Estimate],Table37['#Survival based on Inventory])</f>
        <v>1100</v>
      </c>
      <c r="S136" s="16">
        <f>Table11[[#This Row],['#Planted]]*Table11[[#This Row],[USA Allocation %]]*Table11[[#This Row],[2024 Inventory Survival%-master]]</f>
        <v>0</v>
      </c>
      <c r="T136" s="16">
        <f>Table11[[#This Row],['#Planted]]*Table11[[#This Row],[USA Allocation %]]*Table11[[#This Row],[2024 Estimated Survival%]]</f>
        <v>1100</v>
      </c>
      <c r="U136">
        <f>Table11[[#This Row],[ETP Year]]</f>
        <v>2020</v>
      </c>
      <c r="V136">
        <f>Table11[[#This Row],[Planting Year]]</f>
        <v>2020</v>
      </c>
      <c r="W136" s="8">
        <f>Table11[[#This Row],[Survival% as of 12/31/23]]</f>
        <v>1</v>
      </c>
      <c r="X136" s="7">
        <f>Table11[[#This Row],[ETP'#s]]</f>
        <v>1</v>
      </c>
    </row>
    <row r="137" spans="1:24" x14ac:dyDescent="0.25">
      <c r="A137">
        <f>Table11[[#This Row],[Farmer'#]]</f>
        <v>10060</v>
      </c>
      <c r="B137" t="str">
        <f>Table11[[#This Row],[Representative]]</f>
        <v>Jeff Rice</v>
      </c>
      <c r="C137" t="str">
        <f>Table11[[#This Row],[Contract Name]]</f>
        <v>Jeffrey Rice</v>
      </c>
      <c r="D137" t="str">
        <f>Table11[[#This Row],[Status]]</f>
        <v>Active</v>
      </c>
      <c r="E137" t="str">
        <f>Table11[[#This Row],[Contract Code]]</f>
        <v>US0070</v>
      </c>
      <c r="F137" s="16">
        <f>Table11[[#This Row],['#TreesContract]]</f>
        <v>1100</v>
      </c>
      <c r="G137" s="16">
        <f>Table11[[#This Row],['#Planted]]</f>
        <v>1100</v>
      </c>
      <c r="H137" s="16">
        <f>Table11[[#This Row],['#TreesContract]]*Table11[[#This Row],[USA Allocation %]]</f>
        <v>1100</v>
      </c>
      <c r="I137" s="16">
        <f>Table11[[#This Row],['#Planted]]*Table11[[#This Row],[USA Allocation %]]</f>
        <v>1100</v>
      </c>
      <c r="J137" s="16">
        <f>Table11[[#This Row],[Contract Amendment]]*Table11[[#This Row],[USA Allocation %]]</f>
        <v>0</v>
      </c>
      <c r="K137" s="16">
        <f>Table11[[#This Row],['#Trees as of 12/31/23]]*Table11[[#This Row],[USA Allocation %]]</f>
        <v>970.5</v>
      </c>
      <c r="L137" s="16">
        <f>Table11[[#This Row],['#Replace 24]]*Table11[[#This Row],[USA Allocation %]]</f>
        <v>0</v>
      </c>
      <c r="M137" s="16">
        <f>IF(Table11[[#This Row],[Planting Year]]=2024,Table11['#Planted],0)</f>
        <v>0</v>
      </c>
      <c r="N137" s="16">
        <f>(Table11[[#This Row],[2024 '#Trees Inventory + Estimate]]*Table11[[#This Row],[USA Allocation %]])-SUM(Table37[[#This Row],['# Trees as of 12/31/23]:[New Trees/Planted in 2024]])</f>
        <v>-117.5</v>
      </c>
      <c r="O137" s="16">
        <f>SUM(Table37[[#This Row],['# Trees as of 12/31/23]:[2024 Tree Losses]])</f>
        <v>853</v>
      </c>
      <c r="P137" s="16">
        <f>SUM(Table37[[#This Row],[Total Trees as of 12/31/24]]-Table37[[#This Row],['# Trees as of 12/31/23]])</f>
        <v>-117.5</v>
      </c>
      <c r="Q137" s="16">
        <f>Table11[[#This Row],['#Total Replacements]]*Table11[[#This Row],[USA Allocation %]]</f>
        <v>250</v>
      </c>
      <c r="R137" s="16">
        <f>IF(Table37[[#This Row],['#Survival based on Inventory]]=0,Table37['#Survival based on Last Year Estimate],Table37['#Survival based on Inventory])</f>
        <v>852.5</v>
      </c>
      <c r="S137" s="16">
        <f>Table11[[#This Row],['#Planted]]*Table11[[#This Row],[USA Allocation %]]*Table11[[#This Row],[2024 Inventory Survival%-master]]</f>
        <v>852.5</v>
      </c>
      <c r="T137" s="16">
        <f>Table11[[#This Row],['#Planted]]*Table11[[#This Row],[USA Allocation %]]*Table11[[#This Row],[2024 Estimated Survival%]]</f>
        <v>859.1</v>
      </c>
      <c r="U137">
        <f>Table11[[#This Row],[ETP Year]]</f>
        <v>2020</v>
      </c>
      <c r="V137">
        <f>Table11[[#This Row],[Planting Year]]</f>
        <v>2020</v>
      </c>
      <c r="W137" s="8">
        <f>Table11[[#This Row],[Survival% as of 12/31/23]]</f>
        <v>0.88227272727272732</v>
      </c>
      <c r="X137" s="7">
        <f>Table11[[#This Row],[ETP'#s]]</f>
        <v>1</v>
      </c>
    </row>
    <row r="138" spans="1:24" x14ac:dyDescent="0.25">
      <c r="A138">
        <f>Table11[[#This Row],[Farmer'#]]</f>
        <v>10061</v>
      </c>
      <c r="B138" t="str">
        <f>Table11[[#This Row],[Representative]]</f>
        <v>Jim West</v>
      </c>
      <c r="C138" t="str">
        <f>Table11[[#This Row],[Contract Name]]</f>
        <v>Jim West</v>
      </c>
      <c r="D138" t="str">
        <f>Table11[[#This Row],[Status]]</f>
        <v>Active</v>
      </c>
      <c r="E138" t="str">
        <f>Table11[[#This Row],[Contract Code]]</f>
        <v>US0071</v>
      </c>
      <c r="F138" s="16">
        <f>Table11[[#This Row],['#TreesContract]]</f>
        <v>1100</v>
      </c>
      <c r="G138" s="16">
        <f>Table11[[#This Row],['#Planted]]</f>
        <v>1100</v>
      </c>
      <c r="H138" s="16">
        <f>Table11[[#This Row],['#TreesContract]]*Table11[[#This Row],[USA Allocation %]]</f>
        <v>1100</v>
      </c>
      <c r="I138" s="16">
        <f>Table11[[#This Row],['#Planted]]*Table11[[#This Row],[USA Allocation %]]</f>
        <v>1100</v>
      </c>
      <c r="J138" s="16">
        <f>Table11[[#This Row],[Contract Amendment]]*Table11[[#This Row],[USA Allocation %]]</f>
        <v>0</v>
      </c>
      <c r="K138" s="16">
        <f>Table11[[#This Row],['#Trees as of 12/31/23]]*Table11[[#This Row],[USA Allocation %]]</f>
        <v>1100</v>
      </c>
      <c r="L138" s="16">
        <f>Table11[[#This Row],['#Replace 24]]*Table11[[#This Row],[USA Allocation %]]</f>
        <v>0</v>
      </c>
      <c r="M138" s="16">
        <f>IF(Table11[[#This Row],[Planting Year]]=2024,Table11['#Planted],0)</f>
        <v>0</v>
      </c>
      <c r="N138" s="16">
        <f>(Table11[[#This Row],[2024 '#Trees Inventory + Estimate]]*Table11[[#This Row],[USA Allocation %]])-SUM(Table37[[#This Row],['# Trees as of 12/31/23]:[New Trees/Planted in 2024]])</f>
        <v>0</v>
      </c>
      <c r="O138" s="16">
        <f>SUM(Table37[[#This Row],['# Trees as of 12/31/23]:[2024 Tree Losses]])</f>
        <v>1100</v>
      </c>
      <c r="P138" s="16">
        <f>SUM(Table37[[#This Row],[Total Trees as of 12/31/24]]-Table37[[#This Row],['# Trees as of 12/31/23]])</f>
        <v>0</v>
      </c>
      <c r="Q138" s="16">
        <f>Table11[[#This Row],['#Total Replacements]]*Table11[[#This Row],[USA Allocation %]]</f>
        <v>935</v>
      </c>
      <c r="R138" s="16">
        <f>IF(Table37[[#This Row],['#Survival based on Inventory]]=0,Table37['#Survival based on Last Year Estimate],Table37['#Survival based on Inventory])</f>
        <v>1100</v>
      </c>
      <c r="S138" s="16">
        <f>Table11[[#This Row],['#Planted]]*Table11[[#This Row],[USA Allocation %]]*Table11[[#This Row],[2024 Inventory Survival%-master]]</f>
        <v>1100</v>
      </c>
      <c r="T138" s="16">
        <f>Table11[[#This Row],['#Planted]]*Table11[[#This Row],[USA Allocation %]]*Table11[[#This Row],[2024 Estimated Survival%]]</f>
        <v>1100</v>
      </c>
      <c r="U138">
        <f>Table11[[#This Row],[ETP Year]]</f>
        <v>2020</v>
      </c>
      <c r="V138">
        <f>Table11[[#This Row],[Planting Year]]</f>
        <v>2020</v>
      </c>
      <c r="W138" s="8">
        <f>Table11[[#This Row],[Survival% as of 12/31/23]]</f>
        <v>1</v>
      </c>
      <c r="X138" s="7">
        <f>Table11[[#This Row],[ETP'#s]]</f>
        <v>1</v>
      </c>
    </row>
    <row r="139" spans="1:24" x14ac:dyDescent="0.25">
      <c r="A139">
        <f>Table11[[#This Row],[Farmer'#]]</f>
        <v>10062</v>
      </c>
      <c r="B139" t="str">
        <f>Table11[[#This Row],[Representative]]</f>
        <v>John Hayes</v>
      </c>
      <c r="C139" t="str">
        <f>Table11[[#This Row],[Contract Name]]</f>
        <v>Hayes Farms LLC</v>
      </c>
      <c r="D139" t="str">
        <f>Table11[[#This Row],[Status]]</f>
        <v>Out of Program</v>
      </c>
      <c r="E139" t="str">
        <f>Table11[[#This Row],[Contract Code]]</f>
        <v>US0072</v>
      </c>
      <c r="F139" s="16">
        <f>Table11[[#This Row],['#TreesContract]]</f>
        <v>1100</v>
      </c>
      <c r="G139" s="16">
        <f>Table11[[#This Row],['#Planted]]</f>
        <v>1100</v>
      </c>
      <c r="H139" s="16">
        <f>Table11[[#This Row],['#TreesContract]]*Table11[[#This Row],[USA Allocation %]]</f>
        <v>1100</v>
      </c>
      <c r="I139" s="16">
        <f>Table11[[#This Row],['#Planted]]*Table11[[#This Row],[USA Allocation %]]</f>
        <v>1100</v>
      </c>
      <c r="J139" s="16">
        <f>Table11[[#This Row],[Contract Amendment]]*Table11[[#This Row],[USA Allocation %]]</f>
        <v>0</v>
      </c>
      <c r="K139" s="16">
        <f>Table11[[#This Row],['#Trees as of 12/31/23]]*Table11[[#This Row],[USA Allocation %]]</f>
        <v>907.5</v>
      </c>
      <c r="L139" s="16">
        <f>Table11[[#This Row],['#Replace 24]]*Table11[[#This Row],[USA Allocation %]]</f>
        <v>0</v>
      </c>
      <c r="M139" s="16">
        <f>IF(Table11[[#This Row],[Planting Year]]=2024,Table11['#Planted],0)</f>
        <v>0</v>
      </c>
      <c r="N139" s="16">
        <f>(Table11[[#This Row],[2024 '#Trees Inventory + Estimate]]*Table11[[#This Row],[USA Allocation %]])-SUM(Table37[[#This Row],['# Trees as of 12/31/23]:[New Trees/Planted in 2024]])</f>
        <v>-907.5</v>
      </c>
      <c r="O139" s="16">
        <f>SUM(Table37[[#This Row],['# Trees as of 12/31/23]:[2024 Tree Losses]])</f>
        <v>0</v>
      </c>
      <c r="P139" s="16">
        <f>SUM(Table37[[#This Row],[Total Trees as of 12/31/24]]-Table37[[#This Row],['# Trees as of 12/31/23]])</f>
        <v>-907.5</v>
      </c>
      <c r="Q139" s="16">
        <f>Table11[[#This Row],['#Total Replacements]]*Table11[[#This Row],[USA Allocation %]]</f>
        <v>320</v>
      </c>
      <c r="R139" s="16">
        <f>IF(Table37[[#This Row],['#Survival based on Inventory]]=0,Table37['#Survival based on Last Year Estimate],Table37['#Survival based on Inventory])</f>
        <v>0</v>
      </c>
      <c r="S139" s="16">
        <f>Table11[[#This Row],['#Planted]]*Table11[[#This Row],[USA Allocation %]]*Table11[[#This Row],[2024 Inventory Survival%-master]]</f>
        <v>0</v>
      </c>
      <c r="T139" s="16">
        <f>Table11[[#This Row],['#Planted]]*Table11[[#This Row],[USA Allocation %]]*Table11[[#This Row],[2024 Estimated Survival%]]</f>
        <v>0</v>
      </c>
      <c r="U139">
        <f>Table11[[#This Row],[ETP Year]]</f>
        <v>2020</v>
      </c>
      <c r="V139">
        <f>Table11[[#This Row],[Planting Year]]</f>
        <v>2020</v>
      </c>
      <c r="W139" s="8">
        <f>Table11[[#This Row],[Survival% as of 12/31/23]]</f>
        <v>0.82499999999999996</v>
      </c>
      <c r="X139" s="7">
        <f>Table11[[#This Row],[ETP'#s]]</f>
        <v>1</v>
      </c>
    </row>
    <row r="140" spans="1:24" x14ac:dyDescent="0.25">
      <c r="A140">
        <f>Table11[[#This Row],[Farmer'#]]</f>
        <v>10063</v>
      </c>
      <c r="B140" t="str">
        <f>Table11[[#This Row],[Representative]]</f>
        <v>Joseph Garrett</v>
      </c>
      <c r="C140" t="str">
        <f>Table11[[#This Row],[Contract Name]]</f>
        <v>Joseph Garrett</v>
      </c>
      <c r="D140" t="str">
        <f>Table11[[#This Row],[Status]]</f>
        <v>Active</v>
      </c>
      <c r="E140" t="str">
        <f>Table11[[#This Row],[Contract Code]]</f>
        <v>US0073</v>
      </c>
      <c r="F140" s="16">
        <f>Table11[[#This Row],['#TreesContract]]</f>
        <v>1100</v>
      </c>
      <c r="G140" s="16">
        <f>Table11[[#This Row],['#Planted]]</f>
        <v>1100</v>
      </c>
      <c r="H140" s="16">
        <f>Table11[[#This Row],['#TreesContract]]*Table11[[#This Row],[USA Allocation %]]</f>
        <v>1100</v>
      </c>
      <c r="I140" s="16">
        <f>Table11[[#This Row],['#Planted]]*Table11[[#This Row],[USA Allocation %]]</f>
        <v>1100</v>
      </c>
      <c r="J140" s="16">
        <f>Table11[[#This Row],[Contract Amendment]]*Table11[[#This Row],[USA Allocation %]]</f>
        <v>0</v>
      </c>
      <c r="K140" s="16">
        <f>Table11[[#This Row],['#Trees as of 12/31/23]]*Table11[[#This Row],[USA Allocation %]]</f>
        <v>1087</v>
      </c>
      <c r="L140" s="16">
        <f>Table11[[#This Row],['#Replace 24]]*Table11[[#This Row],[USA Allocation %]]</f>
        <v>0</v>
      </c>
      <c r="M140" s="16">
        <f>IF(Table11[[#This Row],[Planting Year]]=2024,Table11['#Planted],0)</f>
        <v>0</v>
      </c>
      <c r="N140" s="16">
        <f>(Table11[[#This Row],[2024 '#Trees Inventory + Estimate]]*Table11[[#This Row],[USA Allocation %]])-SUM(Table37[[#This Row],['# Trees as of 12/31/23]:[New Trees/Planted in 2024]])</f>
        <v>3</v>
      </c>
      <c r="O140" s="16">
        <f>SUM(Table37[[#This Row],['# Trees as of 12/31/23]:[2024 Tree Losses]])</f>
        <v>1090</v>
      </c>
      <c r="P140" s="16">
        <f>SUM(Table37[[#This Row],[Total Trees as of 12/31/24]]-Table37[[#This Row],['# Trees as of 12/31/23]])</f>
        <v>3</v>
      </c>
      <c r="Q140" s="16">
        <f>Table11[[#This Row],['#Total Replacements]]*Table11[[#This Row],[USA Allocation %]]</f>
        <v>501</v>
      </c>
      <c r="R140" s="16">
        <f>IF(Table37[[#This Row],['#Survival based on Inventory]]=0,Table37['#Survival based on Last Year Estimate],Table37['#Survival based on Inventory])</f>
        <v>1090.0999999999999</v>
      </c>
      <c r="S140" s="16">
        <f>Table11[[#This Row],['#Planted]]*Table11[[#This Row],[USA Allocation %]]*Table11[[#This Row],[2024 Inventory Survival%-master]]</f>
        <v>1090.0999999999999</v>
      </c>
      <c r="T140" s="16">
        <f>Table11[[#This Row],['#Planted]]*Table11[[#This Row],[USA Allocation %]]*Table11[[#This Row],[2024 Estimated Survival%]]</f>
        <v>1089</v>
      </c>
      <c r="U140">
        <f>Table11[[#This Row],[ETP Year]]</f>
        <v>2020</v>
      </c>
      <c r="V140">
        <f>Table11[[#This Row],[Planting Year]]</f>
        <v>2020</v>
      </c>
      <c r="W140" s="8">
        <f>Table11[[#This Row],[Survival% as of 12/31/23]]</f>
        <v>0.98818181818181816</v>
      </c>
      <c r="X140" s="7">
        <f>Table11[[#This Row],[ETP'#s]]</f>
        <v>1</v>
      </c>
    </row>
    <row r="141" spans="1:24" x14ac:dyDescent="0.25">
      <c r="A141">
        <f>Table11[[#This Row],[Farmer'#]]</f>
        <v>10064</v>
      </c>
      <c r="B141" t="str">
        <f>Table11[[#This Row],[Representative]]</f>
        <v>Josh Allen</v>
      </c>
      <c r="C141" t="str">
        <f>Table11[[#This Row],[Contract Name]]</f>
        <v>Josh Allen</v>
      </c>
      <c r="D141" t="str">
        <f>Table11[[#This Row],[Status]]</f>
        <v>Active</v>
      </c>
      <c r="E141" t="str">
        <f>Table11[[#This Row],[Contract Code]]</f>
        <v>US0074</v>
      </c>
      <c r="F141" s="16">
        <f>Table11[[#This Row],['#TreesContract]]</f>
        <v>1100</v>
      </c>
      <c r="G141" s="16">
        <f>Table11[[#This Row],['#Planted]]</f>
        <v>1100</v>
      </c>
      <c r="H141" s="16">
        <f>Table11[[#This Row],['#TreesContract]]*Table11[[#This Row],[USA Allocation %]]</f>
        <v>1100</v>
      </c>
      <c r="I141" s="16">
        <f>Table11[[#This Row],['#Planted]]*Table11[[#This Row],[USA Allocation %]]</f>
        <v>1100</v>
      </c>
      <c r="J141" s="16">
        <f>Table11[[#This Row],[Contract Amendment]]*Table11[[#This Row],[USA Allocation %]]</f>
        <v>0</v>
      </c>
      <c r="K141" s="16">
        <f>Table11[[#This Row],['#Trees as of 12/31/23]]*Table11[[#This Row],[USA Allocation %]]</f>
        <v>1045</v>
      </c>
      <c r="L141" s="16">
        <f>Table11[[#This Row],['#Replace 24]]*Table11[[#This Row],[USA Allocation %]]</f>
        <v>0</v>
      </c>
      <c r="M141" s="16">
        <f>IF(Table11[[#This Row],[Planting Year]]=2024,Table11['#Planted],0)</f>
        <v>0</v>
      </c>
      <c r="N141" s="16">
        <f>(Table11[[#This Row],[2024 '#Trees Inventory + Estimate]]*Table11[[#This Row],[USA Allocation %]])-SUM(Table37[[#This Row],['# Trees as of 12/31/23]:[New Trees/Planted in 2024]])</f>
        <v>0</v>
      </c>
      <c r="O141" s="16">
        <f>SUM(Table37[[#This Row],['# Trees as of 12/31/23]:[2024 Tree Losses]])</f>
        <v>1045</v>
      </c>
      <c r="P141" s="16">
        <f>SUM(Table37[[#This Row],[Total Trees as of 12/31/24]]-Table37[[#This Row],['# Trees as of 12/31/23]])</f>
        <v>0</v>
      </c>
      <c r="Q141" s="16">
        <f>Table11[[#This Row],['#Total Replacements]]*Table11[[#This Row],[USA Allocation %]]</f>
        <v>1054</v>
      </c>
      <c r="R141" s="16">
        <f>IF(Table37[[#This Row],['#Survival based on Inventory]]=0,Table37['#Survival based on Last Year Estimate],Table37['#Survival based on Inventory])</f>
        <v>1045</v>
      </c>
      <c r="S141" s="16">
        <f>Table11[[#This Row],['#Planted]]*Table11[[#This Row],[USA Allocation %]]*Table11[[#This Row],[2024 Inventory Survival%-master]]</f>
        <v>0</v>
      </c>
      <c r="T141" s="16">
        <f>Table11[[#This Row],['#Planted]]*Table11[[#This Row],[USA Allocation %]]*Table11[[#This Row],[2024 Estimated Survival%]]</f>
        <v>1045</v>
      </c>
      <c r="U141">
        <f>Table11[[#This Row],[ETP Year]]</f>
        <v>2020</v>
      </c>
      <c r="V141">
        <f>Table11[[#This Row],[Planting Year]]</f>
        <v>2020</v>
      </c>
      <c r="W141" s="8">
        <f>Table11[[#This Row],[Survival% as of 12/31/23]]</f>
        <v>0.95</v>
      </c>
      <c r="X141" s="7">
        <f>Table11[[#This Row],[ETP'#s]]</f>
        <v>1</v>
      </c>
    </row>
    <row r="142" spans="1:24" x14ac:dyDescent="0.25">
      <c r="A142">
        <f>Table11[[#This Row],[Farmer'#]]</f>
        <v>10065</v>
      </c>
      <c r="B142" t="str">
        <f>Table11[[#This Row],[Representative]]</f>
        <v>Justin Brewer</v>
      </c>
      <c r="C142" t="str">
        <f>Table11[[#This Row],[Contract Name]]</f>
        <v>Justin Brewer</v>
      </c>
      <c r="D142" t="str">
        <f>Table11[[#This Row],[Status]]</f>
        <v>Active</v>
      </c>
      <c r="E142" t="str">
        <f>Table11[[#This Row],[Contract Code]]</f>
        <v>US0075</v>
      </c>
      <c r="F142" s="16">
        <f>Table11[[#This Row],['#TreesContract]]</f>
        <v>1090</v>
      </c>
      <c r="G142" s="16">
        <f>Table11[[#This Row],['#Planted]]</f>
        <v>1090</v>
      </c>
      <c r="H142" s="16">
        <f>Table11[[#This Row],['#TreesContract]]*Table11[[#This Row],[USA Allocation %]]</f>
        <v>1090</v>
      </c>
      <c r="I142" s="16">
        <f>Table11[[#This Row],['#Planted]]*Table11[[#This Row],[USA Allocation %]]</f>
        <v>1090</v>
      </c>
      <c r="J142" s="16">
        <f>Table11[[#This Row],[Contract Amendment]]*Table11[[#This Row],[USA Allocation %]]</f>
        <v>0</v>
      </c>
      <c r="K142" s="16">
        <f>Table11[[#This Row],['#Trees as of 12/31/23]]*Table11[[#This Row],[USA Allocation %]]</f>
        <v>1090</v>
      </c>
      <c r="L142" s="16">
        <f>Table11[[#This Row],['#Replace 24]]*Table11[[#This Row],[USA Allocation %]]</f>
        <v>0</v>
      </c>
      <c r="M142" s="16">
        <f>IF(Table11[[#This Row],[Planting Year]]=2024,Table11['#Planted],0)</f>
        <v>0</v>
      </c>
      <c r="N142" s="16">
        <f>(Table11[[#This Row],[2024 '#Trees Inventory + Estimate]]*Table11[[#This Row],[USA Allocation %]])-SUM(Table37[[#This Row],['# Trees as of 12/31/23]:[New Trees/Planted in 2024]])</f>
        <v>-47</v>
      </c>
      <c r="O142" s="16">
        <f>SUM(Table37[[#This Row],['# Trees as of 12/31/23]:[2024 Tree Losses]])</f>
        <v>1043</v>
      </c>
      <c r="P142" s="16">
        <f>SUM(Table37[[#This Row],[Total Trees as of 12/31/24]]-Table37[[#This Row],['# Trees as of 12/31/23]])</f>
        <v>-47</v>
      </c>
      <c r="Q142" s="16">
        <f>Table11[[#This Row],['#Total Replacements]]*Table11[[#This Row],[USA Allocation %]]</f>
        <v>466</v>
      </c>
      <c r="R142" s="16">
        <f>IF(Table37[[#This Row],['#Survival based on Inventory]]=0,Table37['#Survival based on Last Year Estimate],Table37['#Survival based on Inventory])</f>
        <v>1043.1299999999999</v>
      </c>
      <c r="S142" s="16">
        <f>Table11[[#This Row],['#Planted]]*Table11[[#This Row],[USA Allocation %]]*Table11[[#This Row],[2024 Inventory Survival%-master]]</f>
        <v>1043.1299999999999</v>
      </c>
      <c r="T142" s="16">
        <f>Table11[[#This Row],['#Planted]]*Table11[[#This Row],[USA Allocation %]]*Table11[[#This Row],[2024 Estimated Survival%]]</f>
        <v>1046.3999999999999</v>
      </c>
      <c r="U142">
        <f>Table11[[#This Row],[ETP Year]]</f>
        <v>2020</v>
      </c>
      <c r="V142">
        <f>Table11[[#This Row],[Planting Year]]</f>
        <v>2020</v>
      </c>
      <c r="W142" s="8">
        <f>Table11[[#This Row],[Survival% as of 12/31/23]]</f>
        <v>1</v>
      </c>
      <c r="X142" s="7">
        <f>Table11[[#This Row],[ETP'#s]]</f>
        <v>1</v>
      </c>
    </row>
    <row r="143" spans="1:24" x14ac:dyDescent="0.25">
      <c r="A143">
        <f>Table11[[#This Row],[Farmer'#]]</f>
        <v>10066</v>
      </c>
      <c r="B143" t="str">
        <f>Table11[[#This Row],[Representative]]</f>
        <v>Kim Martens</v>
      </c>
      <c r="C143" t="str">
        <f>Table11[[#This Row],[Contract Name]]</f>
        <v>Kim Martens</v>
      </c>
      <c r="D143" t="str">
        <f>Table11[[#This Row],[Status]]</f>
        <v>Active</v>
      </c>
      <c r="E143" t="str">
        <f>Table11[[#This Row],[Contract Code]]</f>
        <v>US0076</v>
      </c>
      <c r="F143" s="16">
        <f>Table11[[#This Row],['#TreesContract]]</f>
        <v>750</v>
      </c>
      <c r="G143" s="16">
        <f>Table11[[#This Row],['#Planted]]</f>
        <v>750</v>
      </c>
      <c r="H143" s="16">
        <f>Table11[[#This Row],['#TreesContract]]*Table11[[#This Row],[USA Allocation %]]</f>
        <v>750</v>
      </c>
      <c r="I143" s="16">
        <f>Table11[[#This Row],['#Planted]]*Table11[[#This Row],[USA Allocation %]]</f>
        <v>750</v>
      </c>
      <c r="J143" s="16">
        <f>Table11[[#This Row],[Contract Amendment]]*Table11[[#This Row],[USA Allocation %]]</f>
        <v>0</v>
      </c>
      <c r="K143" s="16">
        <f>Table11[[#This Row],['#Trees as of 12/31/23]]*Table11[[#This Row],[USA Allocation %]]</f>
        <v>723.75</v>
      </c>
      <c r="L143" s="16">
        <f>Table11[[#This Row],['#Replace 24]]*Table11[[#This Row],[USA Allocation %]]</f>
        <v>0</v>
      </c>
      <c r="M143" s="16">
        <f>IF(Table11[[#This Row],[Planting Year]]=2024,Table11['#Planted],0)</f>
        <v>0</v>
      </c>
      <c r="N143" s="16">
        <f>(Table11[[#This Row],[2024 '#Trees Inventory + Estimate]]*Table11[[#This Row],[USA Allocation %]])-SUM(Table37[[#This Row],['# Trees as of 12/31/23]:[New Trees/Planted in 2024]])</f>
        <v>0</v>
      </c>
      <c r="O143" s="16">
        <f>SUM(Table37[[#This Row],['# Trees as of 12/31/23]:[2024 Tree Losses]])</f>
        <v>723.75</v>
      </c>
      <c r="P143" s="16">
        <f>SUM(Table37[[#This Row],[Total Trees as of 12/31/24]]-Table37[[#This Row],['# Trees as of 12/31/23]])</f>
        <v>0</v>
      </c>
      <c r="Q143" s="16">
        <f>Table11[[#This Row],['#Total Replacements]]*Table11[[#This Row],[USA Allocation %]]</f>
        <v>610</v>
      </c>
      <c r="R143" s="16">
        <f>IF(Table37[[#This Row],['#Survival based on Inventory]]=0,Table37['#Survival based on Last Year Estimate],Table37['#Survival based on Inventory])</f>
        <v>727.5</v>
      </c>
      <c r="S143" s="16">
        <f>Table11[[#This Row],['#Planted]]*Table11[[#This Row],[USA Allocation %]]*Table11[[#This Row],[2024 Inventory Survival%-master]]</f>
        <v>0</v>
      </c>
      <c r="T143" s="16">
        <f>Table11[[#This Row],['#Planted]]*Table11[[#This Row],[USA Allocation %]]*Table11[[#This Row],[2024 Estimated Survival%]]</f>
        <v>727.5</v>
      </c>
      <c r="U143">
        <f>Table11[[#This Row],[ETP Year]]</f>
        <v>2020</v>
      </c>
      <c r="V143">
        <f>Table11[[#This Row],[Planting Year]]</f>
        <v>2020</v>
      </c>
      <c r="W143" s="8">
        <f>Table11[[#This Row],[Survival% as of 12/31/23]]</f>
        <v>0.96499999999999997</v>
      </c>
      <c r="X143" s="7">
        <f>Table11[[#This Row],[ETP'#s]]</f>
        <v>1</v>
      </c>
    </row>
    <row r="144" spans="1:24" x14ac:dyDescent="0.25">
      <c r="A144">
        <f>Table11[[#This Row],[Farmer'#]]</f>
        <v>10067</v>
      </c>
      <c r="B144" t="str">
        <f>Table11[[#This Row],[Representative]]</f>
        <v>Mike Porter</v>
      </c>
      <c r="C144" t="str">
        <f>Table11[[#This Row],[Contract Name]]</f>
        <v>Mike Porter and Teri Galardi</v>
      </c>
      <c r="D144" t="str">
        <f>Table11[[#This Row],[Status]]</f>
        <v>Active</v>
      </c>
      <c r="E144" t="str">
        <f>Table11[[#This Row],[Contract Code]]</f>
        <v>US0077</v>
      </c>
      <c r="F144" s="16">
        <f>Table11[[#This Row],['#TreesContract]]</f>
        <v>2200</v>
      </c>
      <c r="G144" s="16">
        <f>Table11[[#This Row],['#Planted]]</f>
        <v>2200</v>
      </c>
      <c r="H144" s="16">
        <f>Table11[[#This Row],['#TreesContract]]*Table11[[#This Row],[USA Allocation %]]</f>
        <v>2200</v>
      </c>
      <c r="I144" s="16">
        <f>Table11[[#This Row],['#Planted]]*Table11[[#This Row],[USA Allocation %]]</f>
        <v>2200</v>
      </c>
      <c r="J144" s="16">
        <f>Table11[[#This Row],[Contract Amendment]]*Table11[[#This Row],[USA Allocation %]]</f>
        <v>0</v>
      </c>
      <c r="K144" s="16">
        <f>Table11[[#This Row],['#Trees as of 12/31/23]]*Table11[[#This Row],[USA Allocation %]]</f>
        <v>2200</v>
      </c>
      <c r="L144" s="16">
        <f>Table11[[#This Row],['#Replace 24]]*Table11[[#This Row],[USA Allocation %]]</f>
        <v>0</v>
      </c>
      <c r="M144" s="16">
        <f>IF(Table11[[#This Row],[Planting Year]]=2024,Table11['#Planted],0)</f>
        <v>0</v>
      </c>
      <c r="N144" s="16">
        <f>(Table11[[#This Row],[2024 '#Trees Inventory + Estimate]]*Table11[[#This Row],[USA Allocation %]])-SUM(Table37[[#This Row],['# Trees as of 12/31/23]:[New Trees/Planted in 2024]])</f>
        <v>-482</v>
      </c>
      <c r="O144" s="16">
        <f>SUM(Table37[[#This Row],['# Trees as of 12/31/23]:[2024 Tree Losses]])</f>
        <v>1718</v>
      </c>
      <c r="P144" s="16">
        <f>SUM(Table37[[#This Row],[Total Trees as of 12/31/24]]-Table37[[#This Row],['# Trees as of 12/31/23]])</f>
        <v>-482</v>
      </c>
      <c r="Q144" s="16">
        <f>Table11[[#This Row],['#Total Replacements]]*Table11[[#This Row],[USA Allocation %]]</f>
        <v>851</v>
      </c>
      <c r="R144" s="16">
        <f>IF(Table37[[#This Row],['#Survival based on Inventory]]=0,Table37['#Survival based on Last Year Estimate],Table37['#Survival based on Inventory])</f>
        <v>1718.2</v>
      </c>
      <c r="S144" s="16">
        <f>Table11[[#This Row],['#Planted]]*Table11[[#This Row],[USA Allocation %]]*Table11[[#This Row],[2024 Inventory Survival%-master]]</f>
        <v>1718.2</v>
      </c>
      <c r="T144" s="16">
        <f>Table11[[#This Row],['#Planted]]*Table11[[#This Row],[USA Allocation %]]*Table11[[#This Row],[2024 Estimated Survival%]]</f>
        <v>1716</v>
      </c>
      <c r="U144">
        <f>Table11[[#This Row],[ETP Year]]</f>
        <v>2020</v>
      </c>
      <c r="V144">
        <f>Table11[[#This Row],[Planting Year]]</f>
        <v>2020</v>
      </c>
      <c r="W144" s="8">
        <f>Table11[[#This Row],[Survival% as of 12/31/23]]</f>
        <v>1</v>
      </c>
      <c r="X144" s="7">
        <f>Table11[[#This Row],[ETP'#s]]</f>
        <v>1</v>
      </c>
    </row>
    <row r="145" spans="1:24" x14ac:dyDescent="0.25">
      <c r="A145">
        <f>Table11[[#This Row],[Farmer'#]]</f>
        <v>10068</v>
      </c>
      <c r="B145" t="str">
        <f>Table11[[#This Row],[Representative]]</f>
        <v>Pete Preskitt</v>
      </c>
      <c r="C145" t="str">
        <f>Table11[[#This Row],[Contract Name]]</f>
        <v>Pete Preskitt</v>
      </c>
      <c r="D145" t="str">
        <f>Table11[[#This Row],[Status]]</f>
        <v>RFT</v>
      </c>
      <c r="E145" t="str">
        <f>Table11[[#This Row],[Contract Code]]</f>
        <v>US0078</v>
      </c>
      <c r="F145" s="16">
        <f>Table11[[#This Row],['#TreesContract]]</f>
        <v>1100</v>
      </c>
      <c r="G145" s="16">
        <f>Table11[[#This Row],['#Planted]]</f>
        <v>1100</v>
      </c>
      <c r="H145" s="16">
        <f>Table11[[#This Row],['#TreesContract]]*Table11[[#This Row],[USA Allocation %]]</f>
        <v>1100</v>
      </c>
      <c r="I145" s="16">
        <f>Table11[[#This Row],['#Planted]]*Table11[[#This Row],[USA Allocation %]]</f>
        <v>1100</v>
      </c>
      <c r="J145" s="16">
        <f>Table11[[#This Row],[Contract Amendment]]*Table11[[#This Row],[USA Allocation %]]</f>
        <v>0</v>
      </c>
      <c r="K145" s="16">
        <f>Table11[[#This Row],['#Trees as of 12/31/23]]*Table11[[#This Row],[USA Allocation %]]</f>
        <v>1045</v>
      </c>
      <c r="L145" s="16">
        <f>Table11[[#This Row],['#Replace 24]]*Table11[[#This Row],[USA Allocation %]]</f>
        <v>0</v>
      </c>
      <c r="M145" s="16">
        <f>IF(Table11[[#This Row],[Planting Year]]=2024,Table11['#Planted],0)</f>
        <v>0</v>
      </c>
      <c r="N145" s="16">
        <f>(Table11[[#This Row],[2024 '#Trees Inventory + Estimate]]*Table11[[#This Row],[USA Allocation %]])-SUM(Table37[[#This Row],['# Trees as of 12/31/23]:[New Trees/Planted in 2024]])</f>
        <v>-253</v>
      </c>
      <c r="O145" s="16">
        <f>SUM(Table37[[#This Row],['# Trees as of 12/31/23]:[2024 Tree Losses]])</f>
        <v>792</v>
      </c>
      <c r="P145" s="16">
        <f>SUM(Table37[[#This Row],[Total Trees as of 12/31/24]]-Table37[[#This Row],['# Trees as of 12/31/23]])</f>
        <v>-253</v>
      </c>
      <c r="Q145" s="16">
        <f>Table11[[#This Row],['#Total Replacements]]*Table11[[#This Row],[USA Allocation %]]</f>
        <v>550</v>
      </c>
      <c r="R145" s="16">
        <f>IF(Table37[[#This Row],['#Survival based on Inventory]]=0,Table37['#Survival based on Last Year Estimate],Table37['#Survival based on Inventory])</f>
        <v>790.9</v>
      </c>
      <c r="S145" s="16">
        <f>Table11[[#This Row],['#Planted]]*Table11[[#This Row],[USA Allocation %]]*Table11[[#This Row],[2024 Inventory Survival%-master]]</f>
        <v>790.9</v>
      </c>
      <c r="T145" s="16">
        <f>Table11[[#This Row],['#Planted]]*Table11[[#This Row],[USA Allocation %]]*Table11[[#This Row],[2024 Estimated Survival%]]</f>
        <v>792</v>
      </c>
      <c r="U145">
        <f>Table11[[#This Row],[ETP Year]]</f>
        <v>2020</v>
      </c>
      <c r="V145">
        <f>Table11[[#This Row],[Planting Year]]</f>
        <v>2020</v>
      </c>
      <c r="W145" s="8">
        <f>Table11[[#This Row],[Survival% as of 12/31/23]]</f>
        <v>0.95</v>
      </c>
      <c r="X145" s="7">
        <f>Table11[[#This Row],[ETP'#s]]</f>
        <v>1</v>
      </c>
    </row>
    <row r="146" spans="1:24" x14ac:dyDescent="0.25">
      <c r="A146">
        <f>Table11[[#This Row],[Farmer'#]]</f>
        <v>10069</v>
      </c>
      <c r="B146" t="str">
        <f>Table11[[#This Row],[Representative]]</f>
        <v>Peter Kampmann</v>
      </c>
      <c r="C146" t="str">
        <f>Table11[[#This Row],[Contract Name]]</f>
        <v>Peter Kampmann</v>
      </c>
      <c r="D146" t="str">
        <f>Table11[[#This Row],[Status]]</f>
        <v>Active</v>
      </c>
      <c r="E146" t="str">
        <f>Table11[[#This Row],[Contract Code]]</f>
        <v>US0079</v>
      </c>
      <c r="F146" s="16">
        <f>Table11[[#This Row],['#TreesContract]]</f>
        <v>2130</v>
      </c>
      <c r="G146" s="16">
        <f>Table11[[#This Row],['#Planted]]</f>
        <v>2130</v>
      </c>
      <c r="H146" s="16">
        <f>Table11[[#This Row],['#TreesContract]]*Table11[[#This Row],[USA Allocation %]]</f>
        <v>2130</v>
      </c>
      <c r="I146" s="16">
        <f>Table11[[#This Row],['#Planted]]*Table11[[#This Row],[USA Allocation %]]</f>
        <v>2130</v>
      </c>
      <c r="J146" s="16">
        <f>Table11[[#This Row],[Contract Amendment]]*Table11[[#This Row],[USA Allocation %]]</f>
        <v>0</v>
      </c>
      <c r="K146" s="16">
        <f>Table11[[#This Row],['#Trees as of 12/31/23]]*Table11[[#This Row],[USA Allocation %]]</f>
        <v>2130</v>
      </c>
      <c r="L146" s="16">
        <f>Table11[[#This Row],['#Replace 24]]*Table11[[#This Row],[USA Allocation %]]</f>
        <v>0</v>
      </c>
      <c r="M146" s="16">
        <f>IF(Table11[[#This Row],[Planting Year]]=2024,Table11['#Planted],0)</f>
        <v>0</v>
      </c>
      <c r="N146" s="16">
        <f>(Table11[[#This Row],[2024 '#Trees Inventory + Estimate]]*Table11[[#This Row],[USA Allocation %]])-SUM(Table37[[#This Row],['# Trees as of 12/31/23]:[New Trees/Planted in 2024]])</f>
        <v>0</v>
      </c>
      <c r="O146" s="16">
        <f>SUM(Table37[[#This Row],['# Trees as of 12/31/23]:[2024 Tree Losses]])</f>
        <v>2130</v>
      </c>
      <c r="P146" s="16">
        <f>SUM(Table37[[#This Row],[Total Trees as of 12/31/24]]-Table37[[#This Row],['# Trees as of 12/31/23]])</f>
        <v>0</v>
      </c>
      <c r="Q146" s="16">
        <f>Table11[[#This Row],['#Total Replacements]]*Table11[[#This Row],[USA Allocation %]]</f>
        <v>1645</v>
      </c>
      <c r="R146" s="16">
        <f>IF(Table37[[#This Row],['#Survival based on Inventory]]=0,Table37['#Survival based on Last Year Estimate],Table37['#Survival based on Inventory])</f>
        <v>2130</v>
      </c>
      <c r="S146" s="16">
        <f>Table11[[#This Row],['#Planted]]*Table11[[#This Row],[USA Allocation %]]*Table11[[#This Row],[2024 Inventory Survival%-master]]</f>
        <v>0</v>
      </c>
      <c r="T146" s="16">
        <f>Table11[[#This Row],['#Planted]]*Table11[[#This Row],[USA Allocation %]]*Table11[[#This Row],[2024 Estimated Survival%]]</f>
        <v>2130</v>
      </c>
      <c r="U146">
        <f>Table11[[#This Row],[ETP Year]]</f>
        <v>2020</v>
      </c>
      <c r="V146">
        <f>Table11[[#This Row],[Planting Year]]</f>
        <v>2020</v>
      </c>
      <c r="W146" s="8">
        <f>Table11[[#This Row],[Survival% as of 12/31/23]]</f>
        <v>1</v>
      </c>
      <c r="X146" s="7">
        <f>Table11[[#This Row],[ETP'#s]]</f>
        <v>1</v>
      </c>
    </row>
    <row r="147" spans="1:24" x14ac:dyDescent="0.25">
      <c r="A147">
        <f>Table11[[#This Row],[Farmer'#]]</f>
        <v>10070</v>
      </c>
      <c r="B147" t="str">
        <f>Table11[[#This Row],[Representative]]</f>
        <v>Randy Grant</v>
      </c>
      <c r="C147" t="str">
        <f>Table11[[#This Row],[Contract Name]]</f>
        <v>Randy Grant</v>
      </c>
      <c r="D147" t="str">
        <f>Table11[[#This Row],[Status]]</f>
        <v>Active</v>
      </c>
      <c r="E147" t="str">
        <f>Table11[[#This Row],[Contract Code]]</f>
        <v>US0080</v>
      </c>
      <c r="F147" s="16">
        <f>Table11[[#This Row],['#TreesContract]]</f>
        <v>5300</v>
      </c>
      <c r="G147" s="16">
        <f>Table11[[#This Row],['#Planted]]</f>
        <v>5300</v>
      </c>
      <c r="H147" s="16">
        <f>Table11[[#This Row],['#TreesContract]]*Table11[[#This Row],[USA Allocation %]]</f>
        <v>5300</v>
      </c>
      <c r="I147" s="16">
        <f>Table11[[#This Row],['#Planted]]*Table11[[#This Row],[USA Allocation %]]</f>
        <v>5300</v>
      </c>
      <c r="J147" s="16">
        <f>Table11[[#This Row],[Contract Amendment]]*Table11[[#This Row],[USA Allocation %]]</f>
        <v>0</v>
      </c>
      <c r="K147" s="16">
        <f>Table11[[#This Row],['#Trees as of 12/31/23]]*Table11[[#This Row],[USA Allocation %]]</f>
        <v>5300</v>
      </c>
      <c r="L147" s="16">
        <f>Table11[[#This Row],['#Replace 24]]*Table11[[#This Row],[USA Allocation %]]</f>
        <v>0</v>
      </c>
      <c r="M147" s="16">
        <f>IF(Table11[[#This Row],[Planting Year]]=2024,Table11['#Planted],0)</f>
        <v>0</v>
      </c>
      <c r="N147" s="16">
        <f>(Table11[[#This Row],[2024 '#Trees Inventory + Estimate]]*Table11[[#This Row],[USA Allocation %]])-SUM(Table37[[#This Row],['# Trees as of 12/31/23]:[New Trees/Planted in 2024]])</f>
        <v>0</v>
      </c>
      <c r="O147" s="16">
        <f>SUM(Table37[[#This Row],['# Trees as of 12/31/23]:[2024 Tree Losses]])</f>
        <v>5300</v>
      </c>
      <c r="P147" s="16">
        <f>SUM(Table37[[#This Row],[Total Trees as of 12/31/24]]-Table37[[#This Row],['# Trees as of 12/31/23]])</f>
        <v>0</v>
      </c>
      <c r="Q147" s="16">
        <f>Table11[[#This Row],['#Total Replacements]]*Table11[[#This Row],[USA Allocation %]]</f>
        <v>5786</v>
      </c>
      <c r="R147" s="16">
        <f>IF(Table37[[#This Row],['#Survival based on Inventory]]=0,Table37['#Survival based on Last Year Estimate],Table37['#Survival based on Inventory])</f>
        <v>5300</v>
      </c>
      <c r="S147" s="16">
        <f>Table11[[#This Row],['#Planted]]*Table11[[#This Row],[USA Allocation %]]*Table11[[#This Row],[2024 Inventory Survival%-master]]</f>
        <v>0</v>
      </c>
      <c r="T147" s="16">
        <f>Table11[[#This Row],['#Planted]]*Table11[[#This Row],[USA Allocation %]]*Table11[[#This Row],[2024 Estimated Survival%]]</f>
        <v>5300</v>
      </c>
      <c r="U147">
        <f>Table11[[#This Row],[ETP Year]]</f>
        <v>2020</v>
      </c>
      <c r="V147">
        <f>Table11[[#This Row],[Planting Year]]</f>
        <v>2020</v>
      </c>
      <c r="W147" s="8">
        <f>Table11[[#This Row],[Survival% as of 12/31/23]]</f>
        <v>1</v>
      </c>
      <c r="X147" s="7">
        <f>Table11[[#This Row],[ETP'#s]]</f>
        <v>1</v>
      </c>
    </row>
    <row r="148" spans="1:24" x14ac:dyDescent="0.25">
      <c r="A148">
        <f>Table11[[#This Row],[Farmer'#]]</f>
        <v>10071</v>
      </c>
      <c r="B148" t="str">
        <f>Table11[[#This Row],[Representative]]</f>
        <v>Ricky Mitchell</v>
      </c>
      <c r="C148" t="str">
        <f>Table11[[#This Row],[Contract Name]]</f>
        <v>Ricky Mitchell</v>
      </c>
      <c r="D148" t="str">
        <f>Table11[[#This Row],[Status]]</f>
        <v>Active</v>
      </c>
      <c r="E148" t="str">
        <f>Table11[[#This Row],[Contract Code]]</f>
        <v>US0081</v>
      </c>
      <c r="F148" s="16">
        <f>Table11[[#This Row],['#TreesContract]]</f>
        <v>1100</v>
      </c>
      <c r="G148" s="16">
        <f>Table11[[#This Row],['#Planted]]</f>
        <v>1100</v>
      </c>
      <c r="H148" s="16">
        <f>Table11[[#This Row],['#TreesContract]]*Table11[[#This Row],[USA Allocation %]]</f>
        <v>1100</v>
      </c>
      <c r="I148" s="16">
        <f>Table11[[#This Row],['#Planted]]*Table11[[#This Row],[USA Allocation %]]</f>
        <v>1100</v>
      </c>
      <c r="J148" s="16">
        <f>Table11[[#This Row],[Contract Amendment]]*Table11[[#This Row],[USA Allocation %]]</f>
        <v>0</v>
      </c>
      <c r="K148" s="16">
        <f>Table11[[#This Row],['#Trees as of 12/31/23]]*Table11[[#This Row],[USA Allocation %]]</f>
        <v>1075.5</v>
      </c>
      <c r="L148" s="16">
        <f>Table11[[#This Row],['#Replace 24]]*Table11[[#This Row],[USA Allocation %]]</f>
        <v>0</v>
      </c>
      <c r="M148" s="16">
        <f>IF(Table11[[#This Row],[Planting Year]]=2024,Table11['#Planted],0)</f>
        <v>0</v>
      </c>
      <c r="N148" s="16">
        <f>(Table11[[#This Row],[2024 '#Trees Inventory + Estimate]]*Table11[[#This Row],[USA Allocation %]])-SUM(Table37[[#This Row],['# Trees as of 12/31/23]:[New Trees/Planted in 2024]])</f>
        <v>-855.5</v>
      </c>
      <c r="O148" s="16">
        <f>SUM(Table37[[#This Row],['# Trees as of 12/31/23]:[2024 Tree Losses]])</f>
        <v>220</v>
      </c>
      <c r="P148" s="16">
        <f>SUM(Table37[[#This Row],[Total Trees as of 12/31/24]]-Table37[[#This Row],['# Trees as of 12/31/23]])</f>
        <v>-855.5</v>
      </c>
      <c r="Q148" s="16">
        <f>Table11[[#This Row],['#Total Replacements]]*Table11[[#This Row],[USA Allocation %]]</f>
        <v>908</v>
      </c>
      <c r="R148" s="16">
        <f>IF(Table37[[#This Row],['#Survival based on Inventory]]=0,Table37['#Survival based on Last Year Estimate],Table37['#Survival based on Inventory])</f>
        <v>220</v>
      </c>
      <c r="S148" s="16">
        <f>Table11[[#This Row],['#Planted]]*Table11[[#This Row],[USA Allocation %]]*Table11[[#This Row],[2024 Inventory Survival%-master]]</f>
        <v>220</v>
      </c>
      <c r="T148" s="16">
        <f>Table11[[#This Row],['#Planted]]*Table11[[#This Row],[USA Allocation %]]*Table11[[#This Row],[2024 Estimated Survival%]]</f>
        <v>220</v>
      </c>
      <c r="U148">
        <f>Table11[[#This Row],[ETP Year]]</f>
        <v>2020</v>
      </c>
      <c r="V148">
        <f>Table11[[#This Row],[Planting Year]]</f>
        <v>2020</v>
      </c>
      <c r="W148" s="8">
        <f>Table11[[#This Row],[Survival% as of 12/31/23]]</f>
        <v>0.97772727272727278</v>
      </c>
      <c r="X148" s="7">
        <f>Table11[[#This Row],[ETP'#s]]</f>
        <v>1</v>
      </c>
    </row>
    <row r="149" spans="1:24" x14ac:dyDescent="0.25">
      <c r="A149">
        <f>Table11[[#This Row],[Farmer'#]]</f>
        <v>10072</v>
      </c>
      <c r="B149" t="str">
        <f>Table11[[#This Row],[Representative]]</f>
        <v>Ronnie and Kent Mathis</v>
      </c>
      <c r="C149" t="str">
        <f>Table11[[#This Row],[Contract Name]]</f>
        <v>Ronnie Mathis</v>
      </c>
      <c r="D149" t="str">
        <f>Table11[[#This Row],[Status]]</f>
        <v>Active</v>
      </c>
      <c r="E149" t="str">
        <f>Table11[[#This Row],[Contract Code]]</f>
        <v>US0082</v>
      </c>
      <c r="F149" s="16">
        <f>Table11[[#This Row],['#TreesContract]]</f>
        <v>3850</v>
      </c>
      <c r="G149" s="16">
        <f>Table11[[#This Row],['#Planted]]</f>
        <v>3850</v>
      </c>
      <c r="H149" s="16">
        <f>Table11[[#This Row],['#TreesContract]]*Table11[[#This Row],[USA Allocation %]]</f>
        <v>3850</v>
      </c>
      <c r="I149" s="16">
        <f>Table11[[#This Row],['#Planted]]*Table11[[#This Row],[USA Allocation %]]</f>
        <v>3850</v>
      </c>
      <c r="J149" s="16">
        <f>Table11[[#This Row],[Contract Amendment]]*Table11[[#This Row],[USA Allocation %]]</f>
        <v>0</v>
      </c>
      <c r="K149" s="16">
        <f>Table11[[#This Row],['#Trees as of 12/31/23]]*Table11[[#This Row],[USA Allocation %]]</f>
        <v>3850</v>
      </c>
      <c r="L149" s="16">
        <f>Table11[[#This Row],['#Replace 24]]*Table11[[#This Row],[USA Allocation %]]</f>
        <v>0</v>
      </c>
      <c r="M149" s="16">
        <f>IF(Table11[[#This Row],[Planting Year]]=2024,Table11['#Planted],0)</f>
        <v>0</v>
      </c>
      <c r="N149" s="16">
        <f>(Table11[[#This Row],[2024 '#Trees Inventory + Estimate]]*Table11[[#This Row],[USA Allocation %]])-SUM(Table37[[#This Row],['# Trees as of 12/31/23]:[New Trees/Planted in 2024]])</f>
        <v>-81</v>
      </c>
      <c r="O149" s="16">
        <f>SUM(Table37[[#This Row],['# Trees as of 12/31/23]:[2024 Tree Losses]])</f>
        <v>3769</v>
      </c>
      <c r="P149" s="16">
        <f>SUM(Table37[[#This Row],[Total Trees as of 12/31/24]]-Table37[[#This Row],['# Trees as of 12/31/23]])</f>
        <v>-81</v>
      </c>
      <c r="Q149" s="16">
        <f>Table11[[#This Row],['#Total Replacements]]*Table11[[#This Row],[USA Allocation %]]</f>
        <v>770</v>
      </c>
      <c r="R149" s="16">
        <f>IF(Table37[[#This Row],['#Survival based on Inventory]]=0,Table37['#Survival based on Last Year Estimate],Table37['#Survival based on Inventory])</f>
        <v>3769.15</v>
      </c>
      <c r="S149" s="16">
        <f>Table11[[#This Row],['#Planted]]*Table11[[#This Row],[USA Allocation %]]*Table11[[#This Row],[2024 Inventory Survival%-master]]</f>
        <v>3769.15</v>
      </c>
      <c r="T149" s="16">
        <f>Table11[[#This Row],['#Planted]]*Table11[[#This Row],[USA Allocation %]]*Table11[[#This Row],[2024 Estimated Survival%]]</f>
        <v>3773</v>
      </c>
      <c r="U149">
        <f>Table11[[#This Row],[ETP Year]]</f>
        <v>2020</v>
      </c>
      <c r="V149">
        <f>Table11[[#This Row],[Planting Year]]</f>
        <v>2020</v>
      </c>
      <c r="W149" s="8">
        <f>Table11[[#This Row],[Survival% as of 12/31/23]]</f>
        <v>1</v>
      </c>
      <c r="X149" s="7">
        <f>Table11[[#This Row],[ETP'#s]]</f>
        <v>1</v>
      </c>
    </row>
    <row r="150" spans="1:24" x14ac:dyDescent="0.25">
      <c r="A150">
        <f>Table11[[#This Row],[Farmer'#]]</f>
        <v>10073</v>
      </c>
      <c r="B150" t="str">
        <f>Table11[[#This Row],[Representative]]</f>
        <v>Russell and Sedalia Nelson</v>
      </c>
      <c r="C150" t="str">
        <f>Table11[[#This Row],[Contract Name]]</f>
        <v>Russell and Sedalia Nelson</v>
      </c>
      <c r="D150" t="str">
        <f>Table11[[#This Row],[Status]]</f>
        <v>Active</v>
      </c>
      <c r="E150" t="str">
        <f>Table11[[#This Row],[Contract Code]]</f>
        <v>US0083</v>
      </c>
      <c r="F150" s="16">
        <f>Table11[[#This Row],['#TreesContract]]</f>
        <v>1619</v>
      </c>
      <c r="G150" s="16">
        <f>Table11[[#This Row],['#Planted]]</f>
        <v>1619</v>
      </c>
      <c r="H150" s="16">
        <f>Table11[[#This Row],['#TreesContract]]*Table11[[#This Row],[USA Allocation %]]</f>
        <v>1619</v>
      </c>
      <c r="I150" s="16">
        <f>Table11[[#This Row],['#Planted]]*Table11[[#This Row],[USA Allocation %]]</f>
        <v>1619</v>
      </c>
      <c r="J150" s="16">
        <f>Table11[[#This Row],[Contract Amendment]]*Table11[[#This Row],[USA Allocation %]]</f>
        <v>0</v>
      </c>
      <c r="K150" s="16">
        <f>Table11[[#This Row],['#Trees as of 12/31/23]]*Table11[[#This Row],[USA Allocation %]]</f>
        <v>1538.05</v>
      </c>
      <c r="L150" s="16">
        <f>Table11[[#This Row],['#Replace 24]]*Table11[[#This Row],[USA Allocation %]]</f>
        <v>0</v>
      </c>
      <c r="M150" s="16">
        <f>IF(Table11[[#This Row],[Planting Year]]=2024,Table11['#Planted],0)</f>
        <v>0</v>
      </c>
      <c r="N150" s="16">
        <f>(Table11[[#This Row],[2024 '#Trees Inventory + Estimate]]*Table11[[#This Row],[USA Allocation %]])-SUM(Table37[[#This Row],['# Trees as of 12/31/23]:[New Trees/Planted in 2024]])</f>
        <v>40.950000000000045</v>
      </c>
      <c r="O150" s="16">
        <f>SUM(Table37[[#This Row],['# Trees as of 12/31/23]:[2024 Tree Losses]])</f>
        <v>1579</v>
      </c>
      <c r="P150" s="16">
        <f>SUM(Table37[[#This Row],[Total Trees as of 12/31/24]]-Table37[[#This Row],['# Trees as of 12/31/23]])</f>
        <v>40.950000000000045</v>
      </c>
      <c r="Q150" s="16">
        <f>Table11[[#This Row],['#Total Replacements]]*Table11[[#This Row],[USA Allocation %]]</f>
        <v>394</v>
      </c>
      <c r="R150" s="16">
        <f>IF(Table37[[#This Row],['#Survival based on Inventory]]=0,Table37['#Survival based on Last Year Estimate],Table37['#Survival based on Inventory])</f>
        <v>1578.5249999999999</v>
      </c>
      <c r="S150" s="16">
        <f>Table11[[#This Row],['#Planted]]*Table11[[#This Row],[USA Allocation %]]*Table11[[#This Row],[2024 Inventory Survival%-master]]</f>
        <v>1578.5249999999999</v>
      </c>
      <c r="T150" s="16">
        <f>Table11[[#This Row],['#Planted]]*Table11[[#This Row],[USA Allocation %]]*Table11[[#This Row],[2024 Estimated Survival%]]</f>
        <v>1586.62</v>
      </c>
      <c r="U150">
        <f>Table11[[#This Row],[ETP Year]]</f>
        <v>2020</v>
      </c>
      <c r="V150">
        <f>Table11[[#This Row],[Planting Year]]</f>
        <v>2020</v>
      </c>
      <c r="W150" s="8">
        <f>Table11[[#This Row],[Survival% as of 12/31/23]]</f>
        <v>0.95</v>
      </c>
      <c r="X150" s="7">
        <f>Table11[[#This Row],[ETP'#s]]</f>
        <v>1</v>
      </c>
    </row>
    <row r="151" spans="1:24" x14ac:dyDescent="0.25">
      <c r="A151">
        <f>Table11[[#This Row],[Farmer'#]]</f>
        <v>10074</v>
      </c>
      <c r="B151" t="str">
        <f>Table11[[#This Row],[Representative]]</f>
        <v>Scott Fenn</v>
      </c>
      <c r="C151" t="str">
        <f>Table11[[#This Row],[Contract Name]]</f>
        <v>Scott Fenn</v>
      </c>
      <c r="D151" t="str">
        <f>Table11[[#This Row],[Status]]</f>
        <v>Active</v>
      </c>
      <c r="E151" t="str">
        <f>Table11[[#This Row],[Contract Code]]</f>
        <v>US0084</v>
      </c>
      <c r="F151" s="16">
        <f>Table11[[#This Row],['#TreesContract]]</f>
        <v>1100</v>
      </c>
      <c r="G151" s="16">
        <f>Table11[[#This Row],['#Planted]]</f>
        <v>1100</v>
      </c>
      <c r="H151" s="16">
        <f>Table11[[#This Row],['#TreesContract]]*Table11[[#This Row],[USA Allocation %]]</f>
        <v>1100</v>
      </c>
      <c r="I151" s="16">
        <f>Table11[[#This Row],['#Planted]]*Table11[[#This Row],[USA Allocation %]]</f>
        <v>1100</v>
      </c>
      <c r="J151" s="16">
        <f>Table11[[#This Row],[Contract Amendment]]*Table11[[#This Row],[USA Allocation %]]</f>
        <v>0</v>
      </c>
      <c r="K151" s="16">
        <f>Table11[[#This Row],['#Trees as of 12/31/23]]*Table11[[#This Row],[USA Allocation %]]</f>
        <v>907.5</v>
      </c>
      <c r="L151" s="16">
        <f>Table11[[#This Row],['#Replace 24]]*Table11[[#This Row],[USA Allocation %]]</f>
        <v>0</v>
      </c>
      <c r="M151" s="16">
        <f>IF(Table11[[#This Row],[Planting Year]]=2024,Table11['#Planted],0)</f>
        <v>0</v>
      </c>
      <c r="N151" s="16">
        <f>(Table11[[#This Row],[2024 '#Trees Inventory + Estimate]]*Table11[[#This Row],[USA Allocation %]])-SUM(Table37[[#This Row],['# Trees as of 12/31/23]:[New Trees/Planted in 2024]])</f>
        <v>0</v>
      </c>
      <c r="O151" s="16">
        <f>SUM(Table37[[#This Row],['# Trees as of 12/31/23]:[2024 Tree Losses]])</f>
        <v>907.5</v>
      </c>
      <c r="P151" s="16">
        <f>SUM(Table37[[#This Row],[Total Trees as of 12/31/24]]-Table37[[#This Row],['# Trees as of 12/31/23]])</f>
        <v>0</v>
      </c>
      <c r="Q151" s="16">
        <f>Table11[[#This Row],['#Total Replacements]]*Table11[[#This Row],[USA Allocation %]]</f>
        <v>145</v>
      </c>
      <c r="R151" s="16">
        <f>IF(Table37[[#This Row],['#Survival based on Inventory]]=0,Table37['#Survival based on Last Year Estimate],Table37['#Survival based on Inventory])</f>
        <v>907.5</v>
      </c>
      <c r="S151" s="16">
        <f>Table11[[#This Row],['#Planted]]*Table11[[#This Row],[USA Allocation %]]*Table11[[#This Row],[2024 Inventory Survival%-master]]</f>
        <v>0</v>
      </c>
      <c r="T151" s="16">
        <f>Table11[[#This Row],['#Planted]]*Table11[[#This Row],[USA Allocation %]]*Table11[[#This Row],[2024 Estimated Survival%]]</f>
        <v>907.5</v>
      </c>
      <c r="U151">
        <f>Table11[[#This Row],[ETP Year]]</f>
        <v>2020</v>
      </c>
      <c r="V151">
        <f>Table11[[#This Row],[Planting Year]]</f>
        <v>2020</v>
      </c>
      <c r="W151" s="8">
        <f>Table11[[#This Row],[Survival% as of 12/31/23]]</f>
        <v>0.82499999999999996</v>
      </c>
      <c r="X151" s="7">
        <f>Table11[[#This Row],[ETP'#s]]</f>
        <v>1</v>
      </c>
    </row>
    <row r="152" spans="1:24" x14ac:dyDescent="0.25">
      <c r="A152">
        <f>Table11[[#This Row],[Farmer'#]]</f>
        <v>10075</v>
      </c>
      <c r="B152" t="str">
        <f>Table11[[#This Row],[Representative]]</f>
        <v>Scott Landreau</v>
      </c>
      <c r="C152" t="str">
        <f>Table11[[#This Row],[Contract Name]]</f>
        <v>Cidney Scott and Stuart Page Landreau</v>
      </c>
      <c r="D152" t="str">
        <f>Table11[[#This Row],[Status]]</f>
        <v>Active</v>
      </c>
      <c r="E152" t="str">
        <f>Table11[[#This Row],[Contract Code]]</f>
        <v>US0085</v>
      </c>
      <c r="F152" s="16">
        <f>Table11[[#This Row],['#TreesContract]]</f>
        <v>1320</v>
      </c>
      <c r="G152" s="16">
        <f>Table11[[#This Row],['#Planted]]</f>
        <v>1320</v>
      </c>
      <c r="H152" s="16">
        <f>Table11[[#This Row],['#TreesContract]]*Table11[[#This Row],[USA Allocation %]]</f>
        <v>1320</v>
      </c>
      <c r="I152" s="16">
        <f>Table11[[#This Row],['#Planted]]*Table11[[#This Row],[USA Allocation %]]</f>
        <v>1320</v>
      </c>
      <c r="J152" s="16">
        <f>Table11[[#This Row],[Contract Amendment]]*Table11[[#This Row],[USA Allocation %]]</f>
        <v>0</v>
      </c>
      <c r="K152" s="16">
        <f>Table11[[#This Row],['#Trees as of 12/31/23]]*Table11[[#This Row],[USA Allocation %]]</f>
        <v>1089</v>
      </c>
      <c r="L152" s="16">
        <f>Table11[[#This Row],['#Replace 24]]*Table11[[#This Row],[USA Allocation %]]</f>
        <v>0</v>
      </c>
      <c r="M152" s="16">
        <f>IF(Table11[[#This Row],[Planting Year]]=2024,Table11['#Planted],0)</f>
        <v>0</v>
      </c>
      <c r="N152" s="16">
        <f>(Table11[[#This Row],[2024 '#Trees Inventory + Estimate]]*Table11[[#This Row],[USA Allocation %]])-SUM(Table37[[#This Row],['# Trees as of 12/31/23]:[New Trees/Planted in 2024]])</f>
        <v>0</v>
      </c>
      <c r="O152" s="16">
        <f>SUM(Table37[[#This Row],['# Trees as of 12/31/23]:[2024 Tree Losses]])</f>
        <v>1089</v>
      </c>
      <c r="P152" s="16">
        <f>SUM(Table37[[#This Row],[Total Trees as of 12/31/24]]-Table37[[#This Row],['# Trees as of 12/31/23]])</f>
        <v>0</v>
      </c>
      <c r="Q152" s="16">
        <f>Table11[[#This Row],['#Total Replacements]]*Table11[[#This Row],[USA Allocation %]]</f>
        <v>106</v>
      </c>
      <c r="R152" s="16">
        <f>IF(Table37[[#This Row],['#Survival based on Inventory]]=0,Table37['#Survival based on Last Year Estimate],Table37['#Survival based on Inventory])</f>
        <v>1089</v>
      </c>
      <c r="S152" s="16">
        <f>Table11[[#This Row],['#Planted]]*Table11[[#This Row],[USA Allocation %]]*Table11[[#This Row],[2024 Inventory Survival%-master]]</f>
        <v>0</v>
      </c>
      <c r="T152" s="16">
        <f>Table11[[#This Row],['#Planted]]*Table11[[#This Row],[USA Allocation %]]*Table11[[#This Row],[2024 Estimated Survival%]]</f>
        <v>1089</v>
      </c>
      <c r="U152">
        <f>Table11[[#This Row],[ETP Year]]</f>
        <v>2020</v>
      </c>
      <c r="V152">
        <f>Table11[[#This Row],[Planting Year]]</f>
        <v>2020</v>
      </c>
      <c r="W152" s="8">
        <f>Table11[[#This Row],[Survival% as of 12/31/23]]</f>
        <v>0.82499999999999996</v>
      </c>
      <c r="X152" s="7">
        <f>Table11[[#This Row],[ETP'#s]]</f>
        <v>1</v>
      </c>
    </row>
    <row r="153" spans="1:24" x14ac:dyDescent="0.25">
      <c r="A153">
        <f>Table11[[#This Row],[Farmer'#]]</f>
        <v>10076</v>
      </c>
      <c r="B153" t="str">
        <f>Table11[[#This Row],[Representative]]</f>
        <v>Will Allen</v>
      </c>
      <c r="C153" t="str">
        <f>Table11[[#This Row],[Contract Name]]</f>
        <v>Will Allen</v>
      </c>
      <c r="D153" t="str">
        <f>Table11[[#This Row],[Status]]</f>
        <v>Out of Program</v>
      </c>
      <c r="E153" t="str">
        <f>Table11[[#This Row],[Contract Code]]</f>
        <v>US0088</v>
      </c>
      <c r="F153" s="16">
        <f>Table11[[#This Row],['#TreesContract]]</f>
        <v>1100</v>
      </c>
      <c r="G153" s="16">
        <f>Table11[[#This Row],['#Planted]]</f>
        <v>1100</v>
      </c>
      <c r="H153" s="16">
        <f>Table11[[#This Row],['#TreesContract]]*Table11[[#This Row],[USA Allocation %]]</f>
        <v>1100</v>
      </c>
      <c r="I153" s="16">
        <f>Table11[[#This Row],['#Planted]]*Table11[[#This Row],[USA Allocation %]]</f>
        <v>1100</v>
      </c>
      <c r="J153" s="16">
        <f>Table11[[#This Row],[Contract Amendment]]*Table11[[#This Row],[USA Allocation %]]</f>
        <v>0</v>
      </c>
      <c r="K153" s="16">
        <f>Table11[[#This Row],['#Trees as of 12/31/23]]*Table11[[#This Row],[USA Allocation %]]</f>
        <v>1045</v>
      </c>
      <c r="L153" s="16">
        <f>Table11[[#This Row],['#Replace 24]]*Table11[[#This Row],[USA Allocation %]]</f>
        <v>0</v>
      </c>
      <c r="M153" s="16">
        <f>IF(Table11[[#This Row],[Planting Year]]=2024,Table11['#Planted],0)</f>
        <v>0</v>
      </c>
      <c r="N153" s="16">
        <f>(Table11[[#This Row],[2024 '#Trees Inventory + Estimate]]*Table11[[#This Row],[USA Allocation %]])-SUM(Table37[[#This Row],['# Trees as of 12/31/23]:[New Trees/Planted in 2024]])</f>
        <v>-1045</v>
      </c>
      <c r="O153" s="16">
        <f>SUM(Table37[[#This Row],['# Trees as of 12/31/23]:[2024 Tree Losses]])</f>
        <v>0</v>
      </c>
      <c r="P153" s="16">
        <f>SUM(Table37[[#This Row],[Total Trees as of 12/31/24]]-Table37[[#This Row],['# Trees as of 12/31/23]])</f>
        <v>-1045</v>
      </c>
      <c r="Q153" s="16">
        <f>Table11[[#This Row],['#Total Replacements]]*Table11[[#This Row],[USA Allocation %]]</f>
        <v>427</v>
      </c>
      <c r="R153" s="16">
        <f>IF(Table37[[#This Row],['#Survival based on Inventory]]=0,Table37['#Survival based on Last Year Estimate],Table37['#Survival based on Inventory])</f>
        <v>0</v>
      </c>
      <c r="S153" s="16">
        <f>Table11[[#This Row],['#Planted]]*Table11[[#This Row],[USA Allocation %]]*Table11[[#This Row],[2024 Inventory Survival%-master]]</f>
        <v>0</v>
      </c>
      <c r="T153" s="16">
        <f>Table11[[#This Row],['#Planted]]*Table11[[#This Row],[USA Allocation %]]*Table11[[#This Row],[2024 Estimated Survival%]]</f>
        <v>0</v>
      </c>
      <c r="U153">
        <f>Table11[[#This Row],[ETP Year]]</f>
        <v>2020</v>
      </c>
      <c r="V153">
        <f>Table11[[#This Row],[Planting Year]]</f>
        <v>2020</v>
      </c>
      <c r="W153" s="8">
        <f>Table11[[#This Row],[Survival% as of 12/31/23]]</f>
        <v>0.95</v>
      </c>
      <c r="X153" s="7">
        <f>Table11[[#This Row],[ETP'#s]]</f>
        <v>1</v>
      </c>
    </row>
    <row r="154" spans="1:24" x14ac:dyDescent="0.25">
      <c r="A154">
        <f>Table11[[#This Row],[Farmer'#]]</f>
        <v>20027</v>
      </c>
      <c r="B154" t="str">
        <f>Table11[[#This Row],[Representative]]</f>
        <v>Mayela Quesada</v>
      </c>
      <c r="C154" t="str">
        <f>Table11[[#This Row],[Contract Name]]</f>
        <v>Mayela Quesada</v>
      </c>
      <c r="D154" t="str">
        <f>Table11[[#This Row],[Status]]</f>
        <v>Active</v>
      </c>
      <c r="E154" t="str">
        <f>Table11[[#This Row],[Contract Code]]</f>
        <v>CR0061</v>
      </c>
      <c r="F154" s="16">
        <f>Table11[[#This Row],['#TreesContract]]</f>
        <v>500</v>
      </c>
      <c r="G154" s="16">
        <f>Table11[[#This Row],['#Planted]]</f>
        <v>500</v>
      </c>
      <c r="H154" s="16">
        <f>Table11[[#This Row],['#TreesContract]]*Table11[[#This Row],[USA Allocation %]]</f>
        <v>500</v>
      </c>
      <c r="I154" s="16">
        <f>Table11[[#This Row],['#Planted]]*Table11[[#This Row],[USA Allocation %]]</f>
        <v>500</v>
      </c>
      <c r="J154" s="16">
        <f>Table11[[#This Row],[Contract Amendment]]*Table11[[#This Row],[USA Allocation %]]</f>
        <v>0</v>
      </c>
      <c r="K154" s="16">
        <f>Table11[[#This Row],['#Trees as of 12/31/23]]*Table11[[#This Row],[USA Allocation %]]</f>
        <v>300</v>
      </c>
      <c r="L154" s="16">
        <f>Table11[[#This Row],['#Replace 24]]*Table11[[#This Row],[USA Allocation %]]</f>
        <v>0</v>
      </c>
      <c r="M154" s="16">
        <f>IF(Table11[[#This Row],[Planting Year]]=2024,Table11['#Planted],0)</f>
        <v>0</v>
      </c>
      <c r="N154" s="16">
        <f>(Table11[[#This Row],[2024 '#Trees Inventory + Estimate]]*Table11[[#This Row],[USA Allocation %]])-SUM(Table37[[#This Row],['# Trees as of 12/31/23]:[New Trees/Planted in 2024]])</f>
        <v>21.5</v>
      </c>
      <c r="O154" s="16">
        <f>SUM(Table37[[#This Row],['# Trees as of 12/31/23]:[2024 Tree Losses]])</f>
        <v>321.5</v>
      </c>
      <c r="P154" s="16">
        <f>SUM(Table37[[#This Row],[Total Trees as of 12/31/24]]-Table37[[#This Row],['# Trees as of 12/31/23]])</f>
        <v>21.5</v>
      </c>
      <c r="Q154" s="16">
        <f>Table11[[#This Row],['#Total Replacements]]*Table11[[#This Row],[USA Allocation %]]</f>
        <v>200</v>
      </c>
      <c r="R154" s="16">
        <f>IF(Table37[[#This Row],['#Survival based on Inventory]]=0,Table37['#Survival based on Last Year Estimate],Table37['#Survival based on Inventory])</f>
        <v>321.5</v>
      </c>
      <c r="S154" s="16">
        <f>Table11[[#This Row],['#Planted]]*Table11[[#This Row],[USA Allocation %]]*Table11[[#This Row],[2024 Inventory Survival%-master]]</f>
        <v>321.5</v>
      </c>
      <c r="T154" s="16">
        <f>Table11[[#This Row],['#Planted]]*Table11[[#This Row],[USA Allocation %]]*Table11[[#This Row],[2024 Estimated Survival%]]</f>
        <v>320</v>
      </c>
      <c r="U154">
        <f>Table11[[#This Row],[ETP Year]]</f>
        <v>2020</v>
      </c>
      <c r="V154">
        <f>Table11[[#This Row],[Planting Year]]</f>
        <v>2020</v>
      </c>
      <c r="W154" s="8">
        <f>Table11[[#This Row],[Survival% as of 12/31/23]]</f>
        <v>0.6</v>
      </c>
      <c r="X154" s="7">
        <f>Table11[[#This Row],[ETP'#s]]</f>
        <v>1</v>
      </c>
    </row>
    <row r="155" spans="1:24" x14ac:dyDescent="0.25">
      <c r="A155">
        <f>Table11[[#This Row],[Farmer'#]]</f>
        <v>20031</v>
      </c>
      <c r="B155" t="str">
        <f>Table11[[#This Row],[Representative]]</f>
        <v>Alex Donato Arguedas Arroyo</v>
      </c>
      <c r="C155" t="str">
        <f>Table11[[#This Row],[Contract Name]]</f>
        <v>Alex Donato Arguedas Arroyo</v>
      </c>
      <c r="D155" t="str">
        <f>Table11[[#This Row],[Status]]</f>
        <v>Active</v>
      </c>
      <c r="E155" t="str">
        <f>Table11[[#This Row],[Contract Code]]</f>
        <v>CR0035</v>
      </c>
      <c r="F155" s="16">
        <f>Table11[[#This Row],['#TreesContract]]</f>
        <v>1200</v>
      </c>
      <c r="G155" s="16">
        <f>Table11[[#This Row],['#Planted]]</f>
        <v>1200</v>
      </c>
      <c r="H155" s="16">
        <f>Table11[[#This Row],['#TreesContract]]*Table11[[#This Row],[USA Allocation %]]</f>
        <v>1200</v>
      </c>
      <c r="I155" s="16">
        <f>Table11[[#This Row],['#Planted]]*Table11[[#This Row],[USA Allocation %]]</f>
        <v>1200</v>
      </c>
      <c r="J155" s="16">
        <f>Table11[[#This Row],[Contract Amendment]]*Table11[[#This Row],[USA Allocation %]]</f>
        <v>0</v>
      </c>
      <c r="K155" s="16">
        <f>Table11[[#This Row],['#Trees as of 12/31/23]]*Table11[[#This Row],[USA Allocation %]]</f>
        <v>1200</v>
      </c>
      <c r="L155" s="16">
        <f>Table11[[#This Row],['#Replace 24]]*Table11[[#This Row],[USA Allocation %]]</f>
        <v>0</v>
      </c>
      <c r="M155" s="16">
        <f>IF(Table11[[#This Row],[Planting Year]]=2024,Table11['#Planted],0)</f>
        <v>0</v>
      </c>
      <c r="N155" s="16">
        <f>(Table11[[#This Row],[2024 '#Trees Inventory + Estimate]]*Table11[[#This Row],[USA Allocation %]])-SUM(Table37[[#This Row],['# Trees as of 12/31/23]:[New Trees/Planted in 2024]])</f>
        <v>-132</v>
      </c>
      <c r="O155" s="16">
        <f>SUM(Table37[[#This Row],['# Trees as of 12/31/23]:[2024 Tree Losses]])</f>
        <v>1068</v>
      </c>
      <c r="P155" s="16">
        <f>SUM(Table37[[#This Row],[Total Trees as of 12/31/24]]-Table37[[#This Row],['# Trees as of 12/31/23]])</f>
        <v>-132</v>
      </c>
      <c r="Q155" s="16">
        <f>Table11[[#This Row],['#Total Replacements]]*Table11[[#This Row],[USA Allocation %]]</f>
        <v>200</v>
      </c>
      <c r="R155" s="16">
        <f>IF(Table37[[#This Row],['#Survival based on Inventory]]=0,Table37['#Survival based on Last Year Estimate],Table37['#Survival based on Inventory])</f>
        <v>1068</v>
      </c>
      <c r="S155" s="16">
        <f>Table11[[#This Row],['#Planted]]*Table11[[#This Row],[USA Allocation %]]*Table11[[#This Row],[2024 Inventory Survival%-master]]</f>
        <v>1068</v>
      </c>
      <c r="T155" s="16">
        <f>Table11[[#This Row],['#Planted]]*Table11[[#This Row],[USA Allocation %]]*Table11[[#This Row],[2024 Estimated Survival%]]</f>
        <v>1068</v>
      </c>
      <c r="U155">
        <f>Table11[[#This Row],[ETP Year]]</f>
        <v>2020</v>
      </c>
      <c r="V155">
        <f>Table11[[#This Row],[Planting Year]]</f>
        <v>2020</v>
      </c>
      <c r="W155" s="8">
        <f>Table11[[#This Row],[Survival% as of 12/31/23]]</f>
        <v>1</v>
      </c>
      <c r="X155" s="7">
        <f>Table11[[#This Row],[ETP'#s]]</f>
        <v>1</v>
      </c>
    </row>
    <row r="156" spans="1:24" x14ac:dyDescent="0.25">
      <c r="A156">
        <f>Table11[[#This Row],[Farmer'#]]</f>
        <v>20032</v>
      </c>
      <c r="B156" t="str">
        <f>Table11[[#This Row],[Representative]]</f>
        <v>Alexander Abarca Ortega</v>
      </c>
      <c r="C156" t="str">
        <f>Table11[[#This Row],[Contract Name]]</f>
        <v>El Edén de los Abarca S.A</v>
      </c>
      <c r="D156" t="str">
        <f>Table11[[#This Row],[Status]]</f>
        <v>RFT</v>
      </c>
      <c r="E156" t="str">
        <f>Table11[[#This Row],[Contract Code]]</f>
        <v>CR0036</v>
      </c>
      <c r="F156" s="16">
        <f>Table11[[#This Row],['#TreesContract]]</f>
        <v>5200</v>
      </c>
      <c r="G156" s="16">
        <f>Table11[[#This Row],['#Planted]]</f>
        <v>5200</v>
      </c>
      <c r="H156" s="16">
        <f>Table11[[#This Row],['#TreesContract]]*Table11[[#This Row],[USA Allocation %]]</f>
        <v>5200</v>
      </c>
      <c r="I156" s="16">
        <f>Table11[[#This Row],['#Planted]]*Table11[[#This Row],[USA Allocation %]]</f>
        <v>5200</v>
      </c>
      <c r="J156" s="16">
        <f>Table11[[#This Row],[Contract Amendment]]*Table11[[#This Row],[USA Allocation %]]</f>
        <v>0</v>
      </c>
      <c r="K156" s="16">
        <f>Table11[[#This Row],['#Trees as of 12/31/23]]*Table11[[#This Row],[USA Allocation %]]</f>
        <v>4290</v>
      </c>
      <c r="L156" s="16">
        <f>Table11[[#This Row],['#Replace 24]]*Table11[[#This Row],[USA Allocation %]]</f>
        <v>0</v>
      </c>
      <c r="M156" s="16">
        <f>IF(Table11[[#This Row],[Planting Year]]=2024,Table11['#Planted],0)</f>
        <v>0</v>
      </c>
      <c r="N156" s="16">
        <f>(Table11[[#This Row],[2024 '#Trees Inventory + Estimate]]*Table11[[#This Row],[USA Allocation %]])-SUM(Table37[[#This Row],['# Trees as of 12/31/23]:[New Trees/Planted in 2024]])</f>
        <v>0</v>
      </c>
      <c r="O156" s="16">
        <f>SUM(Table37[[#This Row],['# Trees as of 12/31/23]:[2024 Tree Losses]])</f>
        <v>4290</v>
      </c>
      <c r="P156" s="16">
        <f>SUM(Table37[[#This Row],[Total Trees as of 12/31/24]]-Table37[[#This Row],['# Trees as of 12/31/23]])</f>
        <v>0</v>
      </c>
      <c r="Q156" s="16">
        <f>Table11[[#This Row],['#Total Replacements]]*Table11[[#This Row],[USA Allocation %]]</f>
        <v>0</v>
      </c>
      <c r="R156" s="16">
        <f>IF(Table37[[#This Row],['#Survival based on Inventory]]=0,Table37['#Survival based on Last Year Estimate],Table37['#Survival based on Inventory])</f>
        <v>4290</v>
      </c>
      <c r="S156" s="16">
        <f>Table11[[#This Row],['#Planted]]*Table11[[#This Row],[USA Allocation %]]*Table11[[#This Row],[2024 Inventory Survival%-master]]</f>
        <v>0</v>
      </c>
      <c r="T156" s="16">
        <f>Table11[[#This Row],['#Planted]]*Table11[[#This Row],[USA Allocation %]]*Table11[[#This Row],[2024 Estimated Survival%]]</f>
        <v>4290</v>
      </c>
      <c r="U156">
        <f>Table11[[#This Row],[ETP Year]]</f>
        <v>2020</v>
      </c>
      <c r="V156">
        <f>Table11[[#This Row],[Planting Year]]</f>
        <v>2020</v>
      </c>
      <c r="W156" s="8">
        <f>Table11[[#This Row],[Survival% as of 12/31/23]]</f>
        <v>0.82499999999999996</v>
      </c>
      <c r="X156" s="7">
        <f>Table11[[#This Row],[ETP'#s]]</f>
        <v>1</v>
      </c>
    </row>
    <row r="157" spans="1:24" x14ac:dyDescent="0.25">
      <c r="A157">
        <f>Table11[[#This Row],[Farmer'#]]</f>
        <v>20033</v>
      </c>
      <c r="B157" t="str">
        <f>Table11[[#This Row],[Representative]]</f>
        <v>Ana Wolfe Arce</v>
      </c>
      <c r="C157" t="str">
        <f>Table11[[#This Row],[Contract Name]]</f>
        <v>Hermanos Wolfe Arce S.A</v>
      </c>
      <c r="D157" t="str">
        <f>Table11[[#This Row],[Status]]</f>
        <v>Active</v>
      </c>
      <c r="E157" t="str">
        <f>Table11[[#This Row],[Contract Code]]</f>
        <v>CR0037</v>
      </c>
      <c r="F157" s="16">
        <f>Table11[[#This Row],['#TreesContract]]</f>
        <v>4000</v>
      </c>
      <c r="G157" s="16">
        <f>Table11[[#This Row],['#Planted]]</f>
        <v>4000</v>
      </c>
      <c r="H157" s="16">
        <f>Table11[[#This Row],['#TreesContract]]*Table11[[#This Row],[USA Allocation %]]</f>
        <v>4000</v>
      </c>
      <c r="I157" s="16">
        <f>Table11[[#This Row],['#Planted]]*Table11[[#This Row],[USA Allocation %]]</f>
        <v>4000</v>
      </c>
      <c r="J157" s="16">
        <f>Table11[[#This Row],[Contract Amendment]]*Table11[[#This Row],[USA Allocation %]]</f>
        <v>0</v>
      </c>
      <c r="K157" s="16">
        <f>Table11[[#This Row],['#Trees as of 12/31/23]]*Table11[[#This Row],[USA Allocation %]]</f>
        <v>3800</v>
      </c>
      <c r="L157" s="16">
        <f>Table11[[#This Row],['#Replace 24]]*Table11[[#This Row],[USA Allocation %]]</f>
        <v>0</v>
      </c>
      <c r="M157" s="16">
        <f>IF(Table11[[#This Row],[Planting Year]]=2024,Table11['#Planted],0)</f>
        <v>0</v>
      </c>
      <c r="N157" s="16">
        <f>(Table11[[#This Row],[2024 '#Trees Inventory + Estimate]]*Table11[[#This Row],[USA Allocation %]])-SUM(Table37[[#This Row],['# Trees as of 12/31/23]:[New Trees/Planted in 2024]])</f>
        <v>0</v>
      </c>
      <c r="O157" s="16">
        <f>SUM(Table37[[#This Row],['# Trees as of 12/31/23]:[2024 Tree Losses]])</f>
        <v>3800</v>
      </c>
      <c r="P157" s="16">
        <f>SUM(Table37[[#This Row],[Total Trees as of 12/31/24]]-Table37[[#This Row],['# Trees as of 12/31/23]])</f>
        <v>0</v>
      </c>
      <c r="Q157" s="16">
        <f>Table11[[#This Row],['#Total Replacements]]*Table11[[#This Row],[USA Allocation %]]</f>
        <v>400</v>
      </c>
      <c r="R157" s="16">
        <f>IF(Table37[[#This Row],['#Survival based on Inventory]]=0,Table37['#Survival based on Last Year Estimate],Table37['#Survival based on Inventory])</f>
        <v>3800</v>
      </c>
      <c r="S157" s="16">
        <f>Table11[[#This Row],['#Planted]]*Table11[[#This Row],[USA Allocation %]]*Table11[[#This Row],[2024 Inventory Survival%-master]]</f>
        <v>0</v>
      </c>
      <c r="T157" s="16">
        <f>Table11[[#This Row],['#Planted]]*Table11[[#This Row],[USA Allocation %]]*Table11[[#This Row],[2024 Estimated Survival%]]</f>
        <v>3800</v>
      </c>
      <c r="U157">
        <f>Table11[[#This Row],[ETP Year]]</f>
        <v>2020</v>
      </c>
      <c r="V157">
        <f>Table11[[#This Row],[Planting Year]]</f>
        <v>2020</v>
      </c>
      <c r="W157" s="8">
        <f>Table11[[#This Row],[Survival% as of 12/31/23]]</f>
        <v>0.95</v>
      </c>
      <c r="X157" s="7">
        <f>Table11[[#This Row],[ETP'#s]]</f>
        <v>1</v>
      </c>
    </row>
    <row r="158" spans="1:24" x14ac:dyDescent="0.25">
      <c r="A158">
        <f>Table11[[#This Row],[Farmer'#]]</f>
        <v>20034</v>
      </c>
      <c r="B158" t="str">
        <f>Table11[[#This Row],[Representative]]</f>
        <v>Anastacio Castillo</v>
      </c>
      <c r="C158" t="str">
        <f>Table11[[#This Row],[Contract Name]]</f>
        <v>Anastacio Castillo</v>
      </c>
      <c r="D158" t="str">
        <f>Table11[[#This Row],[Status]]</f>
        <v>Out of Program</v>
      </c>
      <c r="E158" t="str">
        <f>Table11[[#This Row],[Contract Code]]</f>
        <v>CR0038</v>
      </c>
      <c r="F158" s="16">
        <f>Table11[[#This Row],['#TreesContract]]</f>
        <v>1200</v>
      </c>
      <c r="G158" s="16">
        <f>Table11[[#This Row],['#Planted]]</f>
        <v>1200</v>
      </c>
      <c r="H158" s="16">
        <f>Table11[[#This Row],['#TreesContract]]*Table11[[#This Row],[USA Allocation %]]</f>
        <v>1200</v>
      </c>
      <c r="I158" s="16">
        <f>Table11[[#This Row],['#Planted]]*Table11[[#This Row],[USA Allocation %]]</f>
        <v>1200</v>
      </c>
      <c r="J158" s="16">
        <f>Table11[[#This Row],[Contract Amendment]]*Table11[[#This Row],[USA Allocation %]]</f>
        <v>0</v>
      </c>
      <c r="K158" s="16">
        <f>Table11[[#This Row],['#Trees as of 12/31/23]]*Table11[[#This Row],[USA Allocation %]]</f>
        <v>0</v>
      </c>
      <c r="L158" s="16">
        <f>Table11[[#This Row],['#Replace 24]]*Table11[[#This Row],[USA Allocation %]]</f>
        <v>0</v>
      </c>
      <c r="M158" s="16">
        <f>IF(Table11[[#This Row],[Planting Year]]=2024,Table11['#Planted],0)</f>
        <v>0</v>
      </c>
      <c r="N158" s="16">
        <f>(Table11[[#This Row],[2024 '#Trees Inventory + Estimate]]*Table11[[#This Row],[USA Allocation %]])-SUM(Table37[[#This Row],['# Trees as of 12/31/23]:[New Trees/Planted in 2024]])</f>
        <v>0</v>
      </c>
      <c r="O158" s="16">
        <f>SUM(Table37[[#This Row],['# Trees as of 12/31/23]:[2024 Tree Losses]])</f>
        <v>0</v>
      </c>
      <c r="P158" s="16">
        <f>SUM(Table37[[#This Row],[Total Trees as of 12/31/24]]-Table37[[#This Row],['# Trees as of 12/31/23]])</f>
        <v>0</v>
      </c>
      <c r="Q158" s="16">
        <f>Table11[[#This Row],['#Total Replacements]]*Table11[[#This Row],[USA Allocation %]]</f>
        <v>0</v>
      </c>
      <c r="R158" s="16">
        <f>IF(Table37[[#This Row],['#Survival based on Inventory]]=0,Table37['#Survival based on Last Year Estimate],Table37['#Survival based on Inventory])</f>
        <v>0</v>
      </c>
      <c r="S158" s="16">
        <f>Table11[[#This Row],['#Planted]]*Table11[[#This Row],[USA Allocation %]]*Table11[[#This Row],[2024 Inventory Survival%-master]]</f>
        <v>0</v>
      </c>
      <c r="T158" s="16">
        <f>Table11[[#This Row],['#Planted]]*Table11[[#This Row],[USA Allocation %]]*Table11[[#This Row],[2024 Estimated Survival%]]</f>
        <v>0</v>
      </c>
      <c r="U158">
        <f>Table11[[#This Row],[ETP Year]]</f>
        <v>2020</v>
      </c>
      <c r="V158">
        <f>Table11[[#This Row],[Planting Year]]</f>
        <v>2020</v>
      </c>
      <c r="W158" s="8">
        <f>Table11[[#This Row],[Survival% as of 12/31/23]]</f>
        <v>0</v>
      </c>
      <c r="X158" s="7">
        <f>Table11[[#This Row],[ETP'#s]]</f>
        <v>1</v>
      </c>
    </row>
    <row r="159" spans="1:24" x14ac:dyDescent="0.25">
      <c r="A159">
        <f>Table11[[#This Row],[Farmer'#]]</f>
        <v>20035</v>
      </c>
      <c r="B159" t="str">
        <f>Table11[[#This Row],[Representative]]</f>
        <v>Mauricio Alvarado</v>
      </c>
      <c r="C159" t="str">
        <f>Table11[[#This Row],[Contract Name]]</f>
        <v>Ania Monge Chavarria </v>
      </c>
      <c r="D159" t="str">
        <f>Table11[[#This Row],[Status]]</f>
        <v>RFT</v>
      </c>
      <c r="E159" t="str">
        <f>Table11[[#This Row],[Contract Code]]</f>
        <v>CR0039</v>
      </c>
      <c r="F159" s="16">
        <f>Table11[[#This Row],['#TreesContract]]</f>
        <v>700</v>
      </c>
      <c r="G159" s="16">
        <f>Table11[[#This Row],['#Planted]]</f>
        <v>700</v>
      </c>
      <c r="H159" s="16">
        <f>Table11[[#This Row],['#TreesContract]]*Table11[[#This Row],[USA Allocation %]]</f>
        <v>700</v>
      </c>
      <c r="I159" s="16">
        <f>Table11[[#This Row],['#Planted]]*Table11[[#This Row],[USA Allocation %]]</f>
        <v>700</v>
      </c>
      <c r="J159" s="16">
        <f>Table11[[#This Row],[Contract Amendment]]*Table11[[#This Row],[USA Allocation %]]</f>
        <v>0</v>
      </c>
      <c r="K159" s="16">
        <f>Table11[[#This Row],['#Trees as of 12/31/23]]*Table11[[#This Row],[USA Allocation %]]</f>
        <v>577.5</v>
      </c>
      <c r="L159" s="16">
        <f>Table11[[#This Row],['#Replace 24]]*Table11[[#This Row],[USA Allocation %]]</f>
        <v>0</v>
      </c>
      <c r="M159" s="16">
        <f>IF(Table11[[#This Row],[Planting Year]]=2024,Table11['#Planted],0)</f>
        <v>0</v>
      </c>
      <c r="N159" s="16">
        <f>(Table11[[#This Row],[2024 '#Trees Inventory + Estimate]]*Table11[[#This Row],[USA Allocation %]])-SUM(Table37[[#This Row],['# Trees as of 12/31/23]:[New Trees/Planted in 2024]])</f>
        <v>-206.5</v>
      </c>
      <c r="O159" s="16">
        <f>SUM(Table37[[#This Row],['# Trees as of 12/31/23]:[2024 Tree Losses]])</f>
        <v>371</v>
      </c>
      <c r="P159" s="16">
        <f>SUM(Table37[[#This Row],[Total Trees as of 12/31/24]]-Table37[[#This Row],['# Trees as of 12/31/23]])</f>
        <v>-206.5</v>
      </c>
      <c r="Q159" s="16">
        <f>Table11[[#This Row],['#Total Replacements]]*Table11[[#This Row],[USA Allocation %]]</f>
        <v>100</v>
      </c>
      <c r="R159" s="16">
        <f>IF(Table37[[#This Row],['#Survival based on Inventory]]=0,Table37['#Survival based on Last Year Estimate],Table37['#Survival based on Inventory])</f>
        <v>369.6</v>
      </c>
      <c r="S159" s="16">
        <f>Table11[[#This Row],['#Planted]]*Table11[[#This Row],[USA Allocation %]]*Table11[[#This Row],[2024 Inventory Survival%-master]]</f>
        <v>369.6</v>
      </c>
      <c r="T159" s="16">
        <f>Table11[[#This Row],['#Planted]]*Table11[[#This Row],[USA Allocation %]]*Table11[[#This Row],[2024 Estimated Survival%]]</f>
        <v>371</v>
      </c>
      <c r="U159">
        <f>Table11[[#This Row],[ETP Year]]</f>
        <v>2020</v>
      </c>
      <c r="V159">
        <f>Table11[[#This Row],[Planting Year]]</f>
        <v>2020</v>
      </c>
      <c r="W159" s="8">
        <f>Table11[[#This Row],[Survival% as of 12/31/23]]</f>
        <v>0.82499999999999996</v>
      </c>
      <c r="X159" s="7">
        <f>Table11[[#This Row],[ETP'#s]]</f>
        <v>1</v>
      </c>
    </row>
    <row r="160" spans="1:24" x14ac:dyDescent="0.25">
      <c r="A160">
        <f>Table11[[#This Row],[Farmer'#]]</f>
        <v>20036</v>
      </c>
      <c r="B160" t="str">
        <f>Table11[[#This Row],[Representative]]</f>
        <v>Marco Pacheco</v>
      </c>
      <c r="C160" t="str">
        <f>Table11[[#This Row],[Contract Name]]</f>
        <v>Aracelly Sanchez Rojas</v>
      </c>
      <c r="D160" t="str">
        <f>Table11[[#This Row],[Status]]</f>
        <v>Active</v>
      </c>
      <c r="E160" t="str">
        <f>Table11[[#This Row],[Contract Code]]</f>
        <v>CR0040</v>
      </c>
      <c r="F160" s="16">
        <f>Table11[[#This Row],['#TreesContract]]</f>
        <v>730</v>
      </c>
      <c r="G160" s="16">
        <f>Table11[[#This Row],['#Planted]]</f>
        <v>730</v>
      </c>
      <c r="H160" s="16">
        <f>Table11[[#This Row],['#TreesContract]]*Table11[[#This Row],[USA Allocation %]]</f>
        <v>730</v>
      </c>
      <c r="I160" s="16">
        <f>Table11[[#This Row],['#Planted]]*Table11[[#This Row],[USA Allocation %]]</f>
        <v>730</v>
      </c>
      <c r="J160" s="16">
        <f>Table11[[#This Row],[Contract Amendment]]*Table11[[#This Row],[USA Allocation %]]</f>
        <v>0</v>
      </c>
      <c r="K160" s="16">
        <f>Table11[[#This Row],['#Trees as of 12/31/23]]*Table11[[#This Row],[USA Allocation %]]</f>
        <v>693.5</v>
      </c>
      <c r="L160" s="16">
        <f>Table11[[#This Row],['#Replace 24]]*Table11[[#This Row],[USA Allocation %]]</f>
        <v>0</v>
      </c>
      <c r="M160" s="16">
        <f>IF(Table11[[#This Row],[Planting Year]]=2024,Table11['#Planted],0)</f>
        <v>0</v>
      </c>
      <c r="N160" s="16">
        <f>(Table11[[#This Row],[2024 '#Trees Inventory + Estimate]]*Table11[[#This Row],[USA Allocation %]])-SUM(Table37[[#This Row],['# Trees as of 12/31/23]:[New Trees/Planted in 2024]])</f>
        <v>-14.599999999999909</v>
      </c>
      <c r="O160" s="16">
        <f>SUM(Table37[[#This Row],['# Trees as of 12/31/23]:[2024 Tree Losses]])</f>
        <v>678.90000000000009</v>
      </c>
      <c r="P160" s="16">
        <f>SUM(Table37[[#This Row],[Total Trees as of 12/31/24]]-Table37[[#This Row],['# Trees as of 12/31/23]])</f>
        <v>-14.599999999999909</v>
      </c>
      <c r="Q160" s="16">
        <f>Table11[[#This Row],['#Total Replacements]]*Table11[[#This Row],[USA Allocation %]]</f>
        <v>0</v>
      </c>
      <c r="R160" s="16">
        <f>IF(Table37[[#This Row],['#Survival based on Inventory]]=0,Table37['#Survival based on Last Year Estimate],Table37['#Survival based on Inventory])</f>
        <v>680.36</v>
      </c>
      <c r="S160" s="16">
        <f>Table11[[#This Row],['#Planted]]*Table11[[#This Row],[USA Allocation %]]*Table11[[#This Row],[2024 Inventory Survival%-master]]</f>
        <v>680.36</v>
      </c>
      <c r="T160" s="16">
        <f>Table11[[#This Row],['#Planted]]*Table11[[#This Row],[USA Allocation %]]*Table11[[#This Row],[2024 Estimated Survival%]]</f>
        <v>678.90000000000009</v>
      </c>
      <c r="U160">
        <f>Table11[[#This Row],[ETP Year]]</f>
        <v>2020</v>
      </c>
      <c r="V160">
        <f>Table11[[#This Row],[Planting Year]]</f>
        <v>2020</v>
      </c>
      <c r="W160" s="8">
        <f>Table11[[#This Row],[Survival% as of 12/31/23]]</f>
        <v>0.95</v>
      </c>
      <c r="X160" s="7">
        <f>Table11[[#This Row],[ETP'#s]]</f>
        <v>1</v>
      </c>
    </row>
    <row r="161" spans="1:24" x14ac:dyDescent="0.25">
      <c r="A161">
        <f>Table11[[#This Row],[Farmer'#]]</f>
        <v>20037</v>
      </c>
      <c r="B161" t="str">
        <f>Table11[[#This Row],[Representative]]</f>
        <v>Carlos Peña</v>
      </c>
      <c r="C161" t="str">
        <f>Table11[[#This Row],[Contract Name]]</f>
        <v>Carlos Peña</v>
      </c>
      <c r="D161" t="str">
        <f>Table11[[#This Row],[Status]]</f>
        <v>Out of Program</v>
      </c>
      <c r="E161" t="str">
        <f>Table11[[#This Row],[Contract Code]]</f>
        <v>CR0041</v>
      </c>
      <c r="F161" s="16">
        <f>Table11[[#This Row],['#TreesContract]]</f>
        <v>2000</v>
      </c>
      <c r="G161" s="16">
        <f>Table11[[#This Row],['#Planted]]</f>
        <v>2000</v>
      </c>
      <c r="H161" s="16">
        <f>Table11[[#This Row],['#TreesContract]]*Table11[[#This Row],[USA Allocation %]]</f>
        <v>2000</v>
      </c>
      <c r="I161" s="16">
        <f>Table11[[#This Row],['#Planted]]*Table11[[#This Row],[USA Allocation %]]</f>
        <v>2000</v>
      </c>
      <c r="J161" s="16">
        <f>Table11[[#This Row],[Contract Amendment]]*Table11[[#This Row],[USA Allocation %]]</f>
        <v>0</v>
      </c>
      <c r="K161" s="16">
        <f>Table11[[#This Row],['#Trees as of 12/31/23]]*Table11[[#This Row],[USA Allocation %]]</f>
        <v>0</v>
      </c>
      <c r="L161" s="16">
        <f>Table11[[#This Row],['#Replace 24]]*Table11[[#This Row],[USA Allocation %]]</f>
        <v>0</v>
      </c>
      <c r="M161" s="16">
        <f>IF(Table11[[#This Row],[Planting Year]]=2024,Table11['#Planted],0)</f>
        <v>0</v>
      </c>
      <c r="N161" s="16">
        <f>(Table11[[#This Row],[2024 '#Trees Inventory + Estimate]]*Table11[[#This Row],[USA Allocation %]])-SUM(Table37[[#This Row],['# Trees as of 12/31/23]:[New Trees/Planted in 2024]])</f>
        <v>0</v>
      </c>
      <c r="O161" s="16">
        <f>SUM(Table37[[#This Row],['# Trees as of 12/31/23]:[2024 Tree Losses]])</f>
        <v>0</v>
      </c>
      <c r="P161" s="16">
        <f>SUM(Table37[[#This Row],[Total Trees as of 12/31/24]]-Table37[[#This Row],['# Trees as of 12/31/23]])</f>
        <v>0</v>
      </c>
      <c r="Q161" s="16">
        <f>Table11[[#This Row],['#Total Replacements]]*Table11[[#This Row],[USA Allocation %]]</f>
        <v>800</v>
      </c>
      <c r="R161" s="16">
        <f>IF(Table37[[#This Row],['#Survival based on Inventory]]=0,Table37['#Survival based on Last Year Estimate],Table37['#Survival based on Inventory])</f>
        <v>0</v>
      </c>
      <c r="S161" s="16">
        <f>Table11[[#This Row],['#Planted]]*Table11[[#This Row],[USA Allocation %]]*Table11[[#This Row],[2024 Inventory Survival%-master]]</f>
        <v>0</v>
      </c>
      <c r="T161" s="16">
        <f>Table11[[#This Row],['#Planted]]*Table11[[#This Row],[USA Allocation %]]*Table11[[#This Row],[2024 Estimated Survival%]]</f>
        <v>0</v>
      </c>
      <c r="U161">
        <f>Table11[[#This Row],[ETP Year]]</f>
        <v>2020</v>
      </c>
      <c r="V161">
        <f>Table11[[#This Row],[Planting Year]]</f>
        <v>2020</v>
      </c>
      <c r="W161" s="8">
        <f>Table11[[#This Row],[Survival% as of 12/31/23]]</f>
        <v>0</v>
      </c>
      <c r="X161" s="7">
        <f>Table11[[#This Row],[ETP'#s]]</f>
        <v>1</v>
      </c>
    </row>
    <row r="162" spans="1:24" x14ac:dyDescent="0.25">
      <c r="A162">
        <f>Table11[[#This Row],[Farmer'#]]</f>
        <v>20038</v>
      </c>
      <c r="B162" t="str">
        <f>Table11[[#This Row],[Representative]]</f>
        <v>Didier Alfaro Alvarado</v>
      </c>
      <c r="C162" t="str">
        <f>Table11[[#This Row],[Contract Name]]</f>
        <v>Didier Jose Alfaro Alvarado</v>
      </c>
      <c r="D162" t="str">
        <f>Table11[[#This Row],[Status]]</f>
        <v>Active</v>
      </c>
      <c r="E162" t="str">
        <f>Table11[[#This Row],[Contract Code]]</f>
        <v>CR0042</v>
      </c>
      <c r="F162" s="16">
        <f>Table11[[#This Row],['#TreesContract]]</f>
        <v>2980</v>
      </c>
      <c r="G162" s="16">
        <f>Table11[[#This Row],['#Planted]]</f>
        <v>2980</v>
      </c>
      <c r="H162" s="16">
        <f>Table11[[#This Row],['#TreesContract]]*Table11[[#This Row],[USA Allocation %]]</f>
        <v>2980</v>
      </c>
      <c r="I162" s="16">
        <f>Table11[[#This Row],['#Planted]]*Table11[[#This Row],[USA Allocation %]]</f>
        <v>2980</v>
      </c>
      <c r="J162" s="16">
        <f>Table11[[#This Row],[Contract Amendment]]*Table11[[#This Row],[USA Allocation %]]</f>
        <v>0</v>
      </c>
      <c r="K162" s="16">
        <f>Table11[[#This Row],['#Trees as of 12/31/23]]*Table11[[#This Row],[USA Allocation %]]</f>
        <v>2980</v>
      </c>
      <c r="L162" s="16">
        <f>Table11[[#This Row],['#Replace 24]]*Table11[[#This Row],[USA Allocation %]]</f>
        <v>0</v>
      </c>
      <c r="M162" s="16">
        <f>IF(Table11[[#This Row],[Planting Year]]=2024,Table11['#Planted],0)</f>
        <v>0</v>
      </c>
      <c r="N162" s="16">
        <f>(Table11[[#This Row],[2024 '#Trees Inventory + Estimate]]*Table11[[#This Row],[USA Allocation %]])-SUM(Table37[[#This Row],['# Trees as of 12/31/23]:[New Trees/Planted in 2024]])</f>
        <v>-894</v>
      </c>
      <c r="O162" s="16">
        <f>SUM(Table37[[#This Row],['# Trees as of 12/31/23]:[2024 Tree Losses]])</f>
        <v>2086</v>
      </c>
      <c r="P162" s="16">
        <f>SUM(Table37[[#This Row],[Total Trees as of 12/31/24]]-Table37[[#This Row],['# Trees as of 12/31/23]])</f>
        <v>-894</v>
      </c>
      <c r="Q162" s="16">
        <f>Table11[[#This Row],['#Total Replacements]]*Table11[[#This Row],[USA Allocation %]]</f>
        <v>1030</v>
      </c>
      <c r="R162" s="16">
        <f>IF(Table37[[#This Row],['#Survival based on Inventory]]=0,Table37['#Survival based on Last Year Estimate],Table37['#Survival based on Inventory])</f>
        <v>2071.1</v>
      </c>
      <c r="S162" s="16">
        <f>Table11[[#This Row],['#Planted]]*Table11[[#This Row],[USA Allocation %]]*Table11[[#This Row],[2024 Inventory Survival%-master]]</f>
        <v>2071.1</v>
      </c>
      <c r="T162" s="16">
        <f>Table11[[#This Row],['#Planted]]*Table11[[#This Row],[USA Allocation %]]*Table11[[#This Row],[2024 Estimated Survival%]]</f>
        <v>2086</v>
      </c>
      <c r="U162">
        <f>Table11[[#This Row],[ETP Year]]</f>
        <v>2020</v>
      </c>
      <c r="V162">
        <f>Table11[[#This Row],[Planting Year]]</f>
        <v>2020</v>
      </c>
      <c r="W162" s="8">
        <f>Table11[[#This Row],[Survival% as of 12/31/23]]</f>
        <v>1</v>
      </c>
      <c r="X162" s="7">
        <f>Table11[[#This Row],[ETP'#s]]</f>
        <v>1</v>
      </c>
    </row>
    <row r="163" spans="1:24" x14ac:dyDescent="0.25">
      <c r="A163">
        <f>Table11[[#This Row],[Farmer'#]]</f>
        <v>20039</v>
      </c>
      <c r="B163" t="str">
        <f>Table11[[#This Row],[Representative]]</f>
        <v>Diego Gerardo Fernandez Barboza</v>
      </c>
      <c r="C163" t="str">
        <f>Table11[[#This Row],[Contract Name]]</f>
        <v>Diego Gerardo Fernandez Barboza</v>
      </c>
      <c r="D163" t="str">
        <f>Table11[[#This Row],[Status]]</f>
        <v>Out of Program</v>
      </c>
      <c r="E163" t="str">
        <f>Table11[[#This Row],[Contract Code]]</f>
        <v>CR0043</v>
      </c>
      <c r="F163" s="16">
        <f>Table11[[#This Row],['#TreesContract]]</f>
        <v>1200</v>
      </c>
      <c r="G163" s="16">
        <f>Table11[[#This Row],['#Planted]]</f>
        <v>1200</v>
      </c>
      <c r="H163" s="16">
        <f>Table11[[#This Row],['#TreesContract]]*Table11[[#This Row],[USA Allocation %]]</f>
        <v>1200</v>
      </c>
      <c r="I163" s="16">
        <f>Table11[[#This Row],['#Planted]]*Table11[[#This Row],[USA Allocation %]]</f>
        <v>1200</v>
      </c>
      <c r="J163" s="16">
        <f>Table11[[#This Row],[Contract Amendment]]*Table11[[#This Row],[USA Allocation %]]</f>
        <v>0</v>
      </c>
      <c r="K163" s="16">
        <f>Table11[[#This Row],['#Trees as of 12/31/23]]*Table11[[#This Row],[USA Allocation %]]</f>
        <v>0</v>
      </c>
      <c r="L163" s="16">
        <f>Table11[[#This Row],['#Replace 24]]*Table11[[#This Row],[USA Allocation %]]</f>
        <v>0</v>
      </c>
      <c r="M163" s="16">
        <f>IF(Table11[[#This Row],[Planting Year]]=2024,Table11['#Planted],0)</f>
        <v>0</v>
      </c>
      <c r="N163" s="16">
        <f>(Table11[[#This Row],[2024 '#Trees Inventory + Estimate]]*Table11[[#This Row],[USA Allocation %]])-SUM(Table37[[#This Row],['# Trees as of 12/31/23]:[New Trees/Planted in 2024]])</f>
        <v>0</v>
      </c>
      <c r="O163" s="16">
        <f>SUM(Table37[[#This Row],['# Trees as of 12/31/23]:[2024 Tree Losses]])</f>
        <v>0</v>
      </c>
      <c r="P163" s="16">
        <f>SUM(Table37[[#This Row],[Total Trees as of 12/31/24]]-Table37[[#This Row],['# Trees as of 12/31/23]])</f>
        <v>0</v>
      </c>
      <c r="Q163" s="16">
        <f>Table11[[#This Row],['#Total Replacements]]*Table11[[#This Row],[USA Allocation %]]</f>
        <v>264</v>
      </c>
      <c r="R163" s="16">
        <f>IF(Table37[[#This Row],['#Survival based on Inventory]]=0,Table37['#Survival based on Last Year Estimate],Table37['#Survival based on Inventory])</f>
        <v>0</v>
      </c>
      <c r="S163" s="16">
        <f>Table11[[#This Row],['#Planted]]*Table11[[#This Row],[USA Allocation %]]*Table11[[#This Row],[2024 Inventory Survival%-master]]</f>
        <v>0</v>
      </c>
      <c r="T163" s="16">
        <f>Table11[[#This Row],['#Planted]]*Table11[[#This Row],[USA Allocation %]]*Table11[[#This Row],[2024 Estimated Survival%]]</f>
        <v>0</v>
      </c>
      <c r="U163">
        <f>Table11[[#This Row],[ETP Year]]</f>
        <v>2020</v>
      </c>
      <c r="V163">
        <f>Table11[[#This Row],[Planting Year]]</f>
        <v>2020</v>
      </c>
      <c r="W163" s="8">
        <f>Table11[[#This Row],[Survival% as of 12/31/23]]</f>
        <v>0</v>
      </c>
      <c r="X163" s="7">
        <f>Table11[[#This Row],[ETP'#s]]</f>
        <v>1</v>
      </c>
    </row>
    <row r="164" spans="1:24" x14ac:dyDescent="0.25">
      <c r="A164">
        <f>Table11[[#This Row],[Farmer'#]]</f>
        <v>20040</v>
      </c>
      <c r="B164" t="str">
        <f>Table11[[#This Row],[Representative]]</f>
        <v>Diogenes Cubero</v>
      </c>
      <c r="C164" t="str">
        <f>Table11[[#This Row],[Contract Name]]</f>
        <v>Diogenes Cubero</v>
      </c>
      <c r="D164" t="str">
        <f>Table11[[#This Row],[Status]]</f>
        <v>Active</v>
      </c>
      <c r="E164" t="str">
        <f>Table11[[#This Row],[Contract Code]]</f>
        <v>CR0044</v>
      </c>
      <c r="F164" s="16">
        <f>Table11[[#This Row],['#TreesContract]]</f>
        <v>1000</v>
      </c>
      <c r="G164" s="16">
        <f>Table11[[#This Row],['#Planted]]</f>
        <v>1000</v>
      </c>
      <c r="H164" s="16">
        <f>Table11[[#This Row],['#TreesContract]]*Table11[[#This Row],[USA Allocation %]]</f>
        <v>1000</v>
      </c>
      <c r="I164" s="16">
        <f>Table11[[#This Row],['#Planted]]*Table11[[#This Row],[USA Allocation %]]</f>
        <v>1000</v>
      </c>
      <c r="J164" s="16">
        <f>Table11[[#This Row],[Contract Amendment]]*Table11[[#This Row],[USA Allocation %]]</f>
        <v>0</v>
      </c>
      <c r="K164" s="16">
        <f>Table11[[#This Row],['#Trees as of 12/31/23]]*Table11[[#This Row],[USA Allocation %]]</f>
        <v>1000</v>
      </c>
      <c r="L164" s="16">
        <f>Table11[[#This Row],['#Replace 24]]*Table11[[#This Row],[USA Allocation %]]</f>
        <v>0</v>
      </c>
      <c r="M164" s="16">
        <f>IF(Table11[[#This Row],[Planting Year]]=2024,Table11['#Planted],0)</f>
        <v>0</v>
      </c>
      <c r="N164" s="16">
        <f>(Table11[[#This Row],[2024 '#Trees Inventory + Estimate]]*Table11[[#This Row],[USA Allocation %]])-SUM(Table37[[#This Row],['# Trees as of 12/31/23]:[New Trees/Planted in 2024]])</f>
        <v>-410</v>
      </c>
      <c r="O164" s="16">
        <f>SUM(Table37[[#This Row],['# Trees as of 12/31/23]:[2024 Tree Losses]])</f>
        <v>590</v>
      </c>
      <c r="P164" s="16">
        <f>SUM(Table37[[#This Row],[Total Trees as of 12/31/24]]-Table37[[#This Row],['# Trees as of 12/31/23]])</f>
        <v>-410</v>
      </c>
      <c r="Q164" s="16">
        <f>Table11[[#This Row],['#Total Replacements]]*Table11[[#This Row],[USA Allocation %]]</f>
        <v>187</v>
      </c>
      <c r="R164" s="16">
        <f>IF(Table37[[#This Row],['#Survival based on Inventory]]=0,Table37['#Survival based on Last Year Estimate],Table37['#Survival based on Inventory])</f>
        <v>589</v>
      </c>
      <c r="S164" s="16">
        <f>Table11[[#This Row],['#Planted]]*Table11[[#This Row],[USA Allocation %]]*Table11[[#This Row],[2024 Inventory Survival%-master]]</f>
        <v>589</v>
      </c>
      <c r="T164" s="16">
        <f>Table11[[#This Row],['#Planted]]*Table11[[#This Row],[USA Allocation %]]*Table11[[#This Row],[2024 Estimated Survival%]]</f>
        <v>590</v>
      </c>
      <c r="U164">
        <f>Table11[[#This Row],[ETP Year]]</f>
        <v>2020</v>
      </c>
      <c r="V164">
        <f>Table11[[#This Row],[Planting Year]]</f>
        <v>2020</v>
      </c>
      <c r="W164" s="8">
        <f>Table11[[#This Row],[Survival% as of 12/31/23]]</f>
        <v>1</v>
      </c>
      <c r="X164" s="7">
        <f>Table11[[#This Row],[ETP'#s]]</f>
        <v>1</v>
      </c>
    </row>
    <row r="165" spans="1:24" x14ac:dyDescent="0.25">
      <c r="A165">
        <f>Table11[[#This Row],[Farmer'#]]</f>
        <v>20041</v>
      </c>
      <c r="B165" t="str">
        <f>Table11[[#This Row],[Representative]]</f>
        <v>Donald Diaz Rojas</v>
      </c>
      <c r="C165" t="str">
        <f>Table11[[#This Row],[Contract Name]]</f>
        <v>Donald Diaz Rojas</v>
      </c>
      <c r="D165" t="str">
        <f>Table11[[#This Row],[Status]]</f>
        <v>RFT</v>
      </c>
      <c r="E165" t="str">
        <f>Table11[[#This Row],[Contract Code]]</f>
        <v>CR0045</v>
      </c>
      <c r="F165" s="16">
        <f>Table11[[#This Row],['#TreesContract]]</f>
        <v>4500</v>
      </c>
      <c r="G165" s="16">
        <f>Table11[[#This Row],['#Planted]]</f>
        <v>4500</v>
      </c>
      <c r="H165" s="16">
        <f>Table11[[#This Row],['#TreesContract]]*Table11[[#This Row],[USA Allocation %]]</f>
        <v>4500</v>
      </c>
      <c r="I165" s="16">
        <f>Table11[[#This Row],['#Planted]]*Table11[[#This Row],[USA Allocation %]]</f>
        <v>4500</v>
      </c>
      <c r="J165" s="16">
        <f>Table11[[#This Row],[Contract Amendment]]*Table11[[#This Row],[USA Allocation %]]</f>
        <v>0</v>
      </c>
      <c r="K165" s="16">
        <f>Table11[[#This Row],['#Trees as of 12/31/23]]*Table11[[#This Row],[USA Allocation %]]</f>
        <v>3735</v>
      </c>
      <c r="L165" s="16">
        <f>Table11[[#This Row],['#Replace 24]]*Table11[[#This Row],[USA Allocation %]]</f>
        <v>0</v>
      </c>
      <c r="M165" s="16">
        <f>IF(Table11[[#This Row],[Planting Year]]=2024,Table11['#Planted],0)</f>
        <v>0</v>
      </c>
      <c r="N165" s="16">
        <f>(Table11[[#This Row],[2024 '#Trees Inventory + Estimate]]*Table11[[#This Row],[USA Allocation %]])-SUM(Table37[[#This Row],['# Trees as of 12/31/23]:[New Trees/Planted in 2024]])</f>
        <v>0</v>
      </c>
      <c r="O165" s="16">
        <f>SUM(Table37[[#This Row],['# Trees as of 12/31/23]:[2024 Tree Losses]])</f>
        <v>3735</v>
      </c>
      <c r="P165" s="16">
        <f>SUM(Table37[[#This Row],[Total Trees as of 12/31/24]]-Table37[[#This Row],['# Trees as of 12/31/23]])</f>
        <v>0</v>
      </c>
      <c r="Q165" s="16">
        <f>Table11[[#This Row],['#Total Replacements]]*Table11[[#This Row],[USA Allocation %]]</f>
        <v>500</v>
      </c>
      <c r="R165" s="16">
        <f>IF(Table37[[#This Row],['#Survival based on Inventory]]=0,Table37['#Survival based on Last Year Estimate],Table37['#Survival based on Inventory])</f>
        <v>3735</v>
      </c>
      <c r="S165" s="16">
        <f>Table11[[#This Row],['#Planted]]*Table11[[#This Row],[USA Allocation %]]*Table11[[#This Row],[2024 Inventory Survival%-master]]</f>
        <v>0</v>
      </c>
      <c r="T165" s="16">
        <f>Table11[[#This Row],['#Planted]]*Table11[[#This Row],[USA Allocation %]]*Table11[[#This Row],[2024 Estimated Survival%]]</f>
        <v>3735</v>
      </c>
      <c r="U165">
        <f>Table11[[#This Row],[ETP Year]]</f>
        <v>2020</v>
      </c>
      <c r="V165">
        <f>Table11[[#This Row],[Planting Year]]</f>
        <v>2020</v>
      </c>
      <c r="W165" s="8">
        <f>Table11[[#This Row],[Survival% as of 12/31/23]]</f>
        <v>0.83</v>
      </c>
      <c r="X165" s="7">
        <f>Table11[[#This Row],[ETP'#s]]</f>
        <v>1</v>
      </c>
    </row>
    <row r="166" spans="1:24" x14ac:dyDescent="0.25">
      <c r="A166">
        <f>Table11[[#This Row],[Farmer'#]]</f>
        <v>20042</v>
      </c>
      <c r="B166" t="str">
        <f>Table11[[#This Row],[Representative]]</f>
        <v>Enrique Quiroz</v>
      </c>
      <c r="C166" t="str">
        <f>Table11[[#This Row],[Contract Name]]</f>
        <v>Elia Araya Guzman</v>
      </c>
      <c r="D166" t="str">
        <f>Table11[[#This Row],[Status]]</f>
        <v>Active</v>
      </c>
      <c r="E166" t="str">
        <f>Table11[[#This Row],[Contract Code]]</f>
        <v>CR0046</v>
      </c>
      <c r="F166" s="16">
        <f>Table11[[#This Row],['#TreesContract]]</f>
        <v>2000</v>
      </c>
      <c r="G166" s="16">
        <f>Table11[[#This Row],['#Planted]]</f>
        <v>2000</v>
      </c>
      <c r="H166" s="16">
        <f>Table11[[#This Row],['#TreesContract]]*Table11[[#This Row],[USA Allocation %]]</f>
        <v>2000</v>
      </c>
      <c r="I166" s="16">
        <f>Table11[[#This Row],['#Planted]]*Table11[[#This Row],[USA Allocation %]]</f>
        <v>2000</v>
      </c>
      <c r="J166" s="16">
        <f>Table11[[#This Row],[Contract Amendment]]*Table11[[#This Row],[USA Allocation %]]</f>
        <v>0</v>
      </c>
      <c r="K166" s="16">
        <f>Table11[[#This Row],['#Trees as of 12/31/23]]*Table11[[#This Row],[USA Allocation %]]</f>
        <v>1820</v>
      </c>
      <c r="L166" s="16">
        <f>Table11[[#This Row],['#Replace 24]]*Table11[[#This Row],[USA Allocation %]]</f>
        <v>0</v>
      </c>
      <c r="M166" s="16">
        <f>IF(Table11[[#This Row],[Planting Year]]=2024,Table11['#Planted],0)</f>
        <v>0</v>
      </c>
      <c r="N166" s="16">
        <f>(Table11[[#This Row],[2024 '#Trees Inventory + Estimate]]*Table11[[#This Row],[USA Allocation %]])-SUM(Table37[[#This Row],['# Trees as of 12/31/23]:[New Trees/Planted in 2024]])</f>
        <v>180</v>
      </c>
      <c r="O166" s="16">
        <f>SUM(Table37[[#This Row],['# Trees as of 12/31/23]:[2024 Tree Losses]])</f>
        <v>2000</v>
      </c>
      <c r="P166" s="16">
        <f>SUM(Table37[[#This Row],[Total Trees as of 12/31/24]]-Table37[[#This Row],['# Trees as of 12/31/23]])</f>
        <v>180</v>
      </c>
      <c r="Q166" s="16">
        <f>Table11[[#This Row],['#Total Replacements]]*Table11[[#This Row],[USA Allocation %]]</f>
        <v>70</v>
      </c>
      <c r="R166" s="16">
        <f>IF(Table37[[#This Row],['#Survival based on Inventory]]=0,Table37['#Survival based on Last Year Estimate],Table37['#Survival based on Inventory])</f>
        <v>2000</v>
      </c>
      <c r="S166" s="16">
        <f>Table11[[#This Row],['#Planted]]*Table11[[#This Row],[USA Allocation %]]*Table11[[#This Row],[2024 Inventory Survival%-master]]</f>
        <v>2000</v>
      </c>
      <c r="T166" s="16">
        <f>Table11[[#This Row],['#Planted]]*Table11[[#This Row],[USA Allocation %]]*Table11[[#This Row],[2024 Estimated Survival%]]</f>
        <v>2000</v>
      </c>
      <c r="U166">
        <f>Table11[[#This Row],[ETP Year]]</f>
        <v>2020</v>
      </c>
      <c r="V166">
        <f>Table11[[#This Row],[Planting Year]]</f>
        <v>2020</v>
      </c>
      <c r="W166" s="8">
        <f>Table11[[#This Row],[Survival% as of 12/31/23]]</f>
        <v>0.91</v>
      </c>
      <c r="X166" s="7">
        <f>Table11[[#This Row],[ETP'#s]]</f>
        <v>1</v>
      </c>
    </row>
    <row r="167" spans="1:24" x14ac:dyDescent="0.25">
      <c r="A167">
        <f>Table11[[#This Row],[Farmer'#]]</f>
        <v>20043</v>
      </c>
      <c r="B167" t="str">
        <f>Table11[[#This Row],[Representative]]</f>
        <v>Francisco Ramirez</v>
      </c>
      <c r="C167" t="str">
        <f>Table11[[#This Row],[Contract Name]]</f>
        <v>Emidey Ramirez</v>
      </c>
      <c r="D167" t="str">
        <f>Table11[[#This Row],[Status]]</f>
        <v>Active</v>
      </c>
      <c r="E167" t="str">
        <f>Table11[[#This Row],[Contract Code]]</f>
        <v>CR0047</v>
      </c>
      <c r="F167" s="16">
        <f>Table11[[#This Row],['#TreesContract]]</f>
        <v>1200</v>
      </c>
      <c r="G167" s="16">
        <f>Table11[[#This Row],['#Planted]]</f>
        <v>1200</v>
      </c>
      <c r="H167" s="16">
        <f>Table11[[#This Row],['#TreesContract]]*Table11[[#This Row],[USA Allocation %]]</f>
        <v>1200</v>
      </c>
      <c r="I167" s="16">
        <f>Table11[[#This Row],['#Planted]]*Table11[[#This Row],[USA Allocation %]]</f>
        <v>1200</v>
      </c>
      <c r="J167" s="16">
        <f>Table11[[#This Row],[Contract Amendment]]*Table11[[#This Row],[USA Allocation %]]</f>
        <v>0</v>
      </c>
      <c r="K167" s="16">
        <f>Table11[[#This Row],['#Trees as of 12/31/23]]*Table11[[#This Row],[USA Allocation %]]</f>
        <v>1140</v>
      </c>
      <c r="L167" s="16">
        <f>Table11[[#This Row],['#Replace 24]]*Table11[[#This Row],[USA Allocation %]]</f>
        <v>0</v>
      </c>
      <c r="M167" s="16">
        <f>IF(Table11[[#This Row],[Planting Year]]=2024,Table11['#Planted],0)</f>
        <v>0</v>
      </c>
      <c r="N167" s="16">
        <f>(Table11[[#This Row],[2024 '#Trees Inventory + Estimate]]*Table11[[#This Row],[USA Allocation %]])-SUM(Table37[[#This Row],['# Trees as of 12/31/23]:[New Trees/Planted in 2024]])</f>
        <v>-121.20000000000005</v>
      </c>
      <c r="O167" s="16">
        <f>SUM(Table37[[#This Row],['# Trees as of 12/31/23]:[2024 Tree Losses]])</f>
        <v>1018.8</v>
      </c>
      <c r="P167" s="16">
        <f>SUM(Table37[[#This Row],[Total Trees as of 12/31/24]]-Table37[[#This Row],['# Trees as of 12/31/23]])</f>
        <v>-121.20000000000005</v>
      </c>
      <c r="Q167" s="16">
        <f>Table11[[#This Row],['#Total Replacements]]*Table11[[#This Row],[USA Allocation %]]</f>
        <v>160</v>
      </c>
      <c r="R167" s="16">
        <f>IF(Table37[[#This Row],['#Survival based on Inventory]]=0,Table37['#Survival based on Last Year Estimate],Table37['#Survival based on Inventory])</f>
        <v>1018.8</v>
      </c>
      <c r="S167" s="16">
        <f>Table11[[#This Row],['#Planted]]*Table11[[#This Row],[USA Allocation %]]*Table11[[#This Row],[2024 Inventory Survival%-master]]</f>
        <v>1018.8</v>
      </c>
      <c r="T167" s="16">
        <f>Table11[[#This Row],['#Planted]]*Table11[[#This Row],[USA Allocation %]]*Table11[[#This Row],[2024 Estimated Survival%]]</f>
        <v>1020</v>
      </c>
      <c r="U167">
        <f>Table11[[#This Row],[ETP Year]]</f>
        <v>2020</v>
      </c>
      <c r="V167">
        <f>Table11[[#This Row],[Planting Year]]</f>
        <v>2020</v>
      </c>
      <c r="W167" s="8">
        <f>Table11[[#This Row],[Survival% as of 12/31/23]]</f>
        <v>0.95</v>
      </c>
      <c r="X167" s="7">
        <f>Table11[[#This Row],[ETP'#s]]</f>
        <v>1</v>
      </c>
    </row>
    <row r="168" spans="1:24" x14ac:dyDescent="0.25">
      <c r="A168">
        <f>Table11[[#This Row],[Farmer'#]]</f>
        <v>20044</v>
      </c>
      <c r="B168" t="str">
        <f>Table11[[#This Row],[Representative]]</f>
        <v xml:space="preserve">Marijose Apestegui </v>
      </c>
      <c r="C168" t="str">
        <f>Table11[[#This Row],[Contract Name]]</f>
        <v>El anillo de doña Emilia S.A</v>
      </c>
      <c r="D168" t="str">
        <f>Table11[[#This Row],[Status]]</f>
        <v>Out of Program</v>
      </c>
      <c r="E168" t="str">
        <f>Table11[[#This Row],[Contract Code]]</f>
        <v>CR0048</v>
      </c>
      <c r="F168" s="16">
        <f>Table11[[#This Row],['#TreesContract]]</f>
        <v>3600</v>
      </c>
      <c r="G168" s="16">
        <f>Table11[[#This Row],['#Planted]]</f>
        <v>3600</v>
      </c>
      <c r="H168" s="16">
        <f>Table11[[#This Row],['#TreesContract]]*Table11[[#This Row],[USA Allocation %]]</f>
        <v>3600</v>
      </c>
      <c r="I168" s="16">
        <f>Table11[[#This Row],['#Planted]]*Table11[[#This Row],[USA Allocation %]]</f>
        <v>3600</v>
      </c>
      <c r="J168" s="16">
        <f>Table11[[#This Row],[Contract Amendment]]*Table11[[#This Row],[USA Allocation %]]</f>
        <v>0</v>
      </c>
      <c r="K168" s="16">
        <f>Table11[[#This Row],['#Trees as of 12/31/23]]*Table11[[#This Row],[USA Allocation %]]</f>
        <v>3600</v>
      </c>
      <c r="L168" s="16">
        <f>Table11[[#This Row],['#Replace 24]]*Table11[[#This Row],[USA Allocation %]]</f>
        <v>0</v>
      </c>
      <c r="M168" s="16">
        <f>IF(Table11[[#This Row],[Planting Year]]=2024,Table11['#Planted],0)</f>
        <v>0</v>
      </c>
      <c r="N168" s="16">
        <f>(Table11[[#This Row],[2024 '#Trees Inventory + Estimate]]*Table11[[#This Row],[USA Allocation %]])-SUM(Table37[[#This Row],['# Trees as of 12/31/23]:[New Trees/Planted in 2024]])</f>
        <v>-3600</v>
      </c>
      <c r="O168" s="16">
        <f>SUM(Table37[[#This Row],['# Trees as of 12/31/23]:[2024 Tree Losses]])</f>
        <v>0</v>
      </c>
      <c r="P168" s="16">
        <f>SUM(Table37[[#This Row],[Total Trees as of 12/31/24]]-Table37[[#This Row],['# Trees as of 12/31/23]])</f>
        <v>-3600</v>
      </c>
      <c r="Q168" s="16">
        <f>Table11[[#This Row],['#Total Replacements]]*Table11[[#This Row],[USA Allocation %]]</f>
        <v>971</v>
      </c>
      <c r="R168" s="16">
        <f>IF(Table37[[#This Row],['#Survival based on Inventory]]=0,Table37['#Survival based on Last Year Estimate],Table37['#Survival based on Inventory])</f>
        <v>0</v>
      </c>
      <c r="S168" s="16">
        <f>Table11[[#This Row],['#Planted]]*Table11[[#This Row],[USA Allocation %]]*Table11[[#This Row],[2024 Inventory Survival%-master]]</f>
        <v>0</v>
      </c>
      <c r="T168" s="16">
        <f>Table11[[#This Row],['#Planted]]*Table11[[#This Row],[USA Allocation %]]*Table11[[#This Row],[2024 Estimated Survival%]]</f>
        <v>0</v>
      </c>
      <c r="U168">
        <f>Table11[[#This Row],[ETP Year]]</f>
        <v>2020</v>
      </c>
      <c r="V168">
        <f>Table11[[#This Row],[Planting Year]]</f>
        <v>2020</v>
      </c>
      <c r="W168" s="8">
        <f>Table11[[#This Row],[Survival% as of 12/31/23]]</f>
        <v>1</v>
      </c>
      <c r="X168" s="7">
        <f>Table11[[#This Row],[ETP'#s]]</f>
        <v>1</v>
      </c>
    </row>
    <row r="169" spans="1:24" x14ac:dyDescent="0.25">
      <c r="A169">
        <f>Table11[[#This Row],[Farmer'#]]</f>
        <v>20045</v>
      </c>
      <c r="B169" t="str">
        <f>Table11[[#This Row],[Representative]]</f>
        <v>Gregorio Corella</v>
      </c>
      <c r="C169" t="str">
        <f>Table11[[#This Row],[Contract Name]]</f>
        <v>Gregorio Corella</v>
      </c>
      <c r="D169" t="str">
        <f>Table11[[#This Row],[Status]]</f>
        <v>Active</v>
      </c>
      <c r="E169" t="str">
        <f>Table11[[#This Row],[Contract Code]]</f>
        <v>CR0049</v>
      </c>
      <c r="F169" s="16">
        <f>Table11[[#This Row],['#TreesContract]]</f>
        <v>1200</v>
      </c>
      <c r="G169" s="16">
        <f>Table11[[#This Row],['#Planted]]</f>
        <v>1200</v>
      </c>
      <c r="H169" s="16">
        <f>Table11[[#This Row],['#TreesContract]]*Table11[[#This Row],[USA Allocation %]]</f>
        <v>1200</v>
      </c>
      <c r="I169" s="16">
        <f>Table11[[#This Row],['#Planted]]*Table11[[#This Row],[USA Allocation %]]</f>
        <v>1200</v>
      </c>
      <c r="J169" s="16">
        <f>Table11[[#This Row],[Contract Amendment]]*Table11[[#This Row],[USA Allocation %]]</f>
        <v>0</v>
      </c>
      <c r="K169" s="16">
        <f>Table11[[#This Row],['#Trees as of 12/31/23]]*Table11[[#This Row],[USA Allocation %]]</f>
        <v>1140</v>
      </c>
      <c r="L169" s="16">
        <f>Table11[[#This Row],['#Replace 24]]*Table11[[#This Row],[USA Allocation %]]</f>
        <v>0</v>
      </c>
      <c r="M169" s="16">
        <f>IF(Table11[[#This Row],[Planting Year]]=2024,Table11['#Planted],0)</f>
        <v>0</v>
      </c>
      <c r="N169" s="16">
        <f>(Table11[[#This Row],[2024 '#Trees Inventory + Estimate]]*Table11[[#This Row],[USA Allocation %]])-SUM(Table37[[#This Row],['# Trees as of 12/31/23]:[New Trees/Planted in 2024]])</f>
        <v>-333.59999999999991</v>
      </c>
      <c r="O169" s="16">
        <f>SUM(Table37[[#This Row],['# Trees as of 12/31/23]:[2024 Tree Losses]])</f>
        <v>806.40000000000009</v>
      </c>
      <c r="P169" s="16">
        <f>SUM(Table37[[#This Row],[Total Trees as of 12/31/24]]-Table37[[#This Row],['# Trees as of 12/31/23]])</f>
        <v>-333.59999999999991</v>
      </c>
      <c r="Q169" s="16">
        <f>Table11[[#This Row],['#Total Replacements]]*Table11[[#This Row],[USA Allocation %]]</f>
        <v>135</v>
      </c>
      <c r="R169" s="16">
        <f>IF(Table37[[#This Row],['#Survival based on Inventory]]=0,Table37['#Survival based on Last Year Estimate],Table37['#Survival based on Inventory])</f>
        <v>806.40000000000009</v>
      </c>
      <c r="S169" s="16">
        <f>Table11[[#This Row],['#Planted]]*Table11[[#This Row],[USA Allocation %]]*Table11[[#This Row],[2024 Inventory Survival%-master]]</f>
        <v>806.40000000000009</v>
      </c>
      <c r="T169" s="16">
        <f>Table11[[#This Row],['#Planted]]*Table11[[#This Row],[USA Allocation %]]*Table11[[#This Row],[2024 Estimated Survival%]]</f>
        <v>804</v>
      </c>
      <c r="U169">
        <f>Table11[[#This Row],[ETP Year]]</f>
        <v>2020</v>
      </c>
      <c r="V169">
        <f>Table11[[#This Row],[Planting Year]]</f>
        <v>2020</v>
      </c>
      <c r="W169" s="8">
        <f>Table11[[#This Row],[Survival% as of 12/31/23]]</f>
        <v>0.95</v>
      </c>
      <c r="X169" s="7">
        <f>Table11[[#This Row],[ETP'#s]]</f>
        <v>1</v>
      </c>
    </row>
    <row r="170" spans="1:24" x14ac:dyDescent="0.25">
      <c r="A170">
        <f>Table11[[#This Row],[Farmer'#]]</f>
        <v>20046</v>
      </c>
      <c r="B170" t="str">
        <f>Table11[[#This Row],[Representative]]</f>
        <v xml:space="preserve">Ismael Chaves </v>
      </c>
      <c r="C170" t="str">
        <f>Table11[[#This Row],[Contract Name]]</f>
        <v xml:space="preserve">Ismael Chaves </v>
      </c>
      <c r="D170" t="str">
        <f>Table11[[#This Row],[Status]]</f>
        <v>Out of Program</v>
      </c>
      <c r="E170" t="str">
        <f>Table11[[#This Row],[Contract Code]]</f>
        <v>CR0050</v>
      </c>
      <c r="F170" s="16">
        <f>Table11[[#This Row],['#TreesContract]]</f>
        <v>3440</v>
      </c>
      <c r="G170" s="16">
        <f>Table11[[#This Row],['#Planted]]</f>
        <v>3440</v>
      </c>
      <c r="H170" s="16">
        <f>Table11[[#This Row],['#TreesContract]]*Table11[[#This Row],[USA Allocation %]]</f>
        <v>3440</v>
      </c>
      <c r="I170" s="16">
        <f>Table11[[#This Row],['#Planted]]*Table11[[#This Row],[USA Allocation %]]</f>
        <v>3440</v>
      </c>
      <c r="J170" s="16">
        <f>Table11[[#This Row],[Contract Amendment]]*Table11[[#This Row],[USA Allocation %]]</f>
        <v>0</v>
      </c>
      <c r="K170" s="16">
        <f>Table11[[#This Row],['#Trees as of 12/31/23]]*Table11[[#This Row],[USA Allocation %]]</f>
        <v>3268</v>
      </c>
      <c r="L170" s="16">
        <f>Table11[[#This Row],['#Replace 24]]*Table11[[#This Row],[USA Allocation %]]</f>
        <v>0</v>
      </c>
      <c r="M170" s="16">
        <f>IF(Table11[[#This Row],[Planting Year]]=2024,Table11['#Planted],0)</f>
        <v>0</v>
      </c>
      <c r="N170" s="16">
        <f>(Table11[[#This Row],[2024 '#Trees Inventory + Estimate]]*Table11[[#This Row],[USA Allocation %]])-SUM(Table37[[#This Row],['# Trees as of 12/31/23]:[New Trees/Planted in 2024]])</f>
        <v>-3268</v>
      </c>
      <c r="O170" s="16">
        <f>SUM(Table37[[#This Row],['# Trees as of 12/31/23]:[2024 Tree Losses]])</f>
        <v>0</v>
      </c>
      <c r="P170" s="16">
        <f>SUM(Table37[[#This Row],[Total Trees as of 12/31/24]]-Table37[[#This Row],['# Trees as of 12/31/23]])</f>
        <v>-3268</v>
      </c>
      <c r="Q170" s="16">
        <f>Table11[[#This Row],['#Total Replacements]]*Table11[[#This Row],[USA Allocation %]]</f>
        <v>40</v>
      </c>
      <c r="R170" s="16">
        <f>IF(Table37[[#This Row],['#Survival based on Inventory]]=0,Table37['#Survival based on Last Year Estimate],Table37['#Survival based on Inventory])</f>
        <v>0</v>
      </c>
      <c r="S170" s="16">
        <f>Table11[[#This Row],['#Planted]]*Table11[[#This Row],[USA Allocation %]]*Table11[[#This Row],[2024 Inventory Survival%-master]]</f>
        <v>0</v>
      </c>
      <c r="T170" s="16">
        <f>Table11[[#This Row],['#Planted]]*Table11[[#This Row],[USA Allocation %]]*Table11[[#This Row],[2024 Estimated Survival%]]</f>
        <v>0</v>
      </c>
      <c r="U170">
        <f>Table11[[#This Row],[ETP Year]]</f>
        <v>2020</v>
      </c>
      <c r="V170">
        <f>Table11[[#This Row],[Planting Year]]</f>
        <v>2020</v>
      </c>
      <c r="W170" s="8">
        <f>Table11[[#This Row],[Survival% as of 12/31/23]]</f>
        <v>0.95</v>
      </c>
      <c r="X170" s="7">
        <f>Table11[[#This Row],[ETP'#s]]</f>
        <v>1</v>
      </c>
    </row>
    <row r="171" spans="1:24" x14ac:dyDescent="0.25">
      <c r="A171">
        <f>Table11[[#This Row],[Farmer'#]]</f>
        <v>20047</v>
      </c>
      <c r="B171" t="str">
        <f>Table11[[#This Row],[Representative]]</f>
        <v>Jeison Espinoza</v>
      </c>
      <c r="C171" t="str">
        <f>Table11[[#This Row],[Contract Name]]</f>
        <v>Jeison Espinoza</v>
      </c>
      <c r="D171" t="str">
        <f>Table11[[#This Row],[Status]]</f>
        <v>Active</v>
      </c>
      <c r="E171" t="str">
        <f>Table11[[#This Row],[Contract Code]]</f>
        <v>CR0051</v>
      </c>
      <c r="F171" s="16">
        <f>Table11[[#This Row],['#TreesContract]]</f>
        <v>1300</v>
      </c>
      <c r="G171" s="16">
        <f>Table11[[#This Row],['#Planted]]</f>
        <v>1300</v>
      </c>
      <c r="H171" s="16">
        <f>Table11[[#This Row],['#TreesContract]]*Table11[[#This Row],[USA Allocation %]]</f>
        <v>1300</v>
      </c>
      <c r="I171" s="16">
        <f>Table11[[#This Row],['#Planted]]*Table11[[#This Row],[USA Allocation %]]</f>
        <v>1300</v>
      </c>
      <c r="J171" s="16">
        <f>Table11[[#This Row],[Contract Amendment]]*Table11[[#This Row],[USA Allocation %]]</f>
        <v>0</v>
      </c>
      <c r="K171" s="16">
        <f>Table11[[#This Row],['#Trees as of 12/31/23]]*Table11[[#This Row],[USA Allocation %]]</f>
        <v>1235</v>
      </c>
      <c r="L171" s="16">
        <f>Table11[[#This Row],['#Replace 24]]*Table11[[#This Row],[USA Allocation %]]</f>
        <v>0</v>
      </c>
      <c r="M171" s="16">
        <f>IF(Table11[[#This Row],[Planting Year]]=2024,Table11['#Planted],0)</f>
        <v>0</v>
      </c>
      <c r="N171" s="16">
        <f>(Table11[[#This Row],[2024 '#Trees Inventory + Estimate]]*Table11[[#This Row],[USA Allocation %]])-SUM(Table37[[#This Row],['# Trees as of 12/31/23]:[New Trees/Planted in 2024]])</f>
        <v>0</v>
      </c>
      <c r="O171" s="16">
        <f>SUM(Table37[[#This Row],['# Trees as of 12/31/23]:[2024 Tree Losses]])</f>
        <v>1235</v>
      </c>
      <c r="P171" s="16">
        <f>SUM(Table37[[#This Row],[Total Trees as of 12/31/24]]-Table37[[#This Row],['# Trees as of 12/31/23]])</f>
        <v>0</v>
      </c>
      <c r="Q171" s="16">
        <f>Table11[[#This Row],['#Total Replacements]]*Table11[[#This Row],[USA Allocation %]]</f>
        <v>80</v>
      </c>
      <c r="R171" s="16">
        <f>IF(Table37[[#This Row],['#Survival based on Inventory]]=0,Table37['#Survival based on Last Year Estimate],Table37['#Survival based on Inventory])</f>
        <v>1235</v>
      </c>
      <c r="S171" s="16">
        <f>Table11[[#This Row],['#Planted]]*Table11[[#This Row],[USA Allocation %]]*Table11[[#This Row],[2024 Inventory Survival%-master]]</f>
        <v>1235</v>
      </c>
      <c r="T171" s="16">
        <f>Table11[[#This Row],['#Planted]]*Table11[[#This Row],[USA Allocation %]]*Table11[[#This Row],[2024 Estimated Survival%]]</f>
        <v>1235</v>
      </c>
      <c r="U171">
        <f>Table11[[#This Row],[ETP Year]]</f>
        <v>2020</v>
      </c>
      <c r="V171">
        <f>Table11[[#This Row],[Planting Year]]</f>
        <v>2020</v>
      </c>
      <c r="W171" s="8">
        <f>Table11[[#This Row],[Survival% as of 12/31/23]]</f>
        <v>0.95</v>
      </c>
      <c r="X171" s="7">
        <f>Table11[[#This Row],[ETP'#s]]</f>
        <v>1</v>
      </c>
    </row>
    <row r="172" spans="1:24" x14ac:dyDescent="0.25">
      <c r="A172">
        <f>Table11[[#This Row],[Farmer'#]]</f>
        <v>20048</v>
      </c>
      <c r="B172" t="str">
        <f>Table11[[#This Row],[Representative]]</f>
        <v>Jerry Myers</v>
      </c>
      <c r="C172" t="str">
        <f>Table11[[#This Row],[Contract Name]]</f>
        <v>Tengo Fuera S.A</v>
      </c>
      <c r="D172" t="str">
        <f>Table11[[#This Row],[Status]]</f>
        <v>Active</v>
      </c>
      <c r="E172" t="str">
        <f>Table11[[#This Row],[Contract Code]]</f>
        <v>CR0052</v>
      </c>
      <c r="F172" s="16">
        <f>Table11[[#This Row],['#TreesContract]]</f>
        <v>2400</v>
      </c>
      <c r="G172" s="16">
        <f>Table11[[#This Row],['#Planted]]</f>
        <v>2400</v>
      </c>
      <c r="H172" s="16">
        <f>Table11[[#This Row],['#TreesContract]]*Table11[[#This Row],[USA Allocation %]]</f>
        <v>2400</v>
      </c>
      <c r="I172" s="16">
        <f>Table11[[#This Row],['#Planted]]*Table11[[#This Row],[USA Allocation %]]</f>
        <v>2400</v>
      </c>
      <c r="J172" s="16">
        <f>Table11[[#This Row],[Contract Amendment]]*Table11[[#This Row],[USA Allocation %]]</f>
        <v>0</v>
      </c>
      <c r="K172" s="16">
        <f>Table11[[#This Row],['#Trees as of 12/31/23]]*Table11[[#This Row],[USA Allocation %]]</f>
        <v>2400</v>
      </c>
      <c r="L172" s="16">
        <f>Table11[[#This Row],['#Replace 24]]*Table11[[#This Row],[USA Allocation %]]</f>
        <v>0</v>
      </c>
      <c r="M172" s="16">
        <f>IF(Table11[[#This Row],[Planting Year]]=2024,Table11['#Planted],0)</f>
        <v>0</v>
      </c>
      <c r="N172" s="16">
        <f>(Table11[[#This Row],[2024 '#Trees Inventory + Estimate]]*Table11[[#This Row],[USA Allocation %]])-SUM(Table37[[#This Row],['# Trees as of 12/31/23]:[New Trees/Planted in 2024]])</f>
        <v>-360</v>
      </c>
      <c r="O172" s="16">
        <f>SUM(Table37[[#This Row],['# Trees as of 12/31/23]:[2024 Tree Losses]])</f>
        <v>2040</v>
      </c>
      <c r="P172" s="16">
        <f>SUM(Table37[[#This Row],[Total Trees as of 12/31/24]]-Table37[[#This Row],['# Trees as of 12/31/23]])</f>
        <v>-360</v>
      </c>
      <c r="Q172" s="16">
        <f>Table11[[#This Row],['#Total Replacements]]*Table11[[#This Row],[USA Allocation %]]</f>
        <v>1120</v>
      </c>
      <c r="R172" s="16">
        <f>IF(Table37[[#This Row],['#Survival based on Inventory]]=0,Table37['#Survival based on Last Year Estimate],Table37['#Survival based on Inventory])</f>
        <v>2040</v>
      </c>
      <c r="S172" s="16">
        <f>Table11[[#This Row],['#Planted]]*Table11[[#This Row],[USA Allocation %]]*Table11[[#This Row],[2024 Inventory Survival%-master]]</f>
        <v>2040</v>
      </c>
      <c r="T172" s="16">
        <f>Table11[[#This Row],['#Planted]]*Table11[[#This Row],[USA Allocation %]]*Table11[[#This Row],[2024 Estimated Survival%]]</f>
        <v>2040</v>
      </c>
      <c r="U172">
        <f>Table11[[#This Row],[ETP Year]]</f>
        <v>2020</v>
      </c>
      <c r="V172">
        <f>Table11[[#This Row],[Planting Year]]</f>
        <v>2020</v>
      </c>
      <c r="W172" s="8">
        <f>Table11[[#This Row],[Survival% as of 12/31/23]]</f>
        <v>1</v>
      </c>
      <c r="X172" s="7">
        <f>Table11[[#This Row],[ETP'#s]]</f>
        <v>1</v>
      </c>
    </row>
    <row r="173" spans="1:24" x14ac:dyDescent="0.25">
      <c r="A173">
        <f>Table11[[#This Row],[Farmer'#]]</f>
        <v>20049</v>
      </c>
      <c r="B173" t="str">
        <f>Table11[[#This Row],[Representative]]</f>
        <v xml:space="preserve">Jose Eduardo Esquivel </v>
      </c>
      <c r="C173" t="str">
        <f>Table11[[#This Row],[Contract Name]]</f>
        <v xml:space="preserve">Jose Eduardo Esquivel </v>
      </c>
      <c r="D173" t="str">
        <f>Table11[[#This Row],[Status]]</f>
        <v>Active</v>
      </c>
      <c r="E173" t="str">
        <f>Table11[[#This Row],[Contract Code]]</f>
        <v>CR0053</v>
      </c>
      <c r="F173" s="16">
        <f>Table11[[#This Row],['#TreesContract]]</f>
        <v>1000</v>
      </c>
      <c r="G173" s="16">
        <f>Table11[[#This Row],['#Planted]]</f>
        <v>1000</v>
      </c>
      <c r="H173" s="16">
        <f>Table11[[#This Row],['#TreesContract]]*Table11[[#This Row],[USA Allocation %]]</f>
        <v>1000</v>
      </c>
      <c r="I173" s="16">
        <f>Table11[[#This Row],['#Planted]]*Table11[[#This Row],[USA Allocation %]]</f>
        <v>1000</v>
      </c>
      <c r="J173" s="16">
        <f>Table11[[#This Row],[Contract Amendment]]*Table11[[#This Row],[USA Allocation %]]</f>
        <v>0</v>
      </c>
      <c r="K173" s="16">
        <f>Table11[[#This Row],['#Trees as of 12/31/23]]*Table11[[#This Row],[USA Allocation %]]</f>
        <v>1000</v>
      </c>
      <c r="L173" s="16">
        <f>Table11[[#This Row],['#Replace 24]]*Table11[[#This Row],[USA Allocation %]]</f>
        <v>0</v>
      </c>
      <c r="M173" s="16">
        <f>IF(Table11[[#This Row],[Planting Year]]=2024,Table11['#Planted],0)</f>
        <v>0</v>
      </c>
      <c r="N173" s="16">
        <f>(Table11[[#This Row],[2024 '#Trees Inventory + Estimate]]*Table11[[#This Row],[USA Allocation %]])-SUM(Table37[[#This Row],['# Trees as of 12/31/23]:[New Trees/Planted in 2024]])</f>
        <v>-47</v>
      </c>
      <c r="O173" s="16">
        <f>SUM(Table37[[#This Row],['# Trees as of 12/31/23]:[2024 Tree Losses]])</f>
        <v>953</v>
      </c>
      <c r="P173" s="16">
        <f>SUM(Table37[[#This Row],[Total Trees as of 12/31/24]]-Table37[[#This Row],['# Trees as of 12/31/23]])</f>
        <v>-47</v>
      </c>
      <c r="Q173" s="16">
        <f>Table11[[#This Row],['#Total Replacements]]*Table11[[#This Row],[USA Allocation %]]</f>
        <v>50</v>
      </c>
      <c r="R173" s="16">
        <f>IF(Table37[[#This Row],['#Survival based on Inventory]]=0,Table37['#Survival based on Last Year Estimate],Table37['#Survival based on Inventory])</f>
        <v>953</v>
      </c>
      <c r="S173" s="16">
        <f>Table11[[#This Row],['#Planted]]*Table11[[#This Row],[USA Allocation %]]*Table11[[#This Row],[2024 Inventory Survival%-master]]</f>
        <v>953</v>
      </c>
      <c r="T173" s="16">
        <f>Table11[[#This Row],['#Planted]]*Table11[[#This Row],[USA Allocation %]]*Table11[[#This Row],[2024 Estimated Survival%]]</f>
        <v>950</v>
      </c>
      <c r="U173">
        <f>Table11[[#This Row],[ETP Year]]</f>
        <v>2020</v>
      </c>
      <c r="V173">
        <f>Table11[[#This Row],[Planting Year]]</f>
        <v>2020</v>
      </c>
      <c r="W173" s="8">
        <f>Table11[[#This Row],[Survival% as of 12/31/23]]</f>
        <v>1</v>
      </c>
      <c r="X173" s="7">
        <f>Table11[[#This Row],[ETP'#s]]</f>
        <v>1</v>
      </c>
    </row>
    <row r="174" spans="1:24" x14ac:dyDescent="0.25">
      <c r="A174">
        <f>Table11[[#This Row],[Farmer'#]]</f>
        <v>20050</v>
      </c>
      <c r="B174" t="str">
        <f>Table11[[#This Row],[Representative]]</f>
        <v>Karlos Bolaños</v>
      </c>
      <c r="C174" t="str">
        <f>Table11[[#This Row],[Contract Name]]</f>
        <v>Karlos Bolaños</v>
      </c>
      <c r="D174" t="str">
        <f>Table11[[#This Row],[Status]]</f>
        <v>Out of Program</v>
      </c>
      <c r="E174" t="str">
        <f>Table11[[#This Row],[Contract Code]]</f>
        <v>CR0054</v>
      </c>
      <c r="F174" s="16">
        <f>Table11[[#This Row],['#TreesContract]]</f>
        <v>800</v>
      </c>
      <c r="G174" s="16">
        <f>Table11[[#This Row],['#Planted]]</f>
        <v>800</v>
      </c>
      <c r="H174" s="16">
        <f>Table11[[#This Row],['#TreesContract]]*Table11[[#This Row],[USA Allocation %]]</f>
        <v>800</v>
      </c>
      <c r="I174" s="16">
        <f>Table11[[#This Row],['#Planted]]*Table11[[#This Row],[USA Allocation %]]</f>
        <v>800</v>
      </c>
      <c r="J174" s="16">
        <f>Table11[[#This Row],[Contract Amendment]]*Table11[[#This Row],[USA Allocation %]]</f>
        <v>0</v>
      </c>
      <c r="K174" s="16">
        <f>Table11[[#This Row],['#Trees as of 12/31/23]]*Table11[[#This Row],[USA Allocation %]]</f>
        <v>0</v>
      </c>
      <c r="L174" s="16">
        <f>Table11[[#This Row],['#Replace 24]]*Table11[[#This Row],[USA Allocation %]]</f>
        <v>0</v>
      </c>
      <c r="M174" s="16">
        <f>IF(Table11[[#This Row],[Planting Year]]=2024,Table11['#Planted],0)</f>
        <v>0</v>
      </c>
      <c r="N174" s="16">
        <f>(Table11[[#This Row],[2024 '#Trees Inventory + Estimate]]*Table11[[#This Row],[USA Allocation %]])-SUM(Table37[[#This Row],['# Trees as of 12/31/23]:[New Trees/Planted in 2024]])</f>
        <v>0</v>
      </c>
      <c r="O174" s="16">
        <f>SUM(Table37[[#This Row],['# Trees as of 12/31/23]:[2024 Tree Losses]])</f>
        <v>0</v>
      </c>
      <c r="P174" s="16">
        <f>SUM(Table37[[#This Row],[Total Trees as of 12/31/24]]-Table37[[#This Row],['# Trees as of 12/31/23]])</f>
        <v>0</v>
      </c>
      <c r="Q174" s="16">
        <f>Table11[[#This Row],['#Total Replacements]]*Table11[[#This Row],[USA Allocation %]]</f>
        <v>0</v>
      </c>
      <c r="R174" s="16">
        <f>IF(Table37[[#This Row],['#Survival based on Inventory]]=0,Table37['#Survival based on Last Year Estimate],Table37['#Survival based on Inventory])</f>
        <v>0</v>
      </c>
      <c r="S174" s="16">
        <f>Table11[[#This Row],['#Planted]]*Table11[[#This Row],[USA Allocation %]]*Table11[[#This Row],[2024 Inventory Survival%-master]]</f>
        <v>0</v>
      </c>
      <c r="T174" s="16">
        <f>Table11[[#This Row],['#Planted]]*Table11[[#This Row],[USA Allocation %]]*Table11[[#This Row],[2024 Estimated Survival%]]</f>
        <v>0</v>
      </c>
      <c r="U174">
        <f>Table11[[#This Row],[ETP Year]]</f>
        <v>2020</v>
      </c>
      <c r="V174">
        <f>Table11[[#This Row],[Planting Year]]</f>
        <v>2020</v>
      </c>
      <c r="W174" s="8">
        <f>Table11[[#This Row],[Survival% as of 12/31/23]]</f>
        <v>0</v>
      </c>
      <c r="X174" s="7">
        <f>Table11[[#This Row],[ETP'#s]]</f>
        <v>1</v>
      </c>
    </row>
    <row r="175" spans="1:24" x14ac:dyDescent="0.25">
      <c r="A175">
        <f>Table11[[#This Row],[Farmer'#]]</f>
        <v>20051</v>
      </c>
      <c r="B175" t="str">
        <f>Table11[[#This Row],[Representative]]</f>
        <v>Laura Blanco</v>
      </c>
      <c r="C175" t="str">
        <f>Table11[[#This Row],[Contract Name]]</f>
        <v>Laura Blanco</v>
      </c>
      <c r="D175" t="str">
        <f>Table11[[#This Row],[Status]]</f>
        <v>RFT</v>
      </c>
      <c r="E175" t="str">
        <f>Table11[[#This Row],[Contract Code]]</f>
        <v>CR0055</v>
      </c>
      <c r="F175" s="16">
        <f>Table11[[#This Row],['#TreesContract]]</f>
        <v>1000</v>
      </c>
      <c r="G175" s="16">
        <f>Table11[[#This Row],['#Planted]]</f>
        <v>1000</v>
      </c>
      <c r="H175" s="16">
        <f>Table11[[#This Row],['#TreesContract]]*Table11[[#This Row],[USA Allocation %]]</f>
        <v>1000</v>
      </c>
      <c r="I175" s="16">
        <f>Table11[[#This Row],['#Planted]]*Table11[[#This Row],[USA Allocation %]]</f>
        <v>1000</v>
      </c>
      <c r="J175" s="16">
        <f>Table11[[#This Row],[Contract Amendment]]*Table11[[#This Row],[USA Allocation %]]</f>
        <v>0</v>
      </c>
      <c r="K175" s="16">
        <f>Table11[[#This Row],['#Trees as of 12/31/23]]*Table11[[#This Row],[USA Allocation %]]</f>
        <v>825</v>
      </c>
      <c r="L175" s="16">
        <f>Table11[[#This Row],['#Replace 24]]*Table11[[#This Row],[USA Allocation %]]</f>
        <v>0</v>
      </c>
      <c r="M175" s="16">
        <f>IF(Table11[[#This Row],[Planting Year]]=2024,Table11['#Planted],0)</f>
        <v>0</v>
      </c>
      <c r="N175" s="16">
        <f>(Table11[[#This Row],[2024 '#Trees Inventory + Estimate]]*Table11[[#This Row],[USA Allocation %]])-SUM(Table37[[#This Row],['# Trees as of 12/31/23]:[New Trees/Planted in 2024]])</f>
        <v>-375</v>
      </c>
      <c r="O175" s="16">
        <f>SUM(Table37[[#This Row],['# Trees as of 12/31/23]:[2024 Tree Losses]])</f>
        <v>450</v>
      </c>
      <c r="P175" s="16">
        <f>SUM(Table37[[#This Row],[Total Trees as of 12/31/24]]-Table37[[#This Row],['# Trees as of 12/31/23]])</f>
        <v>-375</v>
      </c>
      <c r="Q175" s="16">
        <f>Table11[[#This Row],['#Total Replacements]]*Table11[[#This Row],[USA Allocation %]]</f>
        <v>0</v>
      </c>
      <c r="R175" s="16">
        <f>IF(Table37[[#This Row],['#Survival based on Inventory]]=0,Table37['#Survival based on Last Year Estimate],Table37['#Survival based on Inventory])</f>
        <v>454</v>
      </c>
      <c r="S175" s="16">
        <f>Table11[[#This Row],['#Planted]]*Table11[[#This Row],[USA Allocation %]]*Table11[[#This Row],[2024 Inventory Survival%-master]]</f>
        <v>454</v>
      </c>
      <c r="T175" s="16">
        <f>Table11[[#This Row],['#Planted]]*Table11[[#This Row],[USA Allocation %]]*Table11[[#This Row],[2024 Estimated Survival%]]</f>
        <v>450</v>
      </c>
      <c r="U175">
        <f>Table11[[#This Row],[ETP Year]]</f>
        <v>2020</v>
      </c>
      <c r="V175">
        <f>Table11[[#This Row],[Planting Year]]</f>
        <v>2020</v>
      </c>
      <c r="W175" s="8">
        <f>Table11[[#This Row],[Survival% as of 12/31/23]]</f>
        <v>0.82499999999999996</v>
      </c>
      <c r="X175" s="7">
        <f>Table11[[#This Row],[ETP'#s]]</f>
        <v>1</v>
      </c>
    </row>
    <row r="176" spans="1:24" x14ac:dyDescent="0.25">
      <c r="A176">
        <f>Table11[[#This Row],[Farmer'#]]</f>
        <v>20052</v>
      </c>
      <c r="B176" t="str">
        <f>Table11[[#This Row],[Representative]]</f>
        <v>Luis Alonso Salazar Rodriguez</v>
      </c>
      <c r="C176" t="str">
        <f>Table11[[#This Row],[Contract Name]]</f>
        <v>LKC Arrendamientos S.A</v>
      </c>
      <c r="D176" t="str">
        <f>Table11[[#This Row],[Status]]</f>
        <v>RFT</v>
      </c>
      <c r="E176" t="str">
        <f>Table11[[#This Row],[Contract Code]]</f>
        <v>CR0056</v>
      </c>
      <c r="F176" s="16">
        <f>Table11[[#This Row],['#TreesContract]]</f>
        <v>4000</v>
      </c>
      <c r="G176" s="16">
        <f>Table11[[#This Row],['#Planted]]</f>
        <v>4000</v>
      </c>
      <c r="H176" s="16">
        <f>Table11[[#This Row],['#TreesContract]]*Table11[[#This Row],[USA Allocation %]]</f>
        <v>4000</v>
      </c>
      <c r="I176" s="16">
        <f>Table11[[#This Row],['#Planted]]*Table11[[#This Row],[USA Allocation %]]</f>
        <v>4000</v>
      </c>
      <c r="J176" s="16">
        <f>Table11[[#This Row],[Contract Amendment]]*Table11[[#This Row],[USA Allocation %]]</f>
        <v>0</v>
      </c>
      <c r="K176" s="16">
        <f>Table11[[#This Row],['#Trees as of 12/31/23]]*Table11[[#This Row],[USA Allocation %]]</f>
        <v>3300</v>
      </c>
      <c r="L176" s="16">
        <f>Table11[[#This Row],['#Replace 24]]*Table11[[#This Row],[USA Allocation %]]</f>
        <v>0</v>
      </c>
      <c r="M176" s="16">
        <f>IF(Table11[[#This Row],[Planting Year]]=2024,Table11['#Planted],0)</f>
        <v>0</v>
      </c>
      <c r="N176" s="16">
        <f>(Table11[[#This Row],[2024 '#Trees Inventory + Estimate]]*Table11[[#This Row],[USA Allocation %]])-SUM(Table37[[#This Row],['# Trees as of 12/31/23]:[New Trees/Planted in 2024]])</f>
        <v>0</v>
      </c>
      <c r="O176" s="16">
        <f>SUM(Table37[[#This Row],['# Trees as of 12/31/23]:[2024 Tree Losses]])</f>
        <v>3300</v>
      </c>
      <c r="P176" s="16">
        <f>SUM(Table37[[#This Row],[Total Trees as of 12/31/24]]-Table37[[#This Row],['# Trees as of 12/31/23]])</f>
        <v>0</v>
      </c>
      <c r="Q176" s="16">
        <f>Table11[[#This Row],['#Total Replacements]]*Table11[[#This Row],[USA Allocation %]]</f>
        <v>852</v>
      </c>
      <c r="R176" s="16">
        <f>IF(Table37[[#This Row],['#Survival based on Inventory]]=0,Table37['#Survival based on Last Year Estimate],Table37['#Survival based on Inventory])</f>
        <v>3300</v>
      </c>
      <c r="S176" s="16">
        <f>Table11[[#This Row],['#Planted]]*Table11[[#This Row],[USA Allocation %]]*Table11[[#This Row],[2024 Inventory Survival%-master]]</f>
        <v>0</v>
      </c>
      <c r="T176" s="16">
        <f>Table11[[#This Row],['#Planted]]*Table11[[#This Row],[USA Allocation %]]*Table11[[#This Row],[2024 Estimated Survival%]]</f>
        <v>3300</v>
      </c>
      <c r="U176">
        <f>Table11[[#This Row],[ETP Year]]</f>
        <v>2020</v>
      </c>
      <c r="V176">
        <f>Table11[[#This Row],[Planting Year]]</f>
        <v>2020</v>
      </c>
      <c r="W176" s="8">
        <f>Table11[[#This Row],[Survival% as of 12/31/23]]</f>
        <v>0.82499999999999996</v>
      </c>
      <c r="X176" s="7">
        <f>Table11[[#This Row],[ETP'#s]]</f>
        <v>1</v>
      </c>
    </row>
    <row r="177" spans="1:24" x14ac:dyDescent="0.25">
      <c r="A177">
        <f>Table11[[#This Row],[Farmer'#]]</f>
        <v>20053</v>
      </c>
      <c r="B177" t="str">
        <f>Table11[[#This Row],[Representative]]</f>
        <v>Marco Fiorio</v>
      </c>
      <c r="C177" t="str">
        <f>Table11[[#This Row],[Contract Name]]</f>
        <v>Marco Fiorio</v>
      </c>
      <c r="D177" t="str">
        <f>Table11[[#This Row],[Status]]</f>
        <v>RFT</v>
      </c>
      <c r="E177" t="str">
        <f>Table11[[#This Row],[Contract Code]]</f>
        <v>CR0057</v>
      </c>
      <c r="F177" s="16">
        <f>Table11[[#This Row],['#TreesContract]]</f>
        <v>2000</v>
      </c>
      <c r="G177" s="16">
        <f>Table11[[#This Row],['#Planted]]</f>
        <v>2000</v>
      </c>
      <c r="H177" s="16">
        <f>Table11[[#This Row],['#TreesContract]]*Table11[[#This Row],[USA Allocation %]]</f>
        <v>2000</v>
      </c>
      <c r="I177" s="16">
        <f>Table11[[#This Row],['#Planted]]*Table11[[#This Row],[USA Allocation %]]</f>
        <v>2000</v>
      </c>
      <c r="J177" s="16">
        <f>Table11[[#This Row],[Contract Amendment]]*Table11[[#This Row],[USA Allocation %]]</f>
        <v>0</v>
      </c>
      <c r="K177" s="16">
        <f>Table11[[#This Row],['#Trees as of 12/31/23]]*Table11[[#This Row],[USA Allocation %]]</f>
        <v>1460</v>
      </c>
      <c r="L177" s="16">
        <f>Table11[[#This Row],['#Replace 24]]*Table11[[#This Row],[USA Allocation %]]</f>
        <v>0</v>
      </c>
      <c r="M177" s="16">
        <f>IF(Table11[[#This Row],[Planting Year]]=2024,Table11['#Planted],0)</f>
        <v>0</v>
      </c>
      <c r="N177" s="16">
        <f>(Table11[[#This Row],[2024 '#Trees Inventory + Estimate]]*Table11[[#This Row],[USA Allocation %]])-SUM(Table37[[#This Row],['# Trees as of 12/31/23]:[New Trees/Planted in 2024]])</f>
        <v>0</v>
      </c>
      <c r="O177" s="16">
        <f>SUM(Table37[[#This Row],['# Trees as of 12/31/23]:[2024 Tree Losses]])</f>
        <v>1460</v>
      </c>
      <c r="P177" s="16">
        <f>SUM(Table37[[#This Row],[Total Trees as of 12/31/24]]-Table37[[#This Row],['# Trees as of 12/31/23]])</f>
        <v>0</v>
      </c>
      <c r="Q177" s="16">
        <f>Table11[[#This Row],['#Total Replacements]]*Table11[[#This Row],[USA Allocation %]]</f>
        <v>800</v>
      </c>
      <c r="R177" s="16">
        <f>IF(Table37[[#This Row],['#Survival based on Inventory]]=0,Table37['#Survival based on Last Year Estimate],Table37['#Survival based on Inventory])</f>
        <v>1460</v>
      </c>
      <c r="S177" s="16">
        <f>Table11[[#This Row],['#Planted]]*Table11[[#This Row],[USA Allocation %]]*Table11[[#This Row],[2024 Inventory Survival%-master]]</f>
        <v>0</v>
      </c>
      <c r="T177" s="16">
        <f>Table11[[#This Row],['#Planted]]*Table11[[#This Row],[USA Allocation %]]*Table11[[#This Row],[2024 Estimated Survival%]]</f>
        <v>1460</v>
      </c>
      <c r="U177">
        <f>Table11[[#This Row],[ETP Year]]</f>
        <v>2020</v>
      </c>
      <c r="V177">
        <f>Table11[[#This Row],[Planting Year]]</f>
        <v>2020</v>
      </c>
      <c r="W177" s="8">
        <f>Table11[[#This Row],[Survival% as of 12/31/23]]</f>
        <v>0.73</v>
      </c>
      <c r="X177" s="7">
        <f>Table11[[#This Row],[ETP'#s]]</f>
        <v>1</v>
      </c>
    </row>
    <row r="178" spans="1:24" x14ac:dyDescent="0.25">
      <c r="A178">
        <f>Table11[[#This Row],[Farmer'#]]</f>
        <v>20054</v>
      </c>
      <c r="B178" t="str">
        <f>Table11[[#This Row],[Representative]]</f>
        <v>Marco Mora</v>
      </c>
      <c r="C178" t="str">
        <f>Table11[[#This Row],[Contract Name]]</f>
        <v>Marco Mora</v>
      </c>
      <c r="D178" t="str">
        <f>Table11[[#This Row],[Status]]</f>
        <v>RFT</v>
      </c>
      <c r="E178" t="str">
        <f>Table11[[#This Row],[Contract Code]]</f>
        <v>CR0058</v>
      </c>
      <c r="F178" s="16">
        <f>Table11[[#This Row],['#TreesContract]]</f>
        <v>2000</v>
      </c>
      <c r="G178" s="16">
        <f>Table11[[#This Row],['#Planted]]</f>
        <v>2000</v>
      </c>
      <c r="H178" s="16">
        <f>Table11[[#This Row],['#TreesContract]]*Table11[[#This Row],[USA Allocation %]]</f>
        <v>2000</v>
      </c>
      <c r="I178" s="16">
        <f>Table11[[#This Row],['#Planted]]*Table11[[#This Row],[USA Allocation %]]</f>
        <v>2000</v>
      </c>
      <c r="J178" s="16">
        <f>Table11[[#This Row],[Contract Amendment]]*Table11[[#This Row],[USA Allocation %]]</f>
        <v>0</v>
      </c>
      <c r="K178" s="16">
        <f>Table11[[#This Row],['#Trees as of 12/31/23]]*Table11[[#This Row],[USA Allocation %]]</f>
        <v>1340</v>
      </c>
      <c r="L178" s="16">
        <f>Table11[[#This Row],['#Replace 24]]*Table11[[#This Row],[USA Allocation %]]</f>
        <v>0</v>
      </c>
      <c r="M178" s="16">
        <f>IF(Table11[[#This Row],[Planting Year]]=2024,Table11['#Planted],0)</f>
        <v>0</v>
      </c>
      <c r="N178" s="16">
        <f>(Table11[[#This Row],[2024 '#Trees Inventory + Estimate]]*Table11[[#This Row],[USA Allocation %]])-SUM(Table37[[#This Row],['# Trees as of 12/31/23]:[New Trees/Planted in 2024]])</f>
        <v>-520</v>
      </c>
      <c r="O178" s="16">
        <f>SUM(Table37[[#This Row],['# Trees as of 12/31/23]:[2024 Tree Losses]])</f>
        <v>820</v>
      </c>
      <c r="P178" s="16">
        <f>SUM(Table37[[#This Row],[Total Trees as of 12/31/24]]-Table37[[#This Row],['# Trees as of 12/31/23]])</f>
        <v>-520</v>
      </c>
      <c r="Q178" s="16">
        <f>Table11[[#This Row],['#Total Replacements]]*Table11[[#This Row],[USA Allocation %]]</f>
        <v>120</v>
      </c>
      <c r="R178" s="16">
        <f>IF(Table37[[#This Row],['#Survival based on Inventory]]=0,Table37['#Survival based on Last Year Estimate],Table37['#Survival based on Inventory])</f>
        <v>812</v>
      </c>
      <c r="S178" s="16">
        <f>Table11[[#This Row],['#Planted]]*Table11[[#This Row],[USA Allocation %]]*Table11[[#This Row],[2024 Inventory Survival%-master]]</f>
        <v>812</v>
      </c>
      <c r="T178" s="16">
        <f>Table11[[#This Row],['#Planted]]*Table11[[#This Row],[USA Allocation %]]*Table11[[#This Row],[2024 Estimated Survival%]]</f>
        <v>820</v>
      </c>
      <c r="U178">
        <f>Table11[[#This Row],[ETP Year]]</f>
        <v>2020</v>
      </c>
      <c r="V178">
        <f>Table11[[#This Row],[Planting Year]]</f>
        <v>2020</v>
      </c>
      <c r="W178" s="8">
        <f>Table11[[#This Row],[Survival% as of 12/31/23]]</f>
        <v>0.67</v>
      </c>
      <c r="X178" s="7">
        <f>Table11[[#This Row],[ETP'#s]]</f>
        <v>1</v>
      </c>
    </row>
    <row r="179" spans="1:24" x14ac:dyDescent="0.25">
      <c r="A179">
        <f>Table11[[#This Row],[Farmer'#]]</f>
        <v>20055</v>
      </c>
      <c r="B179" t="str">
        <f>Table11[[#This Row],[Representative]]</f>
        <v>Marianela Campos</v>
      </c>
      <c r="C179" t="str">
        <f>Table11[[#This Row],[Contract Name]]</f>
        <v>Marianela Campos Campos</v>
      </c>
      <c r="D179" t="str">
        <f>Table11[[#This Row],[Status]]</f>
        <v>Active</v>
      </c>
      <c r="E179" t="str">
        <f>Table11[[#This Row],[Contract Code]]</f>
        <v>CR0059</v>
      </c>
      <c r="F179" s="16">
        <f>Table11[[#This Row],['#TreesContract]]</f>
        <v>2000</v>
      </c>
      <c r="G179" s="16">
        <f>Table11[[#This Row],['#Planted]]</f>
        <v>2000</v>
      </c>
      <c r="H179" s="16">
        <f>Table11[[#This Row],['#TreesContract]]*Table11[[#This Row],[USA Allocation %]]</f>
        <v>2000</v>
      </c>
      <c r="I179" s="16">
        <f>Table11[[#This Row],['#Planted]]*Table11[[#This Row],[USA Allocation %]]</f>
        <v>2000</v>
      </c>
      <c r="J179" s="16">
        <f>Table11[[#This Row],[Contract Amendment]]*Table11[[#This Row],[USA Allocation %]]</f>
        <v>0</v>
      </c>
      <c r="K179" s="16">
        <f>Table11[[#This Row],['#Trees as of 12/31/23]]*Table11[[#This Row],[USA Allocation %]]</f>
        <v>2000</v>
      </c>
      <c r="L179" s="16">
        <f>Table11[[#This Row],['#Replace 24]]*Table11[[#This Row],[USA Allocation %]]</f>
        <v>0</v>
      </c>
      <c r="M179" s="16">
        <f>IF(Table11[[#This Row],[Planting Year]]=2024,Table11['#Planted],0)</f>
        <v>0</v>
      </c>
      <c r="N179" s="16">
        <f>(Table11[[#This Row],[2024 '#Trees Inventory + Estimate]]*Table11[[#This Row],[USA Allocation %]])-SUM(Table37[[#This Row],['# Trees as of 12/31/23]:[New Trees/Planted in 2024]])</f>
        <v>-1400</v>
      </c>
      <c r="O179" s="16">
        <f>SUM(Table37[[#This Row],['# Trees as of 12/31/23]:[2024 Tree Losses]])</f>
        <v>600</v>
      </c>
      <c r="P179" s="16">
        <f>SUM(Table37[[#This Row],[Total Trees as of 12/31/24]]-Table37[[#This Row],['# Trees as of 12/31/23]])</f>
        <v>-1400</v>
      </c>
      <c r="Q179" s="16">
        <f>Table11[[#This Row],['#Total Replacements]]*Table11[[#This Row],[USA Allocation %]]</f>
        <v>0</v>
      </c>
      <c r="R179" s="16">
        <f>IF(Table37[[#This Row],['#Survival based on Inventory]]=0,Table37['#Survival based on Last Year Estimate],Table37['#Survival based on Inventory])</f>
        <v>1236</v>
      </c>
      <c r="S179" s="16">
        <f>Table11[[#This Row],['#Planted]]*Table11[[#This Row],[USA Allocation %]]*Table11[[#This Row],[2024 Inventory Survival%-master]]</f>
        <v>1236</v>
      </c>
      <c r="T179" s="16">
        <f>Table11[[#This Row],['#Planted]]*Table11[[#This Row],[USA Allocation %]]*Table11[[#This Row],[2024 Estimated Survival%]]</f>
        <v>1240</v>
      </c>
      <c r="U179">
        <f>Table11[[#This Row],[ETP Year]]</f>
        <v>2020</v>
      </c>
      <c r="V179">
        <f>Table11[[#This Row],[Planting Year]]</f>
        <v>2020</v>
      </c>
      <c r="W179" s="8">
        <f>Table11[[#This Row],[Survival% as of 12/31/23]]</f>
        <v>1</v>
      </c>
      <c r="X179" s="7">
        <f>Table11[[#This Row],[ETP'#s]]</f>
        <v>1</v>
      </c>
    </row>
    <row r="180" spans="1:24" x14ac:dyDescent="0.25">
      <c r="A180">
        <f>Table11[[#This Row],[Farmer'#]]</f>
        <v>20056</v>
      </c>
      <c r="B180" t="str">
        <f>Table11[[#This Row],[Representative]]</f>
        <v>Marleni Oporta Castillo</v>
      </c>
      <c r="C180" t="str">
        <f>Table11[[#This Row],[Contract Name]]</f>
        <v>Marleni Oporta Castillo</v>
      </c>
      <c r="D180" t="str">
        <f>Table11[[#This Row],[Status]]</f>
        <v>Active</v>
      </c>
      <c r="E180" t="str">
        <f>Table11[[#This Row],[Contract Code]]</f>
        <v>CR0060</v>
      </c>
      <c r="F180" s="16">
        <f>Table11[[#This Row],['#TreesContract]]</f>
        <v>2000</v>
      </c>
      <c r="G180" s="16">
        <f>Table11[[#This Row],['#Planted]]</f>
        <v>2000</v>
      </c>
      <c r="H180" s="16">
        <f>Table11[[#This Row],['#TreesContract]]*Table11[[#This Row],[USA Allocation %]]</f>
        <v>2000</v>
      </c>
      <c r="I180" s="16">
        <f>Table11[[#This Row],['#Planted]]*Table11[[#This Row],[USA Allocation %]]</f>
        <v>2000</v>
      </c>
      <c r="J180" s="16">
        <f>Table11[[#This Row],[Contract Amendment]]*Table11[[#This Row],[USA Allocation %]]</f>
        <v>0</v>
      </c>
      <c r="K180" s="16">
        <f>Table11[[#This Row],['#Trees as of 12/31/23]]*Table11[[#This Row],[USA Allocation %]]</f>
        <v>2000</v>
      </c>
      <c r="L180" s="16">
        <f>Table11[[#This Row],['#Replace 24]]*Table11[[#This Row],[USA Allocation %]]</f>
        <v>0</v>
      </c>
      <c r="M180" s="16">
        <f>IF(Table11[[#This Row],[Planting Year]]=2024,Table11['#Planted],0)</f>
        <v>0</v>
      </c>
      <c r="N180" s="16">
        <f>(Table11[[#This Row],[2024 '#Trees Inventory + Estimate]]*Table11[[#This Row],[USA Allocation %]])-SUM(Table37[[#This Row],['# Trees as of 12/31/23]:[New Trees/Planted in 2024]])</f>
        <v>-438</v>
      </c>
      <c r="O180" s="16">
        <f>SUM(Table37[[#This Row],['# Trees as of 12/31/23]:[2024 Tree Losses]])</f>
        <v>1562</v>
      </c>
      <c r="P180" s="16">
        <f>SUM(Table37[[#This Row],[Total Trees as of 12/31/24]]-Table37[[#This Row],['# Trees as of 12/31/23]])</f>
        <v>-438</v>
      </c>
      <c r="Q180" s="16">
        <f>Table11[[#This Row],['#Total Replacements]]*Table11[[#This Row],[USA Allocation %]]</f>
        <v>430</v>
      </c>
      <c r="R180" s="16">
        <f>IF(Table37[[#This Row],['#Survival based on Inventory]]=0,Table37['#Survival based on Last Year Estimate],Table37['#Survival based on Inventory])</f>
        <v>1562</v>
      </c>
      <c r="S180" s="16">
        <f>Table11[[#This Row],['#Planted]]*Table11[[#This Row],[USA Allocation %]]*Table11[[#This Row],[2024 Inventory Survival%-master]]</f>
        <v>1562</v>
      </c>
      <c r="T180" s="16">
        <f>Table11[[#This Row],['#Planted]]*Table11[[#This Row],[USA Allocation %]]*Table11[[#This Row],[2024 Estimated Survival%]]</f>
        <v>1560</v>
      </c>
      <c r="U180">
        <f>Table11[[#This Row],[ETP Year]]</f>
        <v>2020</v>
      </c>
      <c r="V180">
        <f>Table11[[#This Row],[Planting Year]]</f>
        <v>2020</v>
      </c>
      <c r="W180" s="8">
        <f>Table11[[#This Row],[Survival% as of 12/31/23]]</f>
        <v>1</v>
      </c>
      <c r="X180" s="7">
        <f>Table11[[#This Row],[ETP'#s]]</f>
        <v>1</v>
      </c>
    </row>
    <row r="181" spans="1:24" x14ac:dyDescent="0.25">
      <c r="A181">
        <f>Table11[[#This Row],[Farmer'#]]</f>
        <v>20057</v>
      </c>
      <c r="B181" t="str">
        <f>Table11[[#This Row],[Representative]]</f>
        <v>Mercedes Barboza</v>
      </c>
      <c r="C181" t="str">
        <f>Table11[[#This Row],[Contract Name]]</f>
        <v>Mercedez Barboza</v>
      </c>
      <c r="D181" t="str">
        <f>Table11[[#This Row],[Status]]</f>
        <v>Active</v>
      </c>
      <c r="E181" t="str">
        <f>Table11[[#This Row],[Contract Code]]</f>
        <v>CR0062</v>
      </c>
      <c r="F181" s="16">
        <f>Table11[[#This Row],['#TreesContract]]</f>
        <v>1200</v>
      </c>
      <c r="G181" s="16">
        <f>Table11[[#This Row],['#Planted]]</f>
        <v>1200</v>
      </c>
      <c r="H181" s="16">
        <f>Table11[[#This Row],['#TreesContract]]*Table11[[#This Row],[USA Allocation %]]</f>
        <v>1200</v>
      </c>
      <c r="I181" s="16">
        <f>Table11[[#This Row],['#Planted]]*Table11[[#This Row],[USA Allocation %]]</f>
        <v>1200</v>
      </c>
      <c r="J181" s="16">
        <f>Table11[[#This Row],[Contract Amendment]]*Table11[[#This Row],[USA Allocation %]]</f>
        <v>0</v>
      </c>
      <c r="K181" s="16">
        <f>Table11[[#This Row],['#Trees as of 12/31/23]]*Table11[[#This Row],[USA Allocation %]]</f>
        <v>1200</v>
      </c>
      <c r="L181" s="16">
        <f>Table11[[#This Row],['#Replace 24]]*Table11[[#This Row],[USA Allocation %]]</f>
        <v>0</v>
      </c>
      <c r="M181" s="16">
        <f>IF(Table11[[#This Row],[Planting Year]]=2024,Table11['#Planted],0)</f>
        <v>0</v>
      </c>
      <c r="N181" s="16">
        <f>(Table11[[#This Row],[2024 '#Trees Inventory + Estimate]]*Table11[[#This Row],[USA Allocation %]])-SUM(Table37[[#This Row],['# Trees as of 12/31/23]:[New Trees/Planted in 2024]])</f>
        <v>-138</v>
      </c>
      <c r="O181" s="16">
        <f>SUM(Table37[[#This Row],['# Trees as of 12/31/23]:[2024 Tree Losses]])</f>
        <v>1062</v>
      </c>
      <c r="P181" s="16">
        <f>SUM(Table37[[#This Row],[Total Trees as of 12/31/24]]-Table37[[#This Row],['# Trees as of 12/31/23]])</f>
        <v>-138</v>
      </c>
      <c r="Q181" s="16">
        <f>Table11[[#This Row],['#Total Replacements]]*Table11[[#This Row],[USA Allocation %]]</f>
        <v>236</v>
      </c>
      <c r="R181" s="16">
        <f>IF(Table37[[#This Row],['#Survival based on Inventory]]=0,Table37['#Survival based on Last Year Estimate],Table37['#Survival based on Inventory])</f>
        <v>1062</v>
      </c>
      <c r="S181" s="16">
        <f>Table11[[#This Row],['#Planted]]*Table11[[#This Row],[USA Allocation %]]*Table11[[#This Row],[2024 Inventory Survival%-master]]</f>
        <v>1062</v>
      </c>
      <c r="T181" s="16">
        <f>Table11[[#This Row],['#Planted]]*Table11[[#This Row],[USA Allocation %]]*Table11[[#This Row],[2024 Estimated Survival%]]</f>
        <v>1068</v>
      </c>
      <c r="U181">
        <f>Table11[[#This Row],[ETP Year]]</f>
        <v>2020</v>
      </c>
      <c r="V181">
        <f>Table11[[#This Row],[Planting Year]]</f>
        <v>2020</v>
      </c>
      <c r="W181" s="8">
        <f>Table11[[#This Row],[Survival% as of 12/31/23]]</f>
        <v>1</v>
      </c>
      <c r="X181" s="7">
        <f>Table11[[#This Row],[ETP'#s]]</f>
        <v>1</v>
      </c>
    </row>
    <row r="182" spans="1:24" x14ac:dyDescent="0.25">
      <c r="A182">
        <f>Table11[[#This Row],[Farmer'#]]</f>
        <v>20058</v>
      </c>
      <c r="B182" t="str">
        <f>Table11[[#This Row],[Representative]]</f>
        <v>Olger Monge</v>
      </c>
      <c r="C182" t="str">
        <f>Table11[[#This Row],[Contract Name]]</f>
        <v>Olger Monge</v>
      </c>
      <c r="D182" t="str">
        <f>Table11[[#This Row],[Status]]</f>
        <v>Active</v>
      </c>
      <c r="E182" t="str">
        <f>Table11[[#This Row],[Contract Code]]</f>
        <v>CR0063</v>
      </c>
      <c r="F182" s="16">
        <f>Table11[[#This Row],['#TreesContract]]</f>
        <v>600</v>
      </c>
      <c r="G182" s="16">
        <f>Table11[[#This Row],['#Planted]]</f>
        <v>600</v>
      </c>
      <c r="H182" s="16">
        <f>Table11[[#This Row],['#TreesContract]]*Table11[[#This Row],[USA Allocation %]]</f>
        <v>600</v>
      </c>
      <c r="I182" s="16">
        <f>Table11[[#This Row],['#Planted]]*Table11[[#This Row],[USA Allocation %]]</f>
        <v>600</v>
      </c>
      <c r="J182" s="16">
        <f>Table11[[#This Row],[Contract Amendment]]*Table11[[#This Row],[USA Allocation %]]</f>
        <v>0</v>
      </c>
      <c r="K182" s="16">
        <f>Table11[[#This Row],['#Trees as of 12/31/23]]*Table11[[#This Row],[USA Allocation %]]</f>
        <v>570</v>
      </c>
      <c r="L182" s="16">
        <f>Table11[[#This Row],['#Replace 24]]*Table11[[#This Row],[USA Allocation %]]</f>
        <v>0</v>
      </c>
      <c r="M182" s="16">
        <f>IF(Table11[[#This Row],[Planting Year]]=2024,Table11['#Planted],0)</f>
        <v>0</v>
      </c>
      <c r="N182" s="16">
        <f>(Table11[[#This Row],[2024 '#Trees Inventory + Estimate]]*Table11[[#This Row],[USA Allocation %]])-SUM(Table37[[#This Row],['# Trees as of 12/31/23]:[New Trees/Planted in 2024]])</f>
        <v>-139.20000000000005</v>
      </c>
      <c r="O182" s="16">
        <f>SUM(Table37[[#This Row],['# Trees as of 12/31/23]:[2024 Tree Losses]])</f>
        <v>430.79999999999995</v>
      </c>
      <c r="P182" s="16">
        <f>SUM(Table37[[#This Row],[Total Trees as of 12/31/24]]-Table37[[#This Row],['# Trees as of 12/31/23]])</f>
        <v>-139.20000000000005</v>
      </c>
      <c r="Q182" s="16">
        <f>Table11[[#This Row],['#Total Replacements]]*Table11[[#This Row],[USA Allocation %]]</f>
        <v>120</v>
      </c>
      <c r="R182" s="16">
        <f>IF(Table37[[#This Row],['#Survival based on Inventory]]=0,Table37['#Survival based on Last Year Estimate],Table37['#Survival based on Inventory])</f>
        <v>430.79999999999995</v>
      </c>
      <c r="S182" s="16">
        <f>Table11[[#This Row],['#Planted]]*Table11[[#This Row],[USA Allocation %]]*Table11[[#This Row],[2024 Inventory Survival%-master]]</f>
        <v>430.79999999999995</v>
      </c>
      <c r="T182" s="16">
        <f>Table11[[#This Row],['#Planted]]*Table11[[#This Row],[USA Allocation %]]*Table11[[#This Row],[2024 Estimated Survival%]]</f>
        <v>430.79999999999995</v>
      </c>
      <c r="U182">
        <f>Table11[[#This Row],[ETP Year]]</f>
        <v>2020</v>
      </c>
      <c r="V182">
        <f>Table11[[#This Row],[Planting Year]]</f>
        <v>2020</v>
      </c>
      <c r="W182" s="8">
        <f>Table11[[#This Row],[Survival% as of 12/31/23]]</f>
        <v>0.95</v>
      </c>
      <c r="X182" s="7">
        <f>Table11[[#This Row],[ETP'#s]]</f>
        <v>1</v>
      </c>
    </row>
    <row r="183" spans="1:24" x14ac:dyDescent="0.25">
      <c r="A183">
        <f>Table11[[#This Row],[Farmer'#]]</f>
        <v>20059</v>
      </c>
      <c r="B183" t="str">
        <f>Table11[[#This Row],[Representative]]</f>
        <v>Marvin Chavarria</v>
      </c>
      <c r="C183" t="str">
        <f>Table11[[#This Row],[Contract Name]]</f>
        <v>Oswaldo Alvarez</v>
      </c>
      <c r="D183" t="str">
        <f>Table11[[#This Row],[Status]]</f>
        <v>RFT</v>
      </c>
      <c r="E183" t="str">
        <f>Table11[[#This Row],[Contract Code]]</f>
        <v>CR0064</v>
      </c>
      <c r="F183" s="16">
        <f>Table11[[#This Row],['#TreesContract]]</f>
        <v>1000</v>
      </c>
      <c r="G183" s="16">
        <f>Table11[[#This Row],['#Planted]]</f>
        <v>1000</v>
      </c>
      <c r="H183" s="16">
        <f>Table11[[#This Row],['#TreesContract]]*Table11[[#This Row],[USA Allocation %]]</f>
        <v>1000</v>
      </c>
      <c r="I183" s="16">
        <f>Table11[[#This Row],['#Planted]]*Table11[[#This Row],[USA Allocation %]]</f>
        <v>1000</v>
      </c>
      <c r="J183" s="16">
        <f>Table11[[#This Row],[Contract Amendment]]*Table11[[#This Row],[USA Allocation %]]</f>
        <v>0</v>
      </c>
      <c r="K183" s="16">
        <f>Table11[[#This Row],['#Trees as of 12/31/23]]*Table11[[#This Row],[USA Allocation %]]</f>
        <v>625</v>
      </c>
      <c r="L183" s="16">
        <f>Table11[[#This Row],['#Replace 24]]*Table11[[#This Row],[USA Allocation %]]</f>
        <v>0</v>
      </c>
      <c r="M183" s="16">
        <f>IF(Table11[[#This Row],[Planting Year]]=2024,Table11['#Planted],0)</f>
        <v>0</v>
      </c>
      <c r="N183" s="16">
        <f>(Table11[[#This Row],[2024 '#Trees Inventory + Estimate]]*Table11[[#This Row],[USA Allocation %]])-SUM(Table37[[#This Row],['# Trees as of 12/31/23]:[New Trees/Planted in 2024]])</f>
        <v>-385</v>
      </c>
      <c r="O183" s="16">
        <f>SUM(Table37[[#This Row],['# Trees as of 12/31/23]:[2024 Tree Losses]])</f>
        <v>240</v>
      </c>
      <c r="P183" s="16">
        <f>SUM(Table37[[#This Row],[Total Trees as of 12/31/24]]-Table37[[#This Row],['# Trees as of 12/31/23]])</f>
        <v>-385</v>
      </c>
      <c r="Q183" s="16">
        <f>Table11[[#This Row],['#Total Replacements]]*Table11[[#This Row],[USA Allocation %]]</f>
        <v>0</v>
      </c>
      <c r="R183" s="16">
        <f>IF(Table37[[#This Row],['#Survival based on Inventory]]=0,Table37['#Survival based on Last Year Estimate],Table37['#Survival based on Inventory])</f>
        <v>241</v>
      </c>
      <c r="S183" s="16">
        <f>Table11[[#This Row],['#Planted]]*Table11[[#This Row],[USA Allocation %]]*Table11[[#This Row],[2024 Inventory Survival%-master]]</f>
        <v>241</v>
      </c>
      <c r="T183" s="16">
        <f>Table11[[#This Row],['#Planted]]*Table11[[#This Row],[USA Allocation %]]*Table11[[#This Row],[2024 Estimated Survival%]]</f>
        <v>240</v>
      </c>
      <c r="U183">
        <f>Table11[[#This Row],[ETP Year]]</f>
        <v>2020</v>
      </c>
      <c r="V183">
        <f>Table11[[#This Row],[Planting Year]]</f>
        <v>2020</v>
      </c>
      <c r="W183" s="8">
        <f>Table11[[#This Row],[Survival% as of 12/31/23]]</f>
        <v>0.625</v>
      </c>
      <c r="X183" s="7">
        <f>Table11[[#This Row],[ETP'#s]]</f>
        <v>1</v>
      </c>
    </row>
    <row r="184" spans="1:24" x14ac:dyDescent="0.25">
      <c r="A184">
        <f>Table11[[#This Row],[Farmer'#]]</f>
        <v>20060</v>
      </c>
      <c r="B184" t="str">
        <f>Table11[[#This Row],[Representative]]</f>
        <v>Roy Damian Campos</v>
      </c>
      <c r="C184" t="str">
        <f>Table11[[#This Row],[Contract Name]]</f>
        <v>Roy Damian Campos</v>
      </c>
      <c r="D184" t="str">
        <f>Table11[[#This Row],[Status]]</f>
        <v>Active</v>
      </c>
      <c r="E184" t="str">
        <f>Table11[[#This Row],[Contract Code]]</f>
        <v>CR0065</v>
      </c>
      <c r="F184" s="16">
        <f>Table11[[#This Row],['#TreesContract]]</f>
        <v>1700</v>
      </c>
      <c r="G184" s="16">
        <f>Table11[[#This Row],['#Planted]]</f>
        <v>1700</v>
      </c>
      <c r="H184" s="16">
        <f>Table11[[#This Row],['#TreesContract]]*Table11[[#This Row],[USA Allocation %]]</f>
        <v>1700</v>
      </c>
      <c r="I184" s="16">
        <f>Table11[[#This Row],['#Planted]]*Table11[[#This Row],[USA Allocation %]]</f>
        <v>1700</v>
      </c>
      <c r="J184" s="16">
        <f>Table11[[#This Row],[Contract Amendment]]*Table11[[#This Row],[USA Allocation %]]</f>
        <v>0</v>
      </c>
      <c r="K184" s="16">
        <f>Table11[[#This Row],['#Trees as of 12/31/23]]*Table11[[#This Row],[USA Allocation %]]</f>
        <v>1700</v>
      </c>
      <c r="L184" s="16">
        <f>Table11[[#This Row],['#Replace 24]]*Table11[[#This Row],[USA Allocation %]]</f>
        <v>0</v>
      </c>
      <c r="M184" s="16">
        <f>IF(Table11[[#This Row],[Planting Year]]=2024,Table11['#Planted],0)</f>
        <v>0</v>
      </c>
      <c r="N184" s="16">
        <f>(Table11[[#This Row],[2024 '#Trees Inventory + Estimate]]*Table11[[#This Row],[USA Allocation %]])-SUM(Table37[[#This Row],['# Trees as of 12/31/23]:[New Trees/Planted in 2024]])</f>
        <v>-90.100000000000136</v>
      </c>
      <c r="O184" s="16">
        <f>SUM(Table37[[#This Row],['# Trees as of 12/31/23]:[2024 Tree Losses]])</f>
        <v>1609.8999999999999</v>
      </c>
      <c r="P184" s="16">
        <f>SUM(Table37[[#This Row],[Total Trees as of 12/31/24]]-Table37[[#This Row],['# Trees as of 12/31/23]])</f>
        <v>-90.100000000000136</v>
      </c>
      <c r="Q184" s="16">
        <f>Table11[[#This Row],['#Total Replacements]]*Table11[[#This Row],[USA Allocation %]]</f>
        <v>100</v>
      </c>
      <c r="R184" s="16">
        <f>IF(Table37[[#This Row],['#Survival based on Inventory]]=0,Table37['#Survival based on Last Year Estimate],Table37['#Survival based on Inventory])</f>
        <v>1609.8999999999999</v>
      </c>
      <c r="S184" s="16">
        <f>Table11[[#This Row],['#Planted]]*Table11[[#This Row],[USA Allocation %]]*Table11[[#This Row],[2024 Inventory Survival%-master]]</f>
        <v>1609.8999999999999</v>
      </c>
      <c r="T184" s="16">
        <f>Table11[[#This Row],['#Planted]]*Table11[[#This Row],[USA Allocation %]]*Table11[[#This Row],[2024 Estimated Survival%]]</f>
        <v>1615</v>
      </c>
      <c r="U184">
        <f>Table11[[#This Row],[ETP Year]]</f>
        <v>2020</v>
      </c>
      <c r="V184">
        <f>Table11[[#This Row],[Planting Year]]</f>
        <v>2020</v>
      </c>
      <c r="W184" s="8">
        <f>Table11[[#This Row],[Survival% as of 12/31/23]]</f>
        <v>1</v>
      </c>
      <c r="X184" s="7">
        <f>Table11[[#This Row],[ETP'#s]]</f>
        <v>1</v>
      </c>
    </row>
    <row r="185" spans="1:24" x14ac:dyDescent="0.25">
      <c r="A185">
        <f>Table11[[#This Row],[Farmer'#]]</f>
        <v>20061</v>
      </c>
      <c r="B185" t="str">
        <f>Table11[[#This Row],[Representative]]</f>
        <v>Victor Godinez</v>
      </c>
      <c r="C185" t="str">
        <f>Table11[[#This Row],[Contract Name]]</f>
        <v>AGRICOLA BUENA VISTA EL ALTO S.A</v>
      </c>
      <c r="D185" t="str">
        <f>Table11[[#This Row],[Status]]</f>
        <v>Active</v>
      </c>
      <c r="E185" t="str">
        <f>Table11[[#This Row],[Contract Code]]</f>
        <v>CR0066</v>
      </c>
      <c r="F185" s="16">
        <f>Table11[[#This Row],['#TreesContract]]</f>
        <v>1000</v>
      </c>
      <c r="G185" s="16">
        <f>Table11[[#This Row],['#Planted]]</f>
        <v>1000</v>
      </c>
      <c r="H185" s="16">
        <f>Table11[[#This Row],['#TreesContract]]*Table11[[#This Row],[USA Allocation %]]</f>
        <v>1000</v>
      </c>
      <c r="I185" s="16">
        <f>Table11[[#This Row],['#Planted]]*Table11[[#This Row],[USA Allocation %]]</f>
        <v>1000</v>
      </c>
      <c r="J185" s="16">
        <f>Table11[[#This Row],[Contract Amendment]]*Table11[[#This Row],[USA Allocation %]]</f>
        <v>0</v>
      </c>
      <c r="K185" s="16">
        <f>Table11[[#This Row],['#Trees as of 12/31/23]]*Table11[[#This Row],[USA Allocation %]]</f>
        <v>950</v>
      </c>
      <c r="L185" s="16">
        <f>Table11[[#This Row],['#Replace 24]]*Table11[[#This Row],[USA Allocation %]]</f>
        <v>0</v>
      </c>
      <c r="M185" s="16">
        <f>IF(Table11[[#This Row],[Planting Year]]=2024,Table11['#Planted],0)</f>
        <v>0</v>
      </c>
      <c r="N185" s="16">
        <f>(Table11[[#This Row],[2024 '#Trees Inventory + Estimate]]*Table11[[#This Row],[USA Allocation %]])-SUM(Table37[[#This Row],['# Trees as of 12/31/23]:[New Trees/Planted in 2024]])</f>
        <v>-123</v>
      </c>
      <c r="O185" s="16">
        <f>SUM(Table37[[#This Row],['# Trees as of 12/31/23]:[2024 Tree Losses]])</f>
        <v>827</v>
      </c>
      <c r="P185" s="16">
        <f>SUM(Table37[[#This Row],[Total Trees as of 12/31/24]]-Table37[[#This Row],['# Trees as of 12/31/23]])</f>
        <v>-123</v>
      </c>
      <c r="Q185" s="16">
        <f>Table11[[#This Row],['#Total Replacements]]*Table11[[#This Row],[USA Allocation %]]</f>
        <v>120</v>
      </c>
      <c r="R185" s="16">
        <f>IF(Table37[[#This Row],['#Survival based on Inventory]]=0,Table37['#Survival based on Last Year Estimate],Table37['#Survival based on Inventory])</f>
        <v>827</v>
      </c>
      <c r="S185" s="16">
        <f>Table11[[#This Row],['#Planted]]*Table11[[#This Row],[USA Allocation %]]*Table11[[#This Row],[2024 Inventory Survival%-master]]</f>
        <v>827</v>
      </c>
      <c r="T185" s="16">
        <f>Table11[[#This Row],['#Planted]]*Table11[[#This Row],[USA Allocation %]]*Table11[[#This Row],[2024 Estimated Survival%]]</f>
        <v>830</v>
      </c>
      <c r="U185">
        <f>Table11[[#This Row],[ETP Year]]</f>
        <v>2020</v>
      </c>
      <c r="V185">
        <f>Table11[[#This Row],[Planting Year]]</f>
        <v>2020</v>
      </c>
      <c r="W185" s="8">
        <f>Table11[[#This Row],[Survival% as of 12/31/23]]</f>
        <v>0.95</v>
      </c>
      <c r="X185" s="7">
        <f>Table11[[#This Row],[ETP'#s]]</f>
        <v>1</v>
      </c>
    </row>
    <row r="186" spans="1:24" x14ac:dyDescent="0.25">
      <c r="A186">
        <f>Table11[[#This Row],[Farmer'#]]</f>
        <v>20062</v>
      </c>
      <c r="B186" t="str">
        <f>Table11[[#This Row],[Representative]]</f>
        <v>Victor Sibaja Elizondo</v>
      </c>
      <c r="C186" t="str">
        <f>Table11[[#This Row],[Contract Name]]</f>
        <v>Victor Sibaja Elizondo</v>
      </c>
      <c r="D186" t="str">
        <f>Table11[[#This Row],[Status]]</f>
        <v>RFT</v>
      </c>
      <c r="E186" t="str">
        <f>Table11[[#This Row],[Contract Code]]</f>
        <v>CR0067</v>
      </c>
      <c r="F186" s="16">
        <f>Table11[[#This Row],['#TreesContract]]</f>
        <v>1200</v>
      </c>
      <c r="G186" s="16">
        <f>Table11[[#This Row],['#Planted]]</f>
        <v>1200</v>
      </c>
      <c r="H186" s="16">
        <f>Table11[[#This Row],['#TreesContract]]*Table11[[#This Row],[USA Allocation %]]</f>
        <v>1200</v>
      </c>
      <c r="I186" s="16">
        <f>Table11[[#This Row],['#Planted]]*Table11[[#This Row],[USA Allocation %]]</f>
        <v>1200</v>
      </c>
      <c r="J186" s="16">
        <f>Table11[[#This Row],[Contract Amendment]]*Table11[[#This Row],[USA Allocation %]]</f>
        <v>0</v>
      </c>
      <c r="K186" s="16">
        <f>Table11[[#This Row],['#Trees as of 12/31/23]]*Table11[[#This Row],[USA Allocation %]]</f>
        <v>1140</v>
      </c>
      <c r="L186" s="16">
        <f>Table11[[#This Row],['#Replace 24]]*Table11[[#This Row],[USA Allocation %]]</f>
        <v>0</v>
      </c>
      <c r="M186" s="16">
        <f>IF(Table11[[#This Row],[Planting Year]]=2024,Table11['#Planted],0)</f>
        <v>0</v>
      </c>
      <c r="N186" s="16">
        <f>(Table11[[#This Row],[2024 '#Trees Inventory + Estimate]]*Table11[[#This Row],[USA Allocation %]])-SUM(Table37[[#This Row],['# Trees as of 12/31/23]:[New Trees/Planted in 2024]])</f>
        <v>0</v>
      </c>
      <c r="O186" s="16">
        <f>SUM(Table37[[#This Row],['# Trees as of 12/31/23]:[2024 Tree Losses]])</f>
        <v>1140</v>
      </c>
      <c r="P186" s="16">
        <f>SUM(Table37[[#This Row],[Total Trees as of 12/31/24]]-Table37[[#This Row],['# Trees as of 12/31/23]])</f>
        <v>0</v>
      </c>
      <c r="Q186" s="16">
        <f>Table11[[#This Row],['#Total Replacements]]*Table11[[#This Row],[USA Allocation %]]</f>
        <v>0</v>
      </c>
      <c r="R186" s="16">
        <f>IF(Table37[[#This Row],['#Survival based on Inventory]]=0,Table37['#Survival based on Last Year Estimate],Table37['#Survival based on Inventory])</f>
        <v>1140</v>
      </c>
      <c r="S186" s="16">
        <f>Table11[[#This Row],['#Planted]]*Table11[[#This Row],[USA Allocation %]]*Table11[[#This Row],[2024 Inventory Survival%-master]]</f>
        <v>0</v>
      </c>
      <c r="T186" s="16">
        <f>Table11[[#This Row],['#Planted]]*Table11[[#This Row],[USA Allocation %]]*Table11[[#This Row],[2024 Estimated Survival%]]</f>
        <v>1140</v>
      </c>
      <c r="U186">
        <f>Table11[[#This Row],[ETP Year]]</f>
        <v>2020</v>
      </c>
      <c r="V186">
        <f>Table11[[#This Row],[Planting Year]]</f>
        <v>2020</v>
      </c>
      <c r="W186" s="8">
        <f>Table11[[#This Row],[Survival% as of 12/31/23]]</f>
        <v>0.95</v>
      </c>
      <c r="X186" s="7">
        <f>Table11[[#This Row],[ETP'#s]]</f>
        <v>1</v>
      </c>
    </row>
    <row r="187" spans="1:24" x14ac:dyDescent="0.25">
      <c r="A187">
        <f>Table11[[#This Row],[Farmer'#]]</f>
        <v>20063</v>
      </c>
      <c r="B187" t="str">
        <f>Table11[[#This Row],[Representative]]</f>
        <v>Wilberth Jesus Alfaro</v>
      </c>
      <c r="C187" t="str">
        <f>Table11[[#This Row],[Contract Name]]</f>
        <v>Wilberth Jesus Alfaro</v>
      </c>
      <c r="D187" t="str">
        <f>Table11[[#This Row],[Status]]</f>
        <v>Active</v>
      </c>
      <c r="E187" t="str">
        <f>Table11[[#This Row],[Contract Code]]</f>
        <v>CR0068</v>
      </c>
      <c r="F187" s="16">
        <f>Table11[[#This Row],['#TreesContract]]</f>
        <v>2000</v>
      </c>
      <c r="G187" s="16">
        <f>Table11[[#This Row],['#Planted]]</f>
        <v>2000</v>
      </c>
      <c r="H187" s="16">
        <f>Table11[[#This Row],['#TreesContract]]*Table11[[#This Row],[USA Allocation %]]</f>
        <v>2000</v>
      </c>
      <c r="I187" s="16">
        <f>Table11[[#This Row],['#Planted]]*Table11[[#This Row],[USA Allocation %]]</f>
        <v>2000</v>
      </c>
      <c r="J187" s="16">
        <f>Table11[[#This Row],[Contract Amendment]]*Table11[[#This Row],[USA Allocation %]]</f>
        <v>0</v>
      </c>
      <c r="K187" s="16">
        <f>Table11[[#This Row],['#Trees as of 12/31/23]]*Table11[[#This Row],[USA Allocation %]]</f>
        <v>1820</v>
      </c>
      <c r="L187" s="16">
        <f>Table11[[#This Row],['#Replace 24]]*Table11[[#This Row],[USA Allocation %]]</f>
        <v>0</v>
      </c>
      <c r="M187" s="16">
        <f>IF(Table11[[#This Row],[Planting Year]]=2024,Table11['#Planted],0)</f>
        <v>0</v>
      </c>
      <c r="N187" s="16">
        <f>(Table11[[#This Row],[2024 '#Trees Inventory + Estimate]]*Table11[[#This Row],[USA Allocation %]])-SUM(Table37[[#This Row],['# Trees as of 12/31/23]:[New Trees/Planted in 2024]])</f>
        <v>-306</v>
      </c>
      <c r="O187" s="16">
        <f>SUM(Table37[[#This Row],['# Trees as of 12/31/23]:[2024 Tree Losses]])</f>
        <v>1514</v>
      </c>
      <c r="P187" s="16">
        <f>SUM(Table37[[#This Row],[Total Trees as of 12/31/24]]-Table37[[#This Row],['# Trees as of 12/31/23]])</f>
        <v>-306</v>
      </c>
      <c r="Q187" s="16">
        <f>Table11[[#This Row],['#Total Replacements]]*Table11[[#This Row],[USA Allocation %]]</f>
        <v>40</v>
      </c>
      <c r="R187" s="16">
        <f>IF(Table37[[#This Row],['#Survival based on Inventory]]=0,Table37['#Survival based on Last Year Estimate],Table37['#Survival based on Inventory])</f>
        <v>1514</v>
      </c>
      <c r="S187" s="16">
        <f>Table11[[#This Row],['#Planted]]*Table11[[#This Row],[USA Allocation %]]*Table11[[#This Row],[2024 Inventory Survival%-master]]</f>
        <v>1514</v>
      </c>
      <c r="T187" s="16">
        <f>Table11[[#This Row],['#Planted]]*Table11[[#This Row],[USA Allocation %]]*Table11[[#This Row],[2024 Estimated Survival%]]</f>
        <v>1520</v>
      </c>
      <c r="U187">
        <f>Table11[[#This Row],[ETP Year]]</f>
        <v>2020</v>
      </c>
      <c r="V187">
        <f>Table11[[#This Row],[Planting Year]]</f>
        <v>2020</v>
      </c>
      <c r="W187" s="8">
        <f>Table11[[#This Row],[Survival% as of 12/31/23]]</f>
        <v>0.91</v>
      </c>
      <c r="X187" s="7">
        <f>Table11[[#This Row],[ETP'#s]]</f>
        <v>1</v>
      </c>
    </row>
    <row r="188" spans="1:24" x14ac:dyDescent="0.25">
      <c r="A188">
        <f>Table11[[#This Row],[Farmer'#]]</f>
        <v>20064</v>
      </c>
      <c r="B188" t="str">
        <f>Table11[[#This Row],[Representative]]</f>
        <v>Wilman Alvarado</v>
      </c>
      <c r="C188" t="str">
        <f>Table11[[#This Row],[Contract Name]]</f>
        <v>Wilman Alvarado</v>
      </c>
      <c r="D188" t="str">
        <f>Table11[[#This Row],[Status]]</f>
        <v>Active</v>
      </c>
      <c r="E188" t="str">
        <f>Table11[[#This Row],[Contract Code]]</f>
        <v>CR0069</v>
      </c>
      <c r="F188" s="16">
        <f>Table11[[#This Row],['#TreesContract]]</f>
        <v>1000</v>
      </c>
      <c r="G188" s="16">
        <f>Table11[[#This Row],['#Planted]]</f>
        <v>1000</v>
      </c>
      <c r="H188" s="16">
        <f>Table11[[#This Row],['#TreesContract]]*Table11[[#This Row],[USA Allocation %]]</f>
        <v>1000</v>
      </c>
      <c r="I188" s="16">
        <f>Table11[[#This Row],['#Planted]]*Table11[[#This Row],[USA Allocation %]]</f>
        <v>1000</v>
      </c>
      <c r="J188" s="16">
        <f>Table11[[#This Row],[Contract Amendment]]*Table11[[#This Row],[USA Allocation %]]</f>
        <v>0</v>
      </c>
      <c r="K188" s="16">
        <f>Table11[[#This Row],['#Trees as of 12/31/23]]*Table11[[#This Row],[USA Allocation %]]</f>
        <v>1000</v>
      </c>
      <c r="L188" s="16">
        <f>Table11[[#This Row],['#Replace 24]]*Table11[[#This Row],[USA Allocation %]]</f>
        <v>0</v>
      </c>
      <c r="M188" s="16">
        <f>IF(Table11[[#This Row],[Planting Year]]=2024,Table11['#Planted],0)</f>
        <v>0</v>
      </c>
      <c r="N188" s="16">
        <f>(Table11[[#This Row],[2024 '#Trees Inventory + Estimate]]*Table11[[#This Row],[USA Allocation %]])-SUM(Table37[[#This Row],['# Trees as of 12/31/23]:[New Trees/Planted in 2024]])</f>
        <v>-420</v>
      </c>
      <c r="O188" s="16">
        <f>SUM(Table37[[#This Row],['# Trees as of 12/31/23]:[2024 Tree Losses]])</f>
        <v>580</v>
      </c>
      <c r="P188" s="16">
        <f>SUM(Table37[[#This Row],[Total Trees as of 12/31/24]]-Table37[[#This Row],['# Trees as of 12/31/23]])</f>
        <v>-420</v>
      </c>
      <c r="Q188" s="16">
        <f>Table11[[#This Row],['#Total Replacements]]*Table11[[#This Row],[USA Allocation %]]</f>
        <v>292</v>
      </c>
      <c r="R188" s="16">
        <f>IF(Table37[[#This Row],['#Survival based on Inventory]]=0,Table37['#Survival based on Last Year Estimate],Table37['#Survival based on Inventory])</f>
        <v>580</v>
      </c>
      <c r="S188" s="16">
        <f>Table11[[#This Row],['#Planted]]*Table11[[#This Row],[USA Allocation %]]*Table11[[#This Row],[2024 Inventory Survival%-master]]</f>
        <v>580</v>
      </c>
      <c r="T188" s="16">
        <f>Table11[[#This Row],['#Planted]]*Table11[[#This Row],[USA Allocation %]]*Table11[[#This Row],[2024 Estimated Survival%]]</f>
        <v>580</v>
      </c>
      <c r="U188">
        <f>Table11[[#This Row],[ETP Year]]</f>
        <v>2020</v>
      </c>
      <c r="V188">
        <f>Table11[[#This Row],[Planting Year]]</f>
        <v>2020</v>
      </c>
      <c r="W188" s="8">
        <f>Table11[[#This Row],[Survival% as of 12/31/23]]</f>
        <v>1</v>
      </c>
      <c r="X188" s="7">
        <f>Table11[[#This Row],[ETP'#s]]</f>
        <v>1</v>
      </c>
    </row>
    <row r="189" spans="1:24" x14ac:dyDescent="0.25">
      <c r="A189">
        <f>Table11[[#This Row],[Farmer'#]]</f>
        <v>30005</v>
      </c>
      <c r="B189" t="str">
        <f>Table11[[#This Row],[Representative]]</f>
        <v>Jose Antonio Mombiela Mastahinich</v>
      </c>
      <c r="C189" t="str">
        <f>Table11[[#This Row],[Contract Name]]</f>
        <v>Jose Antonio Mombiela Mastahinich</v>
      </c>
      <c r="D189" t="str">
        <f>Table11[[#This Row],[Status]]</f>
        <v>Out of Program</v>
      </c>
      <c r="E189" t="str">
        <f>Table11[[#This Row],[Contract Code]]</f>
        <v>GT0022</v>
      </c>
      <c r="F189" s="16">
        <f>Table11[[#This Row],['#TreesContract]]</f>
        <v>488</v>
      </c>
      <c r="G189" s="16">
        <f>Table11[[#This Row],['#Planted]]</f>
        <v>488</v>
      </c>
      <c r="H189" s="16">
        <f>Table11[[#This Row],['#TreesContract]]*Table11[[#This Row],[USA Allocation %]]</f>
        <v>488</v>
      </c>
      <c r="I189" s="16">
        <f>Table11[[#This Row],['#Planted]]*Table11[[#This Row],[USA Allocation %]]</f>
        <v>488</v>
      </c>
      <c r="J189" s="16">
        <f>Table11[[#This Row],[Contract Amendment]]*Table11[[#This Row],[USA Allocation %]]</f>
        <v>0</v>
      </c>
      <c r="K189" s="16">
        <f>Table11[[#This Row],['#Trees as of 12/31/23]]*Table11[[#This Row],[USA Allocation %]]</f>
        <v>0</v>
      </c>
      <c r="L189" s="16">
        <f>Table11[[#This Row],['#Replace 24]]*Table11[[#This Row],[USA Allocation %]]</f>
        <v>0</v>
      </c>
      <c r="M189" s="16">
        <f>IF(Table11[[#This Row],[Planting Year]]=2024,Table11['#Planted],0)</f>
        <v>0</v>
      </c>
      <c r="N189" s="16">
        <f>(Table11[[#This Row],[2024 '#Trees Inventory + Estimate]]*Table11[[#This Row],[USA Allocation %]])-SUM(Table37[[#This Row],['# Trees as of 12/31/23]:[New Trees/Planted in 2024]])</f>
        <v>0</v>
      </c>
      <c r="O189" s="16">
        <f>SUM(Table37[[#This Row],['# Trees as of 12/31/23]:[2024 Tree Losses]])</f>
        <v>0</v>
      </c>
      <c r="P189" s="16">
        <f>SUM(Table37[[#This Row],[Total Trees as of 12/31/24]]-Table37[[#This Row],['# Trees as of 12/31/23]])</f>
        <v>0</v>
      </c>
      <c r="Q189" s="16">
        <f>Table11[[#This Row],['#Total Replacements]]*Table11[[#This Row],[USA Allocation %]]</f>
        <v>0</v>
      </c>
      <c r="R189" s="16">
        <f>IF(Table37[[#This Row],['#Survival based on Inventory]]=0,Table37['#Survival based on Last Year Estimate],Table37['#Survival based on Inventory])</f>
        <v>0</v>
      </c>
      <c r="S189" s="16">
        <f>Table11[[#This Row],['#Planted]]*Table11[[#This Row],[USA Allocation %]]*Table11[[#This Row],[2024 Inventory Survival%-master]]</f>
        <v>0</v>
      </c>
      <c r="T189" s="16">
        <f>Table11[[#This Row],['#Planted]]*Table11[[#This Row],[USA Allocation %]]*Table11[[#This Row],[2024 Estimated Survival%]]</f>
        <v>0</v>
      </c>
      <c r="U189">
        <f>Table11[[#This Row],[ETP Year]]</f>
        <v>2020</v>
      </c>
      <c r="V189">
        <f>Table11[[#This Row],[Planting Year]]</f>
        <v>2020</v>
      </c>
      <c r="W189" s="8">
        <f>Table11[[#This Row],[Survival% as of 12/31/23]]</f>
        <v>0</v>
      </c>
      <c r="X189" s="7">
        <f>Table11[[#This Row],[ETP'#s]]</f>
        <v>1</v>
      </c>
    </row>
    <row r="190" spans="1:24" x14ac:dyDescent="0.25">
      <c r="A190">
        <f>Table11[[#This Row],[Farmer'#]]</f>
        <v>30012</v>
      </c>
      <c r="B190" t="str">
        <f>Table11[[#This Row],[Representative]]</f>
        <v>Alvaro Antonio Guzman Rodas</v>
      </c>
      <c r="C190" t="str">
        <f>Table11[[#This Row],[Contract Name]]</f>
        <v>Alvaro Antonio Guzman Rodas</v>
      </c>
      <c r="D190" t="str">
        <f>Table11[[#This Row],[Status]]</f>
        <v>RFT</v>
      </c>
      <c r="E190" t="str">
        <f>Table11[[#This Row],[Contract Code]]</f>
        <v>GT0012</v>
      </c>
      <c r="F190" s="16">
        <f>Table11[[#This Row],['#TreesContract]]</f>
        <v>2000</v>
      </c>
      <c r="G190" s="16">
        <f>Table11[[#This Row],['#Planted]]</f>
        <v>2000</v>
      </c>
      <c r="H190" s="16">
        <f>Table11[[#This Row],['#TreesContract]]*Table11[[#This Row],[USA Allocation %]]</f>
        <v>2000</v>
      </c>
      <c r="I190" s="16">
        <f>Table11[[#This Row],['#Planted]]*Table11[[#This Row],[USA Allocation %]]</f>
        <v>2000</v>
      </c>
      <c r="J190" s="16">
        <f>Table11[[#This Row],[Contract Amendment]]*Table11[[#This Row],[USA Allocation %]]</f>
        <v>0</v>
      </c>
      <c r="K190" s="16">
        <f>Table11[[#This Row],['#Trees as of 12/31/23]]*Table11[[#This Row],[USA Allocation %]]</f>
        <v>1472.0136000000002</v>
      </c>
      <c r="L190" s="16">
        <f>Table11[[#This Row],['#Replace 24]]*Table11[[#This Row],[USA Allocation %]]</f>
        <v>0</v>
      </c>
      <c r="M190" s="16">
        <f>IF(Table11[[#This Row],[Planting Year]]=2024,Table11['#Planted],0)</f>
        <v>0</v>
      </c>
      <c r="N190" s="16">
        <f>(Table11[[#This Row],[2024 '#Trees Inventory + Estimate]]*Table11[[#This Row],[USA Allocation %]])-SUM(Table37[[#This Row],['# Trees as of 12/31/23]:[New Trees/Planted in 2024]])</f>
        <v>0</v>
      </c>
      <c r="O190" s="16">
        <f>SUM(Table37[[#This Row],['# Trees as of 12/31/23]:[2024 Tree Losses]])</f>
        <v>1472.0136000000002</v>
      </c>
      <c r="P190" s="16">
        <f>SUM(Table37[[#This Row],[Total Trees as of 12/31/24]]-Table37[[#This Row],['# Trees as of 12/31/23]])</f>
        <v>0</v>
      </c>
      <c r="Q190" s="16">
        <f>Table11[[#This Row],['#Total Replacements]]*Table11[[#This Row],[USA Allocation %]]</f>
        <v>603</v>
      </c>
      <c r="R190" s="16">
        <f>IF(Table37[[#This Row],['#Survival based on Inventory]]=0,Table37['#Survival based on Last Year Estimate],Table37['#Survival based on Inventory])</f>
        <v>1472.0136000000002</v>
      </c>
      <c r="S190" s="16">
        <f>Table11[[#This Row],['#Planted]]*Table11[[#This Row],[USA Allocation %]]*Table11[[#This Row],[2024 Inventory Survival%-master]]</f>
        <v>0</v>
      </c>
      <c r="T190" s="16">
        <f>Table11[[#This Row],['#Planted]]*Table11[[#This Row],[USA Allocation %]]*Table11[[#This Row],[2024 Estimated Survival%]]</f>
        <v>1472.0136000000002</v>
      </c>
      <c r="U190">
        <f>Table11[[#This Row],[ETP Year]]</f>
        <v>2020</v>
      </c>
      <c r="V190">
        <f>Table11[[#This Row],[Planting Year]]</f>
        <v>2020</v>
      </c>
      <c r="W190" s="8">
        <f>Table11[[#This Row],[Survival% as of 12/31/23]]</f>
        <v>0.73600680000000007</v>
      </c>
      <c r="X190" s="7">
        <f>Table11[[#This Row],[ETP'#s]]</f>
        <v>1</v>
      </c>
    </row>
    <row r="191" spans="1:24" x14ac:dyDescent="0.25">
      <c r="A191">
        <f>Table11[[#This Row],[Farmer'#]]</f>
        <v>30013</v>
      </c>
      <c r="B191" t="str">
        <f>Table11[[#This Row],[Representative]]</f>
        <v>Axel Duarte Duarte</v>
      </c>
      <c r="C191" t="str">
        <f>Table11[[#This Row],[Contract Name]]</f>
        <v>Axel Gamaliel Duarte Duarte</v>
      </c>
      <c r="D191" t="str">
        <f>Table11[[#This Row],[Status]]</f>
        <v>Out of Program</v>
      </c>
      <c r="E191" t="str">
        <f>Table11[[#This Row],[Contract Code]]</f>
        <v>GT0013</v>
      </c>
      <c r="F191" s="16">
        <f>Table11[[#This Row],['#TreesContract]]</f>
        <v>2000</v>
      </c>
      <c r="G191" s="16">
        <f>Table11[[#This Row],['#Planted]]</f>
        <v>2000</v>
      </c>
      <c r="H191" s="16">
        <f>Table11[[#This Row],['#TreesContract]]*Table11[[#This Row],[USA Allocation %]]</f>
        <v>2000</v>
      </c>
      <c r="I191" s="16">
        <f>Table11[[#This Row],['#Planted]]*Table11[[#This Row],[USA Allocation %]]</f>
        <v>2000</v>
      </c>
      <c r="J191" s="16">
        <f>Table11[[#This Row],[Contract Amendment]]*Table11[[#This Row],[USA Allocation %]]</f>
        <v>0</v>
      </c>
      <c r="K191" s="16">
        <f>Table11[[#This Row],['#Trees as of 12/31/23]]*Table11[[#This Row],[USA Allocation %]]</f>
        <v>1089.2095499999998</v>
      </c>
      <c r="L191" s="16">
        <f>Table11[[#This Row],['#Replace 24]]*Table11[[#This Row],[USA Allocation %]]</f>
        <v>0</v>
      </c>
      <c r="M191" s="16">
        <f>IF(Table11[[#This Row],[Planting Year]]=2024,Table11['#Planted],0)</f>
        <v>0</v>
      </c>
      <c r="N191" s="16">
        <f>(Table11[[#This Row],[2024 '#Trees Inventory + Estimate]]*Table11[[#This Row],[USA Allocation %]])-SUM(Table37[[#This Row],['# Trees as of 12/31/23]:[New Trees/Planted in 2024]])</f>
        <v>-1089.2095499999998</v>
      </c>
      <c r="O191" s="16">
        <f>SUM(Table37[[#This Row],['# Trees as of 12/31/23]:[2024 Tree Losses]])</f>
        <v>0</v>
      </c>
      <c r="P191" s="16">
        <f>SUM(Table37[[#This Row],[Total Trees as of 12/31/24]]-Table37[[#This Row],['# Trees as of 12/31/23]])</f>
        <v>-1089.2095499999998</v>
      </c>
      <c r="Q191" s="16">
        <f>Table11[[#This Row],['#Total Replacements]]*Table11[[#This Row],[USA Allocation %]]</f>
        <v>105</v>
      </c>
      <c r="R191" s="16">
        <f>IF(Table37[[#This Row],['#Survival based on Inventory]]=0,Table37['#Survival based on Last Year Estimate],Table37['#Survival based on Inventory])</f>
        <v>0</v>
      </c>
      <c r="S191" s="16">
        <f>Table11[[#This Row],['#Planted]]*Table11[[#This Row],[USA Allocation %]]*Table11[[#This Row],[2024 Inventory Survival%-master]]</f>
        <v>0</v>
      </c>
      <c r="T191" s="16">
        <f>Table11[[#This Row],['#Planted]]*Table11[[#This Row],[USA Allocation %]]*Table11[[#This Row],[2024 Estimated Survival%]]</f>
        <v>0</v>
      </c>
      <c r="U191">
        <f>Table11[[#This Row],[ETP Year]]</f>
        <v>2020</v>
      </c>
      <c r="V191">
        <f>Table11[[#This Row],[Planting Year]]</f>
        <v>2020</v>
      </c>
      <c r="W191" s="8">
        <f>Table11[[#This Row],[Survival% as of 12/31/23]]</f>
        <v>0.54460477499999993</v>
      </c>
      <c r="X191" s="7">
        <f>Table11[[#This Row],[ETP'#s]]</f>
        <v>1</v>
      </c>
    </row>
    <row r="192" spans="1:24" x14ac:dyDescent="0.25">
      <c r="A192">
        <f>Table11[[#This Row],[Farmer'#]]</f>
        <v>30014</v>
      </c>
      <c r="B192" t="str">
        <f>Table11[[#This Row],[Representative]]</f>
        <v>Boris Garza</v>
      </c>
      <c r="C192" t="str">
        <f>Table11[[#This Row],[Contract Name]]</f>
        <v>Borigar S.A. Carmen Lucía Garza López</v>
      </c>
      <c r="D192" t="str">
        <f>Table11[[#This Row],[Status]]</f>
        <v>Active</v>
      </c>
      <c r="E192" t="str">
        <f>Table11[[#This Row],[Contract Code]]</f>
        <v>GT0014</v>
      </c>
      <c r="F192" s="16">
        <f>Table11[[#This Row],['#TreesContract]]</f>
        <v>8000</v>
      </c>
      <c r="G192" s="16">
        <f>Table11[[#This Row],['#Planted]]</f>
        <v>8000</v>
      </c>
      <c r="H192" s="16">
        <f>Table11[[#This Row],['#TreesContract]]*Table11[[#This Row],[USA Allocation %]]</f>
        <v>8000</v>
      </c>
      <c r="I192" s="16">
        <f>Table11[[#This Row],['#Planted]]*Table11[[#This Row],[USA Allocation %]]</f>
        <v>8000</v>
      </c>
      <c r="J192" s="16">
        <f>Table11[[#This Row],[Contract Amendment]]*Table11[[#This Row],[USA Allocation %]]</f>
        <v>0</v>
      </c>
      <c r="K192" s="16">
        <f>Table11[[#This Row],['#Trees as of 12/31/23]]*Table11[[#This Row],[USA Allocation %]]</f>
        <v>7600</v>
      </c>
      <c r="L192" s="16">
        <f>Table11[[#This Row],['#Replace 24]]*Table11[[#This Row],[USA Allocation %]]</f>
        <v>0</v>
      </c>
      <c r="M192" s="16">
        <f>IF(Table11[[#This Row],[Planting Year]]=2024,Table11['#Planted],0)</f>
        <v>0</v>
      </c>
      <c r="N192" s="16">
        <f>(Table11[[#This Row],[2024 '#Trees Inventory + Estimate]]*Table11[[#This Row],[USA Allocation %]])-SUM(Table37[[#This Row],['# Trees as of 12/31/23]:[New Trees/Planted in 2024]])</f>
        <v>-160</v>
      </c>
      <c r="O192" s="16">
        <f>SUM(Table37[[#This Row],['# Trees as of 12/31/23]:[2024 Tree Losses]])</f>
        <v>7440</v>
      </c>
      <c r="P192" s="16">
        <f>SUM(Table37[[#This Row],[Total Trees as of 12/31/24]]-Table37[[#This Row],['# Trees as of 12/31/23]])</f>
        <v>-160</v>
      </c>
      <c r="Q192" s="16">
        <f>Table11[[#This Row],['#Total Replacements]]*Table11[[#This Row],[USA Allocation %]]</f>
        <v>2800</v>
      </c>
      <c r="R192" s="16">
        <f>IF(Table37[[#This Row],['#Survival based on Inventory]]=0,Table37['#Survival based on Last Year Estimate],Table37['#Survival based on Inventory])</f>
        <v>7416</v>
      </c>
      <c r="S192" s="16">
        <f>Table11[[#This Row],['#Planted]]*Table11[[#This Row],[USA Allocation %]]*Table11[[#This Row],[2024 Inventory Survival%-master]]</f>
        <v>7416</v>
      </c>
      <c r="T192" s="16">
        <f>Table11[[#This Row],['#Planted]]*Table11[[#This Row],[USA Allocation %]]*Table11[[#This Row],[2024 Estimated Survival%]]</f>
        <v>7440</v>
      </c>
      <c r="U192">
        <f>Table11[[#This Row],[ETP Year]]</f>
        <v>2020</v>
      </c>
      <c r="V192">
        <f>Table11[[#This Row],[Planting Year]]</f>
        <v>2020</v>
      </c>
      <c r="W192" s="8">
        <f>Table11[[#This Row],[Survival% as of 12/31/23]]</f>
        <v>0.95</v>
      </c>
      <c r="X192" s="7">
        <f>Table11[[#This Row],[ETP'#s]]</f>
        <v>1</v>
      </c>
    </row>
    <row r="193" spans="1:24" x14ac:dyDescent="0.25">
      <c r="A193">
        <f>Table11[[#This Row],[Farmer'#]]</f>
        <v>30015</v>
      </c>
      <c r="B193" t="str">
        <f>Table11[[#This Row],[Representative]]</f>
        <v>Carlos López</v>
      </c>
      <c r="C193" t="str">
        <f>Table11[[#This Row],[Contract Name]]</f>
        <v>Carlos Adolfo López Letona</v>
      </c>
      <c r="D193" t="str">
        <f>Table11[[#This Row],[Status]]</f>
        <v>Out of Program</v>
      </c>
      <c r="E193" t="str">
        <f>Table11[[#This Row],[Contract Code]]</f>
        <v>GT0015</v>
      </c>
      <c r="F193" s="16">
        <f>Table11[[#This Row],['#TreesContract]]</f>
        <v>0</v>
      </c>
      <c r="G193" s="16">
        <f>Table11[[#This Row],['#Planted]]</f>
        <v>0</v>
      </c>
      <c r="H193" s="16">
        <f>Table11[[#This Row],['#TreesContract]]*Table11[[#This Row],[USA Allocation %]]</f>
        <v>0</v>
      </c>
      <c r="I193" s="16">
        <f>Table11[[#This Row],['#Planted]]*Table11[[#This Row],[USA Allocation %]]</f>
        <v>0</v>
      </c>
      <c r="J193" s="16">
        <f>Table11[[#This Row],[Contract Amendment]]*Table11[[#This Row],[USA Allocation %]]</f>
        <v>0</v>
      </c>
      <c r="K193" s="16">
        <f>Table11[[#This Row],['#Trees as of 12/31/23]]*Table11[[#This Row],[USA Allocation %]]</f>
        <v>0</v>
      </c>
      <c r="L193" s="16">
        <f>Table11[[#This Row],['#Replace 24]]*Table11[[#This Row],[USA Allocation %]]</f>
        <v>0</v>
      </c>
      <c r="M193" s="16">
        <f>IF(Table11[[#This Row],[Planting Year]]=2024,Table11['#Planted],0)</f>
        <v>0</v>
      </c>
      <c r="N193" s="16">
        <f>(Table11[[#This Row],[2024 '#Trees Inventory + Estimate]]*Table11[[#This Row],[USA Allocation %]])-SUM(Table37[[#This Row],['# Trees as of 12/31/23]:[New Trees/Planted in 2024]])</f>
        <v>0</v>
      </c>
      <c r="O193" s="16">
        <f>SUM(Table37[[#This Row],['# Trees as of 12/31/23]:[2024 Tree Losses]])</f>
        <v>0</v>
      </c>
      <c r="P193" s="16">
        <f>SUM(Table37[[#This Row],[Total Trees as of 12/31/24]]-Table37[[#This Row],['# Trees as of 12/31/23]])</f>
        <v>0</v>
      </c>
      <c r="Q193" s="16">
        <f>Table11[[#This Row],['#Total Replacements]]*Table11[[#This Row],[USA Allocation %]]</f>
        <v>0</v>
      </c>
      <c r="R193" s="16">
        <f>IF(Table37[[#This Row],['#Survival based on Inventory]]=0,Table37['#Survival based on Last Year Estimate],Table37['#Survival based on Inventory])</f>
        <v>0</v>
      </c>
      <c r="S193" s="16">
        <f>Table11[[#This Row],['#Planted]]*Table11[[#This Row],[USA Allocation %]]*Table11[[#This Row],[2024 Inventory Survival%-master]]</f>
        <v>0</v>
      </c>
      <c r="T193" s="16">
        <f>Table11[[#This Row],['#Planted]]*Table11[[#This Row],[USA Allocation %]]*Table11[[#This Row],[2024 Estimated Survival%]]</f>
        <v>0</v>
      </c>
      <c r="U193">
        <f>Table11[[#This Row],[ETP Year]]</f>
        <v>2020</v>
      </c>
      <c r="V193">
        <f>Table11[[#This Row],[Planting Year]]</f>
        <v>2020</v>
      </c>
      <c r="W193" s="8">
        <f>Table11[[#This Row],[Survival% as of 12/31/23]]</f>
        <v>0</v>
      </c>
      <c r="X193" s="7">
        <f>Table11[[#This Row],[ETP'#s]]</f>
        <v>0</v>
      </c>
    </row>
    <row r="194" spans="1:24" x14ac:dyDescent="0.25">
      <c r="A194">
        <f>Table11[[#This Row],[Farmer'#]]</f>
        <v>30016</v>
      </c>
      <c r="B194" t="str">
        <f>Table11[[#This Row],[Representative]]</f>
        <v>Ricardo Chacón</v>
      </c>
      <c r="C194" t="str">
        <f>Table11[[#This Row],[Contract Name]]</f>
        <v xml:space="preserve">Cartago S.A./ Elsa De Chacón </v>
      </c>
      <c r="D194" t="str">
        <f>Table11[[#This Row],[Status]]</f>
        <v>RFT</v>
      </c>
      <c r="E194" t="str">
        <f>Table11[[#This Row],[Contract Code]]</f>
        <v>GT0016</v>
      </c>
      <c r="F194" s="16">
        <f>Table11[[#This Row],['#TreesContract]]</f>
        <v>1469</v>
      </c>
      <c r="G194" s="16">
        <f>Table11[[#This Row],['#Planted]]</f>
        <v>1469</v>
      </c>
      <c r="H194" s="16">
        <f>Table11[[#This Row],['#TreesContract]]*Table11[[#This Row],[USA Allocation %]]</f>
        <v>1469</v>
      </c>
      <c r="I194" s="16">
        <f>Table11[[#This Row],['#Planted]]*Table11[[#This Row],[USA Allocation %]]</f>
        <v>1469</v>
      </c>
      <c r="J194" s="16">
        <f>Table11[[#This Row],[Contract Amendment]]*Table11[[#This Row],[USA Allocation %]]</f>
        <v>0</v>
      </c>
      <c r="K194" s="16">
        <f>Table11[[#This Row],['#Trees as of 12/31/23]]*Table11[[#This Row],[USA Allocation %]]</f>
        <v>493.79860173913039</v>
      </c>
      <c r="L194" s="16">
        <f>Table11[[#This Row],['#Replace 24]]*Table11[[#This Row],[USA Allocation %]]</f>
        <v>0</v>
      </c>
      <c r="M194" s="16">
        <f>IF(Table11[[#This Row],[Planting Year]]=2024,Table11['#Planted],0)</f>
        <v>0</v>
      </c>
      <c r="N194" s="16">
        <f>(Table11[[#This Row],[2024 '#Trees Inventory + Estimate]]*Table11[[#This Row],[USA Allocation %]])-SUM(Table37[[#This Row],['# Trees as of 12/31/23]:[New Trees/Planted in 2024]])</f>
        <v>0</v>
      </c>
      <c r="O194" s="16">
        <f>SUM(Table37[[#This Row],['# Trees as of 12/31/23]:[2024 Tree Losses]])</f>
        <v>493.79860173913039</v>
      </c>
      <c r="P194" s="16">
        <f>SUM(Table37[[#This Row],[Total Trees as of 12/31/24]]-Table37[[#This Row],['# Trees as of 12/31/23]])</f>
        <v>0</v>
      </c>
      <c r="Q194" s="16">
        <f>Table11[[#This Row],['#Total Replacements]]*Table11[[#This Row],[USA Allocation %]]</f>
        <v>1438</v>
      </c>
      <c r="R194" s="16">
        <f>IF(Table37[[#This Row],['#Survival based on Inventory]]=0,Table37['#Survival based on Last Year Estimate],Table37['#Survival based on Inventory])</f>
        <v>493.79860173913039</v>
      </c>
      <c r="S194" s="16">
        <f>Table11[[#This Row],['#Planted]]*Table11[[#This Row],[USA Allocation %]]*Table11[[#This Row],[2024 Inventory Survival%-master]]</f>
        <v>0</v>
      </c>
      <c r="T194" s="16">
        <f>Table11[[#This Row],['#Planted]]*Table11[[#This Row],[USA Allocation %]]*Table11[[#This Row],[2024 Estimated Survival%]]</f>
        <v>493.79860173913039</v>
      </c>
      <c r="U194">
        <f>Table11[[#This Row],[ETP Year]]</f>
        <v>2020</v>
      </c>
      <c r="V194">
        <f>Table11[[#This Row],[Planting Year]]</f>
        <v>2020</v>
      </c>
      <c r="W194" s="8">
        <f>Table11[[#This Row],[Survival% as of 12/31/23]]</f>
        <v>0.33614608695652171</v>
      </c>
      <c r="X194" s="7">
        <f>Table11[[#This Row],[ETP'#s]]</f>
        <v>1</v>
      </c>
    </row>
    <row r="195" spans="1:24" x14ac:dyDescent="0.25">
      <c r="A195">
        <f>Table11[[#This Row],[Farmer'#]]</f>
        <v>30017</v>
      </c>
      <c r="B195" t="str">
        <f>Table11[[#This Row],[Representative]]</f>
        <v>David Horacio Estrada - Asoverde</v>
      </c>
      <c r="C195" t="str">
        <f>Table11[[#This Row],[Contract Name]]</f>
        <v>David Horacio Estrada - Asoverde</v>
      </c>
      <c r="D195" t="str">
        <f>Table11[[#This Row],[Status]]</f>
        <v>Out of Program</v>
      </c>
      <c r="E195" t="str">
        <f>Table11[[#This Row],[Contract Code]]</f>
        <v>GT0017</v>
      </c>
      <c r="F195" s="16">
        <f>Table11[[#This Row],['#TreesContract]]</f>
        <v>1000</v>
      </c>
      <c r="G195" s="16">
        <f>Table11[[#This Row],['#Planted]]</f>
        <v>1000</v>
      </c>
      <c r="H195" s="16">
        <f>Table11[[#This Row],['#TreesContract]]*Table11[[#This Row],[USA Allocation %]]</f>
        <v>1000</v>
      </c>
      <c r="I195" s="16">
        <f>Table11[[#This Row],['#Planted]]*Table11[[#This Row],[USA Allocation %]]</f>
        <v>1000</v>
      </c>
      <c r="J195" s="16">
        <f>Table11[[#This Row],[Contract Amendment]]*Table11[[#This Row],[USA Allocation %]]</f>
        <v>0</v>
      </c>
      <c r="K195" s="16">
        <f>Table11[[#This Row],['#Trees as of 12/31/23]]*Table11[[#This Row],[USA Allocation %]]</f>
        <v>474.10320000000002</v>
      </c>
      <c r="L195" s="16">
        <f>Table11[[#This Row],['#Replace 24]]*Table11[[#This Row],[USA Allocation %]]</f>
        <v>0</v>
      </c>
      <c r="M195" s="16">
        <f>IF(Table11[[#This Row],[Planting Year]]=2024,Table11['#Planted],0)</f>
        <v>0</v>
      </c>
      <c r="N195" s="16">
        <f>(Table11[[#This Row],[2024 '#Trees Inventory + Estimate]]*Table11[[#This Row],[USA Allocation %]])-SUM(Table37[[#This Row],['# Trees as of 12/31/23]:[New Trees/Planted in 2024]])</f>
        <v>-474.10320000000002</v>
      </c>
      <c r="O195" s="16">
        <f>SUM(Table37[[#This Row],['# Trees as of 12/31/23]:[2024 Tree Losses]])</f>
        <v>0</v>
      </c>
      <c r="P195" s="16">
        <f>SUM(Table37[[#This Row],[Total Trees as of 12/31/24]]-Table37[[#This Row],['# Trees as of 12/31/23]])</f>
        <v>-474.10320000000002</v>
      </c>
      <c r="Q195" s="16">
        <f>Table11[[#This Row],['#Total Replacements]]*Table11[[#This Row],[USA Allocation %]]</f>
        <v>700</v>
      </c>
      <c r="R195" s="16">
        <f>IF(Table37[[#This Row],['#Survival based on Inventory]]=0,Table37['#Survival based on Last Year Estimate],Table37['#Survival based on Inventory])</f>
        <v>0</v>
      </c>
      <c r="S195" s="16">
        <f>Table11[[#This Row],['#Planted]]*Table11[[#This Row],[USA Allocation %]]*Table11[[#This Row],[2024 Inventory Survival%-master]]</f>
        <v>0</v>
      </c>
      <c r="T195" s="16">
        <f>Table11[[#This Row],['#Planted]]*Table11[[#This Row],[USA Allocation %]]*Table11[[#This Row],[2024 Estimated Survival%]]</f>
        <v>0</v>
      </c>
      <c r="U195">
        <f>Table11[[#This Row],[ETP Year]]</f>
        <v>2020</v>
      </c>
      <c r="V195">
        <f>Table11[[#This Row],[Planting Year]]</f>
        <v>2020</v>
      </c>
      <c r="W195" s="8">
        <f>Table11[[#This Row],[Survival% as of 12/31/23]]</f>
        <v>0.4741032</v>
      </c>
      <c r="X195" s="7">
        <f>Table11[[#This Row],[ETP'#s]]</f>
        <v>1</v>
      </c>
    </row>
    <row r="196" spans="1:24" x14ac:dyDescent="0.25">
      <c r="A196">
        <f>Table11[[#This Row],[Farmer'#]]</f>
        <v>30018</v>
      </c>
      <c r="B196" t="str">
        <f>Table11[[#This Row],[Representative]]</f>
        <v>Carlos López</v>
      </c>
      <c r="C196" t="str">
        <f>Table11[[#This Row],[Contract Name]]</f>
        <v>Emilia Beatriz Lopez Letona</v>
      </c>
      <c r="D196" t="str">
        <f>Table11[[#This Row],[Status]]</f>
        <v>Active</v>
      </c>
      <c r="E196" t="str">
        <f>Table11[[#This Row],[Contract Code]]</f>
        <v>GT0018</v>
      </c>
      <c r="F196" s="16">
        <f>Table11[[#This Row],['#TreesContract]]</f>
        <v>2650</v>
      </c>
      <c r="G196" s="16">
        <f>Table11[[#This Row],['#Planted]]</f>
        <v>2650</v>
      </c>
      <c r="H196" s="16">
        <f>Table11[[#This Row],['#TreesContract]]*Table11[[#This Row],[USA Allocation %]]</f>
        <v>2650</v>
      </c>
      <c r="I196" s="16">
        <f>Table11[[#This Row],['#Planted]]*Table11[[#This Row],[USA Allocation %]]</f>
        <v>2650</v>
      </c>
      <c r="J196" s="16">
        <f>Table11[[#This Row],[Contract Amendment]]*Table11[[#This Row],[USA Allocation %]]</f>
        <v>0</v>
      </c>
      <c r="K196" s="16">
        <f>Table11[[#This Row],['#Trees as of 12/31/23]]*Table11[[#This Row],[USA Allocation %]]</f>
        <v>1969.2852300000002</v>
      </c>
      <c r="L196" s="16">
        <f>Table11[[#This Row],['#Replace 24]]*Table11[[#This Row],[USA Allocation %]]</f>
        <v>0</v>
      </c>
      <c r="M196" s="16">
        <f>IF(Table11[[#This Row],[Planting Year]]=2024,Table11['#Planted],0)</f>
        <v>0</v>
      </c>
      <c r="N196" s="16">
        <f>(Table11[[#This Row],[2024 '#Trees Inventory + Estimate]]*Table11[[#This Row],[USA Allocation %]])-SUM(Table37[[#This Row],['# Trees as of 12/31/23]:[New Trees/Planted in 2024]])</f>
        <v>524.36476999999945</v>
      </c>
      <c r="O196" s="16">
        <f>SUM(Table37[[#This Row],['# Trees as of 12/31/23]:[2024 Tree Losses]])</f>
        <v>2493.6499999999996</v>
      </c>
      <c r="P196" s="16">
        <f>SUM(Table37[[#This Row],[Total Trees as of 12/31/24]]-Table37[[#This Row],['# Trees as of 12/31/23]])</f>
        <v>524.36476999999945</v>
      </c>
      <c r="Q196" s="16">
        <f>Table11[[#This Row],['#Total Replacements]]*Table11[[#This Row],[USA Allocation %]]</f>
        <v>2307</v>
      </c>
      <c r="R196" s="16">
        <f>IF(Table37[[#This Row],['#Survival based on Inventory]]=0,Table37['#Survival based on Last Year Estimate],Table37['#Survival based on Inventory])</f>
        <v>2493.6499999999996</v>
      </c>
      <c r="S196" s="16">
        <f>Table11[[#This Row],['#Planted]]*Table11[[#This Row],[USA Allocation %]]*Table11[[#This Row],[2024 Inventory Survival%-master]]</f>
        <v>2493.6499999999996</v>
      </c>
      <c r="T196" s="16">
        <f>Table11[[#This Row],['#Planted]]*Table11[[#This Row],[USA Allocation %]]*Table11[[#This Row],[2024 Estimated Survival%]]</f>
        <v>2491</v>
      </c>
      <c r="U196">
        <f>Table11[[#This Row],[ETP Year]]</f>
        <v>2020</v>
      </c>
      <c r="V196">
        <f>Table11[[#This Row],[Planting Year]]</f>
        <v>2020</v>
      </c>
      <c r="W196" s="8">
        <f>Table11[[#This Row],[Survival% as of 12/31/23]]</f>
        <v>0.74312650188679252</v>
      </c>
      <c r="X196" s="7">
        <f>Table11[[#This Row],[ETP'#s]]</f>
        <v>1</v>
      </c>
    </row>
    <row r="197" spans="1:24" x14ac:dyDescent="0.25">
      <c r="A197">
        <f>Table11[[#This Row],[Farmer'#]]</f>
        <v>30019</v>
      </c>
      <c r="B197" t="str">
        <f>Table11[[#This Row],[Representative]]</f>
        <v>Hamblin Duarte</v>
      </c>
      <c r="C197" t="str">
        <f>Table11[[#This Row],[Contract Name]]</f>
        <v>Emilsa Natalia Guzman Leiva</v>
      </c>
      <c r="D197" t="str">
        <f>Table11[[#This Row],[Status]]</f>
        <v>Out of Program</v>
      </c>
      <c r="E197" t="str">
        <f>Table11[[#This Row],[Contract Code]]</f>
        <v>GT0019</v>
      </c>
      <c r="F197" s="16">
        <f>Table11[[#This Row],['#TreesContract]]</f>
        <v>1000</v>
      </c>
      <c r="G197" s="16">
        <f>Table11[[#This Row],['#Planted]]</f>
        <v>1000</v>
      </c>
      <c r="H197" s="16">
        <f>Table11[[#This Row],['#TreesContract]]*Table11[[#This Row],[USA Allocation %]]</f>
        <v>1000</v>
      </c>
      <c r="I197" s="16">
        <f>Table11[[#This Row],['#Planted]]*Table11[[#This Row],[USA Allocation %]]</f>
        <v>1000</v>
      </c>
      <c r="J197" s="16">
        <f>Table11[[#This Row],[Contract Amendment]]*Table11[[#This Row],[USA Allocation %]]</f>
        <v>0</v>
      </c>
      <c r="K197" s="16">
        <f>Table11[[#This Row],['#Trees as of 12/31/23]]*Table11[[#This Row],[USA Allocation %]]</f>
        <v>0</v>
      </c>
      <c r="L197" s="16">
        <f>Table11[[#This Row],['#Replace 24]]*Table11[[#This Row],[USA Allocation %]]</f>
        <v>0</v>
      </c>
      <c r="M197" s="16">
        <f>IF(Table11[[#This Row],[Planting Year]]=2024,Table11['#Planted],0)</f>
        <v>0</v>
      </c>
      <c r="N197" s="16">
        <f>(Table11[[#This Row],[2024 '#Trees Inventory + Estimate]]*Table11[[#This Row],[USA Allocation %]])-SUM(Table37[[#This Row],['# Trees as of 12/31/23]:[New Trees/Planted in 2024]])</f>
        <v>0</v>
      </c>
      <c r="O197" s="16">
        <f>SUM(Table37[[#This Row],['# Trees as of 12/31/23]:[2024 Tree Losses]])</f>
        <v>0</v>
      </c>
      <c r="P197" s="16">
        <f>SUM(Table37[[#This Row],[Total Trees as of 12/31/24]]-Table37[[#This Row],['# Trees as of 12/31/23]])</f>
        <v>0</v>
      </c>
      <c r="Q197" s="16">
        <f>Table11[[#This Row],['#Total Replacements]]*Table11[[#This Row],[USA Allocation %]]</f>
        <v>0</v>
      </c>
      <c r="R197" s="16">
        <f>IF(Table37[[#This Row],['#Survival based on Inventory]]=0,Table37['#Survival based on Last Year Estimate],Table37['#Survival based on Inventory])</f>
        <v>0</v>
      </c>
      <c r="S197" s="16">
        <f>Table11[[#This Row],['#Planted]]*Table11[[#This Row],[USA Allocation %]]*Table11[[#This Row],[2024 Inventory Survival%-master]]</f>
        <v>0</v>
      </c>
      <c r="T197" s="16">
        <f>Table11[[#This Row],['#Planted]]*Table11[[#This Row],[USA Allocation %]]*Table11[[#This Row],[2024 Estimated Survival%]]</f>
        <v>0</v>
      </c>
      <c r="U197">
        <f>Table11[[#This Row],[ETP Year]]</f>
        <v>2020</v>
      </c>
      <c r="V197">
        <f>Table11[[#This Row],[Planting Year]]</f>
        <v>2020</v>
      </c>
      <c r="W197" s="8">
        <f>Table11[[#This Row],[Survival% as of 12/31/23]]</f>
        <v>0</v>
      </c>
      <c r="X197" s="7">
        <f>Table11[[#This Row],[ETP'#s]]</f>
        <v>1</v>
      </c>
    </row>
    <row r="198" spans="1:24" x14ac:dyDescent="0.25">
      <c r="A198">
        <f>Table11[[#This Row],[Farmer'#]]</f>
        <v>30020</v>
      </c>
      <c r="B198" t="str">
        <f>Table11[[#This Row],[Representative]]</f>
        <v>Giovanni Musella</v>
      </c>
      <c r="C198" t="str">
        <f>Table11[[#This Row],[Contract Name]]</f>
        <v>Giovanni Musella</v>
      </c>
      <c r="D198" t="str">
        <f>Table11[[#This Row],[Status]]</f>
        <v>Out of Program</v>
      </c>
      <c r="E198" t="str">
        <f>Table11[[#This Row],[Contract Code]]</f>
        <v>GT0020</v>
      </c>
      <c r="F198" s="16">
        <f>Table11[[#This Row],['#TreesContract]]</f>
        <v>1200</v>
      </c>
      <c r="G198" s="16">
        <f>Table11[[#This Row],['#Planted]]</f>
        <v>1200</v>
      </c>
      <c r="H198" s="16">
        <f>Table11[[#This Row],['#TreesContract]]*Table11[[#This Row],[USA Allocation %]]</f>
        <v>1200</v>
      </c>
      <c r="I198" s="16">
        <f>Table11[[#This Row],['#Planted]]*Table11[[#This Row],[USA Allocation %]]</f>
        <v>1200</v>
      </c>
      <c r="J198" s="16">
        <f>Table11[[#This Row],[Contract Amendment]]*Table11[[#This Row],[USA Allocation %]]</f>
        <v>0</v>
      </c>
      <c r="K198" s="16">
        <f>Table11[[#This Row],['#Trees as of 12/31/23]]*Table11[[#This Row],[USA Allocation %]]</f>
        <v>0</v>
      </c>
      <c r="L198" s="16">
        <f>Table11[[#This Row],['#Replace 24]]*Table11[[#This Row],[USA Allocation %]]</f>
        <v>0</v>
      </c>
      <c r="M198" s="16">
        <f>IF(Table11[[#This Row],[Planting Year]]=2024,Table11['#Planted],0)</f>
        <v>0</v>
      </c>
      <c r="N198" s="16">
        <f>(Table11[[#This Row],[2024 '#Trees Inventory + Estimate]]*Table11[[#This Row],[USA Allocation %]])-SUM(Table37[[#This Row],['# Trees as of 12/31/23]:[New Trees/Planted in 2024]])</f>
        <v>0</v>
      </c>
      <c r="O198" s="16">
        <f>SUM(Table37[[#This Row],['# Trees as of 12/31/23]:[2024 Tree Losses]])</f>
        <v>0</v>
      </c>
      <c r="P198" s="16">
        <f>SUM(Table37[[#This Row],[Total Trees as of 12/31/24]]-Table37[[#This Row],['# Trees as of 12/31/23]])</f>
        <v>0</v>
      </c>
      <c r="Q198" s="16">
        <f>Table11[[#This Row],['#Total Replacements]]*Table11[[#This Row],[USA Allocation %]]</f>
        <v>0</v>
      </c>
      <c r="R198" s="16">
        <f>IF(Table37[[#This Row],['#Survival based on Inventory]]=0,Table37['#Survival based on Last Year Estimate],Table37['#Survival based on Inventory])</f>
        <v>0</v>
      </c>
      <c r="S198" s="16">
        <f>Table11[[#This Row],['#Planted]]*Table11[[#This Row],[USA Allocation %]]*Table11[[#This Row],[2024 Inventory Survival%-master]]</f>
        <v>0</v>
      </c>
      <c r="T198" s="16">
        <f>Table11[[#This Row],['#Planted]]*Table11[[#This Row],[USA Allocation %]]*Table11[[#This Row],[2024 Estimated Survival%]]</f>
        <v>0</v>
      </c>
      <c r="U198">
        <f>Table11[[#This Row],[ETP Year]]</f>
        <v>2020</v>
      </c>
      <c r="V198">
        <f>Table11[[#This Row],[Planting Year]]</f>
        <v>2020</v>
      </c>
      <c r="W198" s="8">
        <f>Table11[[#This Row],[Survival% as of 12/31/23]]</f>
        <v>0</v>
      </c>
      <c r="X198" s="7">
        <f>Table11[[#This Row],[ETP'#s]]</f>
        <v>1</v>
      </c>
    </row>
    <row r="199" spans="1:24" x14ac:dyDescent="0.25">
      <c r="A199">
        <f>Table11[[#This Row],[Farmer'#]]</f>
        <v>30021</v>
      </c>
      <c r="B199" t="str">
        <f>Table11[[#This Row],[Representative]]</f>
        <v>Jaime Rolando Maximino Perez Hernández</v>
      </c>
      <c r="C199" t="str">
        <f>Table11[[#This Row],[Contract Name]]</f>
        <v>Jaime Rolando Maximino Perez Hernández</v>
      </c>
      <c r="D199" t="str">
        <f>Table11[[#This Row],[Status]]</f>
        <v>Out of Program</v>
      </c>
      <c r="E199" t="str">
        <f>Table11[[#This Row],[Contract Code]]</f>
        <v>GT0021</v>
      </c>
      <c r="F199" s="16">
        <f>Table11[[#This Row],['#TreesContract]]</f>
        <v>2000</v>
      </c>
      <c r="G199" s="16">
        <f>Table11[[#This Row],['#Planted]]</f>
        <v>2000</v>
      </c>
      <c r="H199" s="16">
        <f>Table11[[#This Row],['#TreesContract]]*Table11[[#This Row],[USA Allocation %]]</f>
        <v>2000</v>
      </c>
      <c r="I199" s="16">
        <f>Table11[[#This Row],['#Planted]]*Table11[[#This Row],[USA Allocation %]]</f>
        <v>2000</v>
      </c>
      <c r="J199" s="16">
        <f>Table11[[#This Row],[Contract Amendment]]*Table11[[#This Row],[USA Allocation %]]</f>
        <v>0</v>
      </c>
      <c r="K199" s="16">
        <f>Table11[[#This Row],['#Trees as of 12/31/23]]*Table11[[#This Row],[USA Allocation %]]</f>
        <v>1150.38456</v>
      </c>
      <c r="L199" s="16">
        <f>Table11[[#This Row],['#Replace 24]]*Table11[[#This Row],[USA Allocation %]]</f>
        <v>0</v>
      </c>
      <c r="M199" s="16">
        <f>IF(Table11[[#This Row],[Planting Year]]=2024,Table11['#Planted],0)</f>
        <v>0</v>
      </c>
      <c r="N199" s="16">
        <f>(Table11[[#This Row],[2024 '#Trees Inventory + Estimate]]*Table11[[#This Row],[USA Allocation %]])-SUM(Table37[[#This Row],['# Trees as of 12/31/23]:[New Trees/Planted in 2024]])</f>
        <v>-1150.38456</v>
      </c>
      <c r="O199" s="16">
        <f>SUM(Table37[[#This Row],['# Trees as of 12/31/23]:[2024 Tree Losses]])</f>
        <v>0</v>
      </c>
      <c r="P199" s="16">
        <f>SUM(Table37[[#This Row],[Total Trees as of 12/31/24]]-Table37[[#This Row],['# Trees as of 12/31/23]])</f>
        <v>-1150.38456</v>
      </c>
      <c r="Q199" s="16">
        <f>Table11[[#This Row],['#Total Replacements]]*Table11[[#This Row],[USA Allocation %]]</f>
        <v>1000</v>
      </c>
      <c r="R199" s="16">
        <f>IF(Table37[[#This Row],['#Survival based on Inventory]]=0,Table37['#Survival based on Last Year Estimate],Table37['#Survival based on Inventory])</f>
        <v>0</v>
      </c>
      <c r="S199" s="16">
        <f>Table11[[#This Row],['#Planted]]*Table11[[#This Row],[USA Allocation %]]*Table11[[#This Row],[2024 Inventory Survival%-master]]</f>
        <v>0</v>
      </c>
      <c r="T199" s="16">
        <f>Table11[[#This Row],['#Planted]]*Table11[[#This Row],[USA Allocation %]]*Table11[[#This Row],[2024 Estimated Survival%]]</f>
        <v>0</v>
      </c>
      <c r="U199">
        <f>Table11[[#This Row],[ETP Year]]</f>
        <v>2020</v>
      </c>
      <c r="V199">
        <f>Table11[[#This Row],[Planting Year]]</f>
        <v>2020</v>
      </c>
      <c r="W199" s="8">
        <f>Table11[[#This Row],[Survival% as of 12/31/23]]</f>
        <v>0.57519228</v>
      </c>
      <c r="X199" s="7">
        <f>Table11[[#This Row],[ETP'#s]]</f>
        <v>1</v>
      </c>
    </row>
    <row r="200" spans="1:24" x14ac:dyDescent="0.25">
      <c r="A200">
        <f>Table11[[#This Row],[Farmer'#]]</f>
        <v>30022</v>
      </c>
      <c r="B200" t="str">
        <f>Table11[[#This Row],[Representative]]</f>
        <v>José Francisco Castillo Vásquez</v>
      </c>
      <c r="C200" t="str">
        <f>Table11[[#This Row],[Contract Name]]</f>
        <v>José Francisco Castillo Vásquez</v>
      </c>
      <c r="D200" t="str">
        <f>Table11[[#This Row],[Status]]</f>
        <v>RFT</v>
      </c>
      <c r="E200" t="str">
        <f>Table11[[#This Row],[Contract Code]]</f>
        <v>GT0023</v>
      </c>
      <c r="F200" s="16">
        <f>Table11[[#This Row],['#TreesContract]]</f>
        <v>2865</v>
      </c>
      <c r="G200" s="16">
        <f>Table11[[#This Row],['#Planted]]</f>
        <v>2865</v>
      </c>
      <c r="H200" s="16">
        <f>Table11[[#This Row],['#TreesContract]]*Table11[[#This Row],[USA Allocation %]]</f>
        <v>2865</v>
      </c>
      <c r="I200" s="16">
        <f>Table11[[#This Row],['#Planted]]*Table11[[#This Row],[USA Allocation %]]</f>
        <v>2865</v>
      </c>
      <c r="J200" s="16">
        <f>Table11[[#This Row],[Contract Amendment]]*Table11[[#This Row],[USA Allocation %]]</f>
        <v>0</v>
      </c>
      <c r="K200" s="16">
        <f>Table11[[#This Row],['#Trees as of 12/31/23]]*Table11[[#This Row],[USA Allocation %]]</f>
        <v>882.16695000000004</v>
      </c>
      <c r="L200" s="16">
        <f>Table11[[#This Row],['#Replace 24]]*Table11[[#This Row],[USA Allocation %]]</f>
        <v>0</v>
      </c>
      <c r="M200" s="16">
        <f>IF(Table11[[#This Row],[Planting Year]]=2024,Table11['#Planted],0)</f>
        <v>0</v>
      </c>
      <c r="N200" s="16">
        <f>(Table11[[#This Row],[2024 '#Trees Inventory + Estimate]]*Table11[[#This Row],[USA Allocation %]])-SUM(Table37[[#This Row],['# Trees as of 12/31/23]:[New Trees/Planted in 2024]])</f>
        <v>0</v>
      </c>
      <c r="O200" s="16">
        <f>SUM(Table37[[#This Row],['# Trees as of 12/31/23]:[2024 Tree Losses]])</f>
        <v>882.16695000000004</v>
      </c>
      <c r="P200" s="16">
        <f>SUM(Table37[[#This Row],[Total Trees as of 12/31/24]]-Table37[[#This Row],['# Trees as of 12/31/23]])</f>
        <v>0</v>
      </c>
      <c r="Q200" s="16">
        <f>Table11[[#This Row],['#Total Replacements]]*Table11[[#This Row],[USA Allocation %]]</f>
        <v>918</v>
      </c>
      <c r="R200" s="16">
        <f>IF(Table37[[#This Row],['#Survival based on Inventory]]=0,Table37['#Survival based on Last Year Estimate],Table37['#Survival based on Inventory])</f>
        <v>882.16695000000004</v>
      </c>
      <c r="S200" s="16">
        <f>Table11[[#This Row],['#Planted]]*Table11[[#This Row],[USA Allocation %]]*Table11[[#This Row],[2024 Inventory Survival%-master]]</f>
        <v>0</v>
      </c>
      <c r="T200" s="16">
        <f>Table11[[#This Row],['#Planted]]*Table11[[#This Row],[USA Allocation %]]*Table11[[#This Row],[2024 Estimated Survival%]]</f>
        <v>882.16695000000004</v>
      </c>
      <c r="U200">
        <f>Table11[[#This Row],[ETP Year]]</f>
        <v>2020</v>
      </c>
      <c r="V200">
        <f>Table11[[#This Row],[Planting Year]]</f>
        <v>2020</v>
      </c>
      <c r="W200" s="8">
        <f>Table11[[#This Row],[Survival% as of 12/31/23]]</f>
        <v>0.30791167539267017</v>
      </c>
      <c r="X200" s="7">
        <f>Table11[[#This Row],[ETP'#s]]</f>
        <v>1</v>
      </c>
    </row>
    <row r="201" spans="1:24" x14ac:dyDescent="0.25">
      <c r="A201">
        <f>Table11[[#This Row],[Farmer'#]]</f>
        <v>30023</v>
      </c>
      <c r="B201" t="str">
        <f>Table11[[#This Row],[Representative]]</f>
        <v>Julio Francisco Morán Pérez</v>
      </c>
      <c r="C201" t="str">
        <f>Table11[[#This Row],[Contract Name]]</f>
        <v>Julio Francisco Morán Pérez</v>
      </c>
      <c r="D201" t="str">
        <f>Table11[[#This Row],[Status]]</f>
        <v>Active</v>
      </c>
      <c r="E201" t="str">
        <f>Table11[[#This Row],[Contract Code]]</f>
        <v>GT0024a</v>
      </c>
      <c r="F201" s="16">
        <f>Table11[[#This Row],['#TreesContract]]</f>
        <v>5220</v>
      </c>
      <c r="G201" s="16">
        <f>Table11[[#This Row],['#Planted]]</f>
        <v>5220</v>
      </c>
      <c r="H201" s="16">
        <f>Table11[[#This Row],['#TreesContract]]*Table11[[#This Row],[USA Allocation %]]</f>
        <v>5220</v>
      </c>
      <c r="I201" s="16">
        <f>Table11[[#This Row],['#Planted]]*Table11[[#This Row],[USA Allocation %]]</f>
        <v>5220</v>
      </c>
      <c r="J201" s="16">
        <f>Table11[[#This Row],[Contract Amendment]]*Table11[[#This Row],[USA Allocation %]]</f>
        <v>0</v>
      </c>
      <c r="K201" s="16">
        <f>Table11[[#This Row],['#Trees as of 12/31/23]]*Table11[[#This Row],[USA Allocation %]]</f>
        <v>4325.1989108830803</v>
      </c>
      <c r="L201" s="16">
        <f>Table11[[#This Row],['#Replace 24]]*Table11[[#This Row],[USA Allocation %]]</f>
        <v>0</v>
      </c>
      <c r="M201" s="16">
        <f>IF(Table11[[#This Row],[Planting Year]]=2024,Table11['#Planted],0)</f>
        <v>0</v>
      </c>
      <c r="N201" s="16">
        <f>(Table11[[#This Row],[2024 '#Trees Inventory + Estimate]]*Table11[[#This Row],[USA Allocation %]])-SUM(Table37[[#This Row],['# Trees as of 12/31/23]:[New Trees/Planted in 2024]])</f>
        <v>0</v>
      </c>
      <c r="O201" s="16">
        <f>SUM(Table37[[#This Row],['# Trees as of 12/31/23]:[2024 Tree Losses]])</f>
        <v>4325.1989108830803</v>
      </c>
      <c r="P201" s="16">
        <f>SUM(Table37[[#This Row],[Total Trees as of 12/31/24]]-Table37[[#This Row],['# Trees as of 12/31/23]])</f>
        <v>0</v>
      </c>
      <c r="Q201" s="16">
        <f>Table11[[#This Row],['#Total Replacements]]*Table11[[#This Row],[USA Allocation %]]</f>
        <v>4511</v>
      </c>
      <c r="R201" s="16">
        <f>IF(Table37[[#This Row],['#Survival based on Inventory]]=0,Table37['#Survival based on Last Year Estimate],Table37['#Survival based on Inventory])</f>
        <v>4325.1989108830803</v>
      </c>
      <c r="S201" s="16">
        <f>Table11[[#This Row],['#Planted]]*Table11[[#This Row],[USA Allocation %]]*Table11[[#This Row],[2024 Inventory Survival%-master]]</f>
        <v>0</v>
      </c>
      <c r="T201" s="16">
        <f>Table11[[#This Row],['#Planted]]*Table11[[#This Row],[USA Allocation %]]*Table11[[#This Row],[2024 Estimated Survival%]]</f>
        <v>4325.1989108830803</v>
      </c>
      <c r="U201">
        <f>Table11[[#This Row],[ETP Year]]</f>
        <v>2020</v>
      </c>
      <c r="V201">
        <f>Table11[[#This Row],[Planting Year]]</f>
        <v>2020</v>
      </c>
      <c r="W201" s="8">
        <f>Table11[[#This Row],[Survival% as of 12/31/23]]</f>
        <v>0.82858216683583918</v>
      </c>
      <c r="X201" s="7">
        <f>Table11[[#This Row],[ETP'#s]]</f>
        <v>1</v>
      </c>
    </row>
    <row r="202" spans="1:24" x14ac:dyDescent="0.25">
      <c r="A202">
        <f>Table11[[#This Row],[Farmer'#]]</f>
        <v>30024</v>
      </c>
      <c r="B202" t="str">
        <f>Table11[[#This Row],[Representative]]</f>
        <v>Marvin Rodolfo Porras Calderon</v>
      </c>
      <c r="C202" t="str">
        <f>Table11[[#This Row],[Contract Name]]</f>
        <v>Marvin Rodolfo Porras Calderon</v>
      </c>
      <c r="D202" t="str">
        <f>Table11[[#This Row],[Status]]</f>
        <v>RFT</v>
      </c>
      <c r="E202" t="str">
        <f>Table11[[#This Row],[Contract Code]]</f>
        <v>GT0025</v>
      </c>
      <c r="F202" s="16">
        <f>Table11[[#This Row],['#TreesContract]]</f>
        <v>6666</v>
      </c>
      <c r="G202" s="16">
        <f>Table11[[#This Row],['#Planted]]</f>
        <v>6666</v>
      </c>
      <c r="H202" s="16">
        <f>Table11[[#This Row],['#TreesContract]]*Table11[[#This Row],[USA Allocation %]]</f>
        <v>6666</v>
      </c>
      <c r="I202" s="16">
        <f>Table11[[#This Row],['#Planted]]*Table11[[#This Row],[USA Allocation %]]</f>
        <v>6666</v>
      </c>
      <c r="J202" s="16">
        <f>Table11[[#This Row],[Contract Amendment]]*Table11[[#This Row],[USA Allocation %]]</f>
        <v>0</v>
      </c>
      <c r="K202" s="16">
        <f>Table11[[#This Row],['#Trees as of 12/31/23]]*Table11[[#This Row],[USA Allocation %]]</f>
        <v>6202.7640000000001</v>
      </c>
      <c r="L202" s="16">
        <f>Table11[[#This Row],['#Replace 24]]*Table11[[#This Row],[USA Allocation %]]</f>
        <v>0</v>
      </c>
      <c r="M202" s="16">
        <f>IF(Table11[[#This Row],[Planting Year]]=2024,Table11['#Planted],0)</f>
        <v>0</v>
      </c>
      <c r="N202" s="16">
        <f>(Table11[[#This Row],[2024 '#Trees Inventory + Estimate]]*Table11[[#This Row],[USA Allocation %]])-SUM(Table37[[#This Row],['# Trees as of 12/31/23]:[New Trees/Planted in 2024]])</f>
        <v>0</v>
      </c>
      <c r="O202" s="16">
        <f>SUM(Table37[[#This Row],['# Trees as of 12/31/23]:[2024 Tree Losses]])</f>
        <v>6202.7640000000001</v>
      </c>
      <c r="P202" s="16">
        <f>SUM(Table37[[#This Row],[Total Trees as of 12/31/24]]-Table37[[#This Row],['# Trees as of 12/31/23]])</f>
        <v>0</v>
      </c>
      <c r="Q202" s="16">
        <f>Table11[[#This Row],['#Total Replacements]]*Table11[[#This Row],[USA Allocation %]]</f>
        <v>1094</v>
      </c>
      <c r="R202" s="16">
        <f>IF(Table37[[#This Row],['#Survival based on Inventory]]=0,Table37['#Survival based on Last Year Estimate],Table37['#Survival based on Inventory])</f>
        <v>6202.7640000000001</v>
      </c>
      <c r="S202" s="16">
        <f>Table11[[#This Row],['#Planted]]*Table11[[#This Row],[USA Allocation %]]*Table11[[#This Row],[2024 Inventory Survival%-master]]</f>
        <v>0</v>
      </c>
      <c r="T202" s="16">
        <f>Table11[[#This Row],['#Planted]]*Table11[[#This Row],[USA Allocation %]]*Table11[[#This Row],[2024 Estimated Survival%]]</f>
        <v>6202.7640000000001</v>
      </c>
      <c r="U202">
        <f>Table11[[#This Row],[ETP Year]]</f>
        <v>2020</v>
      </c>
      <c r="V202">
        <f>Table11[[#This Row],[Planting Year]]</f>
        <v>2020</v>
      </c>
      <c r="W202" s="8">
        <f>Table11[[#This Row],[Survival% as of 12/31/23]]</f>
        <v>0.93050765076507658</v>
      </c>
      <c r="X202" s="7">
        <f>Table11[[#This Row],[ETP'#s]]</f>
        <v>1</v>
      </c>
    </row>
    <row r="203" spans="1:24" x14ac:dyDescent="0.25">
      <c r="A203">
        <f>Table11[[#This Row],[Farmer'#]]</f>
        <v>30025</v>
      </c>
      <c r="B203" t="str">
        <f>Table11[[#This Row],[Representative]]</f>
        <v>Pablo Castillo (Novio Laura María Morán)</v>
      </c>
      <c r="C203" t="str">
        <f>Table11[[#This Row],[Contract Name]]</f>
        <v>Olga Victoria Herrera Sanjuan</v>
      </c>
      <c r="D203" t="str">
        <f>Table11[[#This Row],[Status]]</f>
        <v>Out of Program</v>
      </c>
      <c r="E203" t="str">
        <f>Table11[[#This Row],[Contract Code]]</f>
        <v>GT0026</v>
      </c>
      <c r="F203" s="16">
        <f>Table11[[#This Row],['#TreesContract]]</f>
        <v>990</v>
      </c>
      <c r="G203" s="16">
        <f>Table11[[#This Row],['#Planted]]</f>
        <v>990</v>
      </c>
      <c r="H203" s="16">
        <f>Table11[[#This Row],['#TreesContract]]*Table11[[#This Row],[USA Allocation %]]</f>
        <v>990</v>
      </c>
      <c r="I203" s="16">
        <f>Table11[[#This Row],['#Planted]]*Table11[[#This Row],[USA Allocation %]]</f>
        <v>990</v>
      </c>
      <c r="J203" s="16">
        <f>Table11[[#This Row],[Contract Amendment]]*Table11[[#This Row],[USA Allocation %]]</f>
        <v>0</v>
      </c>
      <c r="K203" s="16">
        <f>Table11[[#This Row],['#Trees as of 12/31/23]]*Table11[[#This Row],[USA Allocation %]]</f>
        <v>0</v>
      </c>
      <c r="L203" s="16">
        <f>Table11[[#This Row],['#Replace 24]]*Table11[[#This Row],[USA Allocation %]]</f>
        <v>0</v>
      </c>
      <c r="M203" s="16">
        <f>IF(Table11[[#This Row],[Planting Year]]=2024,Table11['#Planted],0)</f>
        <v>0</v>
      </c>
      <c r="N203" s="16">
        <f>(Table11[[#This Row],[2024 '#Trees Inventory + Estimate]]*Table11[[#This Row],[USA Allocation %]])-SUM(Table37[[#This Row],['# Trees as of 12/31/23]:[New Trees/Planted in 2024]])</f>
        <v>0</v>
      </c>
      <c r="O203" s="16">
        <f>SUM(Table37[[#This Row],['# Trees as of 12/31/23]:[2024 Tree Losses]])</f>
        <v>0</v>
      </c>
      <c r="P203" s="16">
        <f>SUM(Table37[[#This Row],[Total Trees as of 12/31/24]]-Table37[[#This Row],['# Trees as of 12/31/23]])</f>
        <v>0</v>
      </c>
      <c r="Q203" s="16">
        <f>Table11[[#This Row],['#Total Replacements]]*Table11[[#This Row],[USA Allocation %]]</f>
        <v>0</v>
      </c>
      <c r="R203" s="16">
        <f>IF(Table37[[#This Row],['#Survival based on Inventory]]=0,Table37['#Survival based on Last Year Estimate],Table37['#Survival based on Inventory])</f>
        <v>0</v>
      </c>
      <c r="S203" s="16">
        <f>Table11[[#This Row],['#Planted]]*Table11[[#This Row],[USA Allocation %]]*Table11[[#This Row],[2024 Inventory Survival%-master]]</f>
        <v>0</v>
      </c>
      <c r="T203" s="16">
        <f>Table11[[#This Row],['#Planted]]*Table11[[#This Row],[USA Allocation %]]*Table11[[#This Row],[2024 Estimated Survival%]]</f>
        <v>0</v>
      </c>
      <c r="U203">
        <f>Table11[[#This Row],[ETP Year]]</f>
        <v>2020</v>
      </c>
      <c r="V203">
        <f>Table11[[#This Row],[Planting Year]]</f>
        <v>2020</v>
      </c>
      <c r="W203" s="8">
        <f>Table11[[#This Row],[Survival% as of 12/31/23]]</f>
        <v>0</v>
      </c>
      <c r="X203" s="7">
        <f>Table11[[#This Row],[ETP'#s]]</f>
        <v>1</v>
      </c>
    </row>
    <row r="204" spans="1:24" x14ac:dyDescent="0.25">
      <c r="A204">
        <f>Table11[[#This Row],[Farmer'#]]</f>
        <v>30026</v>
      </c>
      <c r="B204" t="str">
        <f>Table11[[#This Row],[Representative]]</f>
        <v>Richard Steven Callaway Ayau - Eco Energía H20</v>
      </c>
      <c r="C204" t="str">
        <f>Table11[[#This Row],[Contract Name]]</f>
        <v>Richard Steven Callaway Ayau</v>
      </c>
      <c r="D204" t="str">
        <f>Table11[[#This Row],[Status]]</f>
        <v>RFT</v>
      </c>
      <c r="E204" t="str">
        <f>Table11[[#This Row],[Contract Code]]</f>
        <v>GT0027</v>
      </c>
      <c r="F204" s="16">
        <f>Table11[[#This Row],['#TreesContract]]</f>
        <v>6788</v>
      </c>
      <c r="G204" s="16">
        <f>Table11[[#This Row],['#Planted]]</f>
        <v>6788</v>
      </c>
      <c r="H204" s="16">
        <f>Table11[[#This Row],['#TreesContract]]*Table11[[#This Row],[USA Allocation %]]</f>
        <v>6788</v>
      </c>
      <c r="I204" s="16">
        <f>Table11[[#This Row],['#Planted]]*Table11[[#This Row],[USA Allocation %]]</f>
        <v>6788</v>
      </c>
      <c r="J204" s="16">
        <f>Table11[[#This Row],[Contract Amendment]]*Table11[[#This Row],[USA Allocation %]]</f>
        <v>0</v>
      </c>
      <c r="K204" s="16">
        <f>Table11[[#This Row],['#Trees as of 12/31/23]]*Table11[[#This Row],[USA Allocation %]]</f>
        <v>5494.9999997083996</v>
      </c>
      <c r="L204" s="16">
        <f>Table11[[#This Row],['#Replace 24]]*Table11[[#This Row],[USA Allocation %]]</f>
        <v>0</v>
      </c>
      <c r="M204" s="16">
        <f>IF(Table11[[#This Row],[Planting Year]]=2024,Table11['#Planted],0)</f>
        <v>0</v>
      </c>
      <c r="N204" s="16">
        <f>(Table11[[#This Row],[2024 '#Trees Inventory + Estimate]]*Table11[[#This Row],[USA Allocation %]])-SUM(Table37[[#This Row],['# Trees as of 12/31/23]:[New Trees/Planted in 2024]])</f>
        <v>0</v>
      </c>
      <c r="O204" s="16">
        <f>SUM(Table37[[#This Row],['# Trees as of 12/31/23]:[2024 Tree Losses]])</f>
        <v>5494.9999997083996</v>
      </c>
      <c r="P204" s="16">
        <f>SUM(Table37[[#This Row],[Total Trees as of 12/31/24]]-Table37[[#This Row],['# Trees as of 12/31/23]])</f>
        <v>0</v>
      </c>
      <c r="Q204" s="16">
        <f>Table11[[#This Row],['#Total Replacements]]*Table11[[#This Row],[USA Allocation %]]</f>
        <v>50</v>
      </c>
      <c r="R204" s="16">
        <f>IF(Table37[[#This Row],['#Survival based on Inventory]]=0,Table37['#Survival based on Last Year Estimate],Table37['#Survival based on Inventory])</f>
        <v>5494.9999997083996</v>
      </c>
      <c r="S204" s="16">
        <f>Table11[[#This Row],['#Planted]]*Table11[[#This Row],[USA Allocation %]]*Table11[[#This Row],[2024 Inventory Survival%-master]]</f>
        <v>0</v>
      </c>
      <c r="T204" s="16">
        <f>Table11[[#This Row],['#Planted]]*Table11[[#This Row],[USA Allocation %]]*Table11[[#This Row],[2024 Estimated Survival%]]</f>
        <v>5494.9999997083996</v>
      </c>
      <c r="U204">
        <f>Table11[[#This Row],[ETP Year]]</f>
        <v>2020</v>
      </c>
      <c r="V204">
        <f>Table11[[#This Row],[Planting Year]]</f>
        <v>2020</v>
      </c>
      <c r="W204" s="8">
        <f>Table11[[#This Row],[Survival% as of 12/31/23]]</f>
        <v>0.80951679430000001</v>
      </c>
      <c r="X204" s="7">
        <f>Table11[[#This Row],[ETP'#s]]</f>
        <v>1</v>
      </c>
    </row>
    <row r="205" spans="1:24" x14ac:dyDescent="0.25">
      <c r="A205">
        <f>Table11[[#This Row],[Farmer'#]]</f>
        <v>30027</v>
      </c>
      <c r="B205" t="str">
        <f>Table11[[#This Row],[Representative]]</f>
        <v>Rolando Chinchilla Buezo</v>
      </c>
      <c r="C205" t="str">
        <f>Table11[[#This Row],[Contract Name]]</f>
        <v>Rolando Chinchilla Buezo</v>
      </c>
      <c r="D205" t="str">
        <f>Table11[[#This Row],[Status]]</f>
        <v>RFT</v>
      </c>
      <c r="E205" t="str">
        <f>Table11[[#This Row],[Contract Code]]</f>
        <v>GT0028</v>
      </c>
      <c r="F205" s="16">
        <f>Table11[[#This Row],['#TreesContract]]</f>
        <v>1000</v>
      </c>
      <c r="G205" s="16">
        <f>Table11[[#This Row],['#Planted]]</f>
        <v>1000</v>
      </c>
      <c r="H205" s="16">
        <f>Table11[[#This Row],['#TreesContract]]*Table11[[#This Row],[USA Allocation %]]</f>
        <v>1000</v>
      </c>
      <c r="I205" s="16">
        <f>Table11[[#This Row],['#Planted]]*Table11[[#This Row],[USA Allocation %]]</f>
        <v>1000</v>
      </c>
      <c r="J205" s="16">
        <f>Table11[[#This Row],[Contract Amendment]]*Table11[[#This Row],[USA Allocation %]]</f>
        <v>0</v>
      </c>
      <c r="K205" s="16">
        <f>Table11[[#This Row],['#Trees as of 12/31/23]]*Table11[[#This Row],[USA Allocation %]]</f>
        <v>750.14184</v>
      </c>
      <c r="L205" s="16">
        <f>Table11[[#This Row],['#Replace 24]]*Table11[[#This Row],[USA Allocation %]]</f>
        <v>0</v>
      </c>
      <c r="M205" s="16">
        <f>IF(Table11[[#This Row],[Planting Year]]=2024,Table11['#Planted],0)</f>
        <v>0</v>
      </c>
      <c r="N205" s="16">
        <f>(Table11[[#This Row],[2024 '#Trees Inventory + Estimate]]*Table11[[#This Row],[USA Allocation %]])-SUM(Table37[[#This Row],['# Trees as of 12/31/23]:[New Trees/Planted in 2024]])</f>
        <v>0</v>
      </c>
      <c r="O205" s="16">
        <f>SUM(Table37[[#This Row],['# Trees as of 12/31/23]:[2024 Tree Losses]])</f>
        <v>750.14184</v>
      </c>
      <c r="P205" s="16">
        <f>SUM(Table37[[#This Row],[Total Trees as of 12/31/24]]-Table37[[#This Row],['# Trees as of 12/31/23]])</f>
        <v>0</v>
      </c>
      <c r="Q205" s="16">
        <f>Table11[[#This Row],['#Total Replacements]]*Table11[[#This Row],[USA Allocation %]]</f>
        <v>246</v>
      </c>
      <c r="R205" s="16">
        <f>IF(Table37[[#This Row],['#Survival based on Inventory]]=0,Table37['#Survival based on Last Year Estimate],Table37['#Survival based on Inventory])</f>
        <v>750.14184</v>
      </c>
      <c r="S205" s="16">
        <f>Table11[[#This Row],['#Planted]]*Table11[[#This Row],[USA Allocation %]]*Table11[[#This Row],[2024 Inventory Survival%-master]]</f>
        <v>0</v>
      </c>
      <c r="T205" s="16">
        <f>Table11[[#This Row],['#Planted]]*Table11[[#This Row],[USA Allocation %]]*Table11[[#This Row],[2024 Estimated Survival%]]</f>
        <v>750.14184</v>
      </c>
      <c r="U205">
        <f>Table11[[#This Row],[ETP Year]]</f>
        <v>2020</v>
      </c>
      <c r="V205">
        <f>Table11[[#This Row],[Planting Year]]</f>
        <v>2020</v>
      </c>
      <c r="W205" s="8">
        <f>Table11[[#This Row],[Survival% as of 12/31/23]]</f>
        <v>0.75014183999999995</v>
      </c>
      <c r="X205" s="7">
        <f>Table11[[#This Row],[ETP'#s]]</f>
        <v>1</v>
      </c>
    </row>
    <row r="206" spans="1:24" x14ac:dyDescent="0.25">
      <c r="A206">
        <f>Table11[[#This Row],[Farmer'#]]</f>
        <v>40004</v>
      </c>
      <c r="B206" t="str">
        <f>Table11[[#This Row],[Representative]]</f>
        <v>Felipe Ramirez Flores</v>
      </c>
      <c r="C206" t="str">
        <f>Table11[[#This Row],[Contract Name]]</f>
        <v>Aniceto Ramírez Flores and  Gilberto Hernandez Ayala</v>
      </c>
      <c r="D206" t="str">
        <f>Table11[[#This Row],[Status]]</f>
        <v>Out of Program</v>
      </c>
      <c r="E206" t="str">
        <f>Table11[[#This Row],[Contract Code]]</f>
        <v>MX0004</v>
      </c>
      <c r="F206" s="16">
        <f>Table11[[#This Row],['#TreesContract]]</f>
        <v>5500</v>
      </c>
      <c r="G206" s="16">
        <f>Table11[[#This Row],['#Planted]]</f>
        <v>5500</v>
      </c>
      <c r="H206" s="16">
        <f>Table11[[#This Row],['#TreesContract]]*Table11[[#This Row],[USA Allocation %]]</f>
        <v>3520</v>
      </c>
      <c r="I206" s="16">
        <f>Table11[[#This Row],['#Planted]]*Table11[[#This Row],[USA Allocation %]]</f>
        <v>3520</v>
      </c>
      <c r="J206" s="16">
        <f>Table11[[#This Row],[Contract Amendment]]*Table11[[#This Row],[USA Allocation %]]</f>
        <v>0</v>
      </c>
      <c r="K206" s="16">
        <f>Table11[[#This Row],['#Trees as of 12/31/23]]*Table11[[#This Row],[USA Allocation %]]</f>
        <v>0</v>
      </c>
      <c r="L206" s="16">
        <f>Table11[[#This Row],['#Replace 24]]*Table11[[#This Row],[USA Allocation %]]</f>
        <v>0</v>
      </c>
      <c r="M206" s="16">
        <f>IF(Table11[[#This Row],[Planting Year]]=2024,Table11['#Planted],0)</f>
        <v>0</v>
      </c>
      <c r="N206" s="16">
        <f>(Table11[[#This Row],[2024 '#Trees Inventory + Estimate]]*Table11[[#This Row],[USA Allocation %]])-SUM(Table37[[#This Row],['# Trees as of 12/31/23]:[New Trees/Planted in 2024]])</f>
        <v>0</v>
      </c>
      <c r="O206" s="16">
        <f>SUM(Table37[[#This Row],['# Trees as of 12/31/23]:[2024 Tree Losses]])</f>
        <v>0</v>
      </c>
      <c r="P206" s="16">
        <f>SUM(Table37[[#This Row],[Total Trees as of 12/31/24]]-Table37[[#This Row],['# Trees as of 12/31/23]])</f>
        <v>0</v>
      </c>
      <c r="Q206" s="16">
        <f>Table11[[#This Row],['#Total Replacements]]*Table11[[#This Row],[USA Allocation %]]</f>
        <v>2560</v>
      </c>
      <c r="R206" s="16">
        <f>IF(Table37[[#This Row],['#Survival based on Inventory]]=0,Table37['#Survival based on Last Year Estimate],Table37['#Survival based on Inventory])</f>
        <v>0</v>
      </c>
      <c r="S206" s="16">
        <f>Table11[[#This Row],['#Planted]]*Table11[[#This Row],[USA Allocation %]]*Table11[[#This Row],[2024 Inventory Survival%-master]]</f>
        <v>0</v>
      </c>
      <c r="T206" s="16">
        <f>Table11[[#This Row],['#Planted]]*Table11[[#This Row],[USA Allocation %]]*Table11[[#This Row],[2024 Estimated Survival%]]</f>
        <v>0</v>
      </c>
      <c r="U206">
        <f>Table11[[#This Row],[ETP Year]]</f>
        <v>2018</v>
      </c>
      <c r="V206">
        <f>Table11[[#This Row],[Planting Year]]</f>
        <v>2020</v>
      </c>
      <c r="W206" s="8">
        <f>Table11[[#This Row],[Survival% as of 12/31/23]]</f>
        <v>0</v>
      </c>
      <c r="X206" s="7">
        <f>Table11[[#This Row],[ETP'#s]]</f>
        <v>1</v>
      </c>
    </row>
    <row r="207" spans="1:24" x14ac:dyDescent="0.25">
      <c r="A207">
        <f>Table11[[#This Row],[Farmer'#]]</f>
        <v>40005</v>
      </c>
      <c r="B207" t="str">
        <f>Table11[[#This Row],[Representative]]</f>
        <v>Arturo Arguelles Barradas</v>
      </c>
      <c r="C207" t="str">
        <f>Table11[[#This Row],[Contract Name]]</f>
        <v>Arturo Arguelles Barradas</v>
      </c>
      <c r="D207" t="str">
        <f>Table11[[#This Row],[Status]]</f>
        <v>RFT</v>
      </c>
      <c r="E207" t="str">
        <f>Table11[[#This Row],[Contract Code]]</f>
        <v>MX0005</v>
      </c>
      <c r="F207" s="16">
        <f>Table11[[#This Row],['#TreesContract]]</f>
        <v>1100</v>
      </c>
      <c r="G207" s="16">
        <f>Table11[[#This Row],['#Planted]]</f>
        <v>1100</v>
      </c>
      <c r="H207" s="16">
        <f>Table11[[#This Row],['#TreesContract]]*Table11[[#This Row],[USA Allocation %]]</f>
        <v>1100</v>
      </c>
      <c r="I207" s="16">
        <f>Table11[[#This Row],['#Planted]]*Table11[[#This Row],[USA Allocation %]]</f>
        <v>1100</v>
      </c>
      <c r="J207" s="16">
        <f>Table11[[#This Row],[Contract Amendment]]*Table11[[#This Row],[USA Allocation %]]</f>
        <v>0</v>
      </c>
      <c r="K207" s="16">
        <f>Table11[[#This Row],['#Trees as of 12/31/23]]*Table11[[#This Row],[USA Allocation %]]</f>
        <v>1045</v>
      </c>
      <c r="L207" s="16">
        <f>Table11[[#This Row],['#Replace 24]]*Table11[[#This Row],[USA Allocation %]]</f>
        <v>0</v>
      </c>
      <c r="M207" s="16">
        <f>IF(Table11[[#This Row],[Planting Year]]=2024,Table11['#Planted],0)</f>
        <v>0</v>
      </c>
      <c r="N207" s="16">
        <f>(Table11[[#This Row],[2024 '#Trees Inventory + Estimate]]*Table11[[#This Row],[USA Allocation %]])-SUM(Table37[[#This Row],['# Trees as of 12/31/23]:[New Trees/Planted in 2024]])</f>
        <v>0</v>
      </c>
      <c r="O207" s="16">
        <f>SUM(Table37[[#This Row],['# Trees as of 12/31/23]:[2024 Tree Losses]])</f>
        <v>1045</v>
      </c>
      <c r="P207" s="16">
        <f>SUM(Table37[[#This Row],[Total Trees as of 12/31/24]]-Table37[[#This Row],['# Trees as of 12/31/23]])</f>
        <v>0</v>
      </c>
      <c r="Q207" s="16">
        <f>Table11[[#This Row],['#Total Replacements]]*Table11[[#This Row],[USA Allocation %]]</f>
        <v>0</v>
      </c>
      <c r="R207" s="16">
        <f>IF(Table37[[#This Row],['#Survival based on Inventory]]=0,Table37['#Survival based on Last Year Estimate],Table37['#Survival based on Inventory])</f>
        <v>1045</v>
      </c>
      <c r="S207" s="16">
        <f>Table11[[#This Row],['#Planted]]*Table11[[#This Row],[USA Allocation %]]*Table11[[#This Row],[2024 Inventory Survival%-master]]</f>
        <v>0</v>
      </c>
      <c r="T207" s="16">
        <f>Table11[[#This Row],['#Planted]]*Table11[[#This Row],[USA Allocation %]]*Table11[[#This Row],[2024 Estimated Survival%]]</f>
        <v>1045</v>
      </c>
      <c r="U207">
        <f>Table11[[#This Row],[ETP Year]]</f>
        <v>2020</v>
      </c>
      <c r="V207">
        <f>Table11[[#This Row],[Planting Year]]</f>
        <v>2020</v>
      </c>
      <c r="W207" s="8">
        <f>Table11[[#This Row],[Survival% as of 12/31/23]]</f>
        <v>0.95</v>
      </c>
      <c r="X207" s="7">
        <f>Table11[[#This Row],[ETP'#s]]</f>
        <v>1</v>
      </c>
    </row>
    <row r="208" spans="1:24" x14ac:dyDescent="0.25">
      <c r="A208">
        <f>Table11[[#This Row],[Farmer'#]]</f>
        <v>40006</v>
      </c>
      <c r="B208" t="str">
        <f>Table11[[#This Row],[Representative]]</f>
        <v>Cesar Aaron Olquin Jimenez</v>
      </c>
      <c r="C208" t="str">
        <f>Table11[[#This Row],[Contract Name]]</f>
        <v>Cesar Aaron Olquin Jimenez</v>
      </c>
      <c r="D208" t="str">
        <f>Table11[[#This Row],[Status]]</f>
        <v>Out of Program</v>
      </c>
      <c r="E208" t="str">
        <f>Table11[[#This Row],[Contract Code]]</f>
        <v>MX0006</v>
      </c>
      <c r="F208" s="16">
        <f>Table11[[#This Row],['#TreesContract]]</f>
        <v>7700</v>
      </c>
      <c r="G208" s="16">
        <f>Table11[[#This Row],['#Planted]]</f>
        <v>7700</v>
      </c>
      <c r="H208" s="16">
        <f>Table11[[#This Row],['#TreesContract]]*Table11[[#This Row],[USA Allocation %]]</f>
        <v>7700</v>
      </c>
      <c r="I208" s="16">
        <f>Table11[[#This Row],['#Planted]]*Table11[[#This Row],[USA Allocation %]]</f>
        <v>7700</v>
      </c>
      <c r="J208" s="16">
        <f>Table11[[#This Row],[Contract Amendment]]*Table11[[#This Row],[USA Allocation %]]</f>
        <v>0</v>
      </c>
      <c r="K208" s="16">
        <f>Table11[[#This Row],['#Trees as of 12/31/23]]*Table11[[#This Row],[USA Allocation %]]</f>
        <v>0</v>
      </c>
      <c r="L208" s="16">
        <f>Table11[[#This Row],['#Replace 24]]*Table11[[#This Row],[USA Allocation %]]</f>
        <v>0</v>
      </c>
      <c r="M208" s="16">
        <f>IF(Table11[[#This Row],[Planting Year]]=2024,Table11['#Planted],0)</f>
        <v>0</v>
      </c>
      <c r="N208" s="16">
        <f>(Table11[[#This Row],[2024 '#Trees Inventory + Estimate]]*Table11[[#This Row],[USA Allocation %]])-SUM(Table37[[#This Row],['# Trees as of 12/31/23]:[New Trees/Planted in 2024]])</f>
        <v>0</v>
      </c>
      <c r="O208" s="16">
        <f>SUM(Table37[[#This Row],['# Trees as of 12/31/23]:[2024 Tree Losses]])</f>
        <v>0</v>
      </c>
      <c r="P208" s="16">
        <f>SUM(Table37[[#This Row],[Total Trees as of 12/31/24]]-Table37[[#This Row],['# Trees as of 12/31/23]])</f>
        <v>0</v>
      </c>
      <c r="Q208" s="16">
        <f>Table11[[#This Row],['#Total Replacements]]*Table11[[#This Row],[USA Allocation %]]</f>
        <v>0</v>
      </c>
      <c r="R208" s="16">
        <f>IF(Table37[[#This Row],['#Survival based on Inventory]]=0,Table37['#Survival based on Last Year Estimate],Table37['#Survival based on Inventory])</f>
        <v>0</v>
      </c>
      <c r="S208" s="16">
        <f>Table11[[#This Row],['#Planted]]*Table11[[#This Row],[USA Allocation %]]*Table11[[#This Row],[2024 Inventory Survival%-master]]</f>
        <v>0</v>
      </c>
      <c r="T208" s="16">
        <f>Table11[[#This Row],['#Planted]]*Table11[[#This Row],[USA Allocation %]]*Table11[[#This Row],[2024 Estimated Survival%]]</f>
        <v>0</v>
      </c>
      <c r="U208">
        <f>Table11[[#This Row],[ETP Year]]</f>
        <v>2020</v>
      </c>
      <c r="V208">
        <f>Table11[[#This Row],[Planting Year]]</f>
        <v>2020</v>
      </c>
      <c r="W208" s="8">
        <f>Table11[[#This Row],[Survival% as of 12/31/23]]</f>
        <v>0</v>
      </c>
      <c r="X208" s="7">
        <f>Table11[[#This Row],[ETP'#s]]</f>
        <v>1</v>
      </c>
    </row>
    <row r="209" spans="1:24" x14ac:dyDescent="0.25">
      <c r="A209">
        <f>Table11[[#This Row],[Farmer'#]]</f>
        <v>40006</v>
      </c>
      <c r="B209" t="str">
        <f>Table11[[#This Row],[Representative]]</f>
        <v>Cesar Aaron Olquin Jimenez</v>
      </c>
      <c r="C209" t="str">
        <f>Table11[[#This Row],[Contract Name]]</f>
        <v>Cesar Aaron Olquin Jimenez</v>
      </c>
      <c r="D209" t="str">
        <f>Table11[[#This Row],[Status]]</f>
        <v>Out of Program</v>
      </c>
      <c r="E209" t="str">
        <f>Table11[[#This Row],[Contract Code]]</f>
        <v>MX0007</v>
      </c>
      <c r="F209" s="16">
        <f>Table11[[#This Row],['#TreesContract]]</f>
        <v>14300</v>
      </c>
      <c r="G209" s="16">
        <f>Table11[[#This Row],['#Planted]]</f>
        <v>14300</v>
      </c>
      <c r="H209" s="16">
        <f>Table11[[#This Row],['#TreesContract]]*Table11[[#This Row],[USA Allocation %]]</f>
        <v>14300</v>
      </c>
      <c r="I209" s="16">
        <f>Table11[[#This Row],['#Planted]]*Table11[[#This Row],[USA Allocation %]]</f>
        <v>14300</v>
      </c>
      <c r="J209" s="16">
        <f>Table11[[#This Row],[Contract Amendment]]*Table11[[#This Row],[USA Allocation %]]</f>
        <v>0</v>
      </c>
      <c r="K209" s="16">
        <f>Table11[[#This Row],['#Trees as of 12/31/23]]*Table11[[#This Row],[USA Allocation %]]</f>
        <v>0</v>
      </c>
      <c r="L209" s="16">
        <f>Table11[[#This Row],['#Replace 24]]*Table11[[#This Row],[USA Allocation %]]</f>
        <v>0</v>
      </c>
      <c r="M209" s="16">
        <f>IF(Table11[[#This Row],[Planting Year]]=2024,Table11['#Planted],0)</f>
        <v>0</v>
      </c>
      <c r="N209" s="16">
        <f>(Table11[[#This Row],[2024 '#Trees Inventory + Estimate]]*Table11[[#This Row],[USA Allocation %]])-SUM(Table37[[#This Row],['# Trees as of 12/31/23]:[New Trees/Planted in 2024]])</f>
        <v>0</v>
      </c>
      <c r="O209" s="16">
        <f>SUM(Table37[[#This Row],['# Trees as of 12/31/23]:[2024 Tree Losses]])</f>
        <v>0</v>
      </c>
      <c r="P209" s="16">
        <f>SUM(Table37[[#This Row],[Total Trees as of 12/31/24]]-Table37[[#This Row],['# Trees as of 12/31/23]])</f>
        <v>0</v>
      </c>
      <c r="Q209" s="16">
        <f>Table11[[#This Row],['#Total Replacements]]*Table11[[#This Row],[USA Allocation %]]</f>
        <v>0</v>
      </c>
      <c r="R209" s="16">
        <f>IF(Table37[[#This Row],['#Survival based on Inventory]]=0,Table37['#Survival based on Last Year Estimate],Table37['#Survival based on Inventory])</f>
        <v>0</v>
      </c>
      <c r="S209" s="16">
        <f>Table11[[#This Row],['#Planted]]*Table11[[#This Row],[USA Allocation %]]*Table11[[#This Row],[2024 Inventory Survival%-master]]</f>
        <v>0</v>
      </c>
      <c r="T209" s="16">
        <f>Table11[[#This Row],['#Planted]]*Table11[[#This Row],[USA Allocation %]]*Table11[[#This Row],[2024 Estimated Survival%]]</f>
        <v>0</v>
      </c>
      <c r="U209" t="str">
        <f>Table11[[#This Row],[ETP Year]]</f>
        <v>2020-NA/BA</v>
      </c>
      <c r="V209">
        <f>Table11[[#This Row],[Planting Year]]</f>
        <v>2020</v>
      </c>
      <c r="W209" s="8">
        <f>Table11[[#This Row],[Survival% as of 12/31/23]]</f>
        <v>0</v>
      </c>
      <c r="X209" s="7">
        <f>Table11[[#This Row],[ETP'#s]]</f>
        <v>1</v>
      </c>
    </row>
    <row r="210" spans="1:24" x14ac:dyDescent="0.25">
      <c r="A210">
        <f>Table11[[#This Row],[Farmer'#]]</f>
        <v>40007</v>
      </c>
      <c r="B210" t="str">
        <f>Table11[[#This Row],[Representative]]</f>
        <v>Heriberto Mendoza Villegas</v>
      </c>
      <c r="C210" t="str">
        <f>Table11[[#This Row],[Contract Name]]</f>
        <v>Dionicio Mendoza Rinconcillo</v>
      </c>
      <c r="D210" t="str">
        <f>Table11[[#This Row],[Status]]</f>
        <v>Out of Program</v>
      </c>
      <c r="E210" t="str">
        <f>Table11[[#This Row],[Contract Code]]</f>
        <v>MX0008</v>
      </c>
      <c r="F210" s="16">
        <f>Table11[[#This Row],['#TreesContract]]</f>
        <v>5500</v>
      </c>
      <c r="G210" s="16">
        <f>Table11[[#This Row],['#Planted]]</f>
        <v>5500</v>
      </c>
      <c r="H210" s="16">
        <f>Table11[[#This Row],['#TreesContract]]*Table11[[#This Row],[USA Allocation %]]</f>
        <v>5500</v>
      </c>
      <c r="I210" s="16">
        <f>Table11[[#This Row],['#Planted]]*Table11[[#This Row],[USA Allocation %]]</f>
        <v>5500</v>
      </c>
      <c r="J210" s="16">
        <f>Table11[[#This Row],[Contract Amendment]]*Table11[[#This Row],[USA Allocation %]]</f>
        <v>0</v>
      </c>
      <c r="K210" s="16">
        <f>Table11[[#This Row],['#Trees as of 12/31/23]]*Table11[[#This Row],[USA Allocation %]]</f>
        <v>0</v>
      </c>
      <c r="L210" s="16">
        <f>Table11[[#This Row],['#Replace 24]]*Table11[[#This Row],[USA Allocation %]]</f>
        <v>0</v>
      </c>
      <c r="M210" s="16">
        <f>IF(Table11[[#This Row],[Planting Year]]=2024,Table11['#Planted],0)</f>
        <v>0</v>
      </c>
      <c r="N210" s="16">
        <f>(Table11[[#This Row],[2024 '#Trees Inventory + Estimate]]*Table11[[#This Row],[USA Allocation %]])-SUM(Table37[[#This Row],['# Trees as of 12/31/23]:[New Trees/Planted in 2024]])</f>
        <v>0</v>
      </c>
      <c r="O210" s="16">
        <f>SUM(Table37[[#This Row],['# Trees as of 12/31/23]:[2024 Tree Losses]])</f>
        <v>0</v>
      </c>
      <c r="P210" s="16">
        <f>SUM(Table37[[#This Row],[Total Trees as of 12/31/24]]-Table37[[#This Row],['# Trees as of 12/31/23]])</f>
        <v>0</v>
      </c>
      <c r="Q210" s="16">
        <f>Table11[[#This Row],['#Total Replacements]]*Table11[[#This Row],[USA Allocation %]]</f>
        <v>0</v>
      </c>
      <c r="R210" s="16">
        <f>IF(Table37[[#This Row],['#Survival based on Inventory]]=0,Table37['#Survival based on Last Year Estimate],Table37['#Survival based on Inventory])</f>
        <v>0</v>
      </c>
      <c r="S210" s="16">
        <f>Table11[[#This Row],['#Planted]]*Table11[[#This Row],[USA Allocation %]]*Table11[[#This Row],[2024 Inventory Survival%-master]]</f>
        <v>0</v>
      </c>
      <c r="T210" s="16">
        <f>Table11[[#This Row],['#Planted]]*Table11[[#This Row],[USA Allocation %]]*Table11[[#This Row],[2024 Estimated Survival%]]</f>
        <v>0</v>
      </c>
      <c r="U210" t="str">
        <f>Table11[[#This Row],[ETP Year]]</f>
        <v>2020-NA/BA</v>
      </c>
      <c r="V210">
        <f>Table11[[#This Row],[Planting Year]]</f>
        <v>2020</v>
      </c>
      <c r="W210" s="8">
        <f>Table11[[#This Row],[Survival% as of 12/31/23]]</f>
        <v>0</v>
      </c>
      <c r="X210" s="7">
        <f>Table11[[#This Row],[ETP'#s]]</f>
        <v>1</v>
      </c>
    </row>
    <row r="211" spans="1:24" x14ac:dyDescent="0.25">
      <c r="A211">
        <f>Table11[[#This Row],[Farmer'#]]</f>
        <v>40009</v>
      </c>
      <c r="B211" t="str">
        <f>Table11[[#This Row],[Representative]]</f>
        <v>Víctor Manuel Godínez Martínez</v>
      </c>
      <c r="C211" t="str">
        <f>Table11[[#This Row],[Contract Name]]</f>
        <v>Jesus Enriquez Magana</v>
      </c>
      <c r="D211" t="str">
        <f>Table11[[#This Row],[Status]]</f>
        <v>Out of Program</v>
      </c>
      <c r="E211" t="str">
        <f>Table11[[#This Row],[Contract Code]]</f>
        <v>MX0010</v>
      </c>
      <c r="F211" s="16">
        <f>Table11[[#This Row],['#TreesContract]]</f>
        <v>0</v>
      </c>
      <c r="G211" s="16">
        <f>Table11[[#This Row],['#Planted]]</f>
        <v>0</v>
      </c>
      <c r="H211" s="16">
        <f>Table11[[#This Row],['#TreesContract]]*Table11[[#This Row],[USA Allocation %]]</f>
        <v>0</v>
      </c>
      <c r="I211" s="16">
        <f>Table11[[#This Row],['#Planted]]*Table11[[#This Row],[USA Allocation %]]</f>
        <v>0</v>
      </c>
      <c r="J211" s="16">
        <f>Table11[[#This Row],[Contract Amendment]]*Table11[[#This Row],[USA Allocation %]]</f>
        <v>0</v>
      </c>
      <c r="K211" s="16">
        <f>Table11[[#This Row],['#Trees as of 12/31/23]]*Table11[[#This Row],[USA Allocation %]]</f>
        <v>0</v>
      </c>
      <c r="L211" s="16">
        <f>Table11[[#This Row],['#Replace 24]]*Table11[[#This Row],[USA Allocation %]]</f>
        <v>0</v>
      </c>
      <c r="M211" s="16">
        <f>IF(Table11[[#This Row],[Planting Year]]=2024,Table11['#Planted],0)</f>
        <v>0</v>
      </c>
      <c r="N211" s="16">
        <f>(Table11[[#This Row],[2024 '#Trees Inventory + Estimate]]*Table11[[#This Row],[USA Allocation %]])-SUM(Table37[[#This Row],['# Trees as of 12/31/23]:[New Trees/Planted in 2024]])</f>
        <v>0</v>
      </c>
      <c r="O211" s="16">
        <f>SUM(Table37[[#This Row],['# Trees as of 12/31/23]:[2024 Tree Losses]])</f>
        <v>0</v>
      </c>
      <c r="P211" s="16">
        <f>SUM(Table37[[#This Row],[Total Trees as of 12/31/24]]-Table37[[#This Row],['# Trees as of 12/31/23]])</f>
        <v>0</v>
      </c>
      <c r="Q211" s="16">
        <f>Table11[[#This Row],['#Total Replacements]]*Table11[[#This Row],[USA Allocation %]]</f>
        <v>0</v>
      </c>
      <c r="R211" s="16">
        <f>IF(Table37[[#This Row],['#Survival based on Inventory]]=0,Table37['#Survival based on Last Year Estimate],Table37['#Survival based on Inventory])</f>
        <v>0</v>
      </c>
      <c r="S211" s="16">
        <f>Table11[[#This Row],['#Planted]]*Table11[[#This Row],[USA Allocation %]]*Table11[[#This Row],[2024 Inventory Survival%-master]]</f>
        <v>0</v>
      </c>
      <c r="T211" s="16">
        <f>Table11[[#This Row],['#Planted]]*Table11[[#This Row],[USA Allocation %]]*Table11[[#This Row],[2024 Estimated Survival%]]</f>
        <v>0</v>
      </c>
      <c r="U211" t="str">
        <f>Table11[[#This Row],[ETP Year]]</f>
        <v>2020-NA/BA</v>
      </c>
      <c r="V211">
        <f>Table11[[#This Row],[Planting Year]]</f>
        <v>2020</v>
      </c>
      <c r="W211" s="8">
        <f>Table11[[#This Row],[Survival% as of 12/31/23]]</f>
        <v>0</v>
      </c>
      <c r="X211" s="7">
        <f>Table11[[#This Row],[ETP'#s]]</f>
        <v>0</v>
      </c>
    </row>
    <row r="212" spans="1:24" x14ac:dyDescent="0.25">
      <c r="A212">
        <f>Table11[[#This Row],[Farmer'#]]</f>
        <v>40010</v>
      </c>
      <c r="B212" t="str">
        <f>Table11[[#This Row],[Representative]]</f>
        <v>Jose Dolores Hugo Torres Hernandez</v>
      </c>
      <c r="C212" t="str">
        <f>Table11[[#This Row],[Contract Name]]</f>
        <v>Miguel Angel García Torres</v>
      </c>
      <c r="D212" t="str">
        <f>Table11[[#This Row],[Status]]</f>
        <v>Out of Program</v>
      </c>
      <c r="E212" t="str">
        <f>Table11[[#This Row],[Contract Code]]</f>
        <v>MX0011</v>
      </c>
      <c r="F212" s="16">
        <f>Table11[[#This Row],['#TreesContract]]</f>
        <v>4400</v>
      </c>
      <c r="G212" s="16">
        <f>Table11[[#This Row],['#Planted]]</f>
        <v>4400</v>
      </c>
      <c r="H212" s="16">
        <f>Table11[[#This Row],['#TreesContract]]*Table11[[#This Row],[USA Allocation %]]</f>
        <v>4400</v>
      </c>
      <c r="I212" s="16">
        <f>Table11[[#This Row],['#Planted]]*Table11[[#This Row],[USA Allocation %]]</f>
        <v>4400</v>
      </c>
      <c r="J212" s="16">
        <f>Table11[[#This Row],[Contract Amendment]]*Table11[[#This Row],[USA Allocation %]]</f>
        <v>0</v>
      </c>
      <c r="K212" s="16">
        <f>Table11[[#This Row],['#Trees as of 12/31/23]]*Table11[[#This Row],[USA Allocation %]]</f>
        <v>0</v>
      </c>
      <c r="L212" s="16">
        <f>Table11[[#This Row],['#Replace 24]]*Table11[[#This Row],[USA Allocation %]]</f>
        <v>0</v>
      </c>
      <c r="M212" s="16">
        <f>IF(Table11[[#This Row],[Planting Year]]=2024,Table11['#Planted],0)</f>
        <v>0</v>
      </c>
      <c r="N212" s="16">
        <f>(Table11[[#This Row],[2024 '#Trees Inventory + Estimate]]*Table11[[#This Row],[USA Allocation %]])-SUM(Table37[[#This Row],['# Trees as of 12/31/23]:[New Trees/Planted in 2024]])</f>
        <v>0</v>
      </c>
      <c r="O212" s="16">
        <f>SUM(Table37[[#This Row],['# Trees as of 12/31/23]:[2024 Tree Losses]])</f>
        <v>0</v>
      </c>
      <c r="P212" s="16">
        <f>SUM(Table37[[#This Row],[Total Trees as of 12/31/24]]-Table37[[#This Row],['# Trees as of 12/31/23]])</f>
        <v>0</v>
      </c>
      <c r="Q212" s="16">
        <f>Table11[[#This Row],['#Total Replacements]]*Table11[[#This Row],[USA Allocation %]]</f>
        <v>0</v>
      </c>
      <c r="R212" s="16">
        <f>IF(Table37[[#This Row],['#Survival based on Inventory]]=0,Table37['#Survival based on Last Year Estimate],Table37['#Survival based on Inventory])</f>
        <v>0</v>
      </c>
      <c r="S212" s="16">
        <f>Table11[[#This Row],['#Planted]]*Table11[[#This Row],[USA Allocation %]]*Table11[[#This Row],[2024 Inventory Survival%-master]]</f>
        <v>0</v>
      </c>
      <c r="T212" s="16">
        <f>Table11[[#This Row],['#Planted]]*Table11[[#This Row],[USA Allocation %]]*Table11[[#This Row],[2024 Estimated Survival%]]</f>
        <v>0</v>
      </c>
      <c r="U212">
        <f>Table11[[#This Row],[ETP Year]]</f>
        <v>2020</v>
      </c>
      <c r="V212">
        <f>Table11[[#This Row],[Planting Year]]</f>
        <v>2020</v>
      </c>
      <c r="W212" s="8">
        <f>Table11[[#This Row],[Survival% as of 12/31/23]]</f>
        <v>0</v>
      </c>
      <c r="X212" s="7">
        <f>Table11[[#This Row],[ETP'#s]]</f>
        <v>1</v>
      </c>
    </row>
    <row r="213" spans="1:24" x14ac:dyDescent="0.25">
      <c r="A213">
        <f>Table11[[#This Row],[Farmer'#]]</f>
        <v>40011</v>
      </c>
      <c r="B213" t="str">
        <f>Table11[[#This Row],[Representative]]</f>
        <v>Juan Carlos Cardoso Vargas</v>
      </c>
      <c r="C213" t="str">
        <f>Table11[[#This Row],[Contract Name]]</f>
        <v>Juan Carlos Cardoso Vargas</v>
      </c>
      <c r="D213" t="str">
        <f>Table11[[#This Row],[Status]]</f>
        <v>RFT</v>
      </c>
      <c r="E213" t="str">
        <f>Table11[[#This Row],[Contract Code]]</f>
        <v>MX0012</v>
      </c>
      <c r="F213" s="16">
        <f>Table11[[#This Row],['#TreesContract]]</f>
        <v>12000</v>
      </c>
      <c r="G213" s="16">
        <f>Table11[[#This Row],['#Planted]]</f>
        <v>12000</v>
      </c>
      <c r="H213" s="16">
        <f>Table11[[#This Row],['#TreesContract]]*Table11[[#This Row],[USA Allocation %]]</f>
        <v>12000</v>
      </c>
      <c r="I213" s="16">
        <f>Table11[[#This Row],['#Planted]]*Table11[[#This Row],[USA Allocation %]]</f>
        <v>12000</v>
      </c>
      <c r="J213" s="16">
        <f>Table11[[#This Row],[Contract Amendment]]*Table11[[#This Row],[USA Allocation %]]</f>
        <v>0</v>
      </c>
      <c r="K213" s="16">
        <f>Table11[[#This Row],['#Trees as of 12/31/23]]*Table11[[#This Row],[USA Allocation %]]</f>
        <v>4080</v>
      </c>
      <c r="L213" s="16">
        <f>Table11[[#This Row],['#Replace 24]]*Table11[[#This Row],[USA Allocation %]]</f>
        <v>0</v>
      </c>
      <c r="M213" s="16">
        <f>IF(Table11[[#This Row],[Planting Year]]=2024,Table11['#Planted],0)</f>
        <v>0</v>
      </c>
      <c r="N213" s="16">
        <f>(Table11[[#This Row],[2024 '#Trees Inventory + Estimate]]*Table11[[#This Row],[USA Allocation %]])-SUM(Table37[[#This Row],['# Trees as of 12/31/23]:[New Trees/Planted in 2024]])</f>
        <v>0</v>
      </c>
      <c r="O213" s="16">
        <f>SUM(Table37[[#This Row],['# Trees as of 12/31/23]:[2024 Tree Losses]])</f>
        <v>4080</v>
      </c>
      <c r="P213" s="16">
        <f>SUM(Table37[[#This Row],[Total Trees as of 12/31/24]]-Table37[[#This Row],['# Trees as of 12/31/23]])</f>
        <v>0</v>
      </c>
      <c r="Q213" s="16">
        <f>Table11[[#This Row],['#Total Replacements]]*Table11[[#This Row],[USA Allocation %]]</f>
        <v>2714</v>
      </c>
      <c r="R213" s="16">
        <f>IF(Table37[[#This Row],['#Survival based on Inventory]]=0,Table37['#Survival based on Last Year Estimate],Table37['#Survival based on Inventory])</f>
        <v>4080.0000000000005</v>
      </c>
      <c r="S213" s="16">
        <f>Table11[[#This Row],['#Planted]]*Table11[[#This Row],[USA Allocation %]]*Table11[[#This Row],[2024 Inventory Survival%-master]]</f>
        <v>0</v>
      </c>
      <c r="T213" s="16">
        <f>Table11[[#This Row],['#Planted]]*Table11[[#This Row],[USA Allocation %]]*Table11[[#This Row],[2024 Estimated Survival%]]</f>
        <v>4080.0000000000005</v>
      </c>
      <c r="U213" t="str">
        <f>Table11[[#This Row],[ETP Year]]</f>
        <v>2020-NA/BA</v>
      </c>
      <c r="V213">
        <f>Table11[[#This Row],[Planting Year]]</f>
        <v>2020</v>
      </c>
      <c r="W213" s="8">
        <f>Table11[[#This Row],[Survival% as of 12/31/23]]</f>
        <v>0.34</v>
      </c>
      <c r="X213" s="7">
        <f>Table11[[#This Row],[ETP'#s]]</f>
        <v>1</v>
      </c>
    </row>
    <row r="214" spans="1:24" x14ac:dyDescent="0.25">
      <c r="A214">
        <f>Table11[[#This Row],[Farmer'#]]</f>
        <v>40012</v>
      </c>
      <c r="B214" t="str">
        <f>Table11[[#This Row],[Representative]]</f>
        <v>Juan Chavez Calderon</v>
      </c>
      <c r="C214" t="str">
        <f>Table11[[#This Row],[Contract Name]]</f>
        <v>Juan Chavez Calderon</v>
      </c>
      <c r="D214" t="str">
        <f>Table11[[#This Row],[Status]]</f>
        <v>Active</v>
      </c>
      <c r="E214" t="str">
        <f>Table11[[#This Row],[Contract Code]]</f>
        <v>MX0013</v>
      </c>
      <c r="F214" s="16">
        <f>Table11[[#This Row],['#TreesContract]]</f>
        <v>2750</v>
      </c>
      <c r="G214" s="16">
        <f>Table11[[#This Row],['#Planted]]</f>
        <v>2750</v>
      </c>
      <c r="H214" s="16">
        <f>Table11[[#This Row],['#TreesContract]]*Table11[[#This Row],[USA Allocation %]]</f>
        <v>2750</v>
      </c>
      <c r="I214" s="16">
        <f>Table11[[#This Row],['#Planted]]*Table11[[#This Row],[USA Allocation %]]</f>
        <v>2750</v>
      </c>
      <c r="J214" s="16">
        <f>Table11[[#This Row],[Contract Amendment]]*Table11[[#This Row],[USA Allocation %]]</f>
        <v>0</v>
      </c>
      <c r="K214" s="16">
        <f>Table11[[#This Row],['#Trees as of 12/31/23]]*Table11[[#This Row],[USA Allocation %]]</f>
        <v>1815</v>
      </c>
      <c r="L214" s="16">
        <f>Table11[[#This Row],['#Replace 24]]*Table11[[#This Row],[USA Allocation %]]</f>
        <v>0</v>
      </c>
      <c r="M214" s="16">
        <f>IF(Table11[[#This Row],[Planting Year]]=2024,Table11['#Planted],0)</f>
        <v>0</v>
      </c>
      <c r="N214" s="16">
        <f>(Table11[[#This Row],[2024 '#Trees Inventory + Estimate]]*Table11[[#This Row],[USA Allocation %]])-SUM(Table37[[#This Row],['# Trees as of 12/31/23]:[New Trees/Planted in 2024]])</f>
        <v>0</v>
      </c>
      <c r="O214" s="16">
        <f>SUM(Table37[[#This Row],['# Trees as of 12/31/23]:[2024 Tree Losses]])</f>
        <v>1815</v>
      </c>
      <c r="P214" s="16">
        <f>SUM(Table37[[#This Row],[Total Trees as of 12/31/24]]-Table37[[#This Row],['# Trees as of 12/31/23]])</f>
        <v>0</v>
      </c>
      <c r="Q214" s="16">
        <f>Table11[[#This Row],['#Total Replacements]]*Table11[[#This Row],[USA Allocation %]]</f>
        <v>0</v>
      </c>
      <c r="R214" s="16">
        <f>IF(Table37[[#This Row],['#Survival based on Inventory]]=0,Table37['#Survival based on Last Year Estimate],Table37['#Survival based on Inventory])</f>
        <v>1815</v>
      </c>
      <c r="S214" s="16">
        <f>Table11[[#This Row],['#Planted]]*Table11[[#This Row],[USA Allocation %]]*Table11[[#This Row],[2024 Inventory Survival%-master]]</f>
        <v>0</v>
      </c>
      <c r="T214" s="16">
        <f>Table11[[#This Row],['#Planted]]*Table11[[#This Row],[USA Allocation %]]*Table11[[#This Row],[2024 Estimated Survival%]]</f>
        <v>1815</v>
      </c>
      <c r="U214">
        <f>Table11[[#This Row],[ETP Year]]</f>
        <v>2020</v>
      </c>
      <c r="V214">
        <f>Table11[[#This Row],[Planting Year]]</f>
        <v>2020</v>
      </c>
      <c r="W214" s="8">
        <f>Table11[[#This Row],[Survival% as of 12/31/23]]</f>
        <v>0.66</v>
      </c>
      <c r="X214" s="7">
        <f>Table11[[#This Row],[ETP'#s]]</f>
        <v>1</v>
      </c>
    </row>
    <row r="215" spans="1:24" x14ac:dyDescent="0.25">
      <c r="A215">
        <f>Table11[[#This Row],[Farmer'#]]</f>
        <v>40013</v>
      </c>
      <c r="B215" t="str">
        <f>Table11[[#This Row],[Representative]]</f>
        <v>Norma Pérez González</v>
      </c>
      <c r="C215" t="str">
        <f>Table11[[#This Row],[Contract Name]]</f>
        <v>Juan Luis Villeda Gayosso</v>
      </c>
      <c r="D215" t="str">
        <f>Table11[[#This Row],[Status]]</f>
        <v>RFT</v>
      </c>
      <c r="E215" t="str">
        <f>Table11[[#This Row],[Contract Code]]</f>
        <v>MX0014</v>
      </c>
      <c r="F215" s="16">
        <f>Table11[[#This Row],['#TreesContract]]</f>
        <v>3300</v>
      </c>
      <c r="G215" s="16">
        <f>Table11[[#This Row],['#Planted]]</f>
        <v>3300</v>
      </c>
      <c r="H215" s="16">
        <f>Table11[[#This Row],['#TreesContract]]*Table11[[#This Row],[USA Allocation %]]</f>
        <v>3300</v>
      </c>
      <c r="I215" s="16">
        <f>Table11[[#This Row],['#Planted]]*Table11[[#This Row],[USA Allocation %]]</f>
        <v>3300</v>
      </c>
      <c r="J215" s="16">
        <f>Table11[[#This Row],[Contract Amendment]]*Table11[[#This Row],[USA Allocation %]]</f>
        <v>0</v>
      </c>
      <c r="K215" s="16">
        <f>Table11[[#This Row],['#Trees as of 12/31/23]]*Table11[[#This Row],[USA Allocation %]]</f>
        <v>2112</v>
      </c>
      <c r="L215" s="16">
        <f>Table11[[#This Row],['#Replace 24]]*Table11[[#This Row],[USA Allocation %]]</f>
        <v>0</v>
      </c>
      <c r="M215" s="16">
        <f>IF(Table11[[#This Row],[Planting Year]]=2024,Table11['#Planted],0)</f>
        <v>0</v>
      </c>
      <c r="N215" s="16">
        <f>(Table11[[#This Row],[2024 '#Trees Inventory + Estimate]]*Table11[[#This Row],[USA Allocation %]])-SUM(Table37[[#This Row],['# Trees as of 12/31/23]:[New Trees/Planted in 2024]])</f>
        <v>0</v>
      </c>
      <c r="O215" s="16">
        <f>SUM(Table37[[#This Row],['# Trees as of 12/31/23]:[2024 Tree Losses]])</f>
        <v>2112</v>
      </c>
      <c r="P215" s="16">
        <f>SUM(Table37[[#This Row],[Total Trees as of 12/31/24]]-Table37[[#This Row],['# Trees as of 12/31/23]])</f>
        <v>0</v>
      </c>
      <c r="Q215" s="16">
        <f>Table11[[#This Row],['#Total Replacements]]*Table11[[#This Row],[USA Allocation %]]</f>
        <v>1320</v>
      </c>
      <c r="R215" s="16">
        <f>IF(Table37[[#This Row],['#Survival based on Inventory]]=0,Table37['#Survival based on Last Year Estimate],Table37['#Survival based on Inventory])</f>
        <v>2112</v>
      </c>
      <c r="S215" s="16">
        <f>Table11[[#This Row],['#Planted]]*Table11[[#This Row],[USA Allocation %]]*Table11[[#This Row],[2024 Inventory Survival%-master]]</f>
        <v>0</v>
      </c>
      <c r="T215" s="16">
        <f>Table11[[#This Row],['#Planted]]*Table11[[#This Row],[USA Allocation %]]*Table11[[#This Row],[2024 Estimated Survival%]]</f>
        <v>2112</v>
      </c>
      <c r="U215">
        <f>Table11[[#This Row],[ETP Year]]</f>
        <v>2020</v>
      </c>
      <c r="V215">
        <f>Table11[[#This Row],[Planting Year]]</f>
        <v>2020</v>
      </c>
      <c r="W215" s="8">
        <f>Table11[[#This Row],[Survival% as of 12/31/23]]</f>
        <v>0.64</v>
      </c>
      <c r="X215" s="7">
        <f>Table11[[#This Row],[ETP'#s]]</f>
        <v>1</v>
      </c>
    </row>
    <row r="216" spans="1:24" x14ac:dyDescent="0.25">
      <c r="A216">
        <f>Table11[[#This Row],[Farmer'#]]</f>
        <v>40014</v>
      </c>
      <c r="B216" t="str">
        <f>Table11[[#This Row],[Representative]]</f>
        <v>Lucila Morales Druallet</v>
      </c>
      <c r="C216" t="str">
        <f>Table11[[#This Row],[Contract Name]]</f>
        <v>Lucila Morales Druallet</v>
      </c>
      <c r="D216" t="str">
        <f>Table11[[#This Row],[Status]]</f>
        <v>Out of Program</v>
      </c>
      <c r="E216" t="str">
        <f>Table11[[#This Row],[Contract Code]]</f>
        <v>MX0015</v>
      </c>
      <c r="F216" s="16">
        <f>Table11[[#This Row],['#TreesContract]]</f>
        <v>2750</v>
      </c>
      <c r="G216" s="16">
        <f>Table11[[#This Row],['#Planted]]</f>
        <v>2750</v>
      </c>
      <c r="H216" s="16">
        <f>Table11[[#This Row],['#TreesContract]]*Table11[[#This Row],[USA Allocation %]]</f>
        <v>2750</v>
      </c>
      <c r="I216" s="16">
        <f>Table11[[#This Row],['#Planted]]*Table11[[#This Row],[USA Allocation %]]</f>
        <v>2750</v>
      </c>
      <c r="J216" s="16">
        <f>Table11[[#This Row],[Contract Amendment]]*Table11[[#This Row],[USA Allocation %]]</f>
        <v>0</v>
      </c>
      <c r="K216" s="16">
        <f>Table11[[#This Row],['#Trees as of 12/31/23]]*Table11[[#This Row],[USA Allocation %]]</f>
        <v>0</v>
      </c>
      <c r="L216" s="16">
        <f>Table11[[#This Row],['#Replace 24]]*Table11[[#This Row],[USA Allocation %]]</f>
        <v>0</v>
      </c>
      <c r="M216" s="16">
        <f>IF(Table11[[#This Row],[Planting Year]]=2024,Table11['#Planted],0)</f>
        <v>0</v>
      </c>
      <c r="N216" s="16">
        <f>(Table11[[#This Row],[2024 '#Trees Inventory + Estimate]]*Table11[[#This Row],[USA Allocation %]])-SUM(Table37[[#This Row],['# Trees as of 12/31/23]:[New Trees/Planted in 2024]])</f>
        <v>0</v>
      </c>
      <c r="O216" s="16">
        <f>SUM(Table37[[#This Row],['# Trees as of 12/31/23]:[2024 Tree Losses]])</f>
        <v>0</v>
      </c>
      <c r="P216" s="16">
        <f>SUM(Table37[[#This Row],[Total Trees as of 12/31/24]]-Table37[[#This Row],['# Trees as of 12/31/23]])</f>
        <v>0</v>
      </c>
      <c r="Q216" s="16">
        <f>Table11[[#This Row],['#Total Replacements]]*Table11[[#This Row],[USA Allocation %]]</f>
        <v>0</v>
      </c>
      <c r="R216" s="16">
        <f>IF(Table37[[#This Row],['#Survival based on Inventory]]=0,Table37['#Survival based on Last Year Estimate],Table37['#Survival based on Inventory])</f>
        <v>0</v>
      </c>
      <c r="S216" s="16">
        <f>Table11[[#This Row],['#Planted]]*Table11[[#This Row],[USA Allocation %]]*Table11[[#This Row],[2024 Inventory Survival%-master]]</f>
        <v>0</v>
      </c>
      <c r="T216" s="16">
        <f>Table11[[#This Row],['#Planted]]*Table11[[#This Row],[USA Allocation %]]*Table11[[#This Row],[2024 Estimated Survival%]]</f>
        <v>0</v>
      </c>
      <c r="U216" t="str">
        <f>Table11[[#This Row],[ETP Year]]</f>
        <v>2020-NA/BA</v>
      </c>
      <c r="V216">
        <f>Table11[[#This Row],[Planting Year]]</f>
        <v>2020</v>
      </c>
      <c r="W216" s="8">
        <f>Table11[[#This Row],[Survival% as of 12/31/23]]</f>
        <v>0</v>
      </c>
      <c r="X216" s="7">
        <f>Table11[[#This Row],[ETP'#s]]</f>
        <v>1</v>
      </c>
    </row>
    <row r="217" spans="1:24" x14ac:dyDescent="0.25">
      <c r="A217">
        <f>Table11[[#This Row],[Farmer'#]]</f>
        <v>40015</v>
      </c>
      <c r="B217" t="str">
        <f>Table11[[#This Row],[Representative]]</f>
        <v>Miguel Angel Parada Fuentes</v>
      </c>
      <c r="C217" t="str">
        <f>Table11[[#This Row],[Contract Name]]</f>
        <v>Miguel Angel Parada Fuentes</v>
      </c>
      <c r="D217" t="str">
        <f>Table11[[#This Row],[Status]]</f>
        <v>Out of Program</v>
      </c>
      <c r="E217" t="str">
        <f>Table11[[#This Row],[Contract Code]]</f>
        <v>MX0016</v>
      </c>
      <c r="F217" s="16">
        <f>Table11[[#This Row],['#TreesContract]]</f>
        <v>2200</v>
      </c>
      <c r="G217" s="16">
        <f>Table11[[#This Row],['#Planted]]</f>
        <v>2200</v>
      </c>
      <c r="H217" s="16">
        <f>Table11[[#This Row],['#TreesContract]]*Table11[[#This Row],[USA Allocation %]]</f>
        <v>1408</v>
      </c>
      <c r="I217" s="16">
        <f>Table11[[#This Row],['#Planted]]*Table11[[#This Row],[USA Allocation %]]</f>
        <v>1408</v>
      </c>
      <c r="J217" s="16">
        <f>Table11[[#This Row],[Contract Amendment]]*Table11[[#This Row],[USA Allocation %]]</f>
        <v>0</v>
      </c>
      <c r="K217" s="16">
        <f>Table11[[#This Row],['#Trees as of 12/31/23]]*Table11[[#This Row],[USA Allocation %]]</f>
        <v>0</v>
      </c>
      <c r="L217" s="16">
        <f>Table11[[#This Row],['#Replace 24]]*Table11[[#This Row],[USA Allocation %]]</f>
        <v>0</v>
      </c>
      <c r="M217" s="16">
        <f>IF(Table11[[#This Row],[Planting Year]]=2024,Table11['#Planted],0)</f>
        <v>0</v>
      </c>
      <c r="N217" s="16">
        <f>(Table11[[#This Row],[2024 '#Trees Inventory + Estimate]]*Table11[[#This Row],[USA Allocation %]])-SUM(Table37[[#This Row],['# Trees as of 12/31/23]:[New Trees/Planted in 2024]])</f>
        <v>0</v>
      </c>
      <c r="O217" s="16">
        <f>SUM(Table37[[#This Row],['# Trees as of 12/31/23]:[2024 Tree Losses]])</f>
        <v>0</v>
      </c>
      <c r="P217" s="16">
        <f>SUM(Table37[[#This Row],[Total Trees as of 12/31/24]]-Table37[[#This Row],['# Trees as of 12/31/23]])</f>
        <v>0</v>
      </c>
      <c r="Q217" s="16">
        <f>Table11[[#This Row],['#Total Replacements]]*Table11[[#This Row],[USA Allocation %]]</f>
        <v>0</v>
      </c>
      <c r="R217" s="16">
        <f>IF(Table37[[#This Row],['#Survival based on Inventory]]=0,Table37['#Survival based on Last Year Estimate],Table37['#Survival based on Inventory])</f>
        <v>0</v>
      </c>
      <c r="S217" s="16">
        <f>Table11[[#This Row],['#Planted]]*Table11[[#This Row],[USA Allocation %]]*Table11[[#This Row],[2024 Inventory Survival%-master]]</f>
        <v>0</v>
      </c>
      <c r="T217" s="16">
        <f>Table11[[#This Row],['#Planted]]*Table11[[#This Row],[USA Allocation %]]*Table11[[#This Row],[2024 Estimated Survival%]]</f>
        <v>0</v>
      </c>
      <c r="U217">
        <f>Table11[[#This Row],[ETP Year]]</f>
        <v>2018</v>
      </c>
      <c r="V217">
        <f>Table11[[#This Row],[Planting Year]]</f>
        <v>2020</v>
      </c>
      <c r="W217" s="8">
        <f>Table11[[#This Row],[Survival% as of 12/31/23]]</f>
        <v>0</v>
      </c>
      <c r="X217" s="7">
        <f>Table11[[#This Row],[ETP'#s]]</f>
        <v>1</v>
      </c>
    </row>
    <row r="218" spans="1:24" x14ac:dyDescent="0.25">
      <c r="A218">
        <f>Table11[[#This Row],[Farmer'#]]</f>
        <v>40016</v>
      </c>
      <c r="B218" t="str">
        <f>Table11[[#This Row],[Representative]]</f>
        <v>Modesto Negrete Almeida</v>
      </c>
      <c r="C218" t="str">
        <f>Table11[[#This Row],[Contract Name]]</f>
        <v>Modesto Negrete Almeida</v>
      </c>
      <c r="D218" t="str">
        <f>Table11[[#This Row],[Status]]</f>
        <v>Out of Program</v>
      </c>
      <c r="E218" t="str">
        <f>Table11[[#This Row],[Contract Code]]</f>
        <v>MX0017</v>
      </c>
      <c r="F218" s="16">
        <f>Table11[[#This Row],['#TreesContract]]</f>
        <v>11550</v>
      </c>
      <c r="G218" s="16">
        <f>Table11[[#This Row],['#Planted]]</f>
        <v>11550</v>
      </c>
      <c r="H218" s="16">
        <f>Table11[[#This Row],['#TreesContract]]*Table11[[#This Row],[USA Allocation %]]</f>
        <v>11550</v>
      </c>
      <c r="I218" s="16">
        <f>Table11[[#This Row],['#Planted]]*Table11[[#This Row],[USA Allocation %]]</f>
        <v>11550</v>
      </c>
      <c r="J218" s="16">
        <f>Table11[[#This Row],[Contract Amendment]]*Table11[[#This Row],[USA Allocation %]]</f>
        <v>0</v>
      </c>
      <c r="K218" s="16">
        <f>Table11[[#This Row],['#Trees as of 12/31/23]]*Table11[[#This Row],[USA Allocation %]]</f>
        <v>0</v>
      </c>
      <c r="L218" s="16">
        <f>Table11[[#This Row],['#Replace 24]]*Table11[[#This Row],[USA Allocation %]]</f>
        <v>0</v>
      </c>
      <c r="M218" s="16">
        <f>IF(Table11[[#This Row],[Planting Year]]=2024,Table11['#Planted],0)</f>
        <v>0</v>
      </c>
      <c r="N218" s="16">
        <f>(Table11[[#This Row],[2024 '#Trees Inventory + Estimate]]*Table11[[#This Row],[USA Allocation %]])-SUM(Table37[[#This Row],['# Trees as of 12/31/23]:[New Trees/Planted in 2024]])</f>
        <v>0</v>
      </c>
      <c r="O218" s="16">
        <f>SUM(Table37[[#This Row],['# Trees as of 12/31/23]:[2024 Tree Losses]])</f>
        <v>0</v>
      </c>
      <c r="P218" s="16">
        <f>SUM(Table37[[#This Row],[Total Trees as of 12/31/24]]-Table37[[#This Row],['# Trees as of 12/31/23]])</f>
        <v>0</v>
      </c>
      <c r="Q218" s="16">
        <f>Table11[[#This Row],['#Total Replacements]]*Table11[[#This Row],[USA Allocation %]]</f>
        <v>0</v>
      </c>
      <c r="R218" s="16">
        <f>IF(Table37[[#This Row],['#Survival based on Inventory]]=0,Table37['#Survival based on Last Year Estimate],Table37['#Survival based on Inventory])</f>
        <v>0</v>
      </c>
      <c r="S218" s="16">
        <f>Table11[[#This Row],['#Planted]]*Table11[[#This Row],[USA Allocation %]]*Table11[[#This Row],[2024 Inventory Survival%-master]]</f>
        <v>0</v>
      </c>
      <c r="T218" s="16">
        <f>Table11[[#This Row],['#Planted]]*Table11[[#This Row],[USA Allocation %]]*Table11[[#This Row],[2024 Estimated Survival%]]</f>
        <v>0</v>
      </c>
      <c r="U218" t="str">
        <f>Table11[[#This Row],[ETP Year]]</f>
        <v>2020-NA/BA</v>
      </c>
      <c r="V218">
        <f>Table11[[#This Row],[Planting Year]]</f>
        <v>2020</v>
      </c>
      <c r="W218" s="8">
        <f>Table11[[#This Row],[Survival% as of 12/31/23]]</f>
        <v>0</v>
      </c>
      <c r="X218" s="7">
        <f>Table11[[#This Row],[ETP'#s]]</f>
        <v>1</v>
      </c>
    </row>
    <row r="219" spans="1:24" x14ac:dyDescent="0.25">
      <c r="A219">
        <f>Table11[[#This Row],[Farmer'#]]</f>
        <v>40017</v>
      </c>
      <c r="B219" t="str">
        <f>Table11[[#This Row],[Representative]]</f>
        <v>Omar Ulises Guerrero Aboytes</v>
      </c>
      <c r="C219" t="str">
        <f>Table11[[#This Row],[Contract Name]]</f>
        <v>Omar Ulises Guerrero Aboytes</v>
      </c>
      <c r="D219" t="str">
        <f>Table11[[#This Row],[Status]]</f>
        <v>RFT</v>
      </c>
      <c r="E219" t="str">
        <f>Table11[[#This Row],[Contract Code]]</f>
        <v>MX0018</v>
      </c>
      <c r="F219" s="16">
        <f>Table11[[#This Row],['#TreesContract]]</f>
        <v>1000</v>
      </c>
      <c r="G219" s="16">
        <f>Table11[[#This Row],['#Planted]]</f>
        <v>1000</v>
      </c>
      <c r="H219" s="16">
        <f>Table11[[#This Row],['#TreesContract]]*Table11[[#This Row],[USA Allocation %]]</f>
        <v>640</v>
      </c>
      <c r="I219" s="16">
        <f>Table11[[#This Row],['#Planted]]*Table11[[#This Row],[USA Allocation %]]</f>
        <v>640</v>
      </c>
      <c r="J219" s="16">
        <f>Table11[[#This Row],[Contract Amendment]]*Table11[[#This Row],[USA Allocation %]]</f>
        <v>0</v>
      </c>
      <c r="K219" s="16">
        <f>Table11[[#This Row],['#Trees as of 12/31/23]]*Table11[[#This Row],[USA Allocation %]]</f>
        <v>217.6</v>
      </c>
      <c r="L219" s="16">
        <f>Table11[[#This Row],['#Replace 24]]*Table11[[#This Row],[USA Allocation %]]</f>
        <v>0</v>
      </c>
      <c r="M219" s="16">
        <f>IF(Table11[[#This Row],[Planting Year]]=2024,Table11['#Planted],0)</f>
        <v>0</v>
      </c>
      <c r="N219" s="16">
        <f>(Table11[[#This Row],[2024 '#Trees Inventory + Estimate]]*Table11[[#This Row],[USA Allocation %]])-SUM(Table37[[#This Row],['# Trees as of 12/31/23]:[New Trees/Planted in 2024]])</f>
        <v>0</v>
      </c>
      <c r="O219" s="16">
        <f>SUM(Table37[[#This Row],['# Trees as of 12/31/23]:[2024 Tree Losses]])</f>
        <v>217.6</v>
      </c>
      <c r="P219" s="16">
        <f>SUM(Table37[[#This Row],[Total Trees as of 12/31/24]]-Table37[[#This Row],['# Trees as of 12/31/23]])</f>
        <v>0</v>
      </c>
      <c r="Q219" s="16">
        <f>Table11[[#This Row],['#Total Replacements]]*Table11[[#This Row],[USA Allocation %]]</f>
        <v>0</v>
      </c>
      <c r="R219" s="16">
        <f>IF(Table37[[#This Row],['#Survival based on Inventory]]=0,Table37['#Survival based on Last Year Estimate],Table37['#Survival based on Inventory])</f>
        <v>217.60000000000002</v>
      </c>
      <c r="S219" s="16">
        <f>Table11[[#This Row],['#Planted]]*Table11[[#This Row],[USA Allocation %]]*Table11[[#This Row],[2024 Inventory Survival%-master]]</f>
        <v>0</v>
      </c>
      <c r="T219" s="16">
        <f>Table11[[#This Row],['#Planted]]*Table11[[#This Row],[USA Allocation %]]*Table11[[#This Row],[2024 Estimated Survival%]]</f>
        <v>217.60000000000002</v>
      </c>
      <c r="U219">
        <f>Table11[[#This Row],[ETP Year]]</f>
        <v>2018</v>
      </c>
      <c r="V219">
        <f>Table11[[#This Row],[Planting Year]]</f>
        <v>2020</v>
      </c>
      <c r="W219" s="8">
        <f>Table11[[#This Row],[Survival% as of 12/31/23]]</f>
        <v>0.34</v>
      </c>
      <c r="X219" s="7">
        <f>Table11[[#This Row],[ETP'#s]]</f>
        <v>1</v>
      </c>
    </row>
    <row r="220" spans="1:24" x14ac:dyDescent="0.25">
      <c r="A220">
        <f>Table11[[#This Row],[Farmer'#]]</f>
        <v>40018</v>
      </c>
      <c r="B220" t="str">
        <f>Table11[[#This Row],[Representative]]</f>
        <v>Rogelio Rizo Velázquez</v>
      </c>
      <c r="C220" t="str">
        <f>Table11[[#This Row],[Contract Name]]</f>
        <v>Rogelio Rizo Velázquez</v>
      </c>
      <c r="D220" t="str">
        <f>Table11[[#This Row],[Status]]</f>
        <v>RFT</v>
      </c>
      <c r="E220" t="str">
        <f>Table11[[#This Row],[Contract Code]]</f>
        <v>MX0019</v>
      </c>
      <c r="F220" s="16">
        <f>Table11[[#This Row],['#TreesContract]]</f>
        <v>9200</v>
      </c>
      <c r="G220" s="16">
        <f>Table11[[#This Row],['#Planted]]</f>
        <v>9200</v>
      </c>
      <c r="H220" s="16">
        <f>Table11[[#This Row],['#TreesContract]]*Table11[[#This Row],[USA Allocation %]]</f>
        <v>5888</v>
      </c>
      <c r="I220" s="16">
        <f>Table11[[#This Row],['#Planted]]*Table11[[#This Row],[USA Allocation %]]</f>
        <v>5888</v>
      </c>
      <c r="J220" s="16">
        <f>Table11[[#This Row],[Contract Amendment]]*Table11[[#This Row],[USA Allocation %]]</f>
        <v>0</v>
      </c>
      <c r="K220" s="16">
        <f>Table11[[#This Row],['#Trees as of 12/31/23]]*Table11[[#This Row],[USA Allocation %]]</f>
        <v>5004.8</v>
      </c>
      <c r="L220" s="16">
        <f>Table11[[#This Row],['#Replace 24]]*Table11[[#This Row],[USA Allocation %]]</f>
        <v>0</v>
      </c>
      <c r="M220" s="16">
        <f>IF(Table11[[#This Row],[Planting Year]]=2024,Table11['#Planted],0)</f>
        <v>0</v>
      </c>
      <c r="N220" s="16">
        <f>(Table11[[#This Row],[2024 '#Trees Inventory + Estimate]]*Table11[[#This Row],[USA Allocation %]])-SUM(Table37[[#This Row],['# Trees as of 12/31/23]:[New Trees/Planted in 2024]])</f>
        <v>0</v>
      </c>
      <c r="O220" s="16">
        <f>SUM(Table37[[#This Row],['# Trees as of 12/31/23]:[2024 Tree Losses]])</f>
        <v>5004.8</v>
      </c>
      <c r="P220" s="16">
        <f>SUM(Table37[[#This Row],[Total Trees as of 12/31/24]]-Table37[[#This Row],['# Trees as of 12/31/23]])</f>
        <v>0</v>
      </c>
      <c r="Q220" s="16">
        <f>Table11[[#This Row],['#Total Replacements]]*Table11[[#This Row],[USA Allocation %]]</f>
        <v>832</v>
      </c>
      <c r="R220" s="16">
        <f>IF(Table37[[#This Row],['#Survival based on Inventory]]=0,Table37['#Survival based on Last Year Estimate],Table37['#Survival based on Inventory])</f>
        <v>5004.8</v>
      </c>
      <c r="S220" s="16">
        <f>Table11[[#This Row],['#Planted]]*Table11[[#This Row],[USA Allocation %]]*Table11[[#This Row],[2024 Inventory Survival%-master]]</f>
        <v>0</v>
      </c>
      <c r="T220" s="16">
        <f>Table11[[#This Row],['#Planted]]*Table11[[#This Row],[USA Allocation %]]*Table11[[#This Row],[2024 Estimated Survival%]]</f>
        <v>5004.8</v>
      </c>
      <c r="U220">
        <f>Table11[[#This Row],[ETP Year]]</f>
        <v>2018</v>
      </c>
      <c r="V220">
        <f>Table11[[#This Row],[Planting Year]]</f>
        <v>2020</v>
      </c>
      <c r="W220" s="8">
        <f>Table11[[#This Row],[Survival% as of 12/31/23]]</f>
        <v>0.85</v>
      </c>
      <c r="X220" s="7">
        <f>Table11[[#This Row],[ETP'#s]]</f>
        <v>1</v>
      </c>
    </row>
    <row r="221" spans="1:24" x14ac:dyDescent="0.25">
      <c r="A221">
        <f>Table11[[#This Row],[Farmer'#]]</f>
        <v>40019</v>
      </c>
      <c r="B221" t="str">
        <f>Table11[[#This Row],[Representative]]</f>
        <v>Victor Manuel Godinez Martinez</v>
      </c>
      <c r="C221" t="str">
        <f>Table11[[#This Row],[Contract Name]]</f>
        <v>Victor Manuel Godinez Martinez</v>
      </c>
      <c r="D221" t="str">
        <f>Table11[[#This Row],[Status]]</f>
        <v>Out of Program</v>
      </c>
      <c r="E221" t="str">
        <f>Table11[[#This Row],[Contract Code]]</f>
        <v>MX0020</v>
      </c>
      <c r="F221" s="16">
        <f>Table11[[#This Row],['#TreesContract]]</f>
        <v>11000</v>
      </c>
      <c r="G221" s="16">
        <f>Table11[[#This Row],['#Planted]]</f>
        <v>11000</v>
      </c>
      <c r="H221" s="16">
        <f>Table11[[#This Row],['#TreesContract]]*Table11[[#This Row],[USA Allocation %]]</f>
        <v>11000</v>
      </c>
      <c r="I221" s="16">
        <f>Table11[[#This Row],['#Planted]]*Table11[[#This Row],[USA Allocation %]]</f>
        <v>11000</v>
      </c>
      <c r="J221" s="16">
        <f>Table11[[#This Row],[Contract Amendment]]*Table11[[#This Row],[USA Allocation %]]</f>
        <v>0</v>
      </c>
      <c r="K221" s="16">
        <f>Table11[[#This Row],['#Trees as of 12/31/23]]*Table11[[#This Row],[USA Allocation %]]</f>
        <v>0</v>
      </c>
      <c r="L221" s="16">
        <f>Table11[[#This Row],['#Replace 24]]*Table11[[#This Row],[USA Allocation %]]</f>
        <v>0</v>
      </c>
      <c r="M221" s="16">
        <f>IF(Table11[[#This Row],[Planting Year]]=2024,Table11['#Planted],0)</f>
        <v>0</v>
      </c>
      <c r="N221" s="16">
        <f>(Table11[[#This Row],[2024 '#Trees Inventory + Estimate]]*Table11[[#This Row],[USA Allocation %]])-SUM(Table37[[#This Row],['# Trees as of 12/31/23]:[New Trees/Planted in 2024]])</f>
        <v>0</v>
      </c>
      <c r="O221" s="16">
        <f>SUM(Table37[[#This Row],['# Trees as of 12/31/23]:[2024 Tree Losses]])</f>
        <v>0</v>
      </c>
      <c r="P221" s="16">
        <f>SUM(Table37[[#This Row],[Total Trees as of 12/31/24]]-Table37[[#This Row],['# Trees as of 12/31/23]])</f>
        <v>0</v>
      </c>
      <c r="Q221" s="16">
        <f>Table11[[#This Row],['#Total Replacements]]*Table11[[#This Row],[USA Allocation %]]</f>
        <v>0</v>
      </c>
      <c r="R221" s="16">
        <f>IF(Table37[[#This Row],['#Survival based on Inventory]]=0,Table37['#Survival based on Last Year Estimate],Table37['#Survival based on Inventory])</f>
        <v>0</v>
      </c>
      <c r="S221" s="16">
        <f>Table11[[#This Row],['#Planted]]*Table11[[#This Row],[USA Allocation %]]*Table11[[#This Row],[2024 Inventory Survival%-master]]</f>
        <v>0</v>
      </c>
      <c r="T221" s="16">
        <f>Table11[[#This Row],['#Planted]]*Table11[[#This Row],[USA Allocation %]]*Table11[[#This Row],[2024 Estimated Survival%]]</f>
        <v>0</v>
      </c>
      <c r="U221">
        <f>Table11[[#This Row],[ETP Year]]</f>
        <v>2020</v>
      </c>
      <c r="V221">
        <f>Table11[[#This Row],[Planting Year]]</f>
        <v>2020</v>
      </c>
      <c r="W221" s="8">
        <f>Table11[[#This Row],[Survival% as of 12/31/23]]</f>
        <v>0</v>
      </c>
      <c r="X221" s="7">
        <f>Table11[[#This Row],[ETP'#s]]</f>
        <v>1</v>
      </c>
    </row>
    <row r="222" spans="1:24" x14ac:dyDescent="0.25">
      <c r="A222">
        <f>Table11[[#This Row],[Farmer'#]]</f>
        <v>10030</v>
      </c>
      <c r="B222" t="str">
        <f>Table11[[#This Row],[Representative]]</f>
        <v>Billy Whittaker</v>
      </c>
      <c r="C222" t="str">
        <f>Table11[[#This Row],[Contract Name]]</f>
        <v xml:space="preserve">Billy Whittaker </v>
      </c>
      <c r="D222" t="str">
        <f>Table11[[#This Row],[Status]]</f>
        <v>Out of Program</v>
      </c>
      <c r="E222" t="str">
        <f>Table11[[#This Row],[Contract Code]]</f>
        <v>US0093</v>
      </c>
      <c r="F222" s="16">
        <f>Table11[[#This Row],['#TreesContract]]</f>
        <v>280</v>
      </c>
      <c r="G222" s="16">
        <f>Table11[[#This Row],['#Planted]]</f>
        <v>280</v>
      </c>
      <c r="H222" s="16">
        <f>Table11[[#This Row],['#TreesContract]]*Table11[[#This Row],[USA Allocation %]]</f>
        <v>280</v>
      </c>
      <c r="I222" s="16">
        <f>Table11[[#This Row],['#Planted]]*Table11[[#This Row],[USA Allocation %]]</f>
        <v>280</v>
      </c>
      <c r="J222" s="16">
        <f>Table11[[#This Row],[Contract Amendment]]*Table11[[#This Row],[USA Allocation %]]</f>
        <v>0</v>
      </c>
      <c r="K222" s="16">
        <f>Table11[[#This Row],['#Trees as of 12/31/23]]*Table11[[#This Row],[USA Allocation %]]</f>
        <v>0</v>
      </c>
      <c r="L222" s="16">
        <f>Table11[[#This Row],['#Replace 24]]*Table11[[#This Row],[USA Allocation %]]</f>
        <v>0</v>
      </c>
      <c r="M222" s="16">
        <f>IF(Table11[[#This Row],[Planting Year]]=2024,Table11['#Planted],0)</f>
        <v>0</v>
      </c>
      <c r="N222" s="16">
        <f>(Table11[[#This Row],[2024 '#Trees Inventory + Estimate]]*Table11[[#This Row],[USA Allocation %]])-SUM(Table37[[#This Row],['# Trees as of 12/31/23]:[New Trees/Planted in 2024]])</f>
        <v>0</v>
      </c>
      <c r="O222" s="16">
        <f>SUM(Table37[[#This Row],['# Trees as of 12/31/23]:[2024 Tree Losses]])</f>
        <v>0</v>
      </c>
      <c r="P222" s="16">
        <f>SUM(Table37[[#This Row],[Total Trees as of 12/31/24]]-Table37[[#This Row],['# Trees as of 12/31/23]])</f>
        <v>0</v>
      </c>
      <c r="Q222" s="16">
        <f>Table11[[#This Row],['#Total Replacements]]*Table11[[#This Row],[USA Allocation %]]</f>
        <v>0</v>
      </c>
      <c r="R222" s="16">
        <f>IF(Table37[[#This Row],['#Survival based on Inventory]]=0,Table37['#Survival based on Last Year Estimate],Table37['#Survival based on Inventory])</f>
        <v>0</v>
      </c>
      <c r="S222" s="16">
        <f>Table11[[#This Row],['#Planted]]*Table11[[#This Row],[USA Allocation %]]*Table11[[#This Row],[2024 Inventory Survival%-master]]</f>
        <v>0</v>
      </c>
      <c r="T222" s="16">
        <f>Table11[[#This Row],['#Planted]]*Table11[[#This Row],[USA Allocation %]]*Table11[[#This Row],[2024 Estimated Survival%]]</f>
        <v>0</v>
      </c>
      <c r="U222">
        <f>Table11[[#This Row],[ETP Year]]</f>
        <v>2020</v>
      </c>
      <c r="V222">
        <f>Table11[[#This Row],[Planting Year]]</f>
        <v>2021</v>
      </c>
      <c r="W222" s="8">
        <f>Table11[[#This Row],[Survival% as of 12/31/23]]</f>
        <v>0</v>
      </c>
      <c r="X222" s="7">
        <f>Table11[[#This Row],[ETP'#s]]</f>
        <v>1</v>
      </c>
    </row>
    <row r="223" spans="1:24" x14ac:dyDescent="0.25">
      <c r="A223">
        <f>Table11[[#This Row],[Farmer'#]]</f>
        <v>10048</v>
      </c>
      <c r="B223" t="str">
        <f>Table11[[#This Row],[Representative]]</f>
        <v>Billy Strange</v>
      </c>
      <c r="C223" t="str">
        <f>Table11[[#This Row],[Contract Name]]</f>
        <v>Billy Strange</v>
      </c>
      <c r="D223" t="str">
        <f>Table11[[#This Row],[Status]]</f>
        <v>Active</v>
      </c>
      <c r="E223" t="str">
        <f>Table11[[#This Row],[Contract Code]]</f>
        <v>US0092</v>
      </c>
      <c r="F223" s="16">
        <f>Table11[[#This Row],['#TreesContract]]</f>
        <v>900</v>
      </c>
      <c r="G223" s="16">
        <f>Table11[[#This Row],['#Planted]]</f>
        <v>900</v>
      </c>
      <c r="H223" s="16">
        <f>Table11[[#This Row],['#TreesContract]]*Table11[[#This Row],[USA Allocation %]]</f>
        <v>900</v>
      </c>
      <c r="I223" s="16">
        <f>Table11[[#This Row],['#Planted]]*Table11[[#This Row],[USA Allocation %]]</f>
        <v>900</v>
      </c>
      <c r="J223" s="16">
        <f>Table11[[#This Row],[Contract Amendment]]*Table11[[#This Row],[USA Allocation %]]</f>
        <v>0</v>
      </c>
      <c r="K223" s="16">
        <f>Table11[[#This Row],['#Trees as of 12/31/23]]*Table11[[#This Row],[USA Allocation %]]</f>
        <v>538.125</v>
      </c>
      <c r="L223" s="16">
        <f>Table11[[#This Row],['#Replace 24]]*Table11[[#This Row],[USA Allocation %]]</f>
        <v>0</v>
      </c>
      <c r="M223" s="16">
        <f>IF(Table11[[#This Row],[Planting Year]]=2024,Table11['#Planted],0)</f>
        <v>0</v>
      </c>
      <c r="N223" s="16">
        <f>(Table11[[#This Row],[2024 '#Trees Inventory + Estimate]]*Table11[[#This Row],[USA Allocation %]])-SUM(Table37[[#This Row],['# Trees as of 12/31/23]:[New Trees/Planted in 2024]])</f>
        <v>0</v>
      </c>
      <c r="O223" s="16">
        <f>SUM(Table37[[#This Row],['# Trees as of 12/31/23]:[2024 Tree Losses]])</f>
        <v>538.125</v>
      </c>
      <c r="P223" s="16">
        <f>SUM(Table37[[#This Row],[Total Trees as of 12/31/24]]-Table37[[#This Row],['# Trees as of 12/31/23]])</f>
        <v>0</v>
      </c>
      <c r="Q223" s="16">
        <f>Table11[[#This Row],['#Total Replacements]]*Table11[[#This Row],[USA Allocation %]]</f>
        <v>1352</v>
      </c>
      <c r="R223" s="16">
        <f>IF(Table37[[#This Row],['#Survival based on Inventory]]=0,Table37['#Survival based on Last Year Estimate],Table37['#Survival based on Inventory])</f>
        <v>538.125</v>
      </c>
      <c r="S223" s="16">
        <f>Table11[[#This Row],['#Planted]]*Table11[[#This Row],[USA Allocation %]]*Table11[[#This Row],[2024 Inventory Survival%-master]]</f>
        <v>0</v>
      </c>
      <c r="T223" s="16">
        <f>Table11[[#This Row],['#Planted]]*Table11[[#This Row],[USA Allocation %]]*Table11[[#This Row],[2024 Estimated Survival%]]</f>
        <v>538.125</v>
      </c>
      <c r="U223">
        <f>Table11[[#This Row],[ETP Year]]</f>
        <v>2020</v>
      </c>
      <c r="V223">
        <f>Table11[[#This Row],[Planting Year]]</f>
        <v>2021</v>
      </c>
      <c r="W223" s="8">
        <f>Table11[[#This Row],[Survival% as of 12/31/23]]</f>
        <v>0.59791666666666665</v>
      </c>
      <c r="X223" s="7">
        <f>Table11[[#This Row],[ETP'#s]]</f>
        <v>1</v>
      </c>
    </row>
    <row r="224" spans="1:24" x14ac:dyDescent="0.25">
      <c r="A224">
        <f>Table11[[#This Row],[Farmer'#]]</f>
        <v>10062</v>
      </c>
      <c r="B224" t="str">
        <f>Table11[[#This Row],[Representative]]</f>
        <v>John Hayes</v>
      </c>
      <c r="C224" t="str">
        <f>Table11[[#This Row],[Contract Name]]</f>
        <v>Hayes Farms LLC</v>
      </c>
      <c r="D224" t="str">
        <f>Table11[[#This Row],[Status]]</f>
        <v>Out of Program</v>
      </c>
      <c r="E224" t="str">
        <f>Table11[[#This Row],[Contract Code]]</f>
        <v>US0105</v>
      </c>
      <c r="F224" s="16">
        <f>Table11[[#This Row],['#TreesContract]]</f>
        <v>330</v>
      </c>
      <c r="G224" s="16">
        <f>Table11[[#This Row],['#Planted]]</f>
        <v>330</v>
      </c>
      <c r="H224" s="16">
        <f>Table11[[#This Row],['#TreesContract]]*Table11[[#This Row],[USA Allocation %]]</f>
        <v>330</v>
      </c>
      <c r="I224" s="16">
        <f>Table11[[#This Row],['#Planted]]*Table11[[#This Row],[USA Allocation %]]</f>
        <v>330</v>
      </c>
      <c r="J224" s="16">
        <f>Table11[[#This Row],[Contract Amendment]]*Table11[[#This Row],[USA Allocation %]]</f>
        <v>0</v>
      </c>
      <c r="K224" s="16">
        <f>Table11[[#This Row],['#Trees as of 12/31/23]]*Table11[[#This Row],[USA Allocation %]]</f>
        <v>125.09090909090909</v>
      </c>
      <c r="L224" s="16">
        <f>Table11[[#This Row],['#Replace 24]]*Table11[[#This Row],[USA Allocation %]]</f>
        <v>0</v>
      </c>
      <c r="M224" s="16">
        <f>IF(Table11[[#This Row],[Planting Year]]=2024,Table11['#Planted],0)</f>
        <v>0</v>
      </c>
      <c r="N224" s="16">
        <f>(Table11[[#This Row],[2024 '#Trees Inventory + Estimate]]*Table11[[#This Row],[USA Allocation %]])-SUM(Table37[[#This Row],['# Trees as of 12/31/23]:[New Trees/Planted in 2024]])</f>
        <v>-125.09090909090909</v>
      </c>
      <c r="O224" s="16">
        <f>SUM(Table37[[#This Row],['# Trees as of 12/31/23]:[2024 Tree Losses]])</f>
        <v>0</v>
      </c>
      <c r="P224" s="16">
        <f>SUM(Table37[[#This Row],[Total Trees as of 12/31/24]]-Table37[[#This Row],['# Trees as of 12/31/23]])</f>
        <v>-125.09090909090909</v>
      </c>
      <c r="Q224" s="16">
        <f>Table11[[#This Row],['#Total Replacements]]*Table11[[#This Row],[USA Allocation %]]</f>
        <v>417</v>
      </c>
      <c r="R224" s="16">
        <f>IF(Table37[[#This Row],['#Survival based on Inventory]]=0,Table37['#Survival based on Last Year Estimate],Table37['#Survival based on Inventory])</f>
        <v>0</v>
      </c>
      <c r="S224" s="16">
        <f>Table11[[#This Row],['#Planted]]*Table11[[#This Row],[USA Allocation %]]*Table11[[#This Row],[2024 Inventory Survival%-master]]</f>
        <v>0</v>
      </c>
      <c r="T224" s="16">
        <f>Table11[[#This Row],['#Planted]]*Table11[[#This Row],[USA Allocation %]]*Table11[[#This Row],[2024 Estimated Survival%]]</f>
        <v>0</v>
      </c>
      <c r="U224">
        <f>Table11[[#This Row],[ETP Year]]</f>
        <v>2021</v>
      </c>
      <c r="V224">
        <f>Table11[[#This Row],[Planting Year]]</f>
        <v>2021</v>
      </c>
      <c r="W224" s="8">
        <f>Table11[[#This Row],[Survival% as of 12/31/23]]</f>
        <v>0.37906336088154269</v>
      </c>
      <c r="X224" s="7">
        <f>Table11[[#This Row],[ETP'#s]]</f>
        <v>1</v>
      </c>
    </row>
    <row r="225" spans="1:24" x14ac:dyDescent="0.25">
      <c r="A225">
        <f>Table11[[#This Row],[Farmer'#]]</f>
        <v>10067</v>
      </c>
      <c r="B225" t="str">
        <f>Table11[[#This Row],[Representative]]</f>
        <v>Mike Porter</v>
      </c>
      <c r="C225" t="str">
        <f>Table11[[#This Row],[Contract Name]]</f>
        <v>Mike Porter and Teri Galardi</v>
      </c>
      <c r="D225" t="str">
        <f>Table11[[#This Row],[Status]]</f>
        <v>Active</v>
      </c>
      <c r="E225" t="str">
        <f>Table11[[#This Row],[Contract Code]]</f>
        <v>US0116</v>
      </c>
      <c r="F225" s="16">
        <f>Table11[[#This Row],['#TreesContract]]</f>
        <v>1100</v>
      </c>
      <c r="G225" s="16">
        <f>Table11[[#This Row],['#Planted]]</f>
        <v>1100</v>
      </c>
      <c r="H225" s="16">
        <f>Table11[[#This Row],['#TreesContract]]*Table11[[#This Row],[USA Allocation %]]</f>
        <v>1100</v>
      </c>
      <c r="I225" s="16">
        <f>Table11[[#This Row],['#Planted]]*Table11[[#This Row],[USA Allocation %]]</f>
        <v>1100</v>
      </c>
      <c r="J225" s="16">
        <f>Table11[[#This Row],[Contract Amendment]]*Table11[[#This Row],[USA Allocation %]]</f>
        <v>0</v>
      </c>
      <c r="K225" s="16">
        <f>Table11[[#This Row],['#Trees as of 12/31/23]]*Table11[[#This Row],[USA Allocation %]]</f>
        <v>970.7258333333333</v>
      </c>
      <c r="L225" s="16">
        <f>Table11[[#This Row],['#Replace 24]]*Table11[[#This Row],[USA Allocation %]]</f>
        <v>0</v>
      </c>
      <c r="M225" s="16">
        <f>IF(Table11[[#This Row],[Planting Year]]=2024,Table11['#Planted],0)</f>
        <v>0</v>
      </c>
      <c r="N225" s="16">
        <f>(Table11[[#This Row],[2024 '#Trees Inventory + Estimate]]*Table11[[#This Row],[USA Allocation %]])-SUM(Table37[[#This Row],['# Trees as of 12/31/23]:[New Trees/Planted in 2024]])</f>
        <v>-970.7258333333333</v>
      </c>
      <c r="O225" s="16">
        <f>SUM(Table37[[#This Row],['# Trees as of 12/31/23]:[2024 Tree Losses]])</f>
        <v>0</v>
      </c>
      <c r="P225" s="16">
        <f>SUM(Table37[[#This Row],[Total Trees as of 12/31/24]]-Table37[[#This Row],['# Trees as of 12/31/23]])</f>
        <v>-970.7258333333333</v>
      </c>
      <c r="Q225" s="16">
        <f>Table11[[#This Row],['#Total Replacements]]*Table11[[#This Row],[USA Allocation %]]</f>
        <v>607</v>
      </c>
      <c r="R225" s="16">
        <f>IF(Table37[[#This Row],['#Survival based on Inventory]]=0,Table37['#Survival based on Last Year Estimate],Table37['#Survival based on Inventory])</f>
        <v>970.7258333333333</v>
      </c>
      <c r="S225" s="16">
        <f>Table11[[#This Row],['#Planted]]*Table11[[#This Row],[USA Allocation %]]*Table11[[#This Row],[2024 Inventory Survival%-master]]</f>
        <v>0</v>
      </c>
      <c r="T225" s="16">
        <f>Table11[[#This Row],['#Planted]]*Table11[[#This Row],[USA Allocation %]]*Table11[[#This Row],[2024 Estimated Survival%]]</f>
        <v>970.7258333333333</v>
      </c>
      <c r="U225">
        <f>Table11[[#This Row],[ETP Year]]</f>
        <v>2020</v>
      </c>
      <c r="V225">
        <f>Table11[[#This Row],[Planting Year]]</f>
        <v>2021</v>
      </c>
      <c r="W225" s="8">
        <f>Table11[[#This Row],[Survival% as of 12/31/23]]</f>
        <v>0.88247803030303029</v>
      </c>
      <c r="X225" s="7">
        <f>Table11[[#This Row],[ETP'#s]]</f>
        <v>1</v>
      </c>
    </row>
    <row r="226" spans="1:24" x14ac:dyDescent="0.25">
      <c r="A226">
        <f>Table11[[#This Row],[Farmer'#]]</f>
        <v>10072</v>
      </c>
      <c r="B226" t="str">
        <f>Table11[[#This Row],[Representative]]</f>
        <v>Ronnie and Kent Mathis</v>
      </c>
      <c r="C226" t="str">
        <f>Table11[[#This Row],[Contract Name]]</f>
        <v>Ronnie and Kent Mathis</v>
      </c>
      <c r="D226" t="str">
        <f>Table11[[#This Row],[Status]]</f>
        <v>Active</v>
      </c>
      <c r="E226" t="str">
        <f>Table11[[#This Row],[Contract Code]]</f>
        <v>US0117</v>
      </c>
      <c r="F226" s="16">
        <f>Table11[[#This Row],['#TreesContract]]</f>
        <v>330</v>
      </c>
      <c r="G226" s="16">
        <f>Table11[[#This Row],['#Planted]]</f>
        <v>330</v>
      </c>
      <c r="H226" s="16">
        <f>Table11[[#This Row],['#TreesContract]]*Table11[[#This Row],[USA Allocation %]]</f>
        <v>330</v>
      </c>
      <c r="I226" s="16">
        <f>Table11[[#This Row],['#Planted]]*Table11[[#This Row],[USA Allocation %]]</f>
        <v>330</v>
      </c>
      <c r="J226" s="16">
        <f>Table11[[#This Row],[Contract Amendment]]*Table11[[#This Row],[USA Allocation %]]</f>
        <v>0</v>
      </c>
      <c r="K226" s="16">
        <f>Table11[[#This Row],['#Trees as of 12/31/23]]*Table11[[#This Row],[USA Allocation %]]</f>
        <v>292.5</v>
      </c>
      <c r="L226" s="16">
        <f>Table11[[#This Row],['#Replace 24]]*Table11[[#This Row],[USA Allocation %]]</f>
        <v>0</v>
      </c>
      <c r="M226" s="16">
        <f>IF(Table11[[#This Row],[Planting Year]]=2024,Table11['#Planted],0)</f>
        <v>0</v>
      </c>
      <c r="N226" s="16">
        <f>(Table11[[#This Row],[2024 '#Trees Inventory + Estimate]]*Table11[[#This Row],[USA Allocation %]])-SUM(Table37[[#This Row],['# Trees as of 12/31/23]:[New Trees/Planted in 2024]])</f>
        <v>0</v>
      </c>
      <c r="O226" s="16">
        <f>SUM(Table37[[#This Row],['# Trees as of 12/31/23]:[2024 Tree Losses]])</f>
        <v>292.5</v>
      </c>
      <c r="P226" s="16">
        <f>SUM(Table37[[#This Row],[Total Trees as of 12/31/24]]-Table37[[#This Row],['# Trees as of 12/31/23]])</f>
        <v>0</v>
      </c>
      <c r="Q226" s="16">
        <f>Table11[[#This Row],['#Total Replacements]]*Table11[[#This Row],[USA Allocation %]]</f>
        <v>293</v>
      </c>
      <c r="R226" s="16">
        <f>IF(Table37[[#This Row],['#Survival based on Inventory]]=0,Table37['#Survival based on Last Year Estimate],Table37['#Survival based on Inventory])</f>
        <v>292.5</v>
      </c>
      <c r="S226" s="16">
        <f>Table11[[#This Row],['#Planted]]*Table11[[#This Row],[USA Allocation %]]*Table11[[#This Row],[2024 Inventory Survival%-master]]</f>
        <v>0</v>
      </c>
      <c r="T226" s="16">
        <f>Table11[[#This Row],['#Planted]]*Table11[[#This Row],[USA Allocation %]]*Table11[[#This Row],[2024 Estimated Survival%]]</f>
        <v>292.5</v>
      </c>
      <c r="U226">
        <f>Table11[[#This Row],[ETP Year]]</f>
        <v>2021</v>
      </c>
      <c r="V226">
        <f>Table11[[#This Row],[Planting Year]]</f>
        <v>2021</v>
      </c>
      <c r="W226" s="8">
        <f>Table11[[#This Row],[Survival% as of 12/31/23]]</f>
        <v>0.88636363636363635</v>
      </c>
      <c r="X226" s="7">
        <f>Table11[[#This Row],[ETP'#s]]</f>
        <v>1</v>
      </c>
    </row>
    <row r="227" spans="1:24" x14ac:dyDescent="0.25">
      <c r="A227">
        <f>Table11[[#This Row],[Farmer'#]]</f>
        <v>10075</v>
      </c>
      <c r="B227" t="str">
        <f>Table11[[#This Row],[Representative]]</f>
        <v>Scott Landreau</v>
      </c>
      <c r="C227" t="str">
        <f>Table11[[#This Row],[Contract Name]]</f>
        <v>Cidney Scott and Stuart Page Landreau</v>
      </c>
      <c r="D227" t="str">
        <f>Table11[[#This Row],[Status]]</f>
        <v>RFT</v>
      </c>
      <c r="E227" t="str">
        <f>Table11[[#This Row],[Contract Code]]</f>
        <v>US0119</v>
      </c>
      <c r="F227" s="16">
        <f>Table11[[#This Row],['#TreesContract]]</f>
        <v>880</v>
      </c>
      <c r="G227" s="16">
        <f>Table11[[#This Row],['#Planted]]</f>
        <v>880</v>
      </c>
      <c r="H227" s="16">
        <f>Table11[[#This Row],['#TreesContract]]*Table11[[#This Row],[USA Allocation %]]</f>
        <v>880</v>
      </c>
      <c r="I227" s="16">
        <f>Table11[[#This Row],['#Planted]]*Table11[[#This Row],[USA Allocation %]]</f>
        <v>880</v>
      </c>
      <c r="J227" s="16">
        <f>Table11[[#This Row],[Contract Amendment]]*Table11[[#This Row],[USA Allocation %]]</f>
        <v>0</v>
      </c>
      <c r="K227" s="16">
        <f>Table11[[#This Row],['#Trees as of 12/31/23]]*Table11[[#This Row],[USA Allocation %]]</f>
        <v>219.44444444444443</v>
      </c>
      <c r="L227" s="16">
        <f>Table11[[#This Row],['#Replace 24]]*Table11[[#This Row],[USA Allocation %]]</f>
        <v>0</v>
      </c>
      <c r="M227" s="16">
        <f>IF(Table11[[#This Row],[Planting Year]]=2024,Table11['#Planted],0)</f>
        <v>0</v>
      </c>
      <c r="N227" s="16">
        <f>(Table11[[#This Row],[2024 '#Trees Inventory + Estimate]]*Table11[[#This Row],[USA Allocation %]])-SUM(Table37[[#This Row],['# Trees as of 12/31/23]:[New Trees/Planted in 2024]])</f>
        <v>0</v>
      </c>
      <c r="O227" s="16">
        <f>SUM(Table37[[#This Row],['# Trees as of 12/31/23]:[2024 Tree Losses]])</f>
        <v>219.44444444444443</v>
      </c>
      <c r="P227" s="16">
        <f>SUM(Table37[[#This Row],[Total Trees as of 12/31/24]]-Table37[[#This Row],['# Trees as of 12/31/23]])</f>
        <v>0</v>
      </c>
      <c r="Q227" s="16">
        <f>Table11[[#This Row],['#Total Replacements]]*Table11[[#This Row],[USA Allocation %]]</f>
        <v>310</v>
      </c>
      <c r="R227" s="16">
        <f>IF(Table37[[#This Row],['#Survival based on Inventory]]=0,Table37['#Survival based on Last Year Estimate],Table37['#Survival based on Inventory])</f>
        <v>219.44444444444443</v>
      </c>
      <c r="S227" s="16">
        <f>Table11[[#This Row],['#Planted]]*Table11[[#This Row],[USA Allocation %]]*Table11[[#This Row],[2024 Inventory Survival%-master]]</f>
        <v>0</v>
      </c>
      <c r="T227" s="16">
        <f>Table11[[#This Row],['#Planted]]*Table11[[#This Row],[USA Allocation %]]*Table11[[#This Row],[2024 Estimated Survival%]]</f>
        <v>219.44444444444443</v>
      </c>
      <c r="U227">
        <f>Table11[[#This Row],[ETP Year]]</f>
        <v>2020</v>
      </c>
      <c r="V227">
        <f>Table11[[#This Row],[Planting Year]]</f>
        <v>2021</v>
      </c>
      <c r="W227" s="8">
        <f>Table11[[#This Row],[Survival% as of 12/31/23]]</f>
        <v>0.24936868686868685</v>
      </c>
      <c r="X227" s="7">
        <f>Table11[[#This Row],[ETP'#s]]</f>
        <v>1</v>
      </c>
    </row>
    <row r="228" spans="1:24" x14ac:dyDescent="0.25">
      <c r="A228">
        <f>Table11[[#This Row],[Farmer'#]]</f>
        <v>10077</v>
      </c>
      <c r="B228" t="str">
        <f>Table11[[#This Row],[Representative]]</f>
        <v>Andy Thomas</v>
      </c>
      <c r="C228" t="str">
        <f>Table11[[#This Row],[Contract Name]]</f>
        <v>Andy  Thomas</v>
      </c>
      <c r="D228" t="str">
        <f>Table11[[#This Row],[Status]]</f>
        <v>Out of Program</v>
      </c>
      <c r="E228" t="str">
        <f>Table11[[#This Row],[Contract Code]]</f>
        <v>US0089</v>
      </c>
      <c r="F228" s="16">
        <f>Table11[[#This Row],['#TreesContract]]</f>
        <v>1100</v>
      </c>
      <c r="G228" s="16">
        <f>Table11[[#This Row],['#Planted]]</f>
        <v>1100</v>
      </c>
      <c r="H228" s="16">
        <f>Table11[[#This Row],['#TreesContract]]*Table11[[#This Row],[USA Allocation %]]</f>
        <v>1100</v>
      </c>
      <c r="I228" s="16">
        <f>Table11[[#This Row],['#Planted]]*Table11[[#This Row],[USA Allocation %]]</f>
        <v>1100</v>
      </c>
      <c r="J228" s="16">
        <f>Table11[[#This Row],[Contract Amendment]]*Table11[[#This Row],[USA Allocation %]]</f>
        <v>0</v>
      </c>
      <c r="K228" s="16">
        <f>Table11[[#This Row],['#Trees as of 12/31/23]]*Table11[[#This Row],[USA Allocation %]]</f>
        <v>0</v>
      </c>
      <c r="L228" s="16">
        <f>Table11[[#This Row],['#Replace 24]]*Table11[[#This Row],[USA Allocation %]]</f>
        <v>0</v>
      </c>
      <c r="M228" s="16">
        <f>IF(Table11[[#This Row],[Planting Year]]=2024,Table11['#Planted],0)</f>
        <v>0</v>
      </c>
      <c r="N228" s="16">
        <f>(Table11[[#This Row],[2024 '#Trees Inventory + Estimate]]*Table11[[#This Row],[USA Allocation %]])-SUM(Table37[[#This Row],['# Trees as of 12/31/23]:[New Trees/Planted in 2024]])</f>
        <v>0</v>
      </c>
      <c r="O228" s="16">
        <f>SUM(Table37[[#This Row],['# Trees as of 12/31/23]:[2024 Tree Losses]])</f>
        <v>0</v>
      </c>
      <c r="P228" s="16">
        <f>SUM(Table37[[#This Row],[Total Trees as of 12/31/24]]-Table37[[#This Row],['# Trees as of 12/31/23]])</f>
        <v>0</v>
      </c>
      <c r="Q228" s="16">
        <f>Table11[[#This Row],['#Total Replacements]]*Table11[[#This Row],[USA Allocation %]]</f>
        <v>370</v>
      </c>
      <c r="R228" s="16">
        <f>IF(Table37[[#This Row],['#Survival based on Inventory]]=0,Table37['#Survival based on Last Year Estimate],Table37['#Survival based on Inventory])</f>
        <v>0</v>
      </c>
      <c r="S228" s="16">
        <f>Table11[[#This Row],['#Planted]]*Table11[[#This Row],[USA Allocation %]]*Table11[[#This Row],[2024 Inventory Survival%-master]]</f>
        <v>0</v>
      </c>
      <c r="T228" s="16">
        <f>Table11[[#This Row],['#Planted]]*Table11[[#This Row],[USA Allocation %]]*Table11[[#This Row],[2024 Estimated Survival%]]</f>
        <v>0</v>
      </c>
      <c r="U228">
        <f>Table11[[#This Row],[ETP Year]]</f>
        <v>2021</v>
      </c>
      <c r="V228">
        <f>Table11[[#This Row],[Planting Year]]</f>
        <v>2021</v>
      </c>
      <c r="W228" s="8">
        <f>Table11[[#This Row],[Survival% as of 12/31/23]]</f>
        <v>0</v>
      </c>
      <c r="X228" s="7">
        <f>Table11[[#This Row],[ETP'#s]]</f>
        <v>1</v>
      </c>
    </row>
    <row r="229" spans="1:24" x14ac:dyDescent="0.25">
      <c r="A229">
        <f>Table11[[#This Row],[Farmer'#]]</f>
        <v>10078</v>
      </c>
      <c r="B229" t="str">
        <f>Table11[[#This Row],[Representative]]</f>
        <v>Beau Dixon</v>
      </c>
      <c r="C229" t="str">
        <f>Table11[[#This Row],[Contract Name]]</f>
        <v>Don Dixon</v>
      </c>
      <c r="D229" t="str">
        <f>Table11[[#This Row],[Status]]</f>
        <v>Active</v>
      </c>
      <c r="E229" t="str">
        <f>Table11[[#This Row],[Contract Code]]</f>
        <v>US0090</v>
      </c>
      <c r="F229" s="16">
        <f>Table11[[#This Row],['#TreesContract]]</f>
        <v>1805</v>
      </c>
      <c r="G229" s="16">
        <f>Table11[[#This Row],['#Planted]]</f>
        <v>1805</v>
      </c>
      <c r="H229" s="16">
        <f>Table11[[#This Row],['#TreesContract]]*Table11[[#This Row],[USA Allocation %]]</f>
        <v>1805</v>
      </c>
      <c r="I229" s="16">
        <f>Table11[[#This Row],['#Planted]]*Table11[[#This Row],[USA Allocation %]]</f>
        <v>1805</v>
      </c>
      <c r="J229" s="16">
        <f>Table11[[#This Row],[Contract Amendment]]*Table11[[#This Row],[USA Allocation %]]</f>
        <v>0</v>
      </c>
      <c r="K229" s="16">
        <f>Table11[[#This Row],['#Trees as of 12/31/23]]*Table11[[#This Row],[USA Allocation %]]</f>
        <v>1252.1022727272727</v>
      </c>
      <c r="L229" s="16">
        <f>Table11[[#This Row],['#Replace 24]]*Table11[[#This Row],[USA Allocation %]]</f>
        <v>0</v>
      </c>
      <c r="M229" s="16">
        <f>IF(Table11[[#This Row],[Planting Year]]=2024,Table11['#Planted],0)</f>
        <v>0</v>
      </c>
      <c r="N229" s="16">
        <f>(Table11[[#This Row],[2024 '#Trees Inventory + Estimate]]*Table11[[#This Row],[USA Allocation %]])-SUM(Table37[[#This Row],['# Trees as of 12/31/23]:[New Trees/Planted in 2024]])</f>
        <v>-1232.1022727272727</v>
      </c>
      <c r="O229" s="16">
        <f>SUM(Table37[[#This Row],['# Trees as of 12/31/23]:[2024 Tree Losses]])</f>
        <v>20</v>
      </c>
      <c r="P229" s="16">
        <f>SUM(Table37[[#This Row],[Total Trees as of 12/31/24]]-Table37[[#This Row],['# Trees as of 12/31/23]])</f>
        <v>-1232.1022727272727</v>
      </c>
      <c r="Q229" s="16">
        <f>Table11[[#This Row],['#Total Replacements]]*Table11[[#This Row],[USA Allocation %]]</f>
        <v>861</v>
      </c>
      <c r="R229" s="16">
        <f>IF(Table37[[#This Row],['#Survival based on Inventory]]=0,Table37['#Survival based on Last Year Estimate],Table37['#Survival based on Inventory])</f>
        <v>1252.1022727272727</v>
      </c>
      <c r="S229" s="16">
        <f>Table11[[#This Row],['#Planted]]*Table11[[#This Row],[USA Allocation %]]*Table11[[#This Row],[2024 Inventory Survival%-master]]</f>
        <v>0</v>
      </c>
      <c r="T229" s="16">
        <f>Table11[[#This Row],['#Planted]]*Table11[[#This Row],[USA Allocation %]]*Table11[[#This Row],[2024 Estimated Survival%]]</f>
        <v>1252.1022727272727</v>
      </c>
      <c r="U229">
        <f>Table11[[#This Row],[ETP Year]]</f>
        <v>2020</v>
      </c>
      <c r="V229">
        <f>Table11[[#This Row],[Planting Year]]</f>
        <v>2021</v>
      </c>
      <c r="W229" s="8">
        <f>Table11[[#This Row],[Survival% as of 12/31/23]]</f>
        <v>0.69368546965499878</v>
      </c>
      <c r="X229" s="7">
        <f>Table11[[#This Row],[ETP'#s]]</f>
        <v>1</v>
      </c>
    </row>
    <row r="230" spans="1:24" x14ac:dyDescent="0.25">
      <c r="A230">
        <f>Table11[[#This Row],[Farmer'#]]</f>
        <v>10079</v>
      </c>
      <c r="B230" t="str">
        <f>Table11[[#This Row],[Representative]]</f>
        <v>Billy Gordie</v>
      </c>
      <c r="C230" t="str">
        <f>Table11[[#This Row],[Contract Name]]</f>
        <v>Billy Gordie</v>
      </c>
      <c r="D230" t="str">
        <f>Table11[[#This Row],[Status]]</f>
        <v>Active</v>
      </c>
      <c r="E230" t="str">
        <f>Table11[[#This Row],[Contract Code]]</f>
        <v>US0091</v>
      </c>
      <c r="F230" s="16">
        <f>Table11[[#This Row],['#TreesContract]]</f>
        <v>1100</v>
      </c>
      <c r="G230" s="16">
        <f>Table11[[#This Row],['#Planted]]</f>
        <v>1100</v>
      </c>
      <c r="H230" s="16">
        <f>Table11[[#This Row],['#TreesContract]]*Table11[[#This Row],[USA Allocation %]]</f>
        <v>1100</v>
      </c>
      <c r="I230" s="16">
        <f>Table11[[#This Row],['#Planted]]*Table11[[#This Row],[USA Allocation %]]</f>
        <v>1100</v>
      </c>
      <c r="J230" s="16">
        <f>Table11[[#This Row],[Contract Amendment]]*Table11[[#This Row],[USA Allocation %]]</f>
        <v>0</v>
      </c>
      <c r="K230" s="16">
        <f>Table11[[#This Row],['#Trees as of 12/31/23]]*Table11[[#This Row],[USA Allocation %]]</f>
        <v>1100</v>
      </c>
      <c r="L230" s="16">
        <f>Table11[[#This Row],['#Replace 24]]*Table11[[#This Row],[USA Allocation %]]</f>
        <v>0</v>
      </c>
      <c r="M230" s="16">
        <f>IF(Table11[[#This Row],[Planting Year]]=2024,Table11['#Planted],0)</f>
        <v>0</v>
      </c>
      <c r="N230" s="16">
        <f>(Table11[[#This Row],[2024 '#Trees Inventory + Estimate]]*Table11[[#This Row],[USA Allocation %]])-SUM(Table37[[#This Row],['# Trees as of 12/31/23]:[New Trees/Planted in 2024]])</f>
        <v>0</v>
      </c>
      <c r="O230" s="16">
        <f>SUM(Table37[[#This Row],['# Trees as of 12/31/23]:[2024 Tree Losses]])</f>
        <v>1100</v>
      </c>
      <c r="P230" s="16">
        <f>SUM(Table37[[#This Row],[Total Trees as of 12/31/24]]-Table37[[#This Row],['# Trees as of 12/31/23]])</f>
        <v>0</v>
      </c>
      <c r="Q230" s="16">
        <f>Table11[[#This Row],['#Total Replacements]]*Table11[[#This Row],[USA Allocation %]]</f>
        <v>84</v>
      </c>
      <c r="R230" s="16">
        <f>IF(Table37[[#This Row],['#Survival based on Inventory]]=0,Table37['#Survival based on Last Year Estimate],Table37['#Survival based on Inventory])</f>
        <v>1100</v>
      </c>
      <c r="S230" s="16">
        <f>Table11[[#This Row],['#Planted]]*Table11[[#This Row],[USA Allocation %]]*Table11[[#This Row],[2024 Inventory Survival%-master]]</f>
        <v>0</v>
      </c>
      <c r="T230" s="16">
        <f>Table11[[#This Row],['#Planted]]*Table11[[#This Row],[USA Allocation %]]*Table11[[#This Row],[2024 Estimated Survival%]]</f>
        <v>1100</v>
      </c>
      <c r="U230">
        <f>Table11[[#This Row],[ETP Year]]</f>
        <v>2020</v>
      </c>
      <c r="V230">
        <f>Table11[[#This Row],[Planting Year]]</f>
        <v>2021</v>
      </c>
      <c r="W230" s="8">
        <f>Table11[[#This Row],[Survival% as of 12/31/23]]</f>
        <v>1</v>
      </c>
      <c r="X230" s="7">
        <f>Table11[[#This Row],[ETP'#s]]</f>
        <v>1</v>
      </c>
    </row>
    <row r="231" spans="1:24" x14ac:dyDescent="0.25">
      <c r="A231">
        <f>Table11[[#This Row],[Farmer'#]]</f>
        <v>10080</v>
      </c>
      <c r="B231" t="str">
        <f>Table11[[#This Row],[Representative]]</f>
        <v>Bobby Searcy</v>
      </c>
      <c r="C231" t="str">
        <f>Table11[[#This Row],[Contract Name]]</f>
        <v>Bobby  Searcy</v>
      </c>
      <c r="D231" t="str">
        <f>Table11[[#This Row],[Status]]</f>
        <v>Active</v>
      </c>
      <c r="E231" t="str">
        <f>Table11[[#This Row],[Contract Code]]</f>
        <v>US0094</v>
      </c>
      <c r="F231" s="16">
        <f>Table11[[#This Row],['#TreesContract]]</f>
        <v>1540</v>
      </c>
      <c r="G231" s="16">
        <f>Table11[[#This Row],['#Planted]]</f>
        <v>1540</v>
      </c>
      <c r="H231" s="16">
        <f>Table11[[#This Row],['#TreesContract]]*Table11[[#This Row],[USA Allocation %]]</f>
        <v>1540</v>
      </c>
      <c r="I231" s="16">
        <f>Table11[[#This Row],['#Planted]]*Table11[[#This Row],[USA Allocation %]]</f>
        <v>1540</v>
      </c>
      <c r="J231" s="16">
        <f>Table11[[#This Row],[Contract Amendment]]*Table11[[#This Row],[USA Allocation %]]</f>
        <v>0</v>
      </c>
      <c r="K231" s="16">
        <f>Table11[[#This Row],['#Trees as of 12/31/23]]*Table11[[#This Row],[USA Allocation %]]</f>
        <v>1287.4100185528757</v>
      </c>
      <c r="L231" s="16">
        <f>Table11[[#This Row],['#Replace 24]]*Table11[[#This Row],[USA Allocation %]]</f>
        <v>0</v>
      </c>
      <c r="M231" s="16">
        <f>IF(Table11[[#This Row],[Planting Year]]=2024,Table11['#Planted],0)</f>
        <v>0</v>
      </c>
      <c r="N231" s="16">
        <f>(Table11[[#This Row],[2024 '#Trees Inventory + Estimate]]*Table11[[#This Row],[USA Allocation %]])-SUM(Table37[[#This Row],['# Trees as of 12/31/23]:[New Trees/Planted in 2024]])</f>
        <v>0</v>
      </c>
      <c r="O231" s="16">
        <f>SUM(Table37[[#This Row],['# Trees as of 12/31/23]:[2024 Tree Losses]])</f>
        <v>1287.4100185528757</v>
      </c>
      <c r="P231" s="16">
        <f>SUM(Table37[[#This Row],[Total Trees as of 12/31/24]]-Table37[[#This Row],['# Trees as of 12/31/23]])</f>
        <v>0</v>
      </c>
      <c r="Q231" s="16">
        <f>Table11[[#This Row],['#Total Replacements]]*Table11[[#This Row],[USA Allocation %]]</f>
        <v>200</v>
      </c>
      <c r="R231" s="16">
        <f>IF(Table37[[#This Row],['#Survival based on Inventory]]=0,Table37['#Survival based on Last Year Estimate],Table37['#Survival based on Inventory])</f>
        <v>1287.4100185528757</v>
      </c>
      <c r="S231" s="16">
        <f>Table11[[#This Row],['#Planted]]*Table11[[#This Row],[USA Allocation %]]*Table11[[#This Row],[2024 Inventory Survival%-master]]</f>
        <v>0</v>
      </c>
      <c r="T231" s="16">
        <f>Table11[[#This Row],['#Planted]]*Table11[[#This Row],[USA Allocation %]]*Table11[[#This Row],[2024 Estimated Survival%]]</f>
        <v>1287.4100185528757</v>
      </c>
      <c r="U231">
        <f>Table11[[#This Row],[ETP Year]]</f>
        <v>2020</v>
      </c>
      <c r="V231">
        <f>Table11[[#This Row],[Planting Year]]</f>
        <v>2021</v>
      </c>
      <c r="W231" s="8">
        <f>Table11[[#This Row],[Survival% as of 12/31/23]]</f>
        <v>0.83598053152784135</v>
      </c>
      <c r="X231" s="7">
        <f>Table11[[#This Row],[ETP'#s]]</f>
        <v>1</v>
      </c>
    </row>
    <row r="232" spans="1:24" x14ac:dyDescent="0.25">
      <c r="A232">
        <f>Table11[[#This Row],[Farmer'#]]</f>
        <v>10081</v>
      </c>
      <c r="B232" t="str">
        <f>Table11[[#This Row],[Representative]]</f>
        <v>Brent Stiehl</v>
      </c>
      <c r="C232" t="str">
        <f>Table11[[#This Row],[Contract Name]]</f>
        <v>Brent  Stiehl</v>
      </c>
      <c r="D232" t="str">
        <f>Table11[[#This Row],[Status]]</f>
        <v>Active</v>
      </c>
      <c r="E232" t="str">
        <f>Table11[[#This Row],[Contract Code]]</f>
        <v>US0095</v>
      </c>
      <c r="F232" s="16">
        <f>Table11[[#This Row],['#TreesContract]]</f>
        <v>1100</v>
      </c>
      <c r="G232" s="16">
        <f>Table11[[#This Row],['#Planted]]</f>
        <v>1100</v>
      </c>
      <c r="H232" s="16">
        <f>Table11[[#This Row],['#TreesContract]]*Table11[[#This Row],[USA Allocation %]]</f>
        <v>1100</v>
      </c>
      <c r="I232" s="16">
        <f>Table11[[#This Row],['#Planted]]*Table11[[#This Row],[USA Allocation %]]</f>
        <v>1100</v>
      </c>
      <c r="J232" s="16">
        <f>Table11[[#This Row],[Contract Amendment]]*Table11[[#This Row],[USA Allocation %]]</f>
        <v>0</v>
      </c>
      <c r="K232" s="16">
        <f>Table11[[#This Row],['#Trees as of 12/31/23]]*Table11[[#This Row],[USA Allocation %]]</f>
        <v>835.03174603174602</v>
      </c>
      <c r="L232" s="16">
        <f>Table11[[#This Row],['#Replace 24]]*Table11[[#This Row],[USA Allocation %]]</f>
        <v>0</v>
      </c>
      <c r="M232" s="16">
        <f>IF(Table11[[#This Row],[Planting Year]]=2024,Table11['#Planted],0)</f>
        <v>0</v>
      </c>
      <c r="N232" s="16">
        <f>(Table11[[#This Row],[2024 '#Trees Inventory + Estimate]]*Table11[[#This Row],[USA Allocation %]])-SUM(Table37[[#This Row],['# Trees as of 12/31/23]:[New Trees/Planted in 2024]])</f>
        <v>0</v>
      </c>
      <c r="O232" s="16">
        <f>SUM(Table37[[#This Row],['# Trees as of 12/31/23]:[2024 Tree Losses]])</f>
        <v>835.03174603174602</v>
      </c>
      <c r="P232" s="16">
        <f>SUM(Table37[[#This Row],[Total Trees as of 12/31/24]]-Table37[[#This Row],['# Trees as of 12/31/23]])</f>
        <v>0</v>
      </c>
      <c r="Q232" s="16">
        <f>Table11[[#This Row],['#Total Replacements]]*Table11[[#This Row],[USA Allocation %]]</f>
        <v>210</v>
      </c>
      <c r="R232" s="16">
        <f>IF(Table37[[#This Row],['#Survival based on Inventory]]=0,Table37['#Survival based on Last Year Estimate],Table37['#Survival based on Inventory])</f>
        <v>835.03174603174602</v>
      </c>
      <c r="S232" s="16">
        <f>Table11[[#This Row],['#Planted]]*Table11[[#This Row],[USA Allocation %]]*Table11[[#This Row],[2024 Inventory Survival%-master]]</f>
        <v>0</v>
      </c>
      <c r="T232" s="16">
        <f>Table11[[#This Row],['#Planted]]*Table11[[#This Row],[USA Allocation %]]*Table11[[#This Row],[2024 Estimated Survival%]]</f>
        <v>835.03174603174602</v>
      </c>
      <c r="U232">
        <f>Table11[[#This Row],[ETP Year]]</f>
        <v>2020</v>
      </c>
      <c r="V232">
        <f>Table11[[#This Row],[Planting Year]]</f>
        <v>2021</v>
      </c>
      <c r="W232" s="8">
        <f>Table11[[#This Row],[Survival% as of 12/31/23]]</f>
        <v>0.75911976911976908</v>
      </c>
      <c r="X232" s="7">
        <f>Table11[[#This Row],[ETP'#s]]</f>
        <v>1</v>
      </c>
    </row>
    <row r="233" spans="1:24" x14ac:dyDescent="0.25">
      <c r="A233">
        <f>Table11[[#This Row],[Farmer'#]]</f>
        <v>10082</v>
      </c>
      <c r="B233" t="str">
        <f>Table11[[#This Row],[Representative]]</f>
        <v>Chris Bolen</v>
      </c>
      <c r="C233" t="str">
        <f>Table11[[#This Row],[Contract Name]]</f>
        <v>Chris  Bolen</v>
      </c>
      <c r="D233" t="str">
        <f>Table11[[#This Row],[Status]]</f>
        <v>Active</v>
      </c>
      <c r="E233" t="str">
        <f>Table11[[#This Row],[Contract Code]]</f>
        <v>US0096</v>
      </c>
      <c r="F233" s="16">
        <f>Table11[[#This Row],['#TreesContract]]</f>
        <v>1100</v>
      </c>
      <c r="G233" s="16">
        <f>Table11[[#This Row],['#Planted]]</f>
        <v>1100</v>
      </c>
      <c r="H233" s="16">
        <f>Table11[[#This Row],['#TreesContract]]*Table11[[#This Row],[USA Allocation %]]</f>
        <v>1100</v>
      </c>
      <c r="I233" s="16">
        <f>Table11[[#This Row],['#Planted]]*Table11[[#This Row],[USA Allocation %]]</f>
        <v>1100</v>
      </c>
      <c r="J233" s="16">
        <f>Table11[[#This Row],[Contract Amendment]]*Table11[[#This Row],[USA Allocation %]]</f>
        <v>0</v>
      </c>
      <c r="K233" s="16">
        <f>Table11[[#This Row],['#Trees as of 12/31/23]]*Table11[[#This Row],[USA Allocation %]]</f>
        <v>1035.3272727272729</v>
      </c>
      <c r="L233" s="16">
        <f>Table11[[#This Row],['#Replace 24]]*Table11[[#This Row],[USA Allocation %]]</f>
        <v>0</v>
      </c>
      <c r="M233" s="16">
        <f>IF(Table11[[#This Row],[Planting Year]]=2024,Table11['#Planted],0)</f>
        <v>0</v>
      </c>
      <c r="N233" s="16">
        <f>(Table11[[#This Row],[2024 '#Trees Inventory + Estimate]]*Table11[[#This Row],[USA Allocation %]])-SUM(Table37[[#This Row],['# Trees as of 12/31/23]:[New Trees/Planted in 2024]])</f>
        <v>0</v>
      </c>
      <c r="O233" s="16">
        <f>SUM(Table37[[#This Row],['# Trees as of 12/31/23]:[2024 Tree Losses]])</f>
        <v>1035.3272727272729</v>
      </c>
      <c r="P233" s="16">
        <f>SUM(Table37[[#This Row],[Total Trees as of 12/31/24]]-Table37[[#This Row],['# Trees as of 12/31/23]])</f>
        <v>0</v>
      </c>
      <c r="Q233" s="16">
        <f>Table11[[#This Row],['#Total Replacements]]*Table11[[#This Row],[USA Allocation %]]</f>
        <v>412</v>
      </c>
      <c r="R233" s="16">
        <f>IF(Table37[[#This Row],['#Survival based on Inventory]]=0,Table37['#Survival based on Last Year Estimate],Table37['#Survival based on Inventory])</f>
        <v>1035.3272727272729</v>
      </c>
      <c r="S233" s="16">
        <f>Table11[[#This Row],['#Planted]]*Table11[[#This Row],[USA Allocation %]]*Table11[[#This Row],[2024 Inventory Survival%-master]]</f>
        <v>0</v>
      </c>
      <c r="T233" s="16">
        <f>Table11[[#This Row],['#Planted]]*Table11[[#This Row],[USA Allocation %]]*Table11[[#This Row],[2024 Estimated Survival%]]</f>
        <v>1035.3272727272729</v>
      </c>
      <c r="U233">
        <f>Table11[[#This Row],[ETP Year]]</f>
        <v>2020</v>
      </c>
      <c r="V233">
        <f>Table11[[#This Row],[Planting Year]]</f>
        <v>2021</v>
      </c>
      <c r="W233" s="8">
        <f>Table11[[#This Row],[Survival% as of 12/31/23]]</f>
        <v>0.9412066115702481</v>
      </c>
      <c r="X233" s="7">
        <f>Table11[[#This Row],[ETP'#s]]</f>
        <v>1</v>
      </c>
    </row>
    <row r="234" spans="1:24" x14ac:dyDescent="0.25">
      <c r="A234">
        <f>Table11[[#This Row],[Farmer'#]]</f>
        <v>10083</v>
      </c>
      <c r="B234" t="str">
        <f>Table11[[#This Row],[Representative]]</f>
        <v>Chris Hoehn</v>
      </c>
      <c r="C234" t="str">
        <f>Table11[[#This Row],[Contract Name]]</f>
        <v>Chris  Hoehn</v>
      </c>
      <c r="D234" t="str">
        <f>Table11[[#This Row],[Status]]</f>
        <v>Active</v>
      </c>
      <c r="E234" t="str">
        <f>Table11[[#This Row],[Contract Code]]</f>
        <v>US0097</v>
      </c>
      <c r="F234" s="16">
        <f>Table11[[#This Row],['#TreesContract]]</f>
        <v>2800</v>
      </c>
      <c r="G234" s="16">
        <f>Table11[[#This Row],['#Planted]]</f>
        <v>2800</v>
      </c>
      <c r="H234" s="16">
        <f>Table11[[#This Row],['#TreesContract]]*Table11[[#This Row],[USA Allocation %]]</f>
        <v>2800</v>
      </c>
      <c r="I234" s="16">
        <f>Table11[[#This Row],['#Planted]]*Table11[[#This Row],[USA Allocation %]]</f>
        <v>2800</v>
      </c>
      <c r="J234" s="16">
        <f>Table11[[#This Row],[Contract Amendment]]*Table11[[#This Row],[USA Allocation %]]</f>
        <v>0</v>
      </c>
      <c r="K234" s="16">
        <f>Table11[[#This Row],['#Trees as of 12/31/23]]*Table11[[#This Row],[USA Allocation %]]</f>
        <v>1762.8452380952381</v>
      </c>
      <c r="L234" s="16">
        <f>Table11[[#This Row],['#Replace 24]]*Table11[[#This Row],[USA Allocation %]]</f>
        <v>0</v>
      </c>
      <c r="M234" s="16">
        <f>IF(Table11[[#This Row],[Planting Year]]=2024,Table11['#Planted],0)</f>
        <v>0</v>
      </c>
      <c r="N234" s="16">
        <f>(Table11[[#This Row],[2024 '#Trees Inventory + Estimate]]*Table11[[#This Row],[USA Allocation %]])-SUM(Table37[[#This Row],['# Trees as of 12/31/23]:[New Trees/Planted in 2024]])</f>
        <v>0</v>
      </c>
      <c r="O234" s="16">
        <f>SUM(Table37[[#This Row],['# Trees as of 12/31/23]:[2024 Tree Losses]])</f>
        <v>1762.8452380952381</v>
      </c>
      <c r="P234" s="16">
        <f>SUM(Table37[[#This Row],[Total Trees as of 12/31/24]]-Table37[[#This Row],['# Trees as of 12/31/23]])</f>
        <v>0</v>
      </c>
      <c r="Q234" s="16">
        <f>Table11[[#This Row],['#Total Replacements]]*Table11[[#This Row],[USA Allocation %]]</f>
        <v>504</v>
      </c>
      <c r="R234" s="16">
        <f>IF(Table37[[#This Row],['#Survival based on Inventory]]=0,Table37['#Survival based on Last Year Estimate],Table37['#Survival based on Inventory])</f>
        <v>1762.8452380952381</v>
      </c>
      <c r="S234" s="16">
        <f>Table11[[#This Row],['#Planted]]*Table11[[#This Row],[USA Allocation %]]*Table11[[#This Row],[2024 Inventory Survival%-master]]</f>
        <v>0</v>
      </c>
      <c r="T234" s="16">
        <f>Table11[[#This Row],['#Planted]]*Table11[[#This Row],[USA Allocation %]]*Table11[[#This Row],[2024 Estimated Survival%]]</f>
        <v>1762.8452380952381</v>
      </c>
      <c r="U234">
        <f>Table11[[#This Row],[ETP Year]]</f>
        <v>2020</v>
      </c>
      <c r="V234">
        <f>Table11[[#This Row],[Planting Year]]</f>
        <v>2021</v>
      </c>
      <c r="W234" s="8">
        <f>Table11[[#This Row],[Survival% as of 12/31/23]]</f>
        <v>0.62958758503401357</v>
      </c>
      <c r="X234" s="7">
        <f>Table11[[#This Row],[ETP'#s]]</f>
        <v>1</v>
      </c>
    </row>
    <row r="235" spans="1:24" x14ac:dyDescent="0.25">
      <c r="A235">
        <f>Table11[[#This Row],[Farmer'#]]</f>
        <v>10084</v>
      </c>
      <c r="B235" t="str">
        <f>Table11[[#This Row],[Representative]]</f>
        <v>David Fordham</v>
      </c>
      <c r="C235" t="str">
        <f>Table11[[#This Row],[Contract Name]]</f>
        <v>David  Fordham</v>
      </c>
      <c r="D235" t="str">
        <f>Table11[[#This Row],[Status]]</f>
        <v>RFT</v>
      </c>
      <c r="E235" t="str">
        <f>Table11[[#This Row],[Contract Code]]</f>
        <v>US0098</v>
      </c>
      <c r="F235" s="16">
        <f>Table11[[#This Row],['#TreesContract]]</f>
        <v>1650</v>
      </c>
      <c r="G235" s="16">
        <f>Table11[[#This Row],['#Planted]]</f>
        <v>1650</v>
      </c>
      <c r="H235" s="16">
        <f>Table11[[#This Row],['#TreesContract]]*Table11[[#This Row],[USA Allocation %]]</f>
        <v>1650</v>
      </c>
      <c r="I235" s="16">
        <f>Table11[[#This Row],['#Planted]]*Table11[[#This Row],[USA Allocation %]]</f>
        <v>1650</v>
      </c>
      <c r="J235" s="16">
        <f>Table11[[#This Row],[Contract Amendment]]*Table11[[#This Row],[USA Allocation %]]</f>
        <v>0</v>
      </c>
      <c r="K235" s="16">
        <f>Table11[[#This Row],['#Trees as of 12/31/23]]*Table11[[#This Row],[USA Allocation %]]</f>
        <v>412.84045584045583</v>
      </c>
      <c r="L235" s="16">
        <f>Table11[[#This Row],['#Replace 24]]*Table11[[#This Row],[USA Allocation %]]</f>
        <v>0</v>
      </c>
      <c r="M235" s="16">
        <f>IF(Table11[[#This Row],[Planting Year]]=2024,Table11['#Planted],0)</f>
        <v>0</v>
      </c>
      <c r="N235" s="16">
        <f>(Table11[[#This Row],[2024 '#Trees Inventory + Estimate]]*Table11[[#This Row],[USA Allocation %]])-SUM(Table37[[#This Row],['# Trees as of 12/31/23]:[New Trees/Planted in 2024]])</f>
        <v>0</v>
      </c>
      <c r="O235" s="16">
        <f>SUM(Table37[[#This Row],['# Trees as of 12/31/23]:[2024 Tree Losses]])</f>
        <v>412.84045584045583</v>
      </c>
      <c r="P235" s="16">
        <f>SUM(Table37[[#This Row],[Total Trees as of 12/31/24]]-Table37[[#This Row],['# Trees as of 12/31/23]])</f>
        <v>0</v>
      </c>
      <c r="Q235" s="16">
        <f>Table11[[#This Row],['#Total Replacements]]*Table11[[#This Row],[USA Allocation %]]</f>
        <v>420</v>
      </c>
      <c r="R235" s="16">
        <f>IF(Table37[[#This Row],['#Survival based on Inventory]]=0,Table37['#Survival based on Last Year Estimate],Table37['#Survival based on Inventory])</f>
        <v>412.84045584045583</v>
      </c>
      <c r="S235" s="16">
        <f>Table11[[#This Row],['#Planted]]*Table11[[#This Row],[USA Allocation %]]*Table11[[#This Row],[2024 Inventory Survival%-master]]</f>
        <v>0</v>
      </c>
      <c r="T235" s="16">
        <f>Table11[[#This Row],['#Planted]]*Table11[[#This Row],[USA Allocation %]]*Table11[[#This Row],[2024 Estimated Survival%]]</f>
        <v>412.84045584045583</v>
      </c>
      <c r="U235">
        <f>Table11[[#This Row],[ETP Year]]</f>
        <v>2020</v>
      </c>
      <c r="V235">
        <f>Table11[[#This Row],[Planting Year]]</f>
        <v>2021</v>
      </c>
      <c r="W235" s="8">
        <f>Table11[[#This Row],[Survival% as of 12/31/23]]</f>
        <v>0.25020633687300353</v>
      </c>
      <c r="X235" s="7">
        <f>Table11[[#This Row],[ETP'#s]]</f>
        <v>1</v>
      </c>
    </row>
    <row r="236" spans="1:24" x14ac:dyDescent="0.25">
      <c r="A236">
        <f>Table11[[#This Row],[Farmer'#]]</f>
        <v>10085</v>
      </c>
      <c r="B236" t="str">
        <f>Table11[[#This Row],[Representative]]</f>
        <v>Ivette Alcoba</v>
      </c>
      <c r="C236" t="str">
        <f>Table11[[#This Row],[Contract Name]]</f>
        <v>Ivette  Alcoba</v>
      </c>
      <c r="D236" t="str">
        <f>Table11[[#This Row],[Status]]</f>
        <v>Active</v>
      </c>
      <c r="E236" t="str">
        <f>Table11[[#This Row],[Contract Code]]</f>
        <v>US0099</v>
      </c>
      <c r="F236" s="16">
        <f>Table11[[#This Row],['#TreesContract]]</f>
        <v>1210</v>
      </c>
      <c r="G236" s="16">
        <f>Table11[[#This Row],['#Planted]]</f>
        <v>1210</v>
      </c>
      <c r="H236" s="16">
        <f>Table11[[#This Row],['#TreesContract]]*Table11[[#This Row],[USA Allocation %]]</f>
        <v>1210</v>
      </c>
      <c r="I236" s="16">
        <f>Table11[[#This Row],['#Planted]]*Table11[[#This Row],[USA Allocation %]]</f>
        <v>1210</v>
      </c>
      <c r="J236" s="16">
        <f>Table11[[#This Row],[Contract Amendment]]*Table11[[#This Row],[USA Allocation %]]</f>
        <v>0</v>
      </c>
      <c r="K236" s="16">
        <f>Table11[[#This Row],['#Trees as of 12/31/23]]*Table11[[#This Row],[USA Allocation %]]</f>
        <v>349.20110192837467</v>
      </c>
      <c r="L236" s="16">
        <f>Table11[[#This Row],['#Replace 24]]*Table11[[#This Row],[USA Allocation %]]</f>
        <v>0</v>
      </c>
      <c r="M236" s="16">
        <f>IF(Table11[[#This Row],[Planting Year]]=2024,Table11['#Planted],0)</f>
        <v>0</v>
      </c>
      <c r="N236" s="16">
        <f>(Table11[[#This Row],[2024 '#Trees Inventory + Estimate]]*Table11[[#This Row],[USA Allocation %]])-SUM(Table37[[#This Row],['# Trees as of 12/31/23]:[New Trees/Planted in 2024]])</f>
        <v>0</v>
      </c>
      <c r="O236" s="16">
        <f>SUM(Table37[[#This Row],['# Trees as of 12/31/23]:[2024 Tree Losses]])</f>
        <v>349.20110192837467</v>
      </c>
      <c r="P236" s="16">
        <f>SUM(Table37[[#This Row],[Total Trees as of 12/31/24]]-Table37[[#This Row],['# Trees as of 12/31/23]])</f>
        <v>0</v>
      </c>
      <c r="Q236" s="16">
        <f>Table11[[#This Row],['#Total Replacements]]*Table11[[#This Row],[USA Allocation %]]</f>
        <v>2092</v>
      </c>
      <c r="R236" s="16">
        <f>IF(Table37[[#This Row],['#Survival based on Inventory]]=0,Table37['#Survival based on Last Year Estimate],Table37['#Survival based on Inventory])</f>
        <v>349.20110192837467</v>
      </c>
      <c r="S236" s="16">
        <f>Table11[[#This Row],['#Planted]]*Table11[[#This Row],[USA Allocation %]]*Table11[[#This Row],[2024 Inventory Survival%-master]]</f>
        <v>0</v>
      </c>
      <c r="T236" s="16">
        <f>Table11[[#This Row],['#Planted]]*Table11[[#This Row],[USA Allocation %]]*Table11[[#This Row],[2024 Estimated Survival%]]</f>
        <v>349.20110192837467</v>
      </c>
      <c r="U236">
        <f>Table11[[#This Row],[ETP Year]]</f>
        <v>2021</v>
      </c>
      <c r="V236">
        <f>Table11[[#This Row],[Planting Year]]</f>
        <v>2021</v>
      </c>
      <c r="W236" s="8">
        <f>Table11[[#This Row],[Survival% as of 12/31/23]]</f>
        <v>0.28859595200692123</v>
      </c>
      <c r="X236" s="7">
        <f>Table11[[#This Row],[ETP'#s]]</f>
        <v>1</v>
      </c>
    </row>
    <row r="237" spans="1:24" x14ac:dyDescent="0.25">
      <c r="A237">
        <f>Table11[[#This Row],[Farmer'#]]</f>
        <v>10086</v>
      </c>
      <c r="B237" t="str">
        <f>Table11[[#This Row],[Representative]]</f>
        <v>James Cochran</v>
      </c>
      <c r="C237" t="str">
        <f>Table11[[#This Row],[Contract Name]]</f>
        <v>James  Cochran</v>
      </c>
      <c r="D237" t="str">
        <f>Table11[[#This Row],[Status]]</f>
        <v>Active</v>
      </c>
      <c r="E237" t="str">
        <f>Table11[[#This Row],[Contract Code]]</f>
        <v>US0100</v>
      </c>
      <c r="F237" s="16">
        <f>Table11[[#This Row],['#TreesContract]]</f>
        <v>1100</v>
      </c>
      <c r="G237" s="16">
        <f>Table11[[#This Row],['#Planted]]</f>
        <v>1100</v>
      </c>
      <c r="H237" s="16">
        <f>Table11[[#This Row],['#TreesContract]]*Table11[[#This Row],[USA Allocation %]]</f>
        <v>1100</v>
      </c>
      <c r="I237" s="16">
        <f>Table11[[#This Row],['#Planted]]*Table11[[#This Row],[USA Allocation %]]</f>
        <v>1100</v>
      </c>
      <c r="J237" s="16">
        <f>Table11[[#This Row],[Contract Amendment]]*Table11[[#This Row],[USA Allocation %]]</f>
        <v>0</v>
      </c>
      <c r="K237" s="16">
        <f>Table11[[#This Row],['#Trees as of 12/31/23]]*Table11[[#This Row],[USA Allocation %]]</f>
        <v>1079</v>
      </c>
      <c r="L237" s="16">
        <f>Table11[[#This Row],['#Replace 24]]*Table11[[#This Row],[USA Allocation %]]</f>
        <v>0</v>
      </c>
      <c r="M237" s="16">
        <f>IF(Table11[[#This Row],[Planting Year]]=2024,Table11['#Planted],0)</f>
        <v>0</v>
      </c>
      <c r="N237" s="16">
        <f>(Table11[[#This Row],[2024 '#Trees Inventory + Estimate]]*Table11[[#This Row],[USA Allocation %]])-SUM(Table37[[#This Row],['# Trees as of 12/31/23]:[New Trees/Planted in 2024]])</f>
        <v>0</v>
      </c>
      <c r="O237" s="16">
        <f>SUM(Table37[[#This Row],['# Trees as of 12/31/23]:[2024 Tree Losses]])</f>
        <v>1079</v>
      </c>
      <c r="P237" s="16">
        <f>SUM(Table37[[#This Row],[Total Trees as of 12/31/24]]-Table37[[#This Row],['# Trees as of 12/31/23]])</f>
        <v>0</v>
      </c>
      <c r="Q237" s="16">
        <f>Table11[[#This Row],['#Total Replacements]]*Table11[[#This Row],[USA Allocation %]]</f>
        <v>652</v>
      </c>
      <c r="R237" s="16">
        <f>IF(Table37[[#This Row],['#Survival based on Inventory]]=0,Table37['#Survival based on Last Year Estimate],Table37['#Survival based on Inventory])</f>
        <v>1079</v>
      </c>
      <c r="S237" s="16">
        <f>Table11[[#This Row],['#Planted]]*Table11[[#This Row],[USA Allocation %]]*Table11[[#This Row],[2024 Inventory Survival%-master]]</f>
        <v>0</v>
      </c>
      <c r="T237" s="16">
        <f>Table11[[#This Row],['#Planted]]*Table11[[#This Row],[USA Allocation %]]*Table11[[#This Row],[2024 Estimated Survival%]]</f>
        <v>1079</v>
      </c>
      <c r="U237">
        <f>Table11[[#This Row],[ETP Year]]</f>
        <v>2021</v>
      </c>
      <c r="V237">
        <f>Table11[[#This Row],[Planting Year]]</f>
        <v>2021</v>
      </c>
      <c r="W237" s="8">
        <f>Table11[[#This Row],[Survival% as of 12/31/23]]</f>
        <v>0.98090909090909095</v>
      </c>
      <c r="X237" s="7">
        <f>Table11[[#This Row],[ETP'#s]]</f>
        <v>1</v>
      </c>
    </row>
    <row r="238" spans="1:24" x14ac:dyDescent="0.25">
      <c r="A238">
        <f>Table11[[#This Row],[Farmer'#]]</f>
        <v>10087</v>
      </c>
      <c r="B238" t="str">
        <f>Table11[[#This Row],[Representative]]</f>
        <v>Jamie Hayes</v>
      </c>
      <c r="C238" t="str">
        <f>Table11[[#This Row],[Contract Name]]</f>
        <v>Jamie  Hayes</v>
      </c>
      <c r="D238" t="str">
        <f>Table11[[#This Row],[Status]]</f>
        <v>Active</v>
      </c>
      <c r="E238" t="str">
        <f>Table11[[#This Row],[Contract Code]]</f>
        <v>US0101</v>
      </c>
      <c r="F238" s="16">
        <f>Table11[[#This Row],['#TreesContract]]</f>
        <v>1100</v>
      </c>
      <c r="G238" s="16">
        <f>Table11[[#This Row],['#Planted]]</f>
        <v>1100</v>
      </c>
      <c r="H238" s="16">
        <f>Table11[[#This Row],['#TreesContract]]*Table11[[#This Row],[USA Allocation %]]</f>
        <v>1100</v>
      </c>
      <c r="I238" s="16">
        <f>Table11[[#This Row],['#Planted]]*Table11[[#This Row],[USA Allocation %]]</f>
        <v>1100</v>
      </c>
      <c r="J238" s="16">
        <f>Table11[[#This Row],[Contract Amendment]]*Table11[[#This Row],[USA Allocation %]]</f>
        <v>0</v>
      </c>
      <c r="K238" s="16">
        <f>Table11[[#This Row],['#Trees as of 12/31/23]]*Table11[[#This Row],[USA Allocation %]]</f>
        <v>883.69444444444446</v>
      </c>
      <c r="L238" s="16">
        <f>Table11[[#This Row],['#Replace 24]]*Table11[[#This Row],[USA Allocation %]]</f>
        <v>0</v>
      </c>
      <c r="M238" s="16">
        <f>IF(Table11[[#This Row],[Planting Year]]=2024,Table11['#Planted],0)</f>
        <v>0</v>
      </c>
      <c r="N238" s="16">
        <f>(Table11[[#This Row],[2024 '#Trees Inventory + Estimate]]*Table11[[#This Row],[USA Allocation %]])-SUM(Table37[[#This Row],['# Trees as of 12/31/23]:[New Trees/Planted in 2024]])</f>
        <v>0</v>
      </c>
      <c r="O238" s="16">
        <f>SUM(Table37[[#This Row],['# Trees as of 12/31/23]:[2024 Tree Losses]])</f>
        <v>883.69444444444446</v>
      </c>
      <c r="P238" s="16">
        <f>SUM(Table37[[#This Row],[Total Trees as of 12/31/24]]-Table37[[#This Row],['# Trees as of 12/31/23]])</f>
        <v>0</v>
      </c>
      <c r="Q238" s="16">
        <f>Table11[[#This Row],['#Total Replacements]]*Table11[[#This Row],[USA Allocation %]]</f>
        <v>873</v>
      </c>
      <c r="R238" s="16">
        <f>IF(Table37[[#This Row],['#Survival based on Inventory]]=0,Table37['#Survival based on Last Year Estimate],Table37['#Survival based on Inventory])</f>
        <v>883.69444444444446</v>
      </c>
      <c r="S238" s="16">
        <f>Table11[[#This Row],['#Planted]]*Table11[[#This Row],[USA Allocation %]]*Table11[[#This Row],[2024 Inventory Survival%-master]]</f>
        <v>0</v>
      </c>
      <c r="T238" s="16">
        <f>Table11[[#This Row],['#Planted]]*Table11[[#This Row],[USA Allocation %]]*Table11[[#This Row],[2024 Estimated Survival%]]</f>
        <v>883.69444444444446</v>
      </c>
      <c r="U238">
        <f>Table11[[#This Row],[ETP Year]]</f>
        <v>2020</v>
      </c>
      <c r="V238">
        <f>Table11[[#This Row],[Planting Year]]</f>
        <v>2021</v>
      </c>
      <c r="W238" s="8">
        <f>Table11[[#This Row],[Survival% as of 12/31/23]]</f>
        <v>0.80335858585858588</v>
      </c>
      <c r="X238" s="7">
        <f>Table11[[#This Row],[ETP'#s]]</f>
        <v>1</v>
      </c>
    </row>
    <row r="239" spans="1:24" x14ac:dyDescent="0.25">
      <c r="A239">
        <f>Table11[[#This Row],[Farmer'#]]</f>
        <v>10088</v>
      </c>
      <c r="B239" t="str">
        <f>Table11[[#This Row],[Representative]]</f>
        <v>Jared Lilly</v>
      </c>
      <c r="C239" t="str">
        <f>Table11[[#This Row],[Contract Name]]</f>
        <v>Jared  Lilly</v>
      </c>
      <c r="D239" t="str">
        <f>Table11[[#This Row],[Status]]</f>
        <v>Active</v>
      </c>
      <c r="E239" t="str">
        <f>Table11[[#This Row],[Contract Code]]</f>
        <v>US0102</v>
      </c>
      <c r="F239" s="16">
        <f>Table11[[#This Row],['#TreesContract]]</f>
        <v>880</v>
      </c>
      <c r="G239" s="16">
        <f>Table11[[#This Row],['#Planted]]</f>
        <v>880</v>
      </c>
      <c r="H239" s="16">
        <f>Table11[[#This Row],['#TreesContract]]*Table11[[#This Row],[USA Allocation %]]</f>
        <v>880</v>
      </c>
      <c r="I239" s="16">
        <f>Table11[[#This Row],['#Planted]]*Table11[[#This Row],[USA Allocation %]]</f>
        <v>880</v>
      </c>
      <c r="J239" s="16">
        <f>Table11[[#This Row],[Contract Amendment]]*Table11[[#This Row],[USA Allocation %]]</f>
        <v>0</v>
      </c>
      <c r="K239" s="16">
        <f>Table11[[#This Row],['#Trees as of 12/31/23]]*Table11[[#This Row],[USA Allocation %]]</f>
        <v>795.76048951048961</v>
      </c>
      <c r="L239" s="16">
        <f>Table11[[#This Row],['#Replace 24]]*Table11[[#This Row],[USA Allocation %]]</f>
        <v>0</v>
      </c>
      <c r="M239" s="16">
        <f>IF(Table11[[#This Row],[Planting Year]]=2024,Table11['#Planted],0)</f>
        <v>0</v>
      </c>
      <c r="N239" s="16">
        <f>(Table11[[#This Row],[2024 '#Trees Inventory + Estimate]]*Table11[[#This Row],[USA Allocation %]])-SUM(Table37[[#This Row],['# Trees as of 12/31/23]:[New Trees/Planted in 2024]])</f>
        <v>0</v>
      </c>
      <c r="O239" s="16">
        <f>SUM(Table37[[#This Row],['# Trees as of 12/31/23]:[2024 Tree Losses]])</f>
        <v>795.76048951048961</v>
      </c>
      <c r="P239" s="16">
        <f>SUM(Table37[[#This Row],[Total Trees as of 12/31/24]]-Table37[[#This Row],['# Trees as of 12/31/23]])</f>
        <v>0</v>
      </c>
      <c r="Q239" s="16">
        <f>Table11[[#This Row],['#Total Replacements]]*Table11[[#This Row],[USA Allocation %]]</f>
        <v>441</v>
      </c>
      <c r="R239" s="16">
        <f>IF(Table37[[#This Row],['#Survival based on Inventory]]=0,Table37['#Survival based on Last Year Estimate],Table37['#Survival based on Inventory])</f>
        <v>795.76048951048961</v>
      </c>
      <c r="S239" s="16">
        <f>Table11[[#This Row],['#Planted]]*Table11[[#This Row],[USA Allocation %]]*Table11[[#This Row],[2024 Inventory Survival%-master]]</f>
        <v>0</v>
      </c>
      <c r="T239" s="16">
        <f>Table11[[#This Row],['#Planted]]*Table11[[#This Row],[USA Allocation %]]*Table11[[#This Row],[2024 Estimated Survival%]]</f>
        <v>795.76048951048961</v>
      </c>
      <c r="U239">
        <f>Table11[[#This Row],[ETP Year]]</f>
        <v>2020</v>
      </c>
      <c r="V239">
        <f>Table11[[#This Row],[Planting Year]]</f>
        <v>2021</v>
      </c>
      <c r="W239" s="8">
        <f>Table11[[#This Row],[Survival% as of 12/31/23]]</f>
        <v>0.90427328353464731</v>
      </c>
      <c r="X239" s="7">
        <f>Table11[[#This Row],[ETP'#s]]</f>
        <v>1</v>
      </c>
    </row>
    <row r="240" spans="1:24" x14ac:dyDescent="0.25">
      <c r="A240">
        <f>Table11[[#This Row],[Farmer'#]]</f>
        <v>10089</v>
      </c>
      <c r="B240" t="str">
        <f>Table11[[#This Row],[Representative]]</f>
        <v>Anthony Lea</v>
      </c>
      <c r="C240" t="str">
        <f>Table11[[#This Row],[Contract Name]]</f>
        <v>Anthony Lea</v>
      </c>
      <c r="D240" t="str">
        <f>Table11[[#This Row],[Status]]</f>
        <v>Active</v>
      </c>
      <c r="E240" t="str">
        <f>Table11[[#This Row],[Contract Code]]</f>
        <v>US0103</v>
      </c>
      <c r="F240" s="16">
        <f>Table11[[#This Row],['#TreesContract]]</f>
        <v>1100</v>
      </c>
      <c r="G240" s="16">
        <f>Table11[[#This Row],['#Planted]]</f>
        <v>1100</v>
      </c>
      <c r="H240" s="16">
        <f>Table11[[#This Row],['#TreesContract]]*Table11[[#This Row],[USA Allocation %]]</f>
        <v>1100</v>
      </c>
      <c r="I240" s="16">
        <f>Table11[[#This Row],['#Planted]]*Table11[[#This Row],[USA Allocation %]]</f>
        <v>1100</v>
      </c>
      <c r="J240" s="16">
        <f>Table11[[#This Row],[Contract Amendment]]*Table11[[#This Row],[USA Allocation %]]</f>
        <v>0</v>
      </c>
      <c r="K240" s="16">
        <f>Table11[[#This Row],['#Trees as of 12/31/23]]*Table11[[#This Row],[USA Allocation %]]</f>
        <v>1100</v>
      </c>
      <c r="L240" s="16">
        <f>Table11[[#This Row],['#Replace 24]]*Table11[[#This Row],[USA Allocation %]]</f>
        <v>0</v>
      </c>
      <c r="M240" s="16">
        <f>IF(Table11[[#This Row],[Planting Year]]=2024,Table11['#Planted],0)</f>
        <v>0</v>
      </c>
      <c r="N240" s="16">
        <f>(Table11[[#This Row],[2024 '#Trees Inventory + Estimate]]*Table11[[#This Row],[USA Allocation %]])-SUM(Table37[[#This Row],['# Trees as of 12/31/23]:[New Trees/Planted in 2024]])</f>
        <v>0</v>
      </c>
      <c r="O240" s="16">
        <f>SUM(Table37[[#This Row],['# Trees as of 12/31/23]:[2024 Tree Losses]])</f>
        <v>1100</v>
      </c>
      <c r="P240" s="16">
        <f>SUM(Table37[[#This Row],[Total Trees as of 12/31/24]]-Table37[[#This Row],['# Trees as of 12/31/23]])</f>
        <v>0</v>
      </c>
      <c r="Q240" s="16">
        <f>Table11[[#This Row],['#Total Replacements]]*Table11[[#This Row],[USA Allocation %]]</f>
        <v>504</v>
      </c>
      <c r="R240" s="16">
        <f>IF(Table37[[#This Row],['#Survival based on Inventory]]=0,Table37['#Survival based on Last Year Estimate],Table37['#Survival based on Inventory])</f>
        <v>1100</v>
      </c>
      <c r="S240" s="16">
        <f>Table11[[#This Row],['#Planted]]*Table11[[#This Row],[USA Allocation %]]*Table11[[#This Row],[2024 Inventory Survival%-master]]</f>
        <v>0</v>
      </c>
      <c r="T240" s="16">
        <f>Table11[[#This Row],['#Planted]]*Table11[[#This Row],[USA Allocation %]]*Table11[[#This Row],[2024 Estimated Survival%]]</f>
        <v>1100</v>
      </c>
      <c r="U240">
        <f>Table11[[#This Row],[ETP Year]]</f>
        <v>2020</v>
      </c>
      <c r="V240">
        <f>Table11[[#This Row],[Planting Year]]</f>
        <v>2021</v>
      </c>
      <c r="W240" s="8">
        <f>Table11[[#This Row],[Survival% as of 12/31/23]]</f>
        <v>1</v>
      </c>
      <c r="X240" s="7">
        <f>Table11[[#This Row],[ETP'#s]]</f>
        <v>1</v>
      </c>
    </row>
    <row r="241" spans="1:24" x14ac:dyDescent="0.25">
      <c r="A241">
        <f>Table11[[#This Row],[Farmer'#]]</f>
        <v>10090</v>
      </c>
      <c r="B241" t="str">
        <f>Table11[[#This Row],[Representative]]</f>
        <v>Joe Lilly</v>
      </c>
      <c r="C241" t="str">
        <f>Table11[[#This Row],[Contract Name]]</f>
        <v>Joe Lilly</v>
      </c>
      <c r="D241" t="str">
        <f>Table11[[#This Row],[Status]]</f>
        <v>Active</v>
      </c>
      <c r="E241" t="str">
        <f>Table11[[#This Row],[Contract Code]]</f>
        <v>US0104</v>
      </c>
      <c r="F241" s="16">
        <f>Table11[[#This Row],['#TreesContract]]</f>
        <v>1210</v>
      </c>
      <c r="G241" s="16">
        <f>Table11[[#This Row],['#Planted]]</f>
        <v>1210</v>
      </c>
      <c r="H241" s="16">
        <f>Table11[[#This Row],['#TreesContract]]*Table11[[#This Row],[USA Allocation %]]</f>
        <v>1210</v>
      </c>
      <c r="I241" s="16">
        <f>Table11[[#This Row],['#Planted]]*Table11[[#This Row],[USA Allocation %]]</f>
        <v>1210</v>
      </c>
      <c r="J241" s="16">
        <f>Table11[[#This Row],[Contract Amendment]]*Table11[[#This Row],[USA Allocation %]]</f>
        <v>0</v>
      </c>
      <c r="K241" s="16">
        <f>Table11[[#This Row],['#Trees as of 12/31/23]]*Table11[[#This Row],[USA Allocation %]]</f>
        <v>1190.9090909090908</v>
      </c>
      <c r="L241" s="16">
        <f>Table11[[#This Row],['#Replace 24]]*Table11[[#This Row],[USA Allocation %]]</f>
        <v>0</v>
      </c>
      <c r="M241" s="16">
        <f>IF(Table11[[#This Row],[Planting Year]]=2024,Table11['#Planted],0)</f>
        <v>0</v>
      </c>
      <c r="N241" s="16">
        <f>(Table11[[#This Row],[2024 '#Trees Inventory + Estimate]]*Table11[[#This Row],[USA Allocation %]])-SUM(Table37[[#This Row],['# Trees as of 12/31/23]:[New Trees/Planted in 2024]])</f>
        <v>0</v>
      </c>
      <c r="O241" s="16">
        <f>SUM(Table37[[#This Row],['# Trees as of 12/31/23]:[2024 Tree Losses]])</f>
        <v>1190.9090909090908</v>
      </c>
      <c r="P241" s="16">
        <f>SUM(Table37[[#This Row],[Total Trees as of 12/31/24]]-Table37[[#This Row],['# Trees as of 12/31/23]])</f>
        <v>0</v>
      </c>
      <c r="Q241" s="16">
        <f>Table11[[#This Row],['#Total Replacements]]*Table11[[#This Row],[USA Allocation %]]</f>
        <v>126</v>
      </c>
      <c r="R241" s="16">
        <f>IF(Table37[[#This Row],['#Survival based on Inventory]]=0,Table37['#Survival based on Last Year Estimate],Table37['#Survival based on Inventory])</f>
        <v>1190.9090909090908</v>
      </c>
      <c r="S241" s="16">
        <f>Table11[[#This Row],['#Planted]]*Table11[[#This Row],[USA Allocation %]]*Table11[[#This Row],[2024 Inventory Survival%-master]]</f>
        <v>0</v>
      </c>
      <c r="T241" s="16">
        <f>Table11[[#This Row],['#Planted]]*Table11[[#This Row],[USA Allocation %]]*Table11[[#This Row],[2024 Estimated Survival%]]</f>
        <v>1190.9090909090908</v>
      </c>
      <c r="U241">
        <f>Table11[[#This Row],[ETP Year]]</f>
        <v>2021</v>
      </c>
      <c r="V241">
        <f>Table11[[#This Row],[Planting Year]]</f>
        <v>2021</v>
      </c>
      <c r="W241" s="8">
        <f>Table11[[#This Row],[Survival% as of 12/31/23]]</f>
        <v>0.98422238918106675</v>
      </c>
      <c r="X241" s="7">
        <f>Table11[[#This Row],[ETP'#s]]</f>
        <v>1</v>
      </c>
    </row>
    <row r="242" spans="1:24" x14ac:dyDescent="0.25">
      <c r="A242">
        <f>Table11[[#This Row],[Farmer'#]]</f>
        <v>10091</v>
      </c>
      <c r="B242" t="str">
        <f>Table11[[#This Row],[Representative]]</f>
        <v>John Wilson</v>
      </c>
      <c r="C242" t="str">
        <f>Table11[[#This Row],[Contract Name]]</f>
        <v>John Wilson</v>
      </c>
      <c r="D242" t="str">
        <f>Table11[[#This Row],[Status]]</f>
        <v>Active</v>
      </c>
      <c r="E242" t="str">
        <f>Table11[[#This Row],[Contract Code]]</f>
        <v>US0106</v>
      </c>
      <c r="F242" s="16">
        <f>Table11[[#This Row],['#TreesContract]]</f>
        <v>1100</v>
      </c>
      <c r="G242" s="16">
        <f>Table11[[#This Row],['#Planted]]</f>
        <v>1100</v>
      </c>
      <c r="H242" s="16">
        <f>Table11[[#This Row],['#TreesContract]]*Table11[[#This Row],[USA Allocation %]]</f>
        <v>1100</v>
      </c>
      <c r="I242" s="16">
        <f>Table11[[#This Row],['#Planted]]*Table11[[#This Row],[USA Allocation %]]</f>
        <v>1100</v>
      </c>
      <c r="J242" s="16">
        <f>Table11[[#This Row],[Contract Amendment]]*Table11[[#This Row],[USA Allocation %]]</f>
        <v>0</v>
      </c>
      <c r="K242" s="16">
        <f>Table11[[#This Row],['#Trees as of 12/31/23]]*Table11[[#This Row],[USA Allocation %]]</f>
        <v>987.44090909090926</v>
      </c>
      <c r="L242" s="16">
        <f>Table11[[#This Row],['#Replace 24]]*Table11[[#This Row],[USA Allocation %]]</f>
        <v>100</v>
      </c>
      <c r="M242" s="16">
        <f>IF(Table11[[#This Row],[Planting Year]]=2024,Table11['#Planted],0)</f>
        <v>0</v>
      </c>
      <c r="N242" s="16">
        <f>(Table11[[#This Row],[2024 '#Trees Inventory + Estimate]]*Table11[[#This Row],[USA Allocation %]])-SUM(Table37[[#This Row],['# Trees as of 12/31/23]:[New Trees/Planted in 2024]])</f>
        <v>-100.00000000000011</v>
      </c>
      <c r="O242" s="16">
        <f>SUM(Table37[[#This Row],['# Trees as of 12/31/23]:[2024 Tree Losses]])</f>
        <v>987.44090909090926</v>
      </c>
      <c r="P242" s="16">
        <f>SUM(Table37[[#This Row],[Total Trees as of 12/31/24]]-Table37[[#This Row],['# Trees as of 12/31/23]])</f>
        <v>0</v>
      </c>
      <c r="Q242" s="16">
        <f>Table11[[#This Row],['#Total Replacements]]*Table11[[#This Row],[USA Allocation %]]</f>
        <v>415</v>
      </c>
      <c r="R242" s="16">
        <f>IF(Table37[[#This Row],['#Survival based on Inventory]]=0,Table37['#Survival based on Last Year Estimate],Table37['#Survival based on Inventory])</f>
        <v>987.44090909090926</v>
      </c>
      <c r="S242" s="16">
        <f>Table11[[#This Row],['#Planted]]*Table11[[#This Row],[USA Allocation %]]*Table11[[#This Row],[2024 Inventory Survival%-master]]</f>
        <v>0</v>
      </c>
      <c r="T242" s="16">
        <f>Table11[[#This Row],['#Planted]]*Table11[[#This Row],[USA Allocation %]]*Table11[[#This Row],[2024 Estimated Survival%]]</f>
        <v>987.44090909090926</v>
      </c>
      <c r="U242">
        <f>Table11[[#This Row],[ETP Year]]</f>
        <v>2021</v>
      </c>
      <c r="V242">
        <f>Table11[[#This Row],[Planting Year]]</f>
        <v>2021</v>
      </c>
      <c r="W242" s="8">
        <f>Table11[[#This Row],[Survival% as of 12/31/23]]</f>
        <v>0.89767355371900837</v>
      </c>
      <c r="X242" s="7">
        <f>Table11[[#This Row],[ETP'#s]]</f>
        <v>1</v>
      </c>
    </row>
    <row r="243" spans="1:24" x14ac:dyDescent="0.25">
      <c r="A243">
        <f>Table11[[#This Row],[Farmer'#]]</f>
        <v>10092</v>
      </c>
      <c r="B243" t="str">
        <f>Table11[[#This Row],[Representative]]</f>
        <v>Jordy McMahan</v>
      </c>
      <c r="C243" t="str">
        <f>Table11[[#This Row],[Contract Name]]</f>
        <v>Jordy and Kim P McMahan</v>
      </c>
      <c r="D243" t="str">
        <f>Table11[[#This Row],[Status]]</f>
        <v>Out of Program</v>
      </c>
      <c r="E243" t="str">
        <f>Table11[[#This Row],[Contract Code]]</f>
        <v>US0107</v>
      </c>
      <c r="F243" s="16">
        <f>Table11[[#This Row],['#TreesContract]]</f>
        <v>550</v>
      </c>
      <c r="G243" s="16">
        <f>Table11[[#This Row],['#Planted]]</f>
        <v>550</v>
      </c>
      <c r="H243" s="16">
        <f>Table11[[#This Row],['#TreesContract]]*Table11[[#This Row],[USA Allocation %]]</f>
        <v>550</v>
      </c>
      <c r="I243" s="16">
        <f>Table11[[#This Row],['#Planted]]*Table11[[#This Row],[USA Allocation %]]</f>
        <v>550</v>
      </c>
      <c r="J243" s="16">
        <f>Table11[[#This Row],[Contract Amendment]]*Table11[[#This Row],[USA Allocation %]]</f>
        <v>0</v>
      </c>
      <c r="K243" s="16">
        <f>Table11[[#This Row],['#Trees as of 12/31/23]]*Table11[[#This Row],[USA Allocation %]]</f>
        <v>498.56969696969696</v>
      </c>
      <c r="L243" s="16">
        <f>Table11[[#This Row],['#Replace 24]]*Table11[[#This Row],[USA Allocation %]]</f>
        <v>0</v>
      </c>
      <c r="M243" s="16">
        <f>IF(Table11[[#This Row],[Planting Year]]=2024,Table11['#Planted],0)</f>
        <v>0</v>
      </c>
      <c r="N243" s="16">
        <f>(Table11[[#This Row],[2024 '#Trees Inventory + Estimate]]*Table11[[#This Row],[USA Allocation %]])-SUM(Table37[[#This Row],['# Trees as of 12/31/23]:[New Trees/Planted in 2024]])</f>
        <v>-498.56969696969696</v>
      </c>
      <c r="O243" s="16">
        <f>SUM(Table37[[#This Row],['# Trees as of 12/31/23]:[2024 Tree Losses]])</f>
        <v>0</v>
      </c>
      <c r="P243" s="16">
        <f>SUM(Table37[[#This Row],[Total Trees as of 12/31/24]]-Table37[[#This Row],['# Trees as of 12/31/23]])</f>
        <v>-498.56969696969696</v>
      </c>
      <c r="Q243" s="16">
        <f>Table11[[#This Row],['#Total Replacements]]*Table11[[#This Row],[USA Allocation %]]</f>
        <v>190</v>
      </c>
      <c r="R243" s="16">
        <f>IF(Table37[[#This Row],['#Survival based on Inventory]]=0,Table37['#Survival based on Last Year Estimate],Table37['#Survival based on Inventory])</f>
        <v>0</v>
      </c>
      <c r="S243" s="16">
        <f>Table11[[#This Row],['#Planted]]*Table11[[#This Row],[USA Allocation %]]*Table11[[#This Row],[2024 Inventory Survival%-master]]</f>
        <v>0</v>
      </c>
      <c r="T243" s="16">
        <f>Table11[[#This Row],['#Planted]]*Table11[[#This Row],[USA Allocation %]]*Table11[[#This Row],[2024 Estimated Survival%]]</f>
        <v>0</v>
      </c>
      <c r="U243">
        <f>Table11[[#This Row],[ETP Year]]</f>
        <v>2020</v>
      </c>
      <c r="V243">
        <f>Table11[[#This Row],[Planting Year]]</f>
        <v>2021</v>
      </c>
      <c r="W243" s="8">
        <f>Table11[[#This Row],[Survival% as of 12/31/23]]</f>
        <v>0.90649035812672174</v>
      </c>
      <c r="X243" s="7">
        <f>Table11[[#This Row],[ETP'#s]]</f>
        <v>1</v>
      </c>
    </row>
    <row r="244" spans="1:24" x14ac:dyDescent="0.25">
      <c r="A244">
        <f>Table11[[#This Row],[Farmer'#]]</f>
        <v>10092</v>
      </c>
      <c r="B244" t="str">
        <f>Table11[[#This Row],[Representative]]</f>
        <v>Jordy McMahan</v>
      </c>
      <c r="C244" t="str">
        <f>Table11[[#This Row],[Contract Name]]</f>
        <v>Jordy McMahan</v>
      </c>
      <c r="D244" t="str">
        <f>Table11[[#This Row],[Status]]</f>
        <v>Out of Program</v>
      </c>
      <c r="E244" t="str">
        <f>Table11[[#This Row],[Contract Code]]</f>
        <v>US0108</v>
      </c>
      <c r="F244" s="16">
        <f>Table11[[#This Row],['#TreesContract]]</f>
        <v>1100</v>
      </c>
      <c r="G244" s="16">
        <f>Table11[[#This Row],['#Planted]]</f>
        <v>1100</v>
      </c>
      <c r="H244" s="16">
        <f>Table11[[#This Row],['#TreesContract]]*Table11[[#This Row],[USA Allocation %]]</f>
        <v>1100</v>
      </c>
      <c r="I244" s="16">
        <f>Table11[[#This Row],['#Planted]]*Table11[[#This Row],[USA Allocation %]]</f>
        <v>1100</v>
      </c>
      <c r="J244" s="16">
        <f>Table11[[#This Row],[Contract Amendment]]*Table11[[#This Row],[USA Allocation %]]</f>
        <v>0</v>
      </c>
      <c r="K244" s="16">
        <f>Table11[[#This Row],['#Trees as of 12/31/23]]*Table11[[#This Row],[USA Allocation %]]</f>
        <v>988.73076923076917</v>
      </c>
      <c r="L244" s="16">
        <f>Table11[[#This Row],['#Replace 24]]*Table11[[#This Row],[USA Allocation %]]</f>
        <v>0</v>
      </c>
      <c r="M244" s="16">
        <f>IF(Table11[[#This Row],[Planting Year]]=2024,Table11['#Planted],0)</f>
        <v>0</v>
      </c>
      <c r="N244" s="16">
        <f>(Table11[[#This Row],[2024 '#Trees Inventory + Estimate]]*Table11[[#This Row],[USA Allocation %]])-SUM(Table37[[#This Row],['# Trees as of 12/31/23]:[New Trees/Planted in 2024]])</f>
        <v>-988.73076923076917</v>
      </c>
      <c r="O244" s="16">
        <f>SUM(Table37[[#This Row],['# Trees as of 12/31/23]:[2024 Tree Losses]])</f>
        <v>0</v>
      </c>
      <c r="P244" s="16">
        <f>SUM(Table37[[#This Row],[Total Trees as of 12/31/24]]-Table37[[#This Row],['# Trees as of 12/31/23]])</f>
        <v>-988.73076923076917</v>
      </c>
      <c r="Q244" s="16">
        <f>Table11[[#This Row],['#Total Replacements]]*Table11[[#This Row],[USA Allocation %]]</f>
        <v>125</v>
      </c>
      <c r="R244" s="16">
        <f>IF(Table37[[#This Row],['#Survival based on Inventory]]=0,Table37['#Survival based on Last Year Estimate],Table37['#Survival based on Inventory])</f>
        <v>0</v>
      </c>
      <c r="S244" s="16">
        <f>Table11[[#This Row],['#Planted]]*Table11[[#This Row],[USA Allocation %]]*Table11[[#This Row],[2024 Inventory Survival%-master]]</f>
        <v>0</v>
      </c>
      <c r="T244" s="16">
        <f>Table11[[#This Row],['#Planted]]*Table11[[#This Row],[USA Allocation %]]*Table11[[#This Row],[2024 Estimated Survival%]]</f>
        <v>0</v>
      </c>
      <c r="U244">
        <f>Table11[[#This Row],[ETP Year]]</f>
        <v>2020</v>
      </c>
      <c r="V244">
        <f>Table11[[#This Row],[Planting Year]]</f>
        <v>2021</v>
      </c>
      <c r="W244" s="8">
        <f>Table11[[#This Row],[Survival% as of 12/31/23]]</f>
        <v>0.89884615384615374</v>
      </c>
      <c r="X244" s="7">
        <f>Table11[[#This Row],[ETP'#s]]</f>
        <v>1</v>
      </c>
    </row>
    <row r="245" spans="1:24" x14ac:dyDescent="0.25">
      <c r="A245">
        <f>Table11[[#This Row],[Farmer'#]]</f>
        <v>10093</v>
      </c>
      <c r="B245" t="str">
        <f>Table11[[#This Row],[Representative]]</f>
        <v>Keith Bell</v>
      </c>
      <c r="C245" t="str">
        <f>Table11[[#This Row],[Contract Name]]</f>
        <v>Keith  Bell</v>
      </c>
      <c r="D245" t="str">
        <f>Table11[[#This Row],[Status]]</f>
        <v>Active</v>
      </c>
      <c r="E245" t="str">
        <f>Table11[[#This Row],[Contract Code]]</f>
        <v>US0109</v>
      </c>
      <c r="F245" s="16">
        <f>Table11[[#This Row],['#TreesContract]]</f>
        <v>1100</v>
      </c>
      <c r="G245" s="16">
        <f>Table11[[#This Row],['#Planted]]</f>
        <v>1100</v>
      </c>
      <c r="H245" s="16">
        <f>Table11[[#This Row],['#TreesContract]]*Table11[[#This Row],[USA Allocation %]]</f>
        <v>1100</v>
      </c>
      <c r="I245" s="16">
        <f>Table11[[#This Row],['#Planted]]*Table11[[#This Row],[USA Allocation %]]</f>
        <v>1100</v>
      </c>
      <c r="J245" s="16">
        <f>Table11[[#This Row],[Contract Amendment]]*Table11[[#This Row],[USA Allocation %]]</f>
        <v>0</v>
      </c>
      <c r="K245" s="16">
        <f>Table11[[#This Row],['#Trees as of 12/31/23]]*Table11[[#This Row],[USA Allocation %]]</f>
        <v>1049.5757575757575</v>
      </c>
      <c r="L245" s="16">
        <f>Table11[[#This Row],['#Replace 24]]*Table11[[#This Row],[USA Allocation %]]</f>
        <v>0</v>
      </c>
      <c r="M245" s="16">
        <f>IF(Table11[[#This Row],[Planting Year]]=2024,Table11['#Planted],0)</f>
        <v>0</v>
      </c>
      <c r="N245" s="16">
        <f>(Table11[[#This Row],[2024 '#Trees Inventory + Estimate]]*Table11[[#This Row],[USA Allocation %]])-SUM(Table37[[#This Row],['# Trees as of 12/31/23]:[New Trees/Planted in 2024]])</f>
        <v>0</v>
      </c>
      <c r="O245" s="16">
        <f>SUM(Table37[[#This Row],['# Trees as of 12/31/23]:[2024 Tree Losses]])</f>
        <v>1049.5757575757575</v>
      </c>
      <c r="P245" s="16">
        <f>SUM(Table37[[#This Row],[Total Trees as of 12/31/24]]-Table37[[#This Row],['# Trees as of 12/31/23]])</f>
        <v>0</v>
      </c>
      <c r="Q245" s="16">
        <f>Table11[[#This Row],['#Total Replacements]]*Table11[[#This Row],[USA Allocation %]]</f>
        <v>669</v>
      </c>
      <c r="R245" s="16">
        <f>IF(Table37[[#This Row],['#Survival based on Inventory]]=0,Table37['#Survival based on Last Year Estimate],Table37['#Survival based on Inventory])</f>
        <v>1049.5757575757575</v>
      </c>
      <c r="S245" s="16">
        <f>Table11[[#This Row],['#Planted]]*Table11[[#This Row],[USA Allocation %]]*Table11[[#This Row],[2024 Inventory Survival%-master]]</f>
        <v>0</v>
      </c>
      <c r="T245" s="16">
        <f>Table11[[#This Row],['#Planted]]*Table11[[#This Row],[USA Allocation %]]*Table11[[#This Row],[2024 Estimated Survival%]]</f>
        <v>1049.5757575757575</v>
      </c>
      <c r="U245">
        <f>Table11[[#This Row],[ETP Year]]</f>
        <v>2020</v>
      </c>
      <c r="V245">
        <f>Table11[[#This Row],[Planting Year]]</f>
        <v>2021</v>
      </c>
      <c r="W245" s="8">
        <f>Table11[[#This Row],[Survival% as of 12/31/23]]</f>
        <v>0.95415977961432497</v>
      </c>
      <c r="X245" s="7">
        <f>Table11[[#This Row],[ETP'#s]]</f>
        <v>1</v>
      </c>
    </row>
    <row r="246" spans="1:24" x14ac:dyDescent="0.25">
      <c r="A246">
        <f>Table11[[#This Row],[Farmer'#]]</f>
        <v>10094</v>
      </c>
      <c r="B246" t="str">
        <f>Table11[[#This Row],[Representative]]</f>
        <v>Kyle Flint</v>
      </c>
      <c r="C246" t="str">
        <f>Table11[[#This Row],[Contract Name]]</f>
        <v>RD Land and Materials LLC</v>
      </c>
      <c r="D246" t="str">
        <f>Table11[[#This Row],[Status]]</f>
        <v>RFT</v>
      </c>
      <c r="E246" t="str">
        <f>Table11[[#This Row],[Contract Code]]</f>
        <v>US0110</v>
      </c>
      <c r="F246" s="16">
        <f>Table11[[#This Row],['#TreesContract]]</f>
        <v>1100</v>
      </c>
      <c r="G246" s="16">
        <f>Table11[[#This Row],['#Planted]]</f>
        <v>1100</v>
      </c>
      <c r="H246" s="16">
        <f>Table11[[#This Row],['#TreesContract]]*Table11[[#This Row],[USA Allocation %]]</f>
        <v>1100</v>
      </c>
      <c r="I246" s="16">
        <f>Table11[[#This Row],['#Planted]]*Table11[[#This Row],[USA Allocation %]]</f>
        <v>1100</v>
      </c>
      <c r="J246" s="16">
        <f>Table11[[#This Row],[Contract Amendment]]*Table11[[#This Row],[USA Allocation %]]</f>
        <v>0</v>
      </c>
      <c r="K246" s="16">
        <f>Table11[[#This Row],['#Trees as of 12/31/23]]*Table11[[#This Row],[USA Allocation %]]</f>
        <v>0</v>
      </c>
      <c r="L246" s="16">
        <f>Table11[[#This Row],['#Replace 24]]*Table11[[#This Row],[USA Allocation %]]</f>
        <v>0</v>
      </c>
      <c r="M246" s="16">
        <f>IF(Table11[[#This Row],[Planting Year]]=2024,Table11['#Planted],0)</f>
        <v>0</v>
      </c>
      <c r="N246" s="16">
        <f>(Table11[[#This Row],[2024 '#Trees Inventory + Estimate]]*Table11[[#This Row],[USA Allocation %]])-SUM(Table37[[#This Row],['# Trees as of 12/31/23]:[New Trees/Planted in 2024]])</f>
        <v>0</v>
      </c>
      <c r="O246" s="16">
        <f>SUM(Table37[[#This Row],['# Trees as of 12/31/23]:[2024 Tree Losses]])</f>
        <v>0</v>
      </c>
      <c r="P246" s="16">
        <f>SUM(Table37[[#This Row],[Total Trees as of 12/31/24]]-Table37[[#This Row],['# Trees as of 12/31/23]])</f>
        <v>0</v>
      </c>
      <c r="Q246" s="16">
        <f>Table11[[#This Row],['#Total Replacements]]*Table11[[#This Row],[USA Allocation %]]</f>
        <v>388</v>
      </c>
      <c r="R246" s="16">
        <f>IF(Table37[[#This Row],['#Survival based on Inventory]]=0,Table37['#Survival based on Last Year Estimate],Table37['#Survival based on Inventory])</f>
        <v>0</v>
      </c>
      <c r="S246" s="16">
        <f>Table11[[#This Row],['#Planted]]*Table11[[#This Row],[USA Allocation %]]*Table11[[#This Row],[2024 Inventory Survival%-master]]</f>
        <v>0</v>
      </c>
      <c r="T246" s="16">
        <f>Table11[[#This Row],['#Planted]]*Table11[[#This Row],[USA Allocation %]]*Table11[[#This Row],[2024 Estimated Survival%]]</f>
        <v>0</v>
      </c>
      <c r="U246">
        <f>Table11[[#This Row],[ETP Year]]</f>
        <v>2021</v>
      </c>
      <c r="V246">
        <f>Table11[[#This Row],[Planting Year]]</f>
        <v>2021</v>
      </c>
      <c r="W246" s="8">
        <f>Table11[[#This Row],[Survival% as of 12/31/23]]</f>
        <v>0</v>
      </c>
      <c r="X246" s="7">
        <f>Table11[[#This Row],[ETP'#s]]</f>
        <v>1</v>
      </c>
    </row>
    <row r="247" spans="1:24" x14ac:dyDescent="0.25">
      <c r="A247">
        <f>Table11[[#This Row],[Farmer'#]]</f>
        <v>10095</v>
      </c>
      <c r="B247" t="str">
        <f>Table11[[#This Row],[Representative]]</f>
        <v>Loren Raymer</v>
      </c>
      <c r="C247" t="str">
        <f>Table11[[#This Row],[Contract Name]]</f>
        <v>Loren  Raymer</v>
      </c>
      <c r="D247" t="str">
        <f>Table11[[#This Row],[Status]]</f>
        <v>RFT</v>
      </c>
      <c r="E247" t="str">
        <f>Table11[[#This Row],[Contract Code]]</f>
        <v>US0111</v>
      </c>
      <c r="F247" s="16">
        <f>Table11[[#This Row],['#TreesContract]]</f>
        <v>1100</v>
      </c>
      <c r="G247" s="16">
        <f>Table11[[#This Row],['#Planted]]</f>
        <v>1100</v>
      </c>
      <c r="H247" s="16">
        <f>Table11[[#This Row],['#TreesContract]]*Table11[[#This Row],[USA Allocation %]]</f>
        <v>1100</v>
      </c>
      <c r="I247" s="16">
        <f>Table11[[#This Row],['#Planted]]*Table11[[#This Row],[USA Allocation %]]</f>
        <v>1100</v>
      </c>
      <c r="J247" s="16">
        <f>Table11[[#This Row],[Contract Amendment]]*Table11[[#This Row],[USA Allocation %]]</f>
        <v>0</v>
      </c>
      <c r="K247" s="16">
        <f>Table11[[#This Row],['#Trees as of 12/31/23]]*Table11[[#This Row],[USA Allocation %]]</f>
        <v>0</v>
      </c>
      <c r="L247" s="16">
        <f>Table11[[#This Row],['#Replace 24]]*Table11[[#This Row],[USA Allocation %]]</f>
        <v>0</v>
      </c>
      <c r="M247" s="16">
        <f>IF(Table11[[#This Row],[Planting Year]]=2024,Table11['#Planted],0)</f>
        <v>0</v>
      </c>
      <c r="N247" s="16">
        <f>(Table11[[#This Row],[2024 '#Trees Inventory + Estimate]]*Table11[[#This Row],[USA Allocation %]])-SUM(Table37[[#This Row],['# Trees as of 12/31/23]:[New Trees/Planted in 2024]])</f>
        <v>0</v>
      </c>
      <c r="O247" s="16">
        <f>SUM(Table37[[#This Row],['# Trees as of 12/31/23]:[2024 Tree Losses]])</f>
        <v>0</v>
      </c>
      <c r="P247" s="16">
        <f>SUM(Table37[[#This Row],[Total Trees as of 12/31/24]]-Table37[[#This Row],['# Trees as of 12/31/23]])</f>
        <v>0</v>
      </c>
      <c r="Q247" s="16">
        <f>Table11[[#This Row],['#Total Replacements]]*Table11[[#This Row],[USA Allocation %]]</f>
        <v>971</v>
      </c>
      <c r="R247" s="16">
        <f>IF(Table37[[#This Row],['#Survival based on Inventory]]=0,Table37['#Survival based on Last Year Estimate],Table37['#Survival based on Inventory])</f>
        <v>0</v>
      </c>
      <c r="S247" s="16">
        <f>Table11[[#This Row],['#Planted]]*Table11[[#This Row],[USA Allocation %]]*Table11[[#This Row],[2024 Inventory Survival%-master]]</f>
        <v>0</v>
      </c>
      <c r="T247" s="16">
        <f>Table11[[#This Row],['#Planted]]*Table11[[#This Row],[USA Allocation %]]*Table11[[#This Row],[2024 Estimated Survival%]]</f>
        <v>0</v>
      </c>
      <c r="U247">
        <f>Table11[[#This Row],[ETP Year]]</f>
        <v>2021</v>
      </c>
      <c r="V247">
        <f>Table11[[#This Row],[Planting Year]]</f>
        <v>2021</v>
      </c>
      <c r="W247" s="8">
        <f>Table11[[#This Row],[Survival% as of 12/31/23]]</f>
        <v>0</v>
      </c>
      <c r="X247" s="7">
        <f>Table11[[#This Row],[ETP'#s]]</f>
        <v>1</v>
      </c>
    </row>
    <row r="248" spans="1:24" x14ac:dyDescent="0.25">
      <c r="A248">
        <f>Table11[[#This Row],[Farmer'#]]</f>
        <v>10096</v>
      </c>
      <c r="B248" t="str">
        <f>Table11[[#This Row],[Representative]]</f>
        <v>Lori Fults</v>
      </c>
      <c r="C248" t="str">
        <f>Table11[[#This Row],[Contract Name]]</f>
        <v>Lori &amp; Don Fults</v>
      </c>
      <c r="D248" t="str">
        <f>Table11[[#This Row],[Status]]</f>
        <v>Active</v>
      </c>
      <c r="E248" t="str">
        <f>Table11[[#This Row],[Contract Code]]</f>
        <v>US0112</v>
      </c>
      <c r="F248" s="16">
        <f>Table11[[#This Row],['#TreesContract]]</f>
        <v>1100</v>
      </c>
      <c r="G248" s="16">
        <f>Table11[[#This Row],['#Planted]]</f>
        <v>1100</v>
      </c>
      <c r="H248" s="16">
        <f>Table11[[#This Row],['#TreesContract]]*Table11[[#This Row],[USA Allocation %]]</f>
        <v>1100</v>
      </c>
      <c r="I248" s="16">
        <f>Table11[[#This Row],['#Planted]]*Table11[[#This Row],[USA Allocation %]]</f>
        <v>1100</v>
      </c>
      <c r="J248" s="16">
        <f>Table11[[#This Row],[Contract Amendment]]*Table11[[#This Row],[USA Allocation %]]</f>
        <v>0</v>
      </c>
      <c r="K248" s="16">
        <f>Table11[[#This Row],['#Trees as of 12/31/23]]*Table11[[#This Row],[USA Allocation %]]</f>
        <v>1100</v>
      </c>
      <c r="L248" s="16">
        <f>Table11[[#This Row],['#Replace 24]]*Table11[[#This Row],[USA Allocation %]]</f>
        <v>0</v>
      </c>
      <c r="M248" s="16">
        <f>IF(Table11[[#This Row],[Planting Year]]=2024,Table11['#Planted],0)</f>
        <v>0</v>
      </c>
      <c r="N248" s="16">
        <f>(Table11[[#This Row],[2024 '#Trees Inventory + Estimate]]*Table11[[#This Row],[USA Allocation %]])-SUM(Table37[[#This Row],['# Trees as of 12/31/23]:[New Trees/Planted in 2024]])</f>
        <v>0</v>
      </c>
      <c r="O248" s="16">
        <f>SUM(Table37[[#This Row],['# Trees as of 12/31/23]:[2024 Tree Losses]])</f>
        <v>1100</v>
      </c>
      <c r="P248" s="16">
        <f>SUM(Table37[[#This Row],[Total Trees as of 12/31/24]]-Table37[[#This Row],['# Trees as of 12/31/23]])</f>
        <v>0</v>
      </c>
      <c r="Q248" s="16">
        <f>Table11[[#This Row],['#Total Replacements]]*Table11[[#This Row],[USA Allocation %]]</f>
        <v>270</v>
      </c>
      <c r="R248" s="16">
        <f>IF(Table37[[#This Row],['#Survival based on Inventory]]=0,Table37['#Survival based on Last Year Estimate],Table37['#Survival based on Inventory])</f>
        <v>1100</v>
      </c>
      <c r="S248" s="16">
        <f>Table11[[#This Row],['#Planted]]*Table11[[#This Row],[USA Allocation %]]*Table11[[#This Row],[2024 Inventory Survival%-master]]</f>
        <v>0</v>
      </c>
      <c r="T248" s="16">
        <f>Table11[[#This Row],['#Planted]]*Table11[[#This Row],[USA Allocation %]]*Table11[[#This Row],[2024 Estimated Survival%]]</f>
        <v>1100</v>
      </c>
      <c r="U248">
        <f>Table11[[#This Row],[ETP Year]]</f>
        <v>2021</v>
      </c>
      <c r="V248">
        <f>Table11[[#This Row],[Planting Year]]</f>
        <v>2021</v>
      </c>
      <c r="W248" s="8">
        <f>Table11[[#This Row],[Survival% as of 12/31/23]]</f>
        <v>1</v>
      </c>
      <c r="X248" s="7">
        <f>Table11[[#This Row],[ETP'#s]]</f>
        <v>1</v>
      </c>
    </row>
    <row r="249" spans="1:24" x14ac:dyDescent="0.25">
      <c r="A249">
        <f>Table11[[#This Row],[Farmer'#]]</f>
        <v>10097</v>
      </c>
      <c r="B249" t="str">
        <f>Table11[[#This Row],[Representative]]</f>
        <v>Mac Alexander</v>
      </c>
      <c r="C249" t="str">
        <f>Table11[[#This Row],[Contract Name]]</f>
        <v>Mac  Alexander</v>
      </c>
      <c r="D249" t="str">
        <f>Table11[[#This Row],[Status]]</f>
        <v>Active</v>
      </c>
      <c r="E249" t="str">
        <f>Table11[[#This Row],[Contract Code]]</f>
        <v>US0113</v>
      </c>
      <c r="F249" s="16">
        <f>Table11[[#This Row],['#TreesContract]]</f>
        <v>1100</v>
      </c>
      <c r="G249" s="16">
        <f>Table11[[#This Row],['#Planted]]</f>
        <v>1100</v>
      </c>
      <c r="H249" s="16">
        <f>Table11[[#This Row],['#TreesContract]]*Table11[[#This Row],[USA Allocation %]]</f>
        <v>1100</v>
      </c>
      <c r="I249" s="16">
        <f>Table11[[#This Row],['#Planted]]*Table11[[#This Row],[USA Allocation %]]</f>
        <v>1100</v>
      </c>
      <c r="J249" s="16">
        <f>Table11[[#This Row],[Contract Amendment]]*Table11[[#This Row],[USA Allocation %]]</f>
        <v>0</v>
      </c>
      <c r="K249" s="16">
        <f>Table11[[#This Row],['#Trees as of 12/31/23]]*Table11[[#This Row],[USA Allocation %]]</f>
        <v>1100</v>
      </c>
      <c r="L249" s="16">
        <f>Table11[[#This Row],['#Replace 24]]*Table11[[#This Row],[USA Allocation %]]</f>
        <v>0</v>
      </c>
      <c r="M249" s="16">
        <f>IF(Table11[[#This Row],[Planting Year]]=2024,Table11['#Planted],0)</f>
        <v>0</v>
      </c>
      <c r="N249" s="16">
        <f>(Table11[[#This Row],[2024 '#Trees Inventory + Estimate]]*Table11[[#This Row],[USA Allocation %]])-SUM(Table37[[#This Row],['# Trees as of 12/31/23]:[New Trees/Planted in 2024]])</f>
        <v>0</v>
      </c>
      <c r="O249" s="16">
        <f>SUM(Table37[[#This Row],['# Trees as of 12/31/23]:[2024 Tree Losses]])</f>
        <v>1100</v>
      </c>
      <c r="P249" s="16">
        <f>SUM(Table37[[#This Row],[Total Trees as of 12/31/24]]-Table37[[#This Row],['# Trees as of 12/31/23]])</f>
        <v>0</v>
      </c>
      <c r="Q249" s="16">
        <f>Table11[[#This Row],['#Total Replacements]]*Table11[[#This Row],[USA Allocation %]]</f>
        <v>201</v>
      </c>
      <c r="R249" s="16">
        <f>IF(Table37[[#This Row],['#Survival based on Inventory]]=0,Table37['#Survival based on Last Year Estimate],Table37['#Survival based on Inventory])</f>
        <v>1100</v>
      </c>
      <c r="S249" s="16">
        <f>Table11[[#This Row],['#Planted]]*Table11[[#This Row],[USA Allocation %]]*Table11[[#This Row],[2024 Inventory Survival%-master]]</f>
        <v>0</v>
      </c>
      <c r="T249" s="16">
        <f>Table11[[#This Row],['#Planted]]*Table11[[#This Row],[USA Allocation %]]*Table11[[#This Row],[2024 Estimated Survival%]]</f>
        <v>1100</v>
      </c>
      <c r="U249">
        <f>Table11[[#This Row],[ETP Year]]</f>
        <v>2021</v>
      </c>
      <c r="V249">
        <f>Table11[[#This Row],[Planting Year]]</f>
        <v>2021</v>
      </c>
      <c r="W249" s="8">
        <f>Table11[[#This Row],[Survival% as of 12/31/23]]</f>
        <v>1</v>
      </c>
      <c r="X249" s="7">
        <f>Table11[[#This Row],[ETP'#s]]</f>
        <v>1</v>
      </c>
    </row>
    <row r="250" spans="1:24" x14ac:dyDescent="0.25">
      <c r="A250">
        <f>Table11[[#This Row],[Farmer'#]]</f>
        <v>10098</v>
      </c>
      <c r="B250" t="str">
        <f>Table11[[#This Row],[Representative]]</f>
        <v>Marty Causseaux</v>
      </c>
      <c r="C250" t="str">
        <f>Table11[[#This Row],[Contract Name]]</f>
        <v>Marty  Causseaux</v>
      </c>
      <c r="D250" t="str">
        <f>Table11[[#This Row],[Status]]</f>
        <v>Active</v>
      </c>
      <c r="E250" t="str">
        <f>Table11[[#This Row],[Contract Code]]</f>
        <v>US0114</v>
      </c>
      <c r="F250" s="16">
        <f>Table11[[#This Row],['#TreesContract]]</f>
        <v>1145</v>
      </c>
      <c r="G250" s="16">
        <f>Table11[[#This Row],['#Planted]]</f>
        <v>1145</v>
      </c>
      <c r="H250" s="16">
        <f>Table11[[#This Row],['#TreesContract]]*Table11[[#This Row],[USA Allocation %]]</f>
        <v>1145</v>
      </c>
      <c r="I250" s="16">
        <f>Table11[[#This Row],['#Planted]]*Table11[[#This Row],[USA Allocation %]]</f>
        <v>1145</v>
      </c>
      <c r="J250" s="16">
        <f>Table11[[#This Row],[Contract Amendment]]*Table11[[#This Row],[USA Allocation %]]</f>
        <v>0</v>
      </c>
      <c r="K250" s="16">
        <f>Table11[[#This Row],['#Trees as of 12/31/23]]*Table11[[#This Row],[USA Allocation %]]</f>
        <v>1145</v>
      </c>
      <c r="L250" s="16">
        <f>Table11[[#This Row],['#Replace 24]]*Table11[[#This Row],[USA Allocation %]]</f>
        <v>0</v>
      </c>
      <c r="M250" s="16">
        <f>IF(Table11[[#This Row],[Planting Year]]=2024,Table11['#Planted],0)</f>
        <v>0</v>
      </c>
      <c r="N250" s="16">
        <f>(Table11[[#This Row],[2024 '#Trees Inventory + Estimate]]*Table11[[#This Row],[USA Allocation %]])-SUM(Table37[[#This Row],['# Trees as of 12/31/23]:[New Trees/Planted in 2024]])</f>
        <v>0</v>
      </c>
      <c r="O250" s="16">
        <f>SUM(Table37[[#This Row],['# Trees as of 12/31/23]:[2024 Tree Losses]])</f>
        <v>1145</v>
      </c>
      <c r="P250" s="16">
        <f>SUM(Table37[[#This Row],[Total Trees as of 12/31/24]]-Table37[[#This Row],['# Trees as of 12/31/23]])</f>
        <v>0</v>
      </c>
      <c r="Q250" s="16">
        <f>Table11[[#This Row],['#Total Replacements]]*Table11[[#This Row],[USA Allocation %]]</f>
        <v>198</v>
      </c>
      <c r="R250" s="16">
        <f>IF(Table37[[#This Row],['#Survival based on Inventory]]=0,Table37['#Survival based on Last Year Estimate],Table37['#Survival based on Inventory])</f>
        <v>1145</v>
      </c>
      <c r="S250" s="16">
        <f>Table11[[#This Row],['#Planted]]*Table11[[#This Row],[USA Allocation %]]*Table11[[#This Row],[2024 Inventory Survival%-master]]</f>
        <v>0</v>
      </c>
      <c r="T250" s="16">
        <f>Table11[[#This Row],['#Planted]]*Table11[[#This Row],[USA Allocation %]]*Table11[[#This Row],[2024 Estimated Survival%]]</f>
        <v>1145</v>
      </c>
      <c r="U250">
        <f>Table11[[#This Row],[ETP Year]]</f>
        <v>2021</v>
      </c>
      <c r="V250">
        <f>Table11[[#This Row],[Planting Year]]</f>
        <v>2021</v>
      </c>
      <c r="W250" s="8">
        <f>Table11[[#This Row],[Survival% as of 12/31/23]]</f>
        <v>1</v>
      </c>
      <c r="X250" s="7">
        <f>Table11[[#This Row],[ETP'#s]]</f>
        <v>1</v>
      </c>
    </row>
    <row r="251" spans="1:24" x14ac:dyDescent="0.25">
      <c r="A251">
        <f>Table11[[#This Row],[Farmer'#]]</f>
        <v>10099</v>
      </c>
      <c r="B251" t="str">
        <f>Table11[[#This Row],[Representative]]</f>
        <v>Michael Roe</v>
      </c>
      <c r="C251" t="str">
        <f>Table11[[#This Row],[Contract Name]]</f>
        <v>Michael  Roe</v>
      </c>
      <c r="D251" t="str">
        <f>Table11[[#This Row],[Status]]</f>
        <v>Active</v>
      </c>
      <c r="E251" t="str">
        <f>Table11[[#This Row],[Contract Code]]</f>
        <v>US0115</v>
      </c>
      <c r="F251" s="16">
        <f>Table11[[#This Row],['#TreesContract]]</f>
        <v>1100</v>
      </c>
      <c r="G251" s="16">
        <f>Table11[[#This Row],['#Planted]]</f>
        <v>1100</v>
      </c>
      <c r="H251" s="16">
        <f>Table11[[#This Row],['#TreesContract]]*Table11[[#This Row],[USA Allocation %]]</f>
        <v>1100</v>
      </c>
      <c r="I251" s="16">
        <f>Table11[[#This Row],['#Planted]]*Table11[[#This Row],[USA Allocation %]]</f>
        <v>1100</v>
      </c>
      <c r="J251" s="16">
        <f>Table11[[#This Row],[Contract Amendment]]*Table11[[#This Row],[USA Allocation %]]</f>
        <v>0</v>
      </c>
      <c r="K251" s="16">
        <f>Table11[[#This Row],['#Trees as of 12/31/23]]*Table11[[#This Row],[USA Allocation %]]</f>
        <v>975.60617715617718</v>
      </c>
      <c r="L251" s="16">
        <f>Table11[[#This Row],['#Replace 24]]*Table11[[#This Row],[USA Allocation %]]</f>
        <v>0</v>
      </c>
      <c r="M251" s="16">
        <f>IF(Table11[[#This Row],[Planting Year]]=2024,Table11['#Planted],0)</f>
        <v>0</v>
      </c>
      <c r="N251" s="16">
        <f>(Table11[[#This Row],[2024 '#Trees Inventory + Estimate]]*Table11[[#This Row],[USA Allocation %]])-SUM(Table37[[#This Row],['# Trees as of 12/31/23]:[New Trees/Planted in 2024]])</f>
        <v>0</v>
      </c>
      <c r="O251" s="16">
        <f>SUM(Table37[[#This Row],['# Trees as of 12/31/23]:[2024 Tree Losses]])</f>
        <v>975.60617715617718</v>
      </c>
      <c r="P251" s="16">
        <f>SUM(Table37[[#This Row],[Total Trees as of 12/31/24]]-Table37[[#This Row],['# Trees as of 12/31/23]])</f>
        <v>0</v>
      </c>
      <c r="Q251" s="16">
        <f>Table11[[#This Row],['#Total Replacements]]*Table11[[#This Row],[USA Allocation %]]</f>
        <v>273</v>
      </c>
      <c r="R251" s="16">
        <f>IF(Table37[[#This Row],['#Survival based on Inventory]]=0,Table37['#Survival based on Last Year Estimate],Table37['#Survival based on Inventory])</f>
        <v>975.60617715617718</v>
      </c>
      <c r="S251" s="16">
        <f>Table11[[#This Row],['#Planted]]*Table11[[#This Row],[USA Allocation %]]*Table11[[#This Row],[2024 Inventory Survival%-master]]</f>
        <v>0</v>
      </c>
      <c r="T251" s="16">
        <f>Table11[[#This Row],['#Planted]]*Table11[[#This Row],[USA Allocation %]]*Table11[[#This Row],[2024 Estimated Survival%]]</f>
        <v>975.60617715617718</v>
      </c>
      <c r="U251">
        <f>Table11[[#This Row],[ETP Year]]</f>
        <v>2020</v>
      </c>
      <c r="V251">
        <f>Table11[[#This Row],[Planting Year]]</f>
        <v>2021</v>
      </c>
      <c r="W251" s="8">
        <f>Table11[[#This Row],[Survival% as of 12/31/23]]</f>
        <v>0.88691470650561566</v>
      </c>
      <c r="X251" s="7">
        <f>Table11[[#This Row],[ETP'#s]]</f>
        <v>1</v>
      </c>
    </row>
    <row r="252" spans="1:24" x14ac:dyDescent="0.25">
      <c r="A252">
        <f>Table11[[#This Row],[Farmer'#]]</f>
        <v>10100</v>
      </c>
      <c r="B252" t="str">
        <f>Table11[[#This Row],[Representative]]</f>
        <v>Roy Price</v>
      </c>
      <c r="C252" t="str">
        <f>Table11[[#This Row],[Contract Name]]</f>
        <v>Roy  Price</v>
      </c>
      <c r="D252" t="str">
        <f>Table11[[#This Row],[Status]]</f>
        <v>Active</v>
      </c>
      <c r="E252" t="str">
        <f>Table11[[#This Row],[Contract Code]]</f>
        <v>US0118</v>
      </c>
      <c r="F252" s="16">
        <f>Table11[[#This Row],['#TreesContract]]</f>
        <v>1980</v>
      </c>
      <c r="G252" s="16">
        <f>Table11[[#This Row],['#Planted]]</f>
        <v>1980</v>
      </c>
      <c r="H252" s="16">
        <f>Table11[[#This Row],['#TreesContract]]*Table11[[#This Row],[USA Allocation %]]</f>
        <v>1980</v>
      </c>
      <c r="I252" s="16">
        <f>Table11[[#This Row],['#Planted]]*Table11[[#This Row],[USA Allocation %]]</f>
        <v>1980</v>
      </c>
      <c r="J252" s="16">
        <f>Table11[[#This Row],[Contract Amendment]]*Table11[[#This Row],[USA Allocation %]]</f>
        <v>0</v>
      </c>
      <c r="K252" s="16">
        <f>Table11[[#This Row],['#Trees as of 12/31/23]]*Table11[[#This Row],[USA Allocation %]]</f>
        <v>1980</v>
      </c>
      <c r="L252" s="16">
        <f>Table11[[#This Row],['#Replace 24]]*Table11[[#This Row],[USA Allocation %]]</f>
        <v>0</v>
      </c>
      <c r="M252" s="16">
        <f>IF(Table11[[#This Row],[Planting Year]]=2024,Table11['#Planted],0)</f>
        <v>0</v>
      </c>
      <c r="N252" s="16">
        <f>(Table11[[#This Row],[2024 '#Trees Inventory + Estimate]]*Table11[[#This Row],[USA Allocation %]])-SUM(Table37[[#This Row],['# Trees as of 12/31/23]:[New Trees/Planted in 2024]])</f>
        <v>0</v>
      </c>
      <c r="O252" s="16">
        <f>SUM(Table37[[#This Row],['# Trees as of 12/31/23]:[2024 Tree Losses]])</f>
        <v>1980</v>
      </c>
      <c r="P252" s="16">
        <f>SUM(Table37[[#This Row],[Total Trees as of 12/31/24]]-Table37[[#This Row],['# Trees as of 12/31/23]])</f>
        <v>0</v>
      </c>
      <c r="Q252" s="16">
        <f>Table11[[#This Row],['#Total Replacements]]*Table11[[#This Row],[USA Allocation %]]</f>
        <v>568</v>
      </c>
      <c r="R252" s="16">
        <f>IF(Table37[[#This Row],['#Survival based on Inventory]]=0,Table37['#Survival based on Last Year Estimate],Table37['#Survival based on Inventory])</f>
        <v>1980</v>
      </c>
      <c r="S252" s="16">
        <f>Table11[[#This Row],['#Planted]]*Table11[[#This Row],[USA Allocation %]]*Table11[[#This Row],[2024 Inventory Survival%-master]]</f>
        <v>0</v>
      </c>
      <c r="T252" s="16">
        <f>Table11[[#This Row],['#Planted]]*Table11[[#This Row],[USA Allocation %]]*Table11[[#This Row],[2024 Estimated Survival%]]</f>
        <v>1980</v>
      </c>
      <c r="U252">
        <f>Table11[[#This Row],[ETP Year]]</f>
        <v>2021</v>
      </c>
      <c r="V252">
        <f>Table11[[#This Row],[Planting Year]]</f>
        <v>2021</v>
      </c>
      <c r="W252" s="8">
        <f>Table11[[#This Row],[Survival% as of 12/31/23]]</f>
        <v>1</v>
      </c>
      <c r="X252" s="7">
        <f>Table11[[#This Row],[ETP'#s]]</f>
        <v>1</v>
      </c>
    </row>
    <row r="253" spans="1:24" x14ac:dyDescent="0.25">
      <c r="A253">
        <f>Table11[[#This Row],[Farmer'#]]</f>
        <v>10101</v>
      </c>
      <c r="B253" t="str">
        <f>Table11[[#This Row],[Representative]]</f>
        <v>Scotty Mckenzie</v>
      </c>
      <c r="C253" t="str">
        <f>Table11[[#This Row],[Contract Name]]</f>
        <v>Scotty  Mckenzie</v>
      </c>
      <c r="D253" t="str">
        <f>Table11[[#This Row],[Status]]</f>
        <v>Active</v>
      </c>
      <c r="E253" t="str">
        <f>Table11[[#This Row],[Contract Code]]</f>
        <v>US0120</v>
      </c>
      <c r="F253" s="16">
        <f>Table11[[#This Row],['#TreesContract]]</f>
        <v>1320</v>
      </c>
      <c r="G253" s="16">
        <f>Table11[[#This Row],['#Planted]]</f>
        <v>1320</v>
      </c>
      <c r="H253" s="16">
        <f>Table11[[#This Row],['#TreesContract]]*Table11[[#This Row],[USA Allocation %]]</f>
        <v>1320</v>
      </c>
      <c r="I253" s="16">
        <f>Table11[[#This Row],['#Planted]]*Table11[[#This Row],[USA Allocation %]]</f>
        <v>1320</v>
      </c>
      <c r="J253" s="16">
        <f>Table11[[#This Row],[Contract Amendment]]*Table11[[#This Row],[USA Allocation %]]</f>
        <v>0</v>
      </c>
      <c r="K253" s="16">
        <f>Table11[[#This Row],['#Trees as of 12/31/23]]*Table11[[#This Row],[USA Allocation %]]</f>
        <v>601.20659673659668</v>
      </c>
      <c r="L253" s="16">
        <f>Table11[[#This Row],['#Replace 24]]*Table11[[#This Row],[USA Allocation %]]</f>
        <v>0</v>
      </c>
      <c r="M253" s="16">
        <f>IF(Table11[[#This Row],[Planting Year]]=2024,Table11['#Planted],0)</f>
        <v>0</v>
      </c>
      <c r="N253" s="16">
        <f>(Table11[[#This Row],[2024 '#Trees Inventory + Estimate]]*Table11[[#This Row],[USA Allocation %]])-SUM(Table37[[#This Row],['# Trees as of 12/31/23]:[New Trees/Planted in 2024]])</f>
        <v>0</v>
      </c>
      <c r="O253" s="16">
        <f>SUM(Table37[[#This Row],['# Trees as of 12/31/23]:[2024 Tree Losses]])</f>
        <v>601.20659673659668</v>
      </c>
      <c r="P253" s="16">
        <f>SUM(Table37[[#This Row],[Total Trees as of 12/31/24]]-Table37[[#This Row],['# Trees as of 12/31/23]])</f>
        <v>0</v>
      </c>
      <c r="Q253" s="16">
        <f>Table11[[#This Row],['#Total Replacements]]*Table11[[#This Row],[USA Allocation %]]</f>
        <v>441</v>
      </c>
      <c r="R253" s="16">
        <f>IF(Table37[[#This Row],['#Survival based on Inventory]]=0,Table37['#Survival based on Last Year Estimate],Table37['#Survival based on Inventory])</f>
        <v>601.20659673659668</v>
      </c>
      <c r="S253" s="16">
        <f>Table11[[#This Row],['#Planted]]*Table11[[#This Row],[USA Allocation %]]*Table11[[#This Row],[2024 Inventory Survival%-master]]</f>
        <v>0</v>
      </c>
      <c r="T253" s="16">
        <f>Table11[[#This Row],['#Planted]]*Table11[[#This Row],[USA Allocation %]]*Table11[[#This Row],[2024 Estimated Survival%]]</f>
        <v>601.20659673659668</v>
      </c>
      <c r="U253">
        <f>Table11[[#This Row],[ETP Year]]</f>
        <v>2020</v>
      </c>
      <c r="V253">
        <f>Table11[[#This Row],[Planting Year]]</f>
        <v>2021</v>
      </c>
      <c r="W253" s="8">
        <f>Table11[[#This Row],[Survival% as of 12/31/23]]</f>
        <v>0.4554595429822702</v>
      </c>
      <c r="X253" s="7">
        <f>Table11[[#This Row],[ETP'#s]]</f>
        <v>1</v>
      </c>
    </row>
    <row r="254" spans="1:24" x14ac:dyDescent="0.25">
      <c r="A254">
        <f>Table11[[#This Row],[Farmer'#]]</f>
        <v>10102</v>
      </c>
      <c r="B254" t="str">
        <f>Table11[[#This Row],[Representative]]</f>
        <v>Sisay Souphom</v>
      </c>
      <c r="C254" t="str">
        <f>Table11[[#This Row],[Contract Name]]</f>
        <v>Sisay  Souphom</v>
      </c>
      <c r="D254" t="str">
        <f>Table11[[#This Row],[Status]]</f>
        <v>Active</v>
      </c>
      <c r="E254" t="str">
        <f>Table11[[#This Row],[Contract Code]]</f>
        <v>US0121</v>
      </c>
      <c r="F254" s="16">
        <f>Table11[[#This Row],['#TreesContract]]</f>
        <v>1100</v>
      </c>
      <c r="G254" s="16">
        <f>Table11[[#This Row],['#Planted]]</f>
        <v>1100</v>
      </c>
      <c r="H254" s="16">
        <f>Table11[[#This Row],['#TreesContract]]*Table11[[#This Row],[USA Allocation %]]</f>
        <v>1100</v>
      </c>
      <c r="I254" s="16">
        <f>Table11[[#This Row],['#Planted]]*Table11[[#This Row],[USA Allocation %]]</f>
        <v>1100</v>
      </c>
      <c r="J254" s="16">
        <f>Table11[[#This Row],[Contract Amendment]]*Table11[[#This Row],[USA Allocation %]]</f>
        <v>0</v>
      </c>
      <c r="K254" s="16">
        <f>Table11[[#This Row],['#Trees as of 12/31/23]]*Table11[[#This Row],[USA Allocation %]]</f>
        <v>1089.7363636363634</v>
      </c>
      <c r="L254" s="16">
        <f>Table11[[#This Row],['#Replace 24]]*Table11[[#This Row],[USA Allocation %]]</f>
        <v>0</v>
      </c>
      <c r="M254" s="16">
        <f>IF(Table11[[#This Row],[Planting Year]]=2024,Table11['#Planted],0)</f>
        <v>0</v>
      </c>
      <c r="N254" s="16">
        <f>(Table11[[#This Row],[2024 '#Trees Inventory + Estimate]]*Table11[[#This Row],[USA Allocation %]])-SUM(Table37[[#This Row],['# Trees as of 12/31/23]:[New Trees/Planted in 2024]])</f>
        <v>0</v>
      </c>
      <c r="O254" s="16">
        <f>SUM(Table37[[#This Row],['# Trees as of 12/31/23]:[2024 Tree Losses]])</f>
        <v>1089.7363636363634</v>
      </c>
      <c r="P254" s="16">
        <f>SUM(Table37[[#This Row],[Total Trees as of 12/31/24]]-Table37[[#This Row],['# Trees as of 12/31/23]])</f>
        <v>0</v>
      </c>
      <c r="Q254" s="16">
        <f>Table11[[#This Row],['#Total Replacements]]*Table11[[#This Row],[USA Allocation %]]</f>
        <v>206</v>
      </c>
      <c r="R254" s="16">
        <f>IF(Table37[[#This Row],['#Survival based on Inventory]]=0,Table37['#Survival based on Last Year Estimate],Table37['#Survival based on Inventory])</f>
        <v>1089.7363636363634</v>
      </c>
      <c r="S254" s="16">
        <f>Table11[[#This Row],['#Planted]]*Table11[[#This Row],[USA Allocation %]]*Table11[[#This Row],[2024 Inventory Survival%-master]]</f>
        <v>0</v>
      </c>
      <c r="T254" s="16">
        <f>Table11[[#This Row],['#Planted]]*Table11[[#This Row],[USA Allocation %]]*Table11[[#This Row],[2024 Estimated Survival%]]</f>
        <v>1089.7363636363634</v>
      </c>
      <c r="U254">
        <f>Table11[[#This Row],[ETP Year]]</f>
        <v>2020</v>
      </c>
      <c r="V254">
        <f>Table11[[#This Row],[Planting Year]]</f>
        <v>2021</v>
      </c>
      <c r="W254" s="8">
        <f>Table11[[#This Row],[Survival% as of 12/31/23]]</f>
        <v>0.99066942148760306</v>
      </c>
      <c r="X254" s="7">
        <f>Table11[[#This Row],[ETP'#s]]</f>
        <v>1</v>
      </c>
    </row>
    <row r="255" spans="1:24" x14ac:dyDescent="0.25">
      <c r="A255">
        <f>Table11[[#This Row],[Farmer'#]]</f>
        <v>10103</v>
      </c>
      <c r="B255" t="str">
        <f>Table11[[#This Row],[Representative]]</f>
        <v>Stephen Andrews</v>
      </c>
      <c r="C255" t="str">
        <f>Table11[[#This Row],[Contract Name]]</f>
        <v>Stephen  Andrews</v>
      </c>
      <c r="D255" t="str">
        <f>Table11[[#This Row],[Status]]</f>
        <v>Out of Program</v>
      </c>
      <c r="E255" t="str">
        <f>Table11[[#This Row],[Contract Code]]</f>
        <v>US0122</v>
      </c>
      <c r="F255" s="16">
        <f>Table11[[#This Row],['#TreesContract]]</f>
        <v>1100</v>
      </c>
      <c r="G255" s="16">
        <f>Table11[[#This Row],['#Planted]]</f>
        <v>1100</v>
      </c>
      <c r="H255" s="16">
        <f>Table11[[#This Row],['#TreesContract]]*Table11[[#This Row],[USA Allocation %]]</f>
        <v>1100</v>
      </c>
      <c r="I255" s="16">
        <f>Table11[[#This Row],['#Planted]]*Table11[[#This Row],[USA Allocation %]]</f>
        <v>1100</v>
      </c>
      <c r="J255" s="16">
        <f>Table11[[#This Row],[Contract Amendment]]*Table11[[#This Row],[USA Allocation %]]</f>
        <v>0</v>
      </c>
      <c r="K255" s="16">
        <f>Table11[[#This Row],['#Trees as of 12/31/23]]*Table11[[#This Row],[USA Allocation %]]</f>
        <v>0</v>
      </c>
      <c r="L255" s="16">
        <f>Table11[[#This Row],['#Replace 24]]*Table11[[#This Row],[USA Allocation %]]</f>
        <v>0</v>
      </c>
      <c r="M255" s="16">
        <f>IF(Table11[[#This Row],[Planting Year]]=2024,Table11['#Planted],0)</f>
        <v>0</v>
      </c>
      <c r="N255" s="16">
        <f>(Table11[[#This Row],[2024 '#Trees Inventory + Estimate]]*Table11[[#This Row],[USA Allocation %]])-SUM(Table37[[#This Row],['# Trees as of 12/31/23]:[New Trees/Planted in 2024]])</f>
        <v>0</v>
      </c>
      <c r="O255" s="16">
        <f>SUM(Table37[[#This Row],['# Trees as of 12/31/23]:[2024 Tree Losses]])</f>
        <v>0</v>
      </c>
      <c r="P255" s="16">
        <f>SUM(Table37[[#This Row],[Total Trees as of 12/31/24]]-Table37[[#This Row],['# Trees as of 12/31/23]])</f>
        <v>0</v>
      </c>
      <c r="Q255" s="16">
        <f>Table11[[#This Row],['#Total Replacements]]*Table11[[#This Row],[USA Allocation %]]</f>
        <v>0</v>
      </c>
      <c r="R255" s="16">
        <f>IF(Table37[[#This Row],['#Survival based on Inventory]]=0,Table37['#Survival based on Last Year Estimate],Table37['#Survival based on Inventory])</f>
        <v>0</v>
      </c>
      <c r="S255" s="16">
        <f>Table11[[#This Row],['#Planted]]*Table11[[#This Row],[USA Allocation %]]*Table11[[#This Row],[2024 Inventory Survival%-master]]</f>
        <v>0</v>
      </c>
      <c r="T255" s="16">
        <f>Table11[[#This Row],['#Planted]]*Table11[[#This Row],[USA Allocation %]]*Table11[[#This Row],[2024 Estimated Survival%]]</f>
        <v>0</v>
      </c>
      <c r="U255">
        <f>Table11[[#This Row],[ETP Year]]</f>
        <v>2020</v>
      </c>
      <c r="V255">
        <f>Table11[[#This Row],[Planting Year]]</f>
        <v>2021</v>
      </c>
      <c r="W255" s="8">
        <f>Table11[[#This Row],[Survival% as of 12/31/23]]</f>
        <v>0</v>
      </c>
      <c r="X255" s="7">
        <f>Table11[[#This Row],[ETP'#s]]</f>
        <v>1</v>
      </c>
    </row>
    <row r="256" spans="1:24" x14ac:dyDescent="0.25">
      <c r="A256">
        <f>Table11[[#This Row],[Farmer'#]]</f>
        <v>10104</v>
      </c>
      <c r="B256" t="str">
        <f>Table11[[#This Row],[Representative]]</f>
        <v>Steven Hunter</v>
      </c>
      <c r="C256" t="str">
        <f>Table11[[#This Row],[Contract Name]]</f>
        <v>Steven and Christy Hunter</v>
      </c>
      <c r="D256" t="str">
        <f>Table11[[#This Row],[Status]]</f>
        <v>Active</v>
      </c>
      <c r="E256" t="str">
        <f>Table11[[#This Row],[Contract Code]]</f>
        <v>US0123</v>
      </c>
      <c r="F256" s="16">
        <f>Table11[[#This Row],['#TreesContract]]</f>
        <v>3620</v>
      </c>
      <c r="G256" s="16">
        <f>Table11[[#This Row],['#Planted]]</f>
        <v>3620</v>
      </c>
      <c r="H256" s="16">
        <f>Table11[[#This Row],['#TreesContract]]*Table11[[#This Row],[USA Allocation %]]</f>
        <v>3620</v>
      </c>
      <c r="I256" s="16">
        <f>Table11[[#This Row],['#Planted]]*Table11[[#This Row],[USA Allocation %]]</f>
        <v>3620</v>
      </c>
      <c r="J256" s="16">
        <f>Table11[[#This Row],[Contract Amendment]]*Table11[[#This Row],[USA Allocation %]]</f>
        <v>0</v>
      </c>
      <c r="K256" s="16">
        <f>Table11[[#This Row],['#Trees as of 12/31/23]]*Table11[[#This Row],[USA Allocation %]]</f>
        <v>3084.7826086956516</v>
      </c>
      <c r="L256" s="16">
        <f>Table11[[#This Row],['#Replace 24]]*Table11[[#This Row],[USA Allocation %]]</f>
        <v>0</v>
      </c>
      <c r="M256" s="16">
        <f>IF(Table11[[#This Row],[Planting Year]]=2024,Table11['#Planted],0)</f>
        <v>0</v>
      </c>
      <c r="N256" s="16">
        <f>(Table11[[#This Row],[2024 '#Trees Inventory + Estimate]]*Table11[[#This Row],[USA Allocation %]])-SUM(Table37[[#This Row],['# Trees as of 12/31/23]:[New Trees/Planted in 2024]])</f>
        <v>0</v>
      </c>
      <c r="O256" s="16">
        <f>SUM(Table37[[#This Row],['# Trees as of 12/31/23]:[2024 Tree Losses]])</f>
        <v>3084.7826086956516</v>
      </c>
      <c r="P256" s="16">
        <f>SUM(Table37[[#This Row],[Total Trees as of 12/31/24]]-Table37[[#This Row],['# Trees as of 12/31/23]])</f>
        <v>0</v>
      </c>
      <c r="Q256" s="16">
        <f>Table11[[#This Row],['#Total Replacements]]*Table11[[#This Row],[USA Allocation %]]</f>
        <v>794</v>
      </c>
      <c r="R256" s="16">
        <f>IF(Table37[[#This Row],['#Survival based on Inventory]]=0,Table37['#Survival based on Last Year Estimate],Table37['#Survival based on Inventory])</f>
        <v>3084.7826086956516</v>
      </c>
      <c r="S256" s="16">
        <f>Table11[[#This Row],['#Planted]]*Table11[[#This Row],[USA Allocation %]]*Table11[[#This Row],[2024 Inventory Survival%-master]]</f>
        <v>0</v>
      </c>
      <c r="T256" s="16">
        <f>Table11[[#This Row],['#Planted]]*Table11[[#This Row],[USA Allocation %]]*Table11[[#This Row],[2024 Estimated Survival%]]</f>
        <v>3084.7826086956516</v>
      </c>
      <c r="U256">
        <f>Table11[[#This Row],[ETP Year]]</f>
        <v>2020</v>
      </c>
      <c r="V256">
        <f>Table11[[#This Row],[Planting Year]]</f>
        <v>2021</v>
      </c>
      <c r="W256" s="8">
        <f>Table11[[#This Row],[Survival% as of 12/31/23]]</f>
        <v>0.85214989190487611</v>
      </c>
      <c r="X256" s="7">
        <f>Table11[[#This Row],[ETP'#s]]</f>
        <v>1</v>
      </c>
    </row>
    <row r="257" spans="1:24" x14ac:dyDescent="0.25">
      <c r="A257">
        <f>Table11[[#This Row],[Farmer'#]]</f>
        <v>10105</v>
      </c>
      <c r="B257" t="str">
        <f>Table11[[#This Row],[Representative]]</f>
        <v>Teresa Beam</v>
      </c>
      <c r="C257" t="str">
        <f>Table11[[#This Row],[Contract Name]]</f>
        <v>Teresa and Josh Beam</v>
      </c>
      <c r="D257" t="str">
        <f>Table11[[#This Row],[Status]]</f>
        <v>Active</v>
      </c>
      <c r="E257" t="str">
        <f>Table11[[#This Row],[Contract Code]]</f>
        <v>US0124</v>
      </c>
      <c r="F257" s="16">
        <f>Table11[[#This Row],['#TreesContract]]</f>
        <v>1100</v>
      </c>
      <c r="G257" s="16">
        <f>Table11[[#This Row],['#Planted]]</f>
        <v>1100</v>
      </c>
      <c r="H257" s="16">
        <f>Table11[[#This Row],['#TreesContract]]*Table11[[#This Row],[USA Allocation %]]</f>
        <v>1100</v>
      </c>
      <c r="I257" s="16">
        <f>Table11[[#This Row],['#Planted]]*Table11[[#This Row],[USA Allocation %]]</f>
        <v>1100</v>
      </c>
      <c r="J257" s="16">
        <f>Table11[[#This Row],[Contract Amendment]]*Table11[[#This Row],[USA Allocation %]]</f>
        <v>0</v>
      </c>
      <c r="K257" s="16">
        <f>Table11[[#This Row],['#Trees as of 12/31/23]]*Table11[[#This Row],[USA Allocation %]]</f>
        <v>595.36363636363637</v>
      </c>
      <c r="L257" s="16">
        <f>Table11[[#This Row],['#Replace 24]]*Table11[[#This Row],[USA Allocation %]]</f>
        <v>0</v>
      </c>
      <c r="M257" s="16">
        <f>IF(Table11[[#This Row],[Planting Year]]=2024,Table11['#Planted],0)</f>
        <v>0</v>
      </c>
      <c r="N257" s="16">
        <f>(Table11[[#This Row],[2024 '#Trees Inventory + Estimate]]*Table11[[#This Row],[USA Allocation %]])-SUM(Table37[[#This Row],['# Trees as of 12/31/23]:[New Trees/Planted in 2024]])</f>
        <v>0</v>
      </c>
      <c r="O257" s="16">
        <f>SUM(Table37[[#This Row],['# Trees as of 12/31/23]:[2024 Tree Losses]])</f>
        <v>595.36363636363637</v>
      </c>
      <c r="P257" s="16">
        <f>SUM(Table37[[#This Row],[Total Trees as of 12/31/24]]-Table37[[#This Row],['# Trees as of 12/31/23]])</f>
        <v>0</v>
      </c>
      <c r="Q257" s="16">
        <f>Table11[[#This Row],['#Total Replacements]]*Table11[[#This Row],[USA Allocation %]]</f>
        <v>567</v>
      </c>
      <c r="R257" s="16">
        <f>IF(Table37[[#This Row],['#Survival based on Inventory]]=0,Table37['#Survival based on Last Year Estimate],Table37['#Survival based on Inventory])</f>
        <v>595.36363636363637</v>
      </c>
      <c r="S257" s="16">
        <f>Table11[[#This Row],['#Planted]]*Table11[[#This Row],[USA Allocation %]]*Table11[[#This Row],[2024 Inventory Survival%-master]]</f>
        <v>0</v>
      </c>
      <c r="T257" s="16">
        <f>Table11[[#This Row],['#Planted]]*Table11[[#This Row],[USA Allocation %]]*Table11[[#This Row],[2024 Estimated Survival%]]</f>
        <v>595.36363636363637</v>
      </c>
      <c r="U257">
        <f>Table11[[#This Row],[ETP Year]]</f>
        <v>2020</v>
      </c>
      <c r="V257">
        <f>Table11[[#This Row],[Planting Year]]</f>
        <v>2021</v>
      </c>
      <c r="W257" s="8">
        <f>Table11[[#This Row],[Survival% as of 12/31/23]]</f>
        <v>0.5412396694214876</v>
      </c>
      <c r="X257" s="7">
        <f>Table11[[#This Row],[ETP'#s]]</f>
        <v>1</v>
      </c>
    </row>
    <row r="258" spans="1:24" x14ac:dyDescent="0.25">
      <c r="A258">
        <f>Table11[[#This Row],[Farmer'#]]</f>
        <v>10106</v>
      </c>
      <c r="B258" t="str">
        <f>Table11[[#This Row],[Representative]]</f>
        <v>Tim Harper</v>
      </c>
      <c r="C258" t="str">
        <f>Table11[[#This Row],[Contract Name]]</f>
        <v>Tim  Harper</v>
      </c>
      <c r="D258" t="str">
        <f>Table11[[#This Row],[Status]]</f>
        <v>RFT</v>
      </c>
      <c r="E258" t="str">
        <f>Table11[[#This Row],[Contract Code]]</f>
        <v>US0125</v>
      </c>
      <c r="F258" s="16">
        <f>Table11[[#This Row],['#TreesContract]]</f>
        <v>1650</v>
      </c>
      <c r="G258" s="16">
        <f>Table11[[#This Row],['#Planted]]</f>
        <v>1650</v>
      </c>
      <c r="H258" s="16">
        <f>Table11[[#This Row],['#TreesContract]]*Table11[[#This Row],[USA Allocation %]]</f>
        <v>1650</v>
      </c>
      <c r="I258" s="16">
        <f>Table11[[#This Row],['#Planted]]*Table11[[#This Row],[USA Allocation %]]</f>
        <v>1650</v>
      </c>
      <c r="J258" s="16">
        <f>Table11[[#This Row],[Contract Amendment]]*Table11[[#This Row],[USA Allocation %]]</f>
        <v>0</v>
      </c>
      <c r="K258" s="16">
        <f>Table11[[#This Row],['#Trees as of 12/31/23]]*Table11[[#This Row],[USA Allocation %]]</f>
        <v>0</v>
      </c>
      <c r="L258" s="16">
        <f>Table11[[#This Row],['#Replace 24]]*Table11[[#This Row],[USA Allocation %]]</f>
        <v>0</v>
      </c>
      <c r="M258" s="16">
        <f>IF(Table11[[#This Row],[Planting Year]]=2024,Table11['#Planted],0)</f>
        <v>0</v>
      </c>
      <c r="N258" s="16">
        <f>(Table11[[#This Row],[2024 '#Trees Inventory + Estimate]]*Table11[[#This Row],[USA Allocation %]])-SUM(Table37[[#This Row],['# Trees as of 12/31/23]:[New Trees/Planted in 2024]])</f>
        <v>0</v>
      </c>
      <c r="O258" s="16">
        <f>SUM(Table37[[#This Row],['# Trees as of 12/31/23]:[2024 Tree Losses]])</f>
        <v>0</v>
      </c>
      <c r="P258" s="16">
        <f>SUM(Table37[[#This Row],[Total Trees as of 12/31/24]]-Table37[[#This Row],['# Trees as of 12/31/23]])</f>
        <v>0</v>
      </c>
      <c r="Q258" s="16">
        <f>Table11[[#This Row],['#Total Replacements]]*Table11[[#This Row],[USA Allocation %]]</f>
        <v>0</v>
      </c>
      <c r="R258" s="16">
        <f>IF(Table37[[#This Row],['#Survival based on Inventory]]=0,Table37['#Survival based on Last Year Estimate],Table37['#Survival based on Inventory])</f>
        <v>0</v>
      </c>
      <c r="S258" s="16">
        <f>Table11[[#This Row],['#Planted]]*Table11[[#This Row],[USA Allocation %]]*Table11[[#This Row],[2024 Inventory Survival%-master]]</f>
        <v>0</v>
      </c>
      <c r="T258" s="16">
        <f>Table11[[#This Row],['#Planted]]*Table11[[#This Row],[USA Allocation %]]*Table11[[#This Row],[2024 Estimated Survival%]]</f>
        <v>0</v>
      </c>
      <c r="U258">
        <f>Table11[[#This Row],[ETP Year]]</f>
        <v>2020</v>
      </c>
      <c r="V258">
        <f>Table11[[#This Row],[Planting Year]]</f>
        <v>2021</v>
      </c>
      <c r="W258" s="8">
        <f>Table11[[#This Row],[Survival% as of 12/31/23]]</f>
        <v>0</v>
      </c>
      <c r="X258" s="7">
        <f>Table11[[#This Row],[ETP'#s]]</f>
        <v>1</v>
      </c>
    </row>
    <row r="259" spans="1:24" x14ac:dyDescent="0.25">
      <c r="A259">
        <f>Table11[[#This Row],[Farmer'#]]</f>
        <v>10107</v>
      </c>
      <c r="B259" t="str">
        <f>Table11[[#This Row],[Representative]]</f>
        <v>Wendy Muhammad</v>
      </c>
      <c r="C259" t="str">
        <f>Table11[[#This Row],[Contract Name]]</f>
        <v>Wendy Muhammad</v>
      </c>
      <c r="D259" t="str">
        <f>Table11[[#This Row],[Status]]</f>
        <v>Active</v>
      </c>
      <c r="E259" t="str">
        <f>Table11[[#This Row],[Contract Code]]</f>
        <v>US0126</v>
      </c>
      <c r="F259" s="16">
        <f>Table11[[#This Row],['#TreesContract]]</f>
        <v>1100</v>
      </c>
      <c r="G259" s="16">
        <f>Table11[[#This Row],['#Planted]]</f>
        <v>1100</v>
      </c>
      <c r="H259" s="16">
        <f>Table11[[#This Row],['#TreesContract]]*Table11[[#This Row],[USA Allocation %]]</f>
        <v>1100</v>
      </c>
      <c r="I259" s="16">
        <f>Table11[[#This Row],['#Planted]]*Table11[[#This Row],[USA Allocation %]]</f>
        <v>1100</v>
      </c>
      <c r="J259" s="16">
        <f>Table11[[#This Row],[Contract Amendment]]*Table11[[#This Row],[USA Allocation %]]</f>
        <v>0</v>
      </c>
      <c r="K259" s="16">
        <f>Table11[[#This Row],['#Trees as of 12/31/23]]*Table11[[#This Row],[USA Allocation %]]</f>
        <v>1065.8666666666668</v>
      </c>
      <c r="L259" s="16">
        <f>Table11[[#This Row],['#Replace 24]]*Table11[[#This Row],[USA Allocation %]]</f>
        <v>0</v>
      </c>
      <c r="M259" s="16">
        <f>IF(Table11[[#This Row],[Planting Year]]=2024,Table11['#Planted],0)</f>
        <v>0</v>
      </c>
      <c r="N259" s="16">
        <f>(Table11[[#This Row],[2024 '#Trees Inventory + Estimate]]*Table11[[#This Row],[USA Allocation %]])-SUM(Table37[[#This Row],['# Trees as of 12/31/23]:[New Trees/Planted in 2024]])</f>
        <v>0</v>
      </c>
      <c r="O259" s="16">
        <f>SUM(Table37[[#This Row],['# Trees as of 12/31/23]:[2024 Tree Losses]])</f>
        <v>1065.8666666666668</v>
      </c>
      <c r="P259" s="16">
        <f>SUM(Table37[[#This Row],[Total Trees as of 12/31/24]]-Table37[[#This Row],['# Trees as of 12/31/23]])</f>
        <v>0</v>
      </c>
      <c r="Q259" s="16">
        <f>Table11[[#This Row],['#Total Replacements]]*Table11[[#This Row],[USA Allocation %]]</f>
        <v>63</v>
      </c>
      <c r="R259" s="16">
        <f>IF(Table37[[#This Row],['#Survival based on Inventory]]=0,Table37['#Survival based on Last Year Estimate],Table37['#Survival based on Inventory])</f>
        <v>1065.8666666666668</v>
      </c>
      <c r="S259" s="16">
        <f>Table11[[#This Row],['#Planted]]*Table11[[#This Row],[USA Allocation %]]*Table11[[#This Row],[2024 Inventory Survival%-master]]</f>
        <v>0</v>
      </c>
      <c r="T259" s="16">
        <f>Table11[[#This Row],['#Planted]]*Table11[[#This Row],[USA Allocation %]]*Table11[[#This Row],[2024 Estimated Survival%]]</f>
        <v>1065.8666666666668</v>
      </c>
      <c r="U259">
        <f>Table11[[#This Row],[ETP Year]]</f>
        <v>2020</v>
      </c>
      <c r="V259">
        <f>Table11[[#This Row],[Planting Year]]</f>
        <v>2021</v>
      </c>
      <c r="W259" s="8">
        <f>Table11[[#This Row],[Survival% as of 12/31/23]]</f>
        <v>0.96896969696969704</v>
      </c>
      <c r="X259" s="7">
        <f>Table11[[#This Row],[ETP'#s]]</f>
        <v>1</v>
      </c>
    </row>
    <row r="260" spans="1:24" x14ac:dyDescent="0.25">
      <c r="A260">
        <f>Table11[[#This Row],[Farmer'#]]</f>
        <v>10108</v>
      </c>
      <c r="B260" t="str">
        <f>Table11[[#This Row],[Representative]]</f>
        <v>Wesley and Stanley Todd</v>
      </c>
      <c r="C260" t="str">
        <f>Table11[[#This Row],[Contract Name]]</f>
        <v>Wesley and Stanley Todd</v>
      </c>
      <c r="D260" t="str">
        <f>Table11[[#This Row],[Status]]</f>
        <v>Active</v>
      </c>
      <c r="E260" t="str">
        <f>Table11[[#This Row],[Contract Code]]</f>
        <v>US0127</v>
      </c>
      <c r="F260" s="16">
        <f>Table11[[#This Row],['#TreesContract]]</f>
        <v>660</v>
      </c>
      <c r="G260" s="16">
        <f>Table11[[#This Row],['#Planted]]</f>
        <v>660</v>
      </c>
      <c r="H260" s="16">
        <f>Table11[[#This Row],['#TreesContract]]*Table11[[#This Row],[USA Allocation %]]</f>
        <v>660</v>
      </c>
      <c r="I260" s="16">
        <f>Table11[[#This Row],['#Planted]]*Table11[[#This Row],[USA Allocation %]]</f>
        <v>660</v>
      </c>
      <c r="J260" s="16">
        <f>Table11[[#This Row],[Contract Amendment]]*Table11[[#This Row],[USA Allocation %]]</f>
        <v>0</v>
      </c>
      <c r="K260" s="16">
        <f>Table11[[#This Row],['#Trees as of 12/31/23]]*Table11[[#This Row],[USA Allocation %]]</f>
        <v>521.84615384615392</v>
      </c>
      <c r="L260" s="16">
        <f>Table11[[#This Row],['#Replace 24]]*Table11[[#This Row],[USA Allocation %]]</f>
        <v>0</v>
      </c>
      <c r="M260" s="16">
        <f>IF(Table11[[#This Row],[Planting Year]]=2024,Table11['#Planted],0)</f>
        <v>0</v>
      </c>
      <c r="N260" s="16">
        <f>(Table11[[#This Row],[2024 '#Trees Inventory + Estimate]]*Table11[[#This Row],[USA Allocation %]])-SUM(Table37[[#This Row],['# Trees as of 12/31/23]:[New Trees/Planted in 2024]])</f>
        <v>100.15384615384608</v>
      </c>
      <c r="O260" s="16">
        <f>SUM(Table37[[#This Row],['# Trees as of 12/31/23]:[2024 Tree Losses]])</f>
        <v>622</v>
      </c>
      <c r="P260" s="16">
        <f>SUM(Table37[[#This Row],[Total Trees as of 12/31/24]]-Table37[[#This Row],['# Trees as of 12/31/23]])</f>
        <v>100.15384615384608</v>
      </c>
      <c r="Q260" s="16">
        <f>Table11[[#This Row],['#Total Replacements]]*Table11[[#This Row],[USA Allocation %]]</f>
        <v>56</v>
      </c>
      <c r="R260" s="16">
        <f>IF(Table37[[#This Row],['#Survival based on Inventory]]=0,Table37['#Survival based on Last Year Estimate],Table37['#Survival based on Inventory])</f>
        <v>626.21538461538478</v>
      </c>
      <c r="S260" s="16">
        <f>Table11[[#This Row],['#Planted]]*Table11[[#This Row],[USA Allocation %]]*Table11[[#This Row],[2024 Inventory Survival%-master]]</f>
        <v>0</v>
      </c>
      <c r="T260" s="16">
        <f>Table11[[#This Row],['#Planted]]*Table11[[#This Row],[USA Allocation %]]*Table11[[#This Row],[2024 Estimated Survival%]]</f>
        <v>626.21538461538478</v>
      </c>
      <c r="U260">
        <f>Table11[[#This Row],[ETP Year]]</f>
        <v>2021</v>
      </c>
      <c r="V260">
        <f>Table11[[#This Row],[Planting Year]]</f>
        <v>2021</v>
      </c>
      <c r="W260" s="8">
        <f>Table11[[#This Row],[Survival% as of 12/31/23]]</f>
        <v>0.94881118881118898</v>
      </c>
      <c r="X260" s="7">
        <f>Table11[[#This Row],[ETP'#s]]</f>
        <v>1</v>
      </c>
    </row>
    <row r="261" spans="1:24" x14ac:dyDescent="0.25">
      <c r="A261">
        <f>Table11[[#This Row],[Farmer'#]]</f>
        <v>20037</v>
      </c>
      <c r="B261" t="str">
        <f>Table11[[#This Row],[Representative]]</f>
        <v>Carlos Peña</v>
      </c>
      <c r="C261" t="str">
        <f>Table11[[#This Row],[Contract Name]]</f>
        <v>Carlos Peña</v>
      </c>
      <c r="D261" t="str">
        <f>Table11[[#This Row],[Status]]</f>
        <v>Out of Program</v>
      </c>
      <c r="E261" t="str">
        <f>Table11[[#This Row],[Contract Code]]</f>
        <v>CR0071</v>
      </c>
      <c r="F261" s="16">
        <f>Table11[[#This Row],['#TreesContract]]</f>
        <v>1800</v>
      </c>
      <c r="G261" s="16">
        <f>Table11[[#This Row],['#Planted]]</f>
        <v>1800</v>
      </c>
      <c r="H261" s="16">
        <f>Table11[[#This Row],['#TreesContract]]*Table11[[#This Row],[USA Allocation %]]</f>
        <v>1800</v>
      </c>
      <c r="I261" s="16">
        <f>Table11[[#This Row],['#Planted]]*Table11[[#This Row],[USA Allocation %]]</f>
        <v>1800</v>
      </c>
      <c r="J261" s="16">
        <f>Table11[[#This Row],[Contract Amendment]]*Table11[[#This Row],[USA Allocation %]]</f>
        <v>0</v>
      </c>
      <c r="K261" s="16">
        <f>Table11[[#This Row],['#Trees as of 12/31/23]]*Table11[[#This Row],[USA Allocation %]]</f>
        <v>0</v>
      </c>
      <c r="L261" s="16">
        <f>Table11[[#This Row],['#Replace 24]]*Table11[[#This Row],[USA Allocation %]]</f>
        <v>0</v>
      </c>
      <c r="M261" s="16">
        <f>IF(Table11[[#This Row],[Planting Year]]=2024,Table11['#Planted],0)</f>
        <v>0</v>
      </c>
      <c r="N261" s="16">
        <f>(Table11[[#This Row],[2024 '#Trees Inventory + Estimate]]*Table11[[#This Row],[USA Allocation %]])-SUM(Table37[[#This Row],['# Trees as of 12/31/23]:[New Trees/Planted in 2024]])</f>
        <v>0</v>
      </c>
      <c r="O261" s="16">
        <f>SUM(Table37[[#This Row],['# Trees as of 12/31/23]:[2024 Tree Losses]])</f>
        <v>0</v>
      </c>
      <c r="P261" s="16">
        <f>SUM(Table37[[#This Row],[Total Trees as of 12/31/24]]-Table37[[#This Row],['# Trees as of 12/31/23]])</f>
        <v>0</v>
      </c>
      <c r="Q261" s="16">
        <f>Table11[[#This Row],['#Total Replacements]]*Table11[[#This Row],[USA Allocation %]]</f>
        <v>0</v>
      </c>
      <c r="R261" s="16">
        <f>IF(Table37[[#This Row],['#Survival based on Inventory]]=0,Table37['#Survival based on Last Year Estimate],Table37['#Survival based on Inventory])</f>
        <v>0</v>
      </c>
      <c r="S261" s="16">
        <f>Table11[[#This Row],['#Planted]]*Table11[[#This Row],[USA Allocation %]]*Table11[[#This Row],[2024 Inventory Survival%-master]]</f>
        <v>0</v>
      </c>
      <c r="T261" s="16">
        <f>Table11[[#This Row],['#Planted]]*Table11[[#This Row],[USA Allocation %]]*Table11[[#This Row],[2024 Estimated Survival%]]</f>
        <v>0</v>
      </c>
      <c r="U261">
        <f>Table11[[#This Row],[ETP Year]]</f>
        <v>2021</v>
      </c>
      <c r="V261">
        <f>Table11[[#This Row],[Planting Year]]</f>
        <v>2021</v>
      </c>
      <c r="W261" s="8">
        <f>Table11[[#This Row],[Survival% as of 12/31/23]]</f>
        <v>0</v>
      </c>
      <c r="X261" s="7">
        <f>Table11[[#This Row],[ETP'#s]]</f>
        <v>1</v>
      </c>
    </row>
    <row r="262" spans="1:24" x14ac:dyDescent="0.25">
      <c r="A262">
        <f>Table11[[#This Row],[Farmer'#]]</f>
        <v>20065</v>
      </c>
      <c r="B262" t="str">
        <f>Table11[[#This Row],[Representative]]</f>
        <v>Alfonso Carranza</v>
      </c>
      <c r="C262" t="str">
        <f>Table11[[#This Row],[Contract Name]]</f>
        <v>Alfonso Carranza</v>
      </c>
      <c r="D262" t="str">
        <f>Table11[[#This Row],[Status]]</f>
        <v>RFT</v>
      </c>
      <c r="E262" t="str">
        <f>Table11[[#This Row],[Contract Code]]</f>
        <v>CR0070</v>
      </c>
      <c r="F262" s="16">
        <f>Table11[[#This Row],['#TreesContract]]</f>
        <v>1000</v>
      </c>
      <c r="G262" s="16">
        <f>Table11[[#This Row],['#Planted]]</f>
        <v>1000</v>
      </c>
      <c r="H262" s="16">
        <f>Table11[[#This Row],['#TreesContract]]*Table11[[#This Row],[USA Allocation %]]</f>
        <v>1000</v>
      </c>
      <c r="I262" s="16">
        <f>Table11[[#This Row],['#Planted]]*Table11[[#This Row],[USA Allocation %]]</f>
        <v>1000</v>
      </c>
      <c r="J262" s="16">
        <f>Table11[[#This Row],[Contract Amendment]]*Table11[[#This Row],[USA Allocation %]]</f>
        <v>0</v>
      </c>
      <c r="K262" s="16">
        <f>Table11[[#This Row],['#Trees as of 12/31/23]]*Table11[[#This Row],[USA Allocation %]]</f>
        <v>1000</v>
      </c>
      <c r="L262" s="16">
        <f>Table11[[#This Row],['#Replace 24]]*Table11[[#This Row],[USA Allocation %]]</f>
        <v>0</v>
      </c>
      <c r="M262" s="16">
        <f>IF(Table11[[#This Row],[Planting Year]]=2024,Table11['#Planted],0)</f>
        <v>0</v>
      </c>
      <c r="N262" s="16">
        <f>(Table11[[#This Row],[2024 '#Trees Inventory + Estimate]]*Table11[[#This Row],[USA Allocation %]])-SUM(Table37[[#This Row],['# Trees as of 12/31/23]:[New Trees/Planted in 2024]])</f>
        <v>0</v>
      </c>
      <c r="O262" s="16">
        <f>SUM(Table37[[#This Row],['# Trees as of 12/31/23]:[2024 Tree Losses]])</f>
        <v>1000</v>
      </c>
      <c r="P262" s="16">
        <f>SUM(Table37[[#This Row],[Total Trees as of 12/31/24]]-Table37[[#This Row],['# Trees as of 12/31/23]])</f>
        <v>0</v>
      </c>
      <c r="Q262" s="16">
        <f>Table11[[#This Row],['#Total Replacements]]*Table11[[#This Row],[USA Allocation %]]</f>
        <v>240</v>
      </c>
      <c r="R262" s="16">
        <f>IF(Table37[[#This Row],['#Survival based on Inventory]]=0,Table37['#Survival based on Last Year Estimate],Table37['#Survival based on Inventory])</f>
        <v>1000</v>
      </c>
      <c r="S262" s="16">
        <f>Table11[[#This Row],['#Planted]]*Table11[[#This Row],[USA Allocation %]]*Table11[[#This Row],[2024 Inventory Survival%-master]]</f>
        <v>0</v>
      </c>
      <c r="T262" s="16">
        <f>Table11[[#This Row],['#Planted]]*Table11[[#This Row],[USA Allocation %]]*Table11[[#This Row],[2024 Estimated Survival%]]</f>
        <v>1000</v>
      </c>
      <c r="U262">
        <f>Table11[[#This Row],[ETP Year]]</f>
        <v>2021</v>
      </c>
      <c r="V262">
        <f>Table11[[#This Row],[Planting Year]]</f>
        <v>2021</v>
      </c>
      <c r="W262" s="8">
        <f>Table11[[#This Row],[Survival% as of 12/31/23]]</f>
        <v>1</v>
      </c>
      <c r="X262" s="7">
        <f>Table11[[#This Row],[ETP'#s]]</f>
        <v>1</v>
      </c>
    </row>
    <row r="263" spans="1:24" x14ac:dyDescent="0.25">
      <c r="A263">
        <f>Table11[[#This Row],[Farmer'#]]</f>
        <v>20066</v>
      </c>
      <c r="B263" t="str">
        <f>Table11[[#This Row],[Representative]]</f>
        <v>Christian Miranda</v>
      </c>
      <c r="C263" t="str">
        <f>Table11[[#This Row],[Contract Name]]</f>
        <v>Colegio Tecnico Ricardo Beer</v>
      </c>
      <c r="D263" t="str">
        <f>Table11[[#This Row],[Status]]</f>
        <v>RFT</v>
      </c>
      <c r="E263" t="str">
        <f>Table11[[#This Row],[Contract Code]]</f>
        <v>CR0072</v>
      </c>
      <c r="F263" s="16">
        <f>Table11[[#This Row],['#TreesContract]]</f>
        <v>650</v>
      </c>
      <c r="G263" s="16">
        <f>Table11[[#This Row],['#Planted]]</f>
        <v>650</v>
      </c>
      <c r="H263" s="16">
        <f>Table11[[#This Row],['#TreesContract]]*Table11[[#This Row],[USA Allocation %]]</f>
        <v>650</v>
      </c>
      <c r="I263" s="16">
        <f>Table11[[#This Row],['#Planted]]*Table11[[#This Row],[USA Allocation %]]</f>
        <v>650</v>
      </c>
      <c r="J263" s="16">
        <f>Table11[[#This Row],[Contract Amendment]]*Table11[[#This Row],[USA Allocation %]]</f>
        <v>0</v>
      </c>
      <c r="K263" s="16">
        <f>Table11[[#This Row],['#Trees as of 12/31/23]]*Table11[[#This Row],[USA Allocation %]]</f>
        <v>650</v>
      </c>
      <c r="L263" s="16">
        <f>Table11[[#This Row],['#Replace 24]]*Table11[[#This Row],[USA Allocation %]]</f>
        <v>0</v>
      </c>
      <c r="M263" s="16">
        <f>IF(Table11[[#This Row],[Planting Year]]=2024,Table11['#Planted],0)</f>
        <v>0</v>
      </c>
      <c r="N263" s="16">
        <f>(Table11[[#This Row],[2024 '#Trees Inventory + Estimate]]*Table11[[#This Row],[USA Allocation %]])-SUM(Table37[[#This Row],['# Trees as of 12/31/23]:[New Trees/Planted in 2024]])</f>
        <v>0</v>
      </c>
      <c r="O263" s="16">
        <f>SUM(Table37[[#This Row],['# Trees as of 12/31/23]:[2024 Tree Losses]])</f>
        <v>650</v>
      </c>
      <c r="P263" s="16">
        <f>SUM(Table37[[#This Row],[Total Trees as of 12/31/24]]-Table37[[#This Row],['# Trees as of 12/31/23]])</f>
        <v>0</v>
      </c>
      <c r="Q263" s="16">
        <f>Table11[[#This Row],['#Total Replacements]]*Table11[[#This Row],[USA Allocation %]]</f>
        <v>650</v>
      </c>
      <c r="R263" s="16">
        <f>IF(Table37[[#This Row],['#Survival based on Inventory]]=0,Table37['#Survival based on Last Year Estimate],Table37['#Survival based on Inventory])</f>
        <v>650</v>
      </c>
      <c r="S263" s="16">
        <f>Table11[[#This Row],['#Planted]]*Table11[[#This Row],[USA Allocation %]]*Table11[[#This Row],[2024 Inventory Survival%-master]]</f>
        <v>0</v>
      </c>
      <c r="T263" s="16">
        <f>Table11[[#This Row],['#Planted]]*Table11[[#This Row],[USA Allocation %]]*Table11[[#This Row],[2024 Estimated Survival%]]</f>
        <v>650</v>
      </c>
      <c r="U263">
        <f>Table11[[#This Row],[ETP Year]]</f>
        <v>2021</v>
      </c>
      <c r="V263">
        <f>Table11[[#This Row],[Planting Year]]</f>
        <v>2021</v>
      </c>
      <c r="W263" s="8">
        <f>Table11[[#This Row],[Survival% as of 12/31/23]]</f>
        <v>1</v>
      </c>
      <c r="X263" s="7">
        <f>Table11[[#This Row],[ETP'#s]]</f>
        <v>1</v>
      </c>
    </row>
    <row r="264" spans="1:24" x14ac:dyDescent="0.25">
      <c r="A264">
        <f>Table11[[#This Row],[Farmer'#]]</f>
        <v>20067</v>
      </c>
      <c r="B264" t="str">
        <f>Table11[[#This Row],[Representative]]</f>
        <v>Geiner Araya Guzman</v>
      </c>
      <c r="C264" t="str">
        <f>Table11[[#This Row],[Contract Name]]</f>
        <v>Geiner Araya Guzman</v>
      </c>
      <c r="D264" t="str">
        <f>Table11[[#This Row],[Status]]</f>
        <v>Active</v>
      </c>
      <c r="E264" t="str">
        <f>Table11[[#This Row],[Contract Code]]</f>
        <v>CR0073</v>
      </c>
      <c r="F264" s="16">
        <f>Table11[[#This Row],['#TreesContract]]</f>
        <v>1000</v>
      </c>
      <c r="G264" s="16">
        <f>Table11[[#This Row],['#Planted]]</f>
        <v>1000</v>
      </c>
      <c r="H264" s="16">
        <f>Table11[[#This Row],['#TreesContract]]*Table11[[#This Row],[USA Allocation %]]</f>
        <v>1000</v>
      </c>
      <c r="I264" s="16">
        <f>Table11[[#This Row],['#Planted]]*Table11[[#This Row],[USA Allocation %]]</f>
        <v>1000</v>
      </c>
      <c r="J264" s="16">
        <f>Table11[[#This Row],[Contract Amendment]]*Table11[[#This Row],[USA Allocation %]]</f>
        <v>0</v>
      </c>
      <c r="K264" s="16">
        <f>Table11[[#This Row],['#Trees as of 12/31/23]]*Table11[[#This Row],[USA Allocation %]]</f>
        <v>1000</v>
      </c>
      <c r="L264" s="16">
        <f>Table11[[#This Row],['#Replace 24]]*Table11[[#This Row],[USA Allocation %]]</f>
        <v>0</v>
      </c>
      <c r="M264" s="16">
        <f>IF(Table11[[#This Row],[Planting Year]]=2024,Table11['#Planted],0)</f>
        <v>0</v>
      </c>
      <c r="N264" s="16">
        <f>(Table11[[#This Row],[2024 '#Trees Inventory + Estimate]]*Table11[[#This Row],[USA Allocation %]])-SUM(Table37[[#This Row],['# Trees as of 12/31/23]:[New Trees/Planted in 2024]])</f>
        <v>-22</v>
      </c>
      <c r="O264" s="16">
        <f>SUM(Table37[[#This Row],['# Trees as of 12/31/23]:[2024 Tree Losses]])</f>
        <v>978</v>
      </c>
      <c r="P264" s="16">
        <f>SUM(Table37[[#This Row],[Total Trees as of 12/31/24]]-Table37[[#This Row],['# Trees as of 12/31/23]])</f>
        <v>-22</v>
      </c>
      <c r="Q264" s="16">
        <f>Table11[[#This Row],['#Total Replacements]]*Table11[[#This Row],[USA Allocation %]]</f>
        <v>0</v>
      </c>
      <c r="R264" s="16">
        <f>IF(Table37[[#This Row],['#Survival based on Inventory]]=0,Table37['#Survival based on Last Year Estimate],Table37['#Survival based on Inventory])</f>
        <v>978</v>
      </c>
      <c r="S264" s="16">
        <f>Table11[[#This Row],['#Planted]]*Table11[[#This Row],[USA Allocation %]]*Table11[[#This Row],[2024 Inventory Survival%-master]]</f>
        <v>978</v>
      </c>
      <c r="T264" s="16">
        <f>Table11[[#This Row],['#Planted]]*Table11[[#This Row],[USA Allocation %]]*Table11[[#This Row],[2024 Estimated Survival%]]</f>
        <v>980</v>
      </c>
      <c r="U264">
        <f>Table11[[#This Row],[ETP Year]]</f>
        <v>2021</v>
      </c>
      <c r="V264">
        <f>Table11[[#This Row],[Planting Year]]</f>
        <v>2021</v>
      </c>
      <c r="W264" s="8">
        <f>Table11[[#This Row],[Survival% as of 12/31/23]]</f>
        <v>1</v>
      </c>
      <c r="X264" s="7">
        <f>Table11[[#This Row],[ETP'#s]]</f>
        <v>1</v>
      </c>
    </row>
    <row r="265" spans="1:24" x14ac:dyDescent="0.25">
      <c r="A265">
        <f>Table11[[#This Row],[Farmer'#]]</f>
        <v>20068</v>
      </c>
      <c r="B265" t="str">
        <f>Table11[[#This Row],[Representative]]</f>
        <v xml:space="preserve">Luis Alonso Garita Hidalgo </v>
      </c>
      <c r="C265" t="str">
        <f>Table11[[#This Row],[Contract Name]]</f>
        <v>Ubuntu GH  S.A</v>
      </c>
      <c r="D265" t="str">
        <f>Table11[[#This Row],[Status]]</f>
        <v>Active</v>
      </c>
      <c r="E265" t="str">
        <f>Table11[[#This Row],[Contract Code]]</f>
        <v>CR0074</v>
      </c>
      <c r="F265" s="16">
        <f>Table11[[#This Row],['#TreesContract]]</f>
        <v>1730</v>
      </c>
      <c r="G265" s="16">
        <f>Table11[[#This Row],['#Planted]]</f>
        <v>1730</v>
      </c>
      <c r="H265" s="16">
        <f>Table11[[#This Row],['#TreesContract]]*Table11[[#This Row],[USA Allocation %]]</f>
        <v>1730</v>
      </c>
      <c r="I265" s="16">
        <f>Table11[[#This Row],['#Planted]]*Table11[[#This Row],[USA Allocation %]]</f>
        <v>1730</v>
      </c>
      <c r="J265" s="16">
        <f>Table11[[#This Row],[Contract Amendment]]*Table11[[#This Row],[USA Allocation %]]</f>
        <v>0</v>
      </c>
      <c r="K265" s="16">
        <f>Table11[[#This Row],['#Trees as of 12/31/23]]*Table11[[#This Row],[USA Allocation %]]</f>
        <v>1690</v>
      </c>
      <c r="L265" s="16">
        <f>Table11[[#This Row],['#Replace 24]]*Table11[[#This Row],[USA Allocation %]]</f>
        <v>0</v>
      </c>
      <c r="M265" s="16">
        <f>IF(Table11[[#This Row],[Planting Year]]=2024,Table11['#Planted],0)</f>
        <v>0</v>
      </c>
      <c r="N265" s="16">
        <f>(Table11[[#This Row],[2024 '#Trees Inventory + Estimate]]*Table11[[#This Row],[USA Allocation %]])-SUM(Table37[[#This Row],['# Trees as of 12/31/23]:[New Trees/Planted in 2024]])</f>
        <v>-169</v>
      </c>
      <c r="O265" s="16">
        <f>SUM(Table37[[#This Row],['# Trees as of 12/31/23]:[2024 Tree Losses]])</f>
        <v>1521</v>
      </c>
      <c r="P265" s="16">
        <f>SUM(Table37[[#This Row],[Total Trees as of 12/31/24]]-Table37[[#This Row],['# Trees as of 12/31/23]])</f>
        <v>-169</v>
      </c>
      <c r="Q265" s="16">
        <f>Table11[[#This Row],['#Total Replacements]]*Table11[[#This Row],[USA Allocation %]]</f>
        <v>150</v>
      </c>
      <c r="R265" s="16">
        <f>IF(Table37[[#This Row],['#Survival based on Inventory]]=0,Table37['#Survival based on Last Year Estimate],Table37['#Survival based on Inventory])</f>
        <v>1520.67</v>
      </c>
      <c r="S265" s="16">
        <f>Table11[[#This Row],['#Planted]]*Table11[[#This Row],[USA Allocation %]]*Table11[[#This Row],[2024 Inventory Survival%-master]]</f>
        <v>1520.67</v>
      </c>
      <c r="T265" s="16">
        <f>Table11[[#This Row],['#Planted]]*Table11[[#This Row],[USA Allocation %]]*Table11[[#This Row],[2024 Estimated Survival%]]</f>
        <v>1522.4</v>
      </c>
      <c r="U265">
        <f>Table11[[#This Row],[ETP Year]]</f>
        <v>2021</v>
      </c>
      <c r="V265">
        <f>Table11[[#This Row],[Planting Year]]</f>
        <v>2021</v>
      </c>
      <c r="W265" s="8">
        <f>Table11[[#This Row],[Survival% as of 12/31/23]]</f>
        <v>0.97687861271676302</v>
      </c>
      <c r="X265" s="7">
        <f>Table11[[#This Row],[ETP'#s]]</f>
        <v>1</v>
      </c>
    </row>
    <row r="266" spans="1:24" x14ac:dyDescent="0.25">
      <c r="A266">
        <f>Table11[[#This Row],[Farmer'#]]</f>
        <v>20069</v>
      </c>
      <c r="B266" t="str">
        <f>Table11[[#This Row],[Representative]]</f>
        <v>Oldemar Perez</v>
      </c>
      <c r="C266" t="str">
        <f>Table11[[#This Row],[Contract Name]]</f>
        <v>Oldemar Perez</v>
      </c>
      <c r="D266" t="str">
        <f>Table11[[#This Row],[Status]]</f>
        <v>Active</v>
      </c>
      <c r="E266" t="str">
        <f>Table11[[#This Row],[Contract Code]]</f>
        <v>CR0075</v>
      </c>
      <c r="F266" s="16">
        <f>Table11[[#This Row],['#TreesContract]]</f>
        <v>1000</v>
      </c>
      <c r="G266" s="16">
        <f>Table11[[#This Row],['#Planted]]</f>
        <v>1000</v>
      </c>
      <c r="H266" s="16">
        <f>Table11[[#This Row],['#TreesContract]]*Table11[[#This Row],[USA Allocation %]]</f>
        <v>1000</v>
      </c>
      <c r="I266" s="16">
        <f>Table11[[#This Row],['#Planted]]*Table11[[#This Row],[USA Allocation %]]</f>
        <v>1000</v>
      </c>
      <c r="J266" s="16">
        <f>Table11[[#This Row],[Contract Amendment]]*Table11[[#This Row],[USA Allocation %]]</f>
        <v>0</v>
      </c>
      <c r="K266" s="16">
        <f>Table11[[#This Row],['#Trees as of 12/31/23]]*Table11[[#This Row],[USA Allocation %]]</f>
        <v>797.38117283950623</v>
      </c>
      <c r="L266" s="16">
        <f>Table11[[#This Row],['#Replace 24]]*Table11[[#This Row],[USA Allocation %]]</f>
        <v>0</v>
      </c>
      <c r="M266" s="16">
        <f>IF(Table11[[#This Row],[Planting Year]]=2024,Table11['#Planted],0)</f>
        <v>0</v>
      </c>
      <c r="N266" s="16">
        <f>(Table11[[#This Row],[2024 '#Trees Inventory + Estimate]]*Table11[[#This Row],[USA Allocation %]])-SUM(Table37[[#This Row],['# Trees as of 12/31/23]:[New Trees/Planted in 2024]])</f>
        <v>0</v>
      </c>
      <c r="O266" s="16">
        <f>SUM(Table37[[#This Row],['# Trees as of 12/31/23]:[2024 Tree Losses]])</f>
        <v>797.38117283950623</v>
      </c>
      <c r="P266" s="16">
        <f>SUM(Table37[[#This Row],[Total Trees as of 12/31/24]]-Table37[[#This Row],['# Trees as of 12/31/23]])</f>
        <v>0</v>
      </c>
      <c r="Q266" s="16">
        <f>Table11[[#This Row],['#Total Replacements]]*Table11[[#This Row],[USA Allocation %]]</f>
        <v>212</v>
      </c>
      <c r="R266" s="16">
        <f>IF(Table37[[#This Row],['#Survival based on Inventory]]=0,Table37['#Survival based on Last Year Estimate],Table37['#Survival based on Inventory])</f>
        <v>797.38117283950623</v>
      </c>
      <c r="S266" s="16">
        <f>Table11[[#This Row],['#Planted]]*Table11[[#This Row],[USA Allocation %]]*Table11[[#This Row],[2024 Inventory Survival%-master]]</f>
        <v>0</v>
      </c>
      <c r="T266" s="16">
        <f>Table11[[#This Row],['#Planted]]*Table11[[#This Row],[USA Allocation %]]*Table11[[#This Row],[2024 Estimated Survival%]]</f>
        <v>797.38117283950623</v>
      </c>
      <c r="U266">
        <f>Table11[[#This Row],[ETP Year]]</f>
        <v>2021</v>
      </c>
      <c r="V266">
        <f>Table11[[#This Row],[Planting Year]]</f>
        <v>2021</v>
      </c>
      <c r="W266" s="8">
        <f>Table11[[#This Row],[Survival% as of 12/31/23]]</f>
        <v>0.79738117283950627</v>
      </c>
      <c r="X266" s="7">
        <f>Table11[[#This Row],[ETP'#s]]</f>
        <v>1</v>
      </c>
    </row>
    <row r="267" spans="1:24" x14ac:dyDescent="0.25">
      <c r="A267">
        <f>Table11[[#This Row],[Farmer'#]]</f>
        <v>20070</v>
      </c>
      <c r="B267" t="str">
        <f>Table11[[#This Row],[Representative]]</f>
        <v xml:space="preserve">Olga Chavarria </v>
      </c>
      <c r="C267" t="str">
        <f>Table11[[#This Row],[Contract Name]]</f>
        <v xml:space="preserve">Olga Chavarria </v>
      </c>
      <c r="D267" t="str">
        <f>Table11[[#This Row],[Status]]</f>
        <v>Active</v>
      </c>
      <c r="E267" t="str">
        <f>Table11[[#This Row],[Contract Code]]</f>
        <v>CR0076</v>
      </c>
      <c r="F267" s="16">
        <f>Table11[[#This Row],['#TreesContract]]</f>
        <v>1000</v>
      </c>
      <c r="G267" s="16">
        <f>Table11[[#This Row],['#Planted]]</f>
        <v>1000</v>
      </c>
      <c r="H267" s="16">
        <f>Table11[[#This Row],['#TreesContract]]*Table11[[#This Row],[USA Allocation %]]</f>
        <v>1000</v>
      </c>
      <c r="I267" s="16">
        <f>Table11[[#This Row],['#Planted]]*Table11[[#This Row],[USA Allocation %]]</f>
        <v>1000</v>
      </c>
      <c r="J267" s="16">
        <f>Table11[[#This Row],[Contract Amendment]]*Table11[[#This Row],[USA Allocation %]]</f>
        <v>0</v>
      </c>
      <c r="K267" s="16">
        <f>Table11[[#This Row],['#Trees as of 12/31/23]]*Table11[[#This Row],[USA Allocation %]]</f>
        <v>992</v>
      </c>
      <c r="L267" s="16">
        <f>Table11[[#This Row],['#Replace 24]]*Table11[[#This Row],[USA Allocation %]]</f>
        <v>0</v>
      </c>
      <c r="M267" s="16">
        <f>IF(Table11[[#This Row],[Planting Year]]=2024,Table11['#Planted],0)</f>
        <v>0</v>
      </c>
      <c r="N267" s="16">
        <f>(Table11[[#This Row],[2024 '#Trees Inventory + Estimate]]*Table11[[#This Row],[USA Allocation %]])-SUM(Table37[[#This Row],['# Trees as of 12/31/23]:[New Trees/Planted in 2024]])</f>
        <v>-42</v>
      </c>
      <c r="O267" s="16">
        <f>SUM(Table37[[#This Row],['# Trees as of 12/31/23]:[2024 Tree Losses]])</f>
        <v>950</v>
      </c>
      <c r="P267" s="16">
        <f>SUM(Table37[[#This Row],[Total Trees as of 12/31/24]]-Table37[[#This Row],['# Trees as of 12/31/23]])</f>
        <v>-42</v>
      </c>
      <c r="Q267" s="16">
        <f>Table11[[#This Row],['#Total Replacements]]*Table11[[#This Row],[USA Allocation %]]</f>
        <v>62</v>
      </c>
      <c r="R267" s="16">
        <f>IF(Table37[[#This Row],['#Survival based on Inventory]]=0,Table37['#Survival based on Last Year Estimate],Table37['#Survival based on Inventory])</f>
        <v>950</v>
      </c>
      <c r="S267" s="16">
        <f>Table11[[#This Row],['#Planted]]*Table11[[#This Row],[USA Allocation %]]*Table11[[#This Row],[2024 Inventory Survival%-master]]</f>
        <v>950</v>
      </c>
      <c r="T267" s="16">
        <f>Table11[[#This Row],['#Planted]]*Table11[[#This Row],[USA Allocation %]]*Table11[[#This Row],[2024 Estimated Survival%]]</f>
        <v>950</v>
      </c>
      <c r="U267">
        <f>Table11[[#This Row],[ETP Year]]</f>
        <v>2021</v>
      </c>
      <c r="V267">
        <f>Table11[[#This Row],[Planting Year]]</f>
        <v>2021</v>
      </c>
      <c r="W267" s="8">
        <f>Table11[[#This Row],[Survival% as of 12/31/23]]</f>
        <v>0.99199999999999999</v>
      </c>
      <c r="X267" s="7">
        <f>Table11[[#This Row],[ETP'#s]]</f>
        <v>1</v>
      </c>
    </row>
    <row r="268" spans="1:24" x14ac:dyDescent="0.25">
      <c r="A268">
        <f>Table11[[#This Row],[Farmer'#]]</f>
        <v>20071</v>
      </c>
      <c r="B268" t="str">
        <f>Table11[[#This Row],[Representative]]</f>
        <v>Rafael Quiroz</v>
      </c>
      <c r="C268" t="str">
        <f>Table11[[#This Row],[Contract Name]]</f>
        <v>Rafael Quiroz</v>
      </c>
      <c r="D268" t="str">
        <f>Table11[[#This Row],[Status]]</f>
        <v>Active</v>
      </c>
      <c r="E268" t="str">
        <f>Table11[[#This Row],[Contract Code]]</f>
        <v>CR0077</v>
      </c>
      <c r="F268" s="16">
        <f>Table11[[#This Row],['#TreesContract]]</f>
        <v>2875</v>
      </c>
      <c r="G268" s="16">
        <f>Table11[[#This Row],['#Planted]]</f>
        <v>2875</v>
      </c>
      <c r="H268" s="16">
        <f>Table11[[#This Row],['#TreesContract]]*Table11[[#This Row],[USA Allocation %]]</f>
        <v>2875</v>
      </c>
      <c r="I268" s="16">
        <f>Table11[[#This Row],['#Planted]]*Table11[[#This Row],[USA Allocation %]]</f>
        <v>2875</v>
      </c>
      <c r="J268" s="16">
        <f>Table11[[#This Row],[Contract Amendment]]*Table11[[#This Row],[USA Allocation %]]</f>
        <v>0</v>
      </c>
      <c r="K268" s="16">
        <f>Table11[[#This Row],['#Trees as of 12/31/23]]*Table11[[#This Row],[USA Allocation %]]</f>
        <v>2875</v>
      </c>
      <c r="L268" s="16">
        <f>Table11[[#This Row],['#Replace 24]]*Table11[[#This Row],[USA Allocation %]]</f>
        <v>0</v>
      </c>
      <c r="M268" s="16">
        <f>IF(Table11[[#This Row],[Planting Year]]=2024,Table11['#Planted],0)</f>
        <v>0</v>
      </c>
      <c r="N268" s="16">
        <f>(Table11[[#This Row],[2024 '#Trees Inventory + Estimate]]*Table11[[#This Row],[USA Allocation %]])-SUM(Table37[[#This Row],['# Trees as of 12/31/23]:[New Trees/Planted in 2024]])</f>
        <v>-201</v>
      </c>
      <c r="O268" s="16">
        <f>SUM(Table37[[#This Row],['# Trees as of 12/31/23]:[2024 Tree Losses]])</f>
        <v>2674</v>
      </c>
      <c r="P268" s="16">
        <f>SUM(Table37[[#This Row],[Total Trees as of 12/31/24]]-Table37[[#This Row],['# Trees as of 12/31/23]])</f>
        <v>-201</v>
      </c>
      <c r="Q268" s="16">
        <f>Table11[[#This Row],['#Total Replacements]]*Table11[[#This Row],[USA Allocation %]]</f>
        <v>110</v>
      </c>
      <c r="R268" s="16">
        <f>IF(Table37[[#This Row],['#Survival based on Inventory]]=0,Table37['#Survival based on Last Year Estimate],Table37['#Survival based on Inventory])</f>
        <v>2673.75</v>
      </c>
      <c r="S268" s="16">
        <f>Table11[[#This Row],['#Planted]]*Table11[[#This Row],[USA Allocation %]]*Table11[[#This Row],[2024 Inventory Survival%-master]]</f>
        <v>2673.75</v>
      </c>
      <c r="T268" s="16">
        <f>Table11[[#This Row],['#Planted]]*Table11[[#This Row],[USA Allocation %]]*Table11[[#This Row],[2024 Estimated Survival%]]</f>
        <v>2673.75</v>
      </c>
      <c r="U268">
        <f>Table11[[#This Row],[ETP Year]]</f>
        <v>2021</v>
      </c>
      <c r="V268">
        <f>Table11[[#This Row],[Planting Year]]</f>
        <v>2021</v>
      </c>
      <c r="W268" s="8">
        <f>Table11[[#This Row],[Survival% as of 12/31/23]]</f>
        <v>1</v>
      </c>
      <c r="X268" s="7">
        <f>Table11[[#This Row],[ETP'#s]]</f>
        <v>1</v>
      </c>
    </row>
    <row r="269" spans="1:24" x14ac:dyDescent="0.25">
      <c r="A269">
        <f>Table11[[#This Row],[Farmer'#]]</f>
        <v>20072</v>
      </c>
      <c r="B269" t="str">
        <f>Table11[[#This Row],[Representative]]</f>
        <v>Xinia Moya</v>
      </c>
      <c r="C269" t="str">
        <f>Table11[[#This Row],[Contract Name]]</f>
        <v>Xinia Moya</v>
      </c>
      <c r="D269" t="str">
        <f>Table11[[#This Row],[Status]]</f>
        <v>Active</v>
      </c>
      <c r="E269" t="str">
        <f>Table11[[#This Row],[Contract Code]]</f>
        <v>CR0078</v>
      </c>
      <c r="F269" s="16">
        <f>Table11[[#This Row],['#TreesContract]]</f>
        <v>1000</v>
      </c>
      <c r="G269" s="16">
        <f>Table11[[#This Row],['#Planted]]</f>
        <v>1000</v>
      </c>
      <c r="H269" s="16">
        <f>Table11[[#This Row],['#TreesContract]]*Table11[[#This Row],[USA Allocation %]]</f>
        <v>1000</v>
      </c>
      <c r="I269" s="16">
        <f>Table11[[#This Row],['#Planted]]*Table11[[#This Row],[USA Allocation %]]</f>
        <v>1000</v>
      </c>
      <c r="J269" s="16">
        <f>Table11[[#This Row],[Contract Amendment]]*Table11[[#This Row],[USA Allocation %]]</f>
        <v>0</v>
      </c>
      <c r="K269" s="16">
        <f>Table11[[#This Row],['#Trees as of 12/31/23]]*Table11[[#This Row],[USA Allocation %]]</f>
        <v>912.14444444444439</v>
      </c>
      <c r="L269" s="16">
        <f>Table11[[#This Row],['#Replace 24]]*Table11[[#This Row],[USA Allocation %]]</f>
        <v>0</v>
      </c>
      <c r="M269" s="16">
        <f>IF(Table11[[#This Row],[Planting Year]]=2024,Table11['#Planted],0)</f>
        <v>0</v>
      </c>
      <c r="N269" s="16">
        <f>(Table11[[#This Row],[2024 '#Trees Inventory + Estimate]]*Table11[[#This Row],[USA Allocation %]])-SUM(Table37[[#This Row],['# Trees as of 12/31/23]:[New Trees/Planted in 2024]])</f>
        <v>0</v>
      </c>
      <c r="O269" s="16">
        <f>SUM(Table37[[#This Row],['# Trees as of 12/31/23]:[2024 Tree Losses]])</f>
        <v>912.14444444444439</v>
      </c>
      <c r="P269" s="16">
        <f>SUM(Table37[[#This Row],[Total Trees as of 12/31/24]]-Table37[[#This Row],['# Trees as of 12/31/23]])</f>
        <v>0</v>
      </c>
      <c r="Q269" s="16">
        <f>Table11[[#This Row],['#Total Replacements]]*Table11[[#This Row],[USA Allocation %]]</f>
        <v>50</v>
      </c>
      <c r="R269" s="16">
        <f>IF(Table37[[#This Row],['#Survival based on Inventory]]=0,Table37['#Survival based on Last Year Estimate],Table37['#Survival based on Inventory])</f>
        <v>912.14444444444439</v>
      </c>
      <c r="S269" s="16">
        <f>Table11[[#This Row],['#Planted]]*Table11[[#This Row],[USA Allocation %]]*Table11[[#This Row],[2024 Inventory Survival%-master]]</f>
        <v>0</v>
      </c>
      <c r="T269" s="16">
        <f>Table11[[#This Row],['#Planted]]*Table11[[#This Row],[USA Allocation %]]*Table11[[#This Row],[2024 Estimated Survival%]]</f>
        <v>912.14444444444439</v>
      </c>
      <c r="U269">
        <f>Table11[[#This Row],[ETP Year]]</f>
        <v>2021</v>
      </c>
      <c r="V269">
        <f>Table11[[#This Row],[Planting Year]]</f>
        <v>2021</v>
      </c>
      <c r="W269" s="8">
        <f>Table11[[#This Row],[Survival% as of 12/31/23]]</f>
        <v>0.91214444444444442</v>
      </c>
      <c r="X269" s="7">
        <f>Table11[[#This Row],[ETP'#s]]</f>
        <v>1</v>
      </c>
    </row>
    <row r="270" spans="1:24" x14ac:dyDescent="0.25">
      <c r="A270">
        <f>Table11[[#This Row],[Farmer'#]]</f>
        <v>20084</v>
      </c>
      <c r="B270" t="str">
        <f>Table11[[#This Row],[Representative]]</f>
        <v>Christian Araya</v>
      </c>
      <c r="C270" t="str">
        <f>Table11[[#This Row],[Contract Name]]</f>
        <v>Christian Araya</v>
      </c>
      <c r="D270" t="str">
        <f>Table11[[#This Row],[Status]]</f>
        <v>Active</v>
      </c>
      <c r="E270" t="str">
        <f>Table11[[#This Row],[Contract Code]]</f>
        <v>CR0092</v>
      </c>
      <c r="F270" s="16">
        <f>Table11[[#This Row],['#TreesContract]]</f>
        <v>1000</v>
      </c>
      <c r="G270" s="16">
        <f>Table11[[#This Row],['#Planted]]</f>
        <v>1000</v>
      </c>
      <c r="H270" s="16">
        <f>Table11[[#This Row],['#TreesContract]]*Table11[[#This Row],[USA Allocation %]]</f>
        <v>1000</v>
      </c>
      <c r="I270" s="16">
        <f>Table11[[#This Row],['#Planted]]*Table11[[#This Row],[USA Allocation %]]</f>
        <v>1000</v>
      </c>
      <c r="J270" s="16">
        <f>Table11[[#This Row],[Contract Amendment]]*Table11[[#This Row],[USA Allocation %]]</f>
        <v>0</v>
      </c>
      <c r="K270" s="16">
        <f>Table11[[#This Row],['#Trees as of 12/31/23]]*Table11[[#This Row],[USA Allocation %]]</f>
        <v>895.31611111111113</v>
      </c>
      <c r="L270" s="16">
        <f>Table11[[#This Row],['#Replace 24]]*Table11[[#This Row],[USA Allocation %]]</f>
        <v>0</v>
      </c>
      <c r="M270" s="16">
        <f>IF(Table11[[#This Row],[Planting Year]]=2024,Table11['#Planted],0)</f>
        <v>0</v>
      </c>
      <c r="N270" s="16">
        <f>(Table11[[#This Row],[2024 '#Trees Inventory + Estimate]]*Table11[[#This Row],[USA Allocation %]])-SUM(Table37[[#This Row],['# Trees as of 12/31/23]:[New Trees/Planted in 2024]])</f>
        <v>0</v>
      </c>
      <c r="O270" s="16">
        <f>SUM(Table37[[#This Row],['# Trees as of 12/31/23]:[2024 Tree Losses]])</f>
        <v>895.31611111111113</v>
      </c>
      <c r="P270" s="16">
        <f>SUM(Table37[[#This Row],[Total Trees as of 12/31/24]]-Table37[[#This Row],['# Trees as of 12/31/23]])</f>
        <v>0</v>
      </c>
      <c r="Q270" s="16">
        <f>Table11[[#This Row],['#Total Replacements]]*Table11[[#This Row],[USA Allocation %]]</f>
        <v>100</v>
      </c>
      <c r="R270" s="16">
        <f>IF(Table37[[#This Row],['#Survival based on Inventory]]=0,Table37['#Survival based on Last Year Estimate],Table37['#Survival based on Inventory])</f>
        <v>895.31611111111113</v>
      </c>
      <c r="S270" s="16">
        <f>Table11[[#This Row],['#Planted]]*Table11[[#This Row],[USA Allocation %]]*Table11[[#This Row],[2024 Inventory Survival%-master]]</f>
        <v>0</v>
      </c>
      <c r="T270" s="16">
        <f>Table11[[#This Row],['#Planted]]*Table11[[#This Row],[USA Allocation %]]*Table11[[#This Row],[2024 Estimated Survival%]]</f>
        <v>895.31611111111113</v>
      </c>
      <c r="U270">
        <f>Table11[[#This Row],[ETP Year]]</f>
        <v>2021</v>
      </c>
      <c r="V270">
        <f>Table11[[#This Row],[Planting Year]]</f>
        <v>2021</v>
      </c>
      <c r="W270" s="8">
        <f>Table11[[#This Row],[Survival% as of 12/31/23]]</f>
        <v>0.89531611111111109</v>
      </c>
      <c r="X270" s="7">
        <f>Table11[[#This Row],[ETP'#s]]</f>
        <v>1</v>
      </c>
    </row>
    <row r="271" spans="1:24" x14ac:dyDescent="0.25">
      <c r="A271">
        <f>Table11[[#This Row],[Farmer'#]]</f>
        <v>30001</v>
      </c>
      <c r="B271" t="str">
        <f>Table11[[#This Row],[Representative]]</f>
        <v>Ada Patricia Scheel Bartlett</v>
      </c>
      <c r="C271" t="str">
        <f>Table11[[#This Row],[Contract Name]]</f>
        <v>Ada Patricia Scheel Bartlett</v>
      </c>
      <c r="D271" t="str">
        <f>Table11[[#This Row],[Status]]</f>
        <v>Active</v>
      </c>
      <c r="E271" t="str">
        <f>Table11[[#This Row],[Contract Code]]</f>
        <v>GT0030</v>
      </c>
      <c r="F271" s="16">
        <f>Table11[[#This Row],['#TreesContract]]</f>
        <v>2000</v>
      </c>
      <c r="G271" s="16">
        <f>Table11[[#This Row],['#Planted]]</f>
        <v>2000</v>
      </c>
      <c r="H271" s="16">
        <f>Table11[[#This Row],['#TreesContract]]*Table11[[#This Row],[USA Allocation %]]</f>
        <v>2000</v>
      </c>
      <c r="I271" s="16">
        <f>Table11[[#This Row],['#Planted]]*Table11[[#This Row],[USA Allocation %]]</f>
        <v>2000</v>
      </c>
      <c r="J271" s="16">
        <f>Table11[[#This Row],[Contract Amendment]]*Table11[[#This Row],[USA Allocation %]]</f>
        <v>0</v>
      </c>
      <c r="K271" s="16">
        <f>Table11[[#This Row],['#Trees as of 12/31/23]]*Table11[[#This Row],[USA Allocation %]]</f>
        <v>952.79886384615372</v>
      </c>
      <c r="L271" s="16">
        <f>Table11[[#This Row],['#Replace 24]]*Table11[[#This Row],[USA Allocation %]]</f>
        <v>0</v>
      </c>
      <c r="M271" s="16">
        <f>IF(Table11[[#This Row],[Planting Year]]=2024,Table11['#Planted],0)</f>
        <v>0</v>
      </c>
      <c r="N271" s="16">
        <f>(Table11[[#This Row],[2024 '#Trees Inventory + Estimate]]*Table11[[#This Row],[USA Allocation %]])-SUM(Table37[[#This Row],['# Trees as of 12/31/23]:[New Trees/Planted in 2024]])</f>
        <v>0</v>
      </c>
      <c r="O271" s="16">
        <f>SUM(Table37[[#This Row],['# Trees as of 12/31/23]:[2024 Tree Losses]])</f>
        <v>952.79886384615372</v>
      </c>
      <c r="P271" s="16">
        <f>SUM(Table37[[#This Row],[Total Trees as of 12/31/24]]-Table37[[#This Row],['# Trees as of 12/31/23]])</f>
        <v>0</v>
      </c>
      <c r="Q271" s="16">
        <f>Table11[[#This Row],['#Total Replacements]]*Table11[[#This Row],[USA Allocation %]]</f>
        <v>900</v>
      </c>
      <c r="R271" s="16">
        <f>IF(Table37[[#This Row],['#Survival based on Inventory]]=0,Table37['#Survival based on Last Year Estimate],Table37['#Survival based on Inventory])</f>
        <v>952.79886384615372</v>
      </c>
      <c r="S271" s="16">
        <f>Table11[[#This Row],['#Planted]]*Table11[[#This Row],[USA Allocation %]]*Table11[[#This Row],[2024 Inventory Survival%-master]]</f>
        <v>0</v>
      </c>
      <c r="T271" s="16">
        <f>Table11[[#This Row],['#Planted]]*Table11[[#This Row],[USA Allocation %]]*Table11[[#This Row],[2024 Estimated Survival%]]</f>
        <v>952.79886384615372</v>
      </c>
      <c r="U271">
        <f>Table11[[#This Row],[ETP Year]]</f>
        <v>2021</v>
      </c>
      <c r="V271">
        <f>Table11[[#This Row],[Planting Year]]</f>
        <v>2021</v>
      </c>
      <c r="W271" s="8">
        <f>Table11[[#This Row],[Survival% as of 12/31/23]]</f>
        <v>0.47639943192307688</v>
      </c>
      <c r="X271" s="7">
        <f>Table11[[#This Row],[ETP'#s]]</f>
        <v>1</v>
      </c>
    </row>
    <row r="272" spans="1:24" x14ac:dyDescent="0.25">
      <c r="A272">
        <f>Table11[[#This Row],[Farmer'#]]</f>
        <v>30006</v>
      </c>
      <c r="B272" t="str">
        <f>Table11[[#This Row],[Representative]]</f>
        <v>Luis Fernando Morán Peréz</v>
      </c>
      <c r="C272" t="str">
        <f>Table11[[#This Row],[Contract Name]]</f>
        <v>Luis Fernando Morán Peréz</v>
      </c>
      <c r="D272" t="str">
        <f>Table11[[#This Row],[Status]]</f>
        <v>Active</v>
      </c>
      <c r="E272" t="str">
        <f>Table11[[#This Row],[Contract Code]]</f>
        <v>GT0038</v>
      </c>
      <c r="F272" s="16">
        <f>Table11[[#This Row],['#TreesContract]]</f>
        <v>3795</v>
      </c>
      <c r="G272" s="16">
        <f>Table11[[#This Row],['#Planted]]</f>
        <v>3795</v>
      </c>
      <c r="H272" s="16">
        <f>Table11[[#This Row],['#TreesContract]]*Table11[[#This Row],[USA Allocation %]]</f>
        <v>3795</v>
      </c>
      <c r="I272" s="16">
        <f>Table11[[#This Row],['#Planted]]*Table11[[#This Row],[USA Allocation %]]</f>
        <v>3795</v>
      </c>
      <c r="J272" s="16">
        <f>Table11[[#This Row],[Contract Amendment]]*Table11[[#This Row],[USA Allocation %]]</f>
        <v>0</v>
      </c>
      <c r="K272" s="16">
        <f>Table11[[#This Row],['#Trees as of 12/31/23]]*Table11[[#This Row],[USA Allocation %]]</f>
        <v>3023.0482281695949</v>
      </c>
      <c r="L272" s="16">
        <f>Table11[[#This Row],['#Replace 24]]*Table11[[#This Row],[USA Allocation %]]</f>
        <v>0</v>
      </c>
      <c r="M272" s="16">
        <f>IF(Table11[[#This Row],[Planting Year]]=2024,Table11['#Planted],0)</f>
        <v>0</v>
      </c>
      <c r="N272" s="16">
        <f>(Table11[[#This Row],[2024 '#Trees Inventory + Estimate]]*Table11[[#This Row],[USA Allocation %]])-SUM(Table37[[#This Row],['# Trees as of 12/31/23]:[New Trees/Planted in 2024]])</f>
        <v>0</v>
      </c>
      <c r="O272" s="16">
        <f>SUM(Table37[[#This Row],['# Trees as of 12/31/23]:[2024 Tree Losses]])</f>
        <v>3023.0482281695949</v>
      </c>
      <c r="P272" s="16">
        <f>SUM(Table37[[#This Row],[Total Trees as of 12/31/24]]-Table37[[#This Row],['# Trees as of 12/31/23]])</f>
        <v>0</v>
      </c>
      <c r="Q272" s="16">
        <f>Table11[[#This Row],['#Total Replacements]]*Table11[[#This Row],[USA Allocation %]]</f>
        <v>200</v>
      </c>
      <c r="R272" s="16">
        <f>IF(Table37[[#This Row],['#Survival based on Inventory]]=0,Table37['#Survival based on Last Year Estimate],Table37['#Survival based on Inventory])</f>
        <v>3023.0482281695949</v>
      </c>
      <c r="S272" s="16">
        <f>Table11[[#This Row],['#Planted]]*Table11[[#This Row],[USA Allocation %]]*Table11[[#This Row],[2024 Inventory Survival%-master]]</f>
        <v>0</v>
      </c>
      <c r="T272" s="16">
        <f>Table11[[#This Row],['#Planted]]*Table11[[#This Row],[USA Allocation %]]*Table11[[#This Row],[2024 Estimated Survival%]]</f>
        <v>3023.0482281695949</v>
      </c>
      <c r="U272">
        <f>Table11[[#This Row],[ETP Year]]</f>
        <v>2021</v>
      </c>
      <c r="V272">
        <f>Table11[[#This Row],[Planting Year]]</f>
        <v>2021</v>
      </c>
      <c r="W272" s="8">
        <f>Table11[[#This Row],[Survival% as of 12/31/23]]</f>
        <v>0.79658714839778522</v>
      </c>
      <c r="X272" s="7">
        <f>Table11[[#This Row],[ETP'#s]]</f>
        <v>1</v>
      </c>
    </row>
    <row r="273" spans="1:24" x14ac:dyDescent="0.25">
      <c r="A273">
        <f>Table11[[#This Row],[Farmer'#]]</f>
        <v>30007</v>
      </c>
      <c r="B273" t="str">
        <f>Table11[[#This Row],[Representative]]</f>
        <v>Miguel Roberto Mombiela Bruni</v>
      </c>
      <c r="C273" t="str">
        <f>Table11[[#This Row],[Contract Name]]</f>
        <v>Miguel Roberto Mombiela Bruni</v>
      </c>
      <c r="D273" t="str">
        <f>Table11[[#This Row],[Status]]</f>
        <v>Active</v>
      </c>
      <c r="E273" t="str">
        <f>Table11[[#This Row],[Contract Code]]</f>
        <v>GT0040</v>
      </c>
      <c r="F273" s="16">
        <f>Table11[[#This Row],['#TreesContract]]</f>
        <v>690</v>
      </c>
      <c r="G273" s="16">
        <f>Table11[[#This Row],['#Planted]]</f>
        <v>690</v>
      </c>
      <c r="H273" s="16">
        <f>Table11[[#This Row],['#TreesContract]]*Table11[[#This Row],[USA Allocation %]]</f>
        <v>690</v>
      </c>
      <c r="I273" s="16">
        <f>Table11[[#This Row],['#Planted]]*Table11[[#This Row],[USA Allocation %]]</f>
        <v>690</v>
      </c>
      <c r="J273" s="16">
        <f>Table11[[#This Row],[Contract Amendment]]*Table11[[#This Row],[USA Allocation %]]</f>
        <v>0</v>
      </c>
      <c r="K273" s="16">
        <f>Table11[[#This Row],['#Trees as of 12/31/23]]*Table11[[#This Row],[USA Allocation %]]</f>
        <v>671.74543846153858</v>
      </c>
      <c r="L273" s="16">
        <f>Table11[[#This Row],['#Replace 24]]*Table11[[#This Row],[USA Allocation %]]</f>
        <v>0</v>
      </c>
      <c r="M273" s="16">
        <f>IF(Table11[[#This Row],[Planting Year]]=2024,Table11['#Planted],0)</f>
        <v>0</v>
      </c>
      <c r="N273" s="16">
        <f>(Table11[[#This Row],[2024 '#Trees Inventory + Estimate]]*Table11[[#This Row],[USA Allocation %]])-SUM(Table37[[#This Row],['# Trees as of 12/31/23]:[New Trees/Planted in 2024]])</f>
        <v>0</v>
      </c>
      <c r="O273" s="16">
        <f>SUM(Table37[[#This Row],['# Trees as of 12/31/23]:[2024 Tree Losses]])</f>
        <v>671.74543846153858</v>
      </c>
      <c r="P273" s="16">
        <f>SUM(Table37[[#This Row],[Total Trees as of 12/31/24]]-Table37[[#This Row],['# Trees as of 12/31/23]])</f>
        <v>0</v>
      </c>
      <c r="Q273" s="16">
        <f>Table11[[#This Row],['#Total Replacements]]*Table11[[#This Row],[USA Allocation %]]</f>
        <v>0</v>
      </c>
      <c r="R273" s="16">
        <f>IF(Table37[[#This Row],['#Survival based on Inventory]]=0,Table37['#Survival based on Last Year Estimate],Table37['#Survival based on Inventory])</f>
        <v>671.74543846153858</v>
      </c>
      <c r="S273" s="16">
        <f>Table11[[#This Row],['#Planted]]*Table11[[#This Row],[USA Allocation %]]*Table11[[#This Row],[2024 Inventory Survival%-master]]</f>
        <v>0</v>
      </c>
      <c r="T273" s="16">
        <f>Table11[[#This Row],['#Planted]]*Table11[[#This Row],[USA Allocation %]]*Table11[[#This Row],[2024 Estimated Survival%]]</f>
        <v>671.74543846153858</v>
      </c>
      <c r="U273">
        <f>Table11[[#This Row],[ETP Year]]</f>
        <v>2020</v>
      </c>
      <c r="V273">
        <f>Table11[[#This Row],[Planting Year]]</f>
        <v>2021</v>
      </c>
      <c r="W273" s="8">
        <f>Table11[[#This Row],[Survival% as of 12/31/23]]</f>
        <v>0.9735441137123747</v>
      </c>
      <c r="X273" s="7">
        <f>Table11[[#This Row],[ETP'#s]]</f>
        <v>1</v>
      </c>
    </row>
    <row r="274" spans="1:24" x14ac:dyDescent="0.25">
      <c r="A274">
        <f>Table11[[#This Row],[Farmer'#]]</f>
        <v>30011</v>
      </c>
      <c r="B274" t="str">
        <f>Table11[[#This Row],[Representative]]</f>
        <v xml:space="preserve">Erick Cienfuegos </v>
      </c>
      <c r="C274" t="str">
        <f>Table11[[#This Row],[Contract Name]]</f>
        <v>Rudy Israel Cienfuegos Cordón</v>
      </c>
      <c r="D274" t="str">
        <f>Table11[[#This Row],[Status]]</f>
        <v>Active</v>
      </c>
      <c r="E274" t="str">
        <f>Table11[[#This Row],[Contract Code]]</f>
        <v>GT0029</v>
      </c>
      <c r="F274" s="16">
        <f>Table11[[#This Row],['#TreesContract]]</f>
        <v>4050</v>
      </c>
      <c r="G274" s="16">
        <f>Table11[[#This Row],['#Planted]]</f>
        <v>4050</v>
      </c>
      <c r="H274" s="16">
        <f>Table11[[#This Row],['#TreesContract]]*Table11[[#This Row],[USA Allocation %]]</f>
        <v>4050</v>
      </c>
      <c r="I274" s="16">
        <f>Table11[[#This Row],['#Planted]]*Table11[[#This Row],[USA Allocation %]]</f>
        <v>4050</v>
      </c>
      <c r="J274" s="16">
        <f>Table11[[#This Row],[Contract Amendment]]*Table11[[#This Row],[USA Allocation %]]</f>
        <v>0</v>
      </c>
      <c r="K274" s="16">
        <f>Table11[[#This Row],['#Trees as of 12/31/23]]*Table11[[#This Row],[USA Allocation %]]</f>
        <v>2583.18984</v>
      </c>
      <c r="L274" s="16">
        <f>Table11[[#This Row],['#Replace 24]]*Table11[[#This Row],[USA Allocation %]]</f>
        <v>0</v>
      </c>
      <c r="M274" s="16">
        <f>IF(Table11[[#This Row],[Planting Year]]=2024,Table11['#Planted],0)</f>
        <v>0</v>
      </c>
      <c r="N274" s="16">
        <f>(Table11[[#This Row],[2024 '#Trees Inventory + Estimate]]*Table11[[#This Row],[USA Allocation %]])-SUM(Table37[[#This Row],['# Trees as of 12/31/23]:[New Trees/Planted in 2024]])</f>
        <v>0</v>
      </c>
      <c r="O274" s="16">
        <f>SUM(Table37[[#This Row],['# Trees as of 12/31/23]:[2024 Tree Losses]])</f>
        <v>2583.18984</v>
      </c>
      <c r="P274" s="16">
        <f>SUM(Table37[[#This Row],[Total Trees as of 12/31/24]]-Table37[[#This Row],['# Trees as of 12/31/23]])</f>
        <v>0</v>
      </c>
      <c r="Q274" s="16">
        <f>Table11[[#This Row],['#Total Replacements]]*Table11[[#This Row],[USA Allocation %]]</f>
        <v>53</v>
      </c>
      <c r="R274" s="16">
        <f>IF(Table37[[#This Row],['#Survival based on Inventory]]=0,Table37['#Survival based on Last Year Estimate],Table37['#Survival based on Inventory])</f>
        <v>2583.18984</v>
      </c>
      <c r="S274" s="16">
        <f>Table11[[#This Row],['#Planted]]*Table11[[#This Row],[USA Allocation %]]*Table11[[#This Row],[2024 Inventory Survival%-master]]</f>
        <v>0</v>
      </c>
      <c r="T274" s="16">
        <f>Table11[[#This Row],['#Planted]]*Table11[[#This Row],[USA Allocation %]]*Table11[[#This Row],[2024 Estimated Survival%]]</f>
        <v>2583.18984</v>
      </c>
      <c r="U274">
        <f>Table11[[#This Row],[ETP Year]]</f>
        <v>2020</v>
      </c>
      <c r="V274">
        <f>Table11[[#This Row],[Planting Year]]</f>
        <v>2021</v>
      </c>
      <c r="W274" s="8">
        <f>Table11[[#This Row],[Survival% as of 12/31/23]]</f>
        <v>0.63782465185185189</v>
      </c>
      <c r="X274" s="7">
        <f>Table11[[#This Row],[ETP'#s]]</f>
        <v>1</v>
      </c>
    </row>
    <row r="275" spans="1:24" x14ac:dyDescent="0.25">
      <c r="A275">
        <f>Table11[[#This Row],[Farmer'#]]</f>
        <v>30014</v>
      </c>
      <c r="B275" t="str">
        <f>Table11[[#This Row],[Representative]]</f>
        <v>Boris Garza</v>
      </c>
      <c r="C275" t="str">
        <f>Table11[[#This Row],[Contract Name]]</f>
        <v>Borigar S.A. Carmen Lucía Garza López</v>
      </c>
      <c r="D275" t="str">
        <f>Table11[[#This Row],[Status]]</f>
        <v>RFT</v>
      </c>
      <c r="E275" t="str">
        <f>Table11[[#This Row],[Contract Code]]</f>
        <v>GT0032</v>
      </c>
      <c r="F275" s="16">
        <f>Table11[[#This Row],['#TreesContract]]</f>
        <v>2000</v>
      </c>
      <c r="G275" s="16">
        <f>Table11[[#This Row],['#Planted]]</f>
        <v>2000</v>
      </c>
      <c r="H275" s="16">
        <f>Table11[[#This Row],['#TreesContract]]*Table11[[#This Row],[USA Allocation %]]</f>
        <v>2000</v>
      </c>
      <c r="I275" s="16">
        <f>Table11[[#This Row],['#Planted]]*Table11[[#This Row],[USA Allocation %]]</f>
        <v>2000</v>
      </c>
      <c r="J275" s="16">
        <f>Table11[[#This Row],[Contract Amendment]]*Table11[[#This Row],[USA Allocation %]]</f>
        <v>0</v>
      </c>
      <c r="K275" s="16">
        <f>Table11[[#This Row],['#Trees as of 12/31/23]]*Table11[[#This Row],[USA Allocation %]]</f>
        <v>0</v>
      </c>
      <c r="L275" s="16">
        <f>Table11[[#This Row],['#Replace 24]]*Table11[[#This Row],[USA Allocation %]]</f>
        <v>0</v>
      </c>
      <c r="M275" s="16">
        <f>IF(Table11[[#This Row],[Planting Year]]=2024,Table11['#Planted],0)</f>
        <v>0</v>
      </c>
      <c r="N275" s="16">
        <f>(Table11[[#This Row],[2024 '#Trees Inventory + Estimate]]*Table11[[#This Row],[USA Allocation %]])-SUM(Table37[[#This Row],['# Trees as of 12/31/23]:[New Trees/Planted in 2024]])</f>
        <v>0</v>
      </c>
      <c r="O275" s="16">
        <f>SUM(Table37[[#This Row],['# Trees as of 12/31/23]:[2024 Tree Losses]])</f>
        <v>0</v>
      </c>
      <c r="P275" s="16">
        <f>SUM(Table37[[#This Row],[Total Trees as of 12/31/24]]-Table37[[#This Row],['# Trees as of 12/31/23]])</f>
        <v>0</v>
      </c>
      <c r="Q275" s="16">
        <f>Table11[[#This Row],['#Total Replacements]]*Table11[[#This Row],[USA Allocation %]]</f>
        <v>1300</v>
      </c>
      <c r="R275" s="16">
        <f>IF(Table37[[#This Row],['#Survival based on Inventory]]=0,Table37['#Survival based on Last Year Estimate],Table37['#Survival based on Inventory])</f>
        <v>0</v>
      </c>
      <c r="S275" s="16">
        <f>Table11[[#This Row],['#Planted]]*Table11[[#This Row],[USA Allocation %]]*Table11[[#This Row],[2024 Inventory Survival%-master]]</f>
        <v>0</v>
      </c>
      <c r="T275" s="16">
        <f>Table11[[#This Row],['#Planted]]*Table11[[#This Row],[USA Allocation %]]*Table11[[#This Row],[2024 Estimated Survival%]]</f>
        <v>0</v>
      </c>
      <c r="U275">
        <f>Table11[[#This Row],[ETP Year]]</f>
        <v>2021</v>
      </c>
      <c r="V275">
        <f>Table11[[#This Row],[Planting Year]]</f>
        <v>2021</v>
      </c>
      <c r="W275" s="8">
        <f>Table11[[#This Row],[Survival% as of 12/31/23]]</f>
        <v>0</v>
      </c>
      <c r="X275" s="7">
        <f>Table11[[#This Row],[ETP'#s]]</f>
        <v>1</v>
      </c>
    </row>
    <row r="276" spans="1:24" x14ac:dyDescent="0.25">
      <c r="A276">
        <f>Table11[[#This Row],[Farmer'#]]</f>
        <v>30015</v>
      </c>
      <c r="B276" t="str">
        <f>Table11[[#This Row],[Representative]]</f>
        <v>Carlos Adolfo López Letona</v>
      </c>
      <c r="C276" t="str">
        <f>Table11[[#This Row],[Contract Name]]</f>
        <v>Carlos Adolfo López Letona</v>
      </c>
      <c r="D276" t="str">
        <f>Table11[[#This Row],[Status]]</f>
        <v>Active</v>
      </c>
      <c r="E276" t="str">
        <f>Table11[[#This Row],[Contract Code]]</f>
        <v>GT0033</v>
      </c>
      <c r="F276" s="16">
        <f>Table11[[#This Row],['#TreesContract]]</f>
        <v>2650</v>
      </c>
      <c r="G276" s="16">
        <f>Table11[[#This Row],['#Planted]]</f>
        <v>2650</v>
      </c>
      <c r="H276" s="16">
        <f>Table11[[#This Row],['#TreesContract]]*Table11[[#This Row],[USA Allocation %]]</f>
        <v>2650</v>
      </c>
      <c r="I276" s="16">
        <f>Table11[[#This Row],['#Planted]]*Table11[[#This Row],[USA Allocation %]]</f>
        <v>2650</v>
      </c>
      <c r="J276" s="16">
        <f>Table11[[#This Row],[Contract Amendment]]*Table11[[#This Row],[USA Allocation %]]</f>
        <v>0</v>
      </c>
      <c r="K276" s="16">
        <f>Table11[[#This Row],['#Trees as of 12/31/23]]*Table11[[#This Row],[USA Allocation %]]</f>
        <v>1068.2124509090909</v>
      </c>
      <c r="L276" s="16">
        <f>Table11[[#This Row],['#Replace 24]]*Table11[[#This Row],[USA Allocation %]]</f>
        <v>0</v>
      </c>
      <c r="M276" s="16">
        <f>IF(Table11[[#This Row],[Planting Year]]=2024,Table11['#Planted],0)</f>
        <v>0</v>
      </c>
      <c r="N276" s="16">
        <f>(Table11[[#This Row],[2024 '#Trees Inventory + Estimate]]*Table11[[#This Row],[USA Allocation %]])-SUM(Table37[[#This Row],['# Trees as of 12/31/23]:[New Trees/Planted in 2024]])</f>
        <v>0</v>
      </c>
      <c r="O276" s="16">
        <f>SUM(Table37[[#This Row],['# Trees as of 12/31/23]:[2024 Tree Losses]])</f>
        <v>1068.2124509090909</v>
      </c>
      <c r="P276" s="16">
        <f>SUM(Table37[[#This Row],[Total Trees as of 12/31/24]]-Table37[[#This Row],['# Trees as of 12/31/23]])</f>
        <v>0</v>
      </c>
      <c r="Q276" s="16">
        <f>Table11[[#This Row],['#Total Replacements]]*Table11[[#This Row],[USA Allocation %]]</f>
        <v>700</v>
      </c>
      <c r="R276" s="16">
        <f>IF(Table37[[#This Row],['#Survival based on Inventory]]=0,Table37['#Survival based on Last Year Estimate],Table37['#Survival based on Inventory])</f>
        <v>1068.2124509090909</v>
      </c>
      <c r="S276" s="16">
        <f>Table11[[#This Row],['#Planted]]*Table11[[#This Row],[USA Allocation %]]*Table11[[#This Row],[2024 Inventory Survival%-master]]</f>
        <v>0</v>
      </c>
      <c r="T276" s="16">
        <f>Table11[[#This Row],['#Planted]]*Table11[[#This Row],[USA Allocation %]]*Table11[[#This Row],[2024 Estimated Survival%]]</f>
        <v>1068.2124509090909</v>
      </c>
      <c r="U276">
        <f>Table11[[#This Row],[ETP Year]]</f>
        <v>2020</v>
      </c>
      <c r="V276">
        <f>Table11[[#This Row],[Planting Year]]</f>
        <v>2021</v>
      </c>
      <c r="W276" s="8">
        <f>Table11[[#This Row],[Survival% as of 12/31/23]]</f>
        <v>0.40309903807890224</v>
      </c>
      <c r="X276" s="7">
        <f>Table11[[#This Row],[ETP'#s]]</f>
        <v>1</v>
      </c>
    </row>
    <row r="277" spans="1:24" x14ac:dyDescent="0.25">
      <c r="A277">
        <f>Table11[[#This Row],[Farmer'#]]</f>
        <v>30023</v>
      </c>
      <c r="B277" t="str">
        <f>Table11[[#This Row],[Representative]]</f>
        <v>Julio Francisco Morán Pérez</v>
      </c>
      <c r="C277" t="str">
        <f>Table11[[#This Row],[Contract Name]]</f>
        <v>Julio Francisco Morán Pérez</v>
      </c>
      <c r="D277" t="str">
        <f>Table11[[#This Row],[Status]]</f>
        <v>Active</v>
      </c>
      <c r="E277" t="str">
        <f>Table11[[#This Row],[Contract Code]]</f>
        <v>GT0024b</v>
      </c>
      <c r="F277" s="16">
        <f>Table11[[#This Row],['#TreesContract]]</f>
        <v>1433</v>
      </c>
      <c r="G277" s="16">
        <f>Table11[[#This Row],['#Planted]]</f>
        <v>1433</v>
      </c>
      <c r="H277" s="16">
        <f>Table11[[#This Row],['#TreesContract]]*Table11[[#This Row],[USA Allocation %]]</f>
        <v>1433</v>
      </c>
      <c r="I277" s="16">
        <f>Table11[[#This Row],['#Planted]]*Table11[[#This Row],[USA Allocation %]]</f>
        <v>1433</v>
      </c>
      <c r="J277" s="16">
        <f>Table11[[#This Row],[Contract Amendment]]*Table11[[#This Row],[USA Allocation %]]</f>
        <v>0</v>
      </c>
      <c r="K277" s="16">
        <f>Table11[[#This Row],['#Trees as of 12/31/23]]*Table11[[#This Row],[USA Allocation %]]</f>
        <v>1187.3582450757576</v>
      </c>
      <c r="L277" s="16">
        <f>Table11[[#This Row],['#Replace 24]]*Table11[[#This Row],[USA Allocation %]]</f>
        <v>0</v>
      </c>
      <c r="M277" s="16">
        <f>IF(Table11[[#This Row],[Planting Year]]=2024,Table11['#Planted],0)</f>
        <v>0</v>
      </c>
      <c r="N277" s="16">
        <f>(Table11[[#This Row],[2024 '#Trees Inventory + Estimate]]*Table11[[#This Row],[USA Allocation %]])-SUM(Table37[[#This Row],['# Trees as of 12/31/23]:[New Trees/Planted in 2024]])</f>
        <v>0</v>
      </c>
      <c r="O277" s="16">
        <f>SUM(Table37[[#This Row],['# Trees as of 12/31/23]:[2024 Tree Losses]])</f>
        <v>1187.3582450757576</v>
      </c>
      <c r="P277" s="16">
        <f>SUM(Table37[[#This Row],[Total Trees as of 12/31/24]]-Table37[[#This Row],['# Trees as of 12/31/23]])</f>
        <v>0</v>
      </c>
      <c r="Q277" s="16">
        <f>Table11[[#This Row],['#Total Replacements]]*Table11[[#This Row],[USA Allocation %]]</f>
        <v>0</v>
      </c>
      <c r="R277" s="16">
        <f>IF(Table37[[#This Row],['#Survival based on Inventory]]=0,Table37['#Survival based on Last Year Estimate],Table37['#Survival based on Inventory])</f>
        <v>1187.3582450757576</v>
      </c>
      <c r="S277" s="16">
        <f>Table11[[#This Row],['#Planted]]*Table11[[#This Row],[USA Allocation %]]*Table11[[#This Row],[2024 Inventory Survival%-master]]</f>
        <v>0</v>
      </c>
      <c r="T277" s="16">
        <f>Table11[[#This Row],['#Planted]]*Table11[[#This Row],[USA Allocation %]]*Table11[[#This Row],[2024 Estimated Survival%]]</f>
        <v>1187.3582450757576</v>
      </c>
      <c r="U277">
        <f>Table11[[#This Row],[ETP Year]]</f>
        <v>2020</v>
      </c>
      <c r="V277">
        <f>Table11[[#This Row],[Planting Year]]</f>
        <v>2021</v>
      </c>
      <c r="W277" s="8">
        <f>Table11[[#This Row],[Survival% as of 12/31/23]]</f>
        <v>0.82858216683583918</v>
      </c>
      <c r="X277" s="7">
        <f>Table11[[#This Row],[ETP'#s]]</f>
        <v>1</v>
      </c>
    </row>
    <row r="278" spans="1:24" x14ac:dyDescent="0.25">
      <c r="A278">
        <f>Table11[[#This Row],[Farmer'#]]</f>
        <v>30024</v>
      </c>
      <c r="B278" t="str">
        <f>Table11[[#This Row],[Representative]]</f>
        <v>Marvin Rodolfo Porras Calderón</v>
      </c>
      <c r="C278" t="str">
        <f>Table11[[#This Row],[Contract Name]]</f>
        <v>Marvin Rodolfo Porras Calderón</v>
      </c>
      <c r="D278" t="str">
        <f>Table11[[#This Row],[Status]]</f>
        <v>RFT</v>
      </c>
      <c r="E278" t="str">
        <f>Table11[[#This Row],[Contract Code]]</f>
        <v>GT0039</v>
      </c>
      <c r="F278" s="16">
        <f>Table11[[#This Row],['#TreesContract]]</f>
        <v>2350</v>
      </c>
      <c r="G278" s="16">
        <f>Table11[[#This Row],['#Planted]]</f>
        <v>2350</v>
      </c>
      <c r="H278" s="16">
        <f>Table11[[#This Row],['#TreesContract]]*Table11[[#This Row],[USA Allocation %]]</f>
        <v>2350</v>
      </c>
      <c r="I278" s="16">
        <f>Table11[[#This Row],['#Planted]]*Table11[[#This Row],[USA Allocation %]]</f>
        <v>2350</v>
      </c>
      <c r="J278" s="16">
        <f>Table11[[#This Row],[Contract Amendment]]*Table11[[#This Row],[USA Allocation %]]</f>
        <v>0</v>
      </c>
      <c r="K278" s="16">
        <f>Table11[[#This Row],['#Trees as of 12/31/23]]*Table11[[#This Row],[USA Allocation %]]</f>
        <v>1339.2833622958433</v>
      </c>
      <c r="L278" s="16">
        <f>Table11[[#This Row],['#Replace 24]]*Table11[[#This Row],[USA Allocation %]]</f>
        <v>0</v>
      </c>
      <c r="M278" s="16">
        <f>IF(Table11[[#This Row],[Planting Year]]=2024,Table11['#Planted],0)</f>
        <v>0</v>
      </c>
      <c r="N278" s="16">
        <f>(Table11[[#This Row],[2024 '#Trees Inventory + Estimate]]*Table11[[#This Row],[USA Allocation %]])-SUM(Table37[[#This Row],['# Trees as of 12/31/23]:[New Trees/Planted in 2024]])</f>
        <v>0</v>
      </c>
      <c r="O278" s="16">
        <f>SUM(Table37[[#This Row],['# Trees as of 12/31/23]:[2024 Tree Losses]])</f>
        <v>1339.2833622958433</v>
      </c>
      <c r="P278" s="16">
        <f>SUM(Table37[[#This Row],[Total Trees as of 12/31/24]]-Table37[[#This Row],['# Trees as of 12/31/23]])</f>
        <v>0</v>
      </c>
      <c r="Q278" s="16">
        <f>Table11[[#This Row],['#Total Replacements]]*Table11[[#This Row],[USA Allocation %]]</f>
        <v>0</v>
      </c>
      <c r="R278" s="16">
        <f>IF(Table37[[#This Row],['#Survival based on Inventory]]=0,Table37['#Survival based on Last Year Estimate],Table37['#Survival based on Inventory])</f>
        <v>1339.2833622958433</v>
      </c>
      <c r="S278" s="16">
        <f>Table11[[#This Row],['#Planted]]*Table11[[#This Row],[USA Allocation %]]*Table11[[#This Row],[2024 Inventory Survival%-master]]</f>
        <v>0</v>
      </c>
      <c r="T278" s="16">
        <f>Table11[[#This Row],['#Planted]]*Table11[[#This Row],[USA Allocation %]]*Table11[[#This Row],[2024 Estimated Survival%]]</f>
        <v>1339.2833622958433</v>
      </c>
      <c r="U278">
        <f>Table11[[#This Row],[ETP Year]]</f>
        <v>2020</v>
      </c>
      <c r="V278">
        <f>Table11[[#This Row],[Planting Year]]</f>
        <v>2021</v>
      </c>
      <c r="W278" s="8">
        <f>Table11[[#This Row],[Survival% as of 12/31/23]]</f>
        <v>0.569907813742912</v>
      </c>
      <c r="X278" s="7">
        <f>Table11[[#This Row],[ETP'#s]]</f>
        <v>1</v>
      </c>
    </row>
    <row r="279" spans="1:24" x14ac:dyDescent="0.25">
      <c r="A279">
        <f>Table11[[#This Row],[Farmer'#]]</f>
        <v>30028</v>
      </c>
      <c r="B279" t="str">
        <f>Table11[[#This Row],[Representative]]</f>
        <v>Derek José Herman Gordillo</v>
      </c>
      <c r="C279" t="str">
        <f>Table11[[#This Row],[Contract Name]]</f>
        <v>Agroindustrias Nativa S.A./Derek José Herman Gordillo</v>
      </c>
      <c r="D279" t="str">
        <f>Table11[[#This Row],[Status]]</f>
        <v>Active</v>
      </c>
      <c r="E279" t="str">
        <f>Table11[[#This Row],[Contract Code]]</f>
        <v>GT0031a</v>
      </c>
      <c r="F279" s="16">
        <f>Table11[[#This Row],['#TreesContract]]</f>
        <v>18000</v>
      </c>
      <c r="G279" s="16">
        <f>Table11[[#This Row],['#Planted]]</f>
        <v>18000</v>
      </c>
      <c r="H279" s="16">
        <f>Table11[[#This Row],['#TreesContract]]*Table11[[#This Row],[USA Allocation %]]</f>
        <v>18000</v>
      </c>
      <c r="I279" s="16">
        <f>Table11[[#This Row],['#Planted]]*Table11[[#This Row],[USA Allocation %]]</f>
        <v>18000</v>
      </c>
      <c r="J279" s="16">
        <f>Table11[[#This Row],[Contract Amendment]]*Table11[[#This Row],[USA Allocation %]]</f>
        <v>0</v>
      </c>
      <c r="K279" s="16">
        <f>Table11[[#This Row],['#Trees as of 12/31/23]]*Table11[[#This Row],[USA Allocation %]]</f>
        <v>7575</v>
      </c>
      <c r="L279" s="16">
        <f>Table11[[#This Row],['#Replace 24]]*Table11[[#This Row],[USA Allocation %]]</f>
        <v>0</v>
      </c>
      <c r="M279" s="16">
        <f>IF(Table11[[#This Row],[Planting Year]]=2024,Table11['#Planted],0)</f>
        <v>0</v>
      </c>
      <c r="N279" s="16">
        <f>(Table11[[#This Row],[2024 '#Trees Inventory + Estimate]]*Table11[[#This Row],[USA Allocation %]])-SUM(Table37[[#This Row],['# Trees as of 12/31/23]:[New Trees/Planted in 2024]])</f>
        <v>-15</v>
      </c>
      <c r="O279" s="16">
        <f>SUM(Table37[[#This Row],['# Trees as of 12/31/23]:[2024 Tree Losses]])</f>
        <v>7560</v>
      </c>
      <c r="P279" s="16">
        <f>SUM(Table37[[#This Row],[Total Trees as of 12/31/24]]-Table37[[#This Row],['# Trees as of 12/31/23]])</f>
        <v>-15</v>
      </c>
      <c r="Q279" s="16">
        <f>Table11[[#This Row],['#Total Replacements]]*Table11[[#This Row],[USA Allocation %]]</f>
        <v>11473</v>
      </c>
      <c r="R279" s="16">
        <f>IF(Table37[[#This Row],['#Survival based on Inventory]]=0,Table37['#Survival based on Last Year Estimate],Table37['#Survival based on Inventory])</f>
        <v>7575</v>
      </c>
      <c r="S279" s="16">
        <f>Table11[[#This Row],['#Planted]]*Table11[[#This Row],[USA Allocation %]]*Table11[[#This Row],[2024 Inventory Survival%-master]]</f>
        <v>0</v>
      </c>
      <c r="T279" s="16">
        <f>Table11[[#This Row],['#Planted]]*Table11[[#This Row],[USA Allocation %]]*Table11[[#This Row],[2024 Estimated Survival%]]</f>
        <v>7575</v>
      </c>
      <c r="U279">
        <f>Table11[[#This Row],[ETP Year]]</f>
        <v>2021</v>
      </c>
      <c r="V279">
        <f>Table11[[#This Row],[Planting Year]]</f>
        <v>2021</v>
      </c>
      <c r="W279" s="8">
        <f>Table11[[#This Row],[Survival% as of 12/31/23]]</f>
        <v>0.42083333333333334</v>
      </c>
      <c r="X279" s="7">
        <f>Table11[[#This Row],[ETP'#s]]</f>
        <v>1</v>
      </c>
    </row>
    <row r="280" spans="1:24" x14ac:dyDescent="0.25">
      <c r="A280">
        <f>Table11[[#This Row],[Farmer'#]]</f>
        <v>30029</v>
      </c>
      <c r="B280" t="str">
        <f>Table11[[#This Row],[Representative]]</f>
        <v>Edin Leonel Chávez Rodriguez</v>
      </c>
      <c r="C280" t="str">
        <f>Table11[[#This Row],[Contract Name]]</f>
        <v>Edin Leonel Chávez Rodriguez</v>
      </c>
      <c r="D280" t="str">
        <f>Table11[[#This Row],[Status]]</f>
        <v>Active</v>
      </c>
      <c r="E280" t="str">
        <f>Table11[[#This Row],[Contract Code]]</f>
        <v>GT0034</v>
      </c>
      <c r="F280" s="16">
        <f>Table11[[#This Row],['#TreesContract]]</f>
        <v>1000</v>
      </c>
      <c r="G280" s="16">
        <f>Table11[[#This Row],['#Planted]]</f>
        <v>1000</v>
      </c>
      <c r="H280" s="16">
        <f>Table11[[#This Row],['#TreesContract]]*Table11[[#This Row],[USA Allocation %]]</f>
        <v>1000</v>
      </c>
      <c r="I280" s="16">
        <f>Table11[[#This Row],['#Planted]]*Table11[[#This Row],[USA Allocation %]]</f>
        <v>1000</v>
      </c>
      <c r="J280" s="16">
        <f>Table11[[#This Row],[Contract Amendment]]*Table11[[#This Row],[USA Allocation %]]</f>
        <v>0</v>
      </c>
      <c r="K280" s="16">
        <f>Table11[[#This Row],['#Trees as of 12/31/23]]*Table11[[#This Row],[USA Allocation %]]</f>
        <v>883.18954662680676</v>
      </c>
      <c r="L280" s="16">
        <f>Table11[[#This Row],['#Replace 24]]*Table11[[#This Row],[USA Allocation %]]</f>
        <v>0</v>
      </c>
      <c r="M280" s="16">
        <f>IF(Table11[[#This Row],[Planting Year]]=2024,Table11['#Planted],0)</f>
        <v>0</v>
      </c>
      <c r="N280" s="16">
        <f>(Table11[[#This Row],[2024 '#Trees Inventory + Estimate]]*Table11[[#This Row],[USA Allocation %]])-SUM(Table37[[#This Row],['# Trees as of 12/31/23]:[New Trees/Planted in 2024]])</f>
        <v>0</v>
      </c>
      <c r="O280" s="16">
        <f>SUM(Table37[[#This Row],['# Trees as of 12/31/23]:[2024 Tree Losses]])</f>
        <v>883.18954662680676</v>
      </c>
      <c r="P280" s="16">
        <f>SUM(Table37[[#This Row],[Total Trees as of 12/31/24]]-Table37[[#This Row],['# Trees as of 12/31/23]])</f>
        <v>0</v>
      </c>
      <c r="Q280" s="16">
        <f>Table11[[#This Row],['#Total Replacements]]*Table11[[#This Row],[USA Allocation %]]</f>
        <v>1356</v>
      </c>
      <c r="R280" s="16">
        <f>IF(Table37[[#This Row],['#Survival based on Inventory]]=0,Table37['#Survival based on Last Year Estimate],Table37['#Survival based on Inventory])</f>
        <v>883.18954662680676</v>
      </c>
      <c r="S280" s="16">
        <f>Table11[[#This Row],['#Planted]]*Table11[[#This Row],[USA Allocation %]]*Table11[[#This Row],[2024 Inventory Survival%-master]]</f>
        <v>0</v>
      </c>
      <c r="T280" s="16">
        <f>Table11[[#This Row],['#Planted]]*Table11[[#This Row],[USA Allocation %]]*Table11[[#This Row],[2024 Estimated Survival%]]</f>
        <v>883.18954662680676</v>
      </c>
      <c r="U280">
        <f>Table11[[#This Row],[ETP Year]]</f>
        <v>2020</v>
      </c>
      <c r="V280">
        <f>Table11[[#This Row],[Planting Year]]</f>
        <v>2021</v>
      </c>
      <c r="W280" s="8">
        <f>Table11[[#This Row],[Survival% as of 12/31/23]]</f>
        <v>0.88318954662680671</v>
      </c>
      <c r="X280" s="7">
        <f>Table11[[#This Row],[ETP'#s]]</f>
        <v>1</v>
      </c>
    </row>
    <row r="281" spans="1:24" x14ac:dyDescent="0.25">
      <c r="A281">
        <f>Table11[[#This Row],[Farmer'#]]</f>
        <v>30030</v>
      </c>
      <c r="B281" t="str">
        <f>Table11[[#This Row],[Representative]]</f>
        <v>Sergio Gordillo</v>
      </c>
      <c r="C281" t="str">
        <f>Table11[[#This Row],[Contract Name]]</f>
        <v>El Paste S.A./Elisa Janeth Salguero Pineda De Gordillo</v>
      </c>
      <c r="D281" t="str">
        <f>Table11[[#This Row],[Status]]</f>
        <v>Active</v>
      </c>
      <c r="E281" t="str">
        <f>Table11[[#This Row],[Contract Code]]</f>
        <v>GT0035</v>
      </c>
      <c r="F281" s="16">
        <f>Table11[[#This Row],['#TreesContract]]</f>
        <v>1000</v>
      </c>
      <c r="G281" s="16">
        <f>Table11[[#This Row],['#Planted]]</f>
        <v>1000</v>
      </c>
      <c r="H281" s="16">
        <f>Table11[[#This Row],['#TreesContract]]*Table11[[#This Row],[USA Allocation %]]</f>
        <v>1000</v>
      </c>
      <c r="I281" s="16">
        <f>Table11[[#This Row],['#Planted]]*Table11[[#This Row],[USA Allocation %]]</f>
        <v>1000</v>
      </c>
      <c r="J281" s="16">
        <f>Table11[[#This Row],[Contract Amendment]]*Table11[[#This Row],[USA Allocation %]]</f>
        <v>0</v>
      </c>
      <c r="K281" s="16">
        <f>Table11[[#This Row],['#Trees as of 12/31/23]]*Table11[[#This Row],[USA Allocation %]]</f>
        <v>897.30003125000007</v>
      </c>
      <c r="L281" s="16">
        <f>Table11[[#This Row],['#Replace 24]]*Table11[[#This Row],[USA Allocation %]]</f>
        <v>0</v>
      </c>
      <c r="M281" s="16">
        <f>IF(Table11[[#This Row],[Planting Year]]=2024,Table11['#Planted],0)</f>
        <v>0</v>
      </c>
      <c r="N281" s="16">
        <f>(Table11[[#This Row],[2024 '#Trees Inventory + Estimate]]*Table11[[#This Row],[USA Allocation %]])-SUM(Table37[[#This Row],['# Trees as of 12/31/23]:[New Trees/Planted in 2024]])</f>
        <v>0</v>
      </c>
      <c r="O281" s="16">
        <f>SUM(Table37[[#This Row],['# Trees as of 12/31/23]:[2024 Tree Losses]])</f>
        <v>897.30003125000007</v>
      </c>
      <c r="P281" s="16">
        <f>SUM(Table37[[#This Row],[Total Trees as of 12/31/24]]-Table37[[#This Row],['# Trees as of 12/31/23]])</f>
        <v>0</v>
      </c>
      <c r="Q281" s="16">
        <f>Table11[[#This Row],['#Total Replacements]]*Table11[[#This Row],[USA Allocation %]]</f>
        <v>250</v>
      </c>
      <c r="R281" s="16">
        <f>IF(Table37[[#This Row],['#Survival based on Inventory]]=0,Table37['#Survival based on Last Year Estimate],Table37['#Survival based on Inventory])</f>
        <v>897.30003125000007</v>
      </c>
      <c r="S281" s="16">
        <f>Table11[[#This Row],['#Planted]]*Table11[[#This Row],[USA Allocation %]]*Table11[[#This Row],[2024 Inventory Survival%-master]]</f>
        <v>0</v>
      </c>
      <c r="T281" s="16">
        <f>Table11[[#This Row],['#Planted]]*Table11[[#This Row],[USA Allocation %]]*Table11[[#This Row],[2024 Estimated Survival%]]</f>
        <v>897.30003125000007</v>
      </c>
      <c r="U281">
        <f>Table11[[#This Row],[ETP Year]]</f>
        <v>2020</v>
      </c>
      <c r="V281">
        <f>Table11[[#This Row],[Planting Year]]</f>
        <v>2021</v>
      </c>
      <c r="W281" s="8">
        <f>Table11[[#This Row],[Survival% as of 12/31/23]]</f>
        <v>0.89730003125000013</v>
      </c>
      <c r="X281" s="7">
        <f>Table11[[#This Row],[ETP'#s]]</f>
        <v>1</v>
      </c>
    </row>
    <row r="282" spans="1:24" x14ac:dyDescent="0.25">
      <c r="A282">
        <f>Table11[[#This Row],[Farmer'#]]</f>
        <v>30031</v>
      </c>
      <c r="B282" t="str">
        <f>Table11[[#This Row],[Representative]]</f>
        <v>Edilsar García</v>
      </c>
      <c r="C282" t="str">
        <f>Table11[[#This Row],[Contract Name]]</f>
        <v>Eloisa Amparo García Barrios</v>
      </c>
      <c r="D282" t="str">
        <f>Table11[[#This Row],[Status]]</f>
        <v>Active</v>
      </c>
      <c r="E282" t="str">
        <f>Table11[[#This Row],[Contract Code]]</f>
        <v>GT0036</v>
      </c>
      <c r="F282" s="16">
        <f>Table11[[#This Row],['#TreesContract]]</f>
        <v>2907</v>
      </c>
      <c r="G282" s="16">
        <f>Table11[[#This Row],['#Planted]]</f>
        <v>2907</v>
      </c>
      <c r="H282" s="16">
        <f>Table11[[#This Row],['#TreesContract]]*Table11[[#This Row],[USA Allocation %]]</f>
        <v>2907</v>
      </c>
      <c r="I282" s="16">
        <f>Table11[[#This Row],['#Planted]]*Table11[[#This Row],[USA Allocation %]]</f>
        <v>2907</v>
      </c>
      <c r="J282" s="16">
        <f>Table11[[#This Row],[Contract Amendment]]*Table11[[#This Row],[USA Allocation %]]</f>
        <v>0</v>
      </c>
      <c r="K282" s="16">
        <f>Table11[[#This Row],['#Trees as of 12/31/23]]*Table11[[#This Row],[USA Allocation %]]</f>
        <v>2894.0937600000002</v>
      </c>
      <c r="L282" s="16">
        <f>Table11[[#This Row],['#Replace 24]]*Table11[[#This Row],[USA Allocation %]]</f>
        <v>0</v>
      </c>
      <c r="M282" s="16">
        <f>IF(Table11[[#This Row],[Planting Year]]=2024,Table11['#Planted],0)</f>
        <v>0</v>
      </c>
      <c r="N282" s="16">
        <f>(Table11[[#This Row],[2024 '#Trees Inventory + Estimate]]*Table11[[#This Row],[USA Allocation %]])-SUM(Table37[[#This Row],['# Trees as of 12/31/23]:[New Trees/Planted in 2024]])</f>
        <v>0</v>
      </c>
      <c r="O282" s="16">
        <f>SUM(Table37[[#This Row],['# Trees as of 12/31/23]:[2024 Tree Losses]])</f>
        <v>2894.0937600000002</v>
      </c>
      <c r="P282" s="16">
        <f>SUM(Table37[[#This Row],[Total Trees as of 12/31/24]]-Table37[[#This Row],['# Trees as of 12/31/23]])</f>
        <v>0</v>
      </c>
      <c r="Q282" s="16">
        <f>Table11[[#This Row],['#Total Replacements]]*Table11[[#This Row],[USA Allocation %]]</f>
        <v>125</v>
      </c>
      <c r="R282" s="16">
        <f>IF(Table37[[#This Row],['#Survival based on Inventory]]=0,Table37['#Survival based on Last Year Estimate],Table37['#Survival based on Inventory])</f>
        <v>2894.0937600000002</v>
      </c>
      <c r="S282" s="16">
        <f>Table11[[#This Row],['#Planted]]*Table11[[#This Row],[USA Allocation %]]*Table11[[#This Row],[2024 Inventory Survival%-master]]</f>
        <v>0</v>
      </c>
      <c r="T282" s="16">
        <f>Table11[[#This Row],['#Planted]]*Table11[[#This Row],[USA Allocation %]]*Table11[[#This Row],[2024 Estimated Survival%]]</f>
        <v>2894.0937600000002</v>
      </c>
      <c r="U282">
        <f>Table11[[#This Row],[ETP Year]]</f>
        <v>2021</v>
      </c>
      <c r="V282">
        <f>Table11[[#This Row],[Planting Year]]</f>
        <v>2021</v>
      </c>
      <c r="W282" s="8">
        <f>Table11[[#This Row],[Survival% as of 12/31/23]]</f>
        <v>0.99556028895768844</v>
      </c>
      <c r="X282" s="7">
        <f>Table11[[#This Row],[ETP'#s]]</f>
        <v>1</v>
      </c>
    </row>
    <row r="283" spans="1:24" x14ac:dyDescent="0.25">
      <c r="A283">
        <f>Table11[[#This Row],[Farmer'#]]</f>
        <v>30032</v>
      </c>
      <c r="B283" t="str">
        <f>Table11[[#This Row],[Representative]]</f>
        <v>Jorge Mario De León Alconero</v>
      </c>
      <c r="C283" t="str">
        <f>Table11[[#This Row],[Contract Name]]</f>
        <v>Jorge Mario De León Alconero</v>
      </c>
      <c r="D283" t="str">
        <f>Table11[[#This Row],[Status]]</f>
        <v>Active</v>
      </c>
      <c r="E283" t="str">
        <f>Table11[[#This Row],[Contract Code]]</f>
        <v>GT0037</v>
      </c>
      <c r="F283" s="16">
        <f>Table11[[#This Row],['#TreesContract]]</f>
        <v>1500</v>
      </c>
      <c r="G283" s="16">
        <f>Table11[[#This Row],['#Planted]]</f>
        <v>1500</v>
      </c>
      <c r="H283" s="16">
        <f>Table11[[#This Row],['#TreesContract]]*Table11[[#This Row],[USA Allocation %]]</f>
        <v>1500</v>
      </c>
      <c r="I283" s="16">
        <f>Table11[[#This Row],['#Planted]]*Table11[[#This Row],[USA Allocation %]]</f>
        <v>1500</v>
      </c>
      <c r="J283" s="16">
        <f>Table11[[#This Row],[Contract Amendment]]*Table11[[#This Row],[USA Allocation %]]</f>
        <v>0</v>
      </c>
      <c r="K283" s="16">
        <f>Table11[[#This Row],['#Trees as of 12/31/23]]*Table11[[#This Row],[USA Allocation %]]</f>
        <v>1167.2892623736263</v>
      </c>
      <c r="L283" s="16">
        <f>Table11[[#This Row],['#Replace 24]]*Table11[[#This Row],[USA Allocation %]]</f>
        <v>0</v>
      </c>
      <c r="M283" s="16">
        <f>IF(Table11[[#This Row],[Planting Year]]=2024,Table11['#Planted],0)</f>
        <v>0</v>
      </c>
      <c r="N283" s="16">
        <f>(Table11[[#This Row],[2024 '#Trees Inventory + Estimate]]*Table11[[#This Row],[USA Allocation %]])-SUM(Table37[[#This Row],['# Trees as of 12/31/23]:[New Trees/Planted in 2024]])</f>
        <v>-817.10248366153837</v>
      </c>
      <c r="O283" s="16">
        <f>SUM(Table37[[#This Row],['# Trees as of 12/31/23]:[2024 Tree Losses]])</f>
        <v>350.18677871208797</v>
      </c>
      <c r="P283" s="16">
        <f>SUM(Table37[[#This Row],[Total Trees as of 12/31/24]]-Table37[[#This Row],['# Trees as of 12/31/23]])</f>
        <v>-817.10248366153837</v>
      </c>
      <c r="Q283" s="16">
        <f>Table11[[#This Row],['#Total Replacements]]*Table11[[#This Row],[USA Allocation %]]</f>
        <v>675</v>
      </c>
      <c r="R283" s="16">
        <f>IF(Table37[[#This Row],['#Survival based on Inventory]]=0,Table37['#Survival based on Last Year Estimate],Table37['#Survival based on Inventory])</f>
        <v>450</v>
      </c>
      <c r="S283" s="16">
        <f>Table11[[#This Row],['#Planted]]*Table11[[#This Row],[USA Allocation %]]*Table11[[#This Row],[2024 Inventory Survival%-master]]</f>
        <v>0</v>
      </c>
      <c r="T283" s="16">
        <f>Table11[[#This Row],['#Planted]]*Table11[[#This Row],[USA Allocation %]]*Table11[[#This Row],[2024 Estimated Survival%]]</f>
        <v>450</v>
      </c>
      <c r="U283">
        <f>Table11[[#This Row],[ETP Year]]</f>
        <v>2021</v>
      </c>
      <c r="V283">
        <f>Table11[[#This Row],[Planting Year]]</f>
        <v>2021</v>
      </c>
      <c r="W283" s="8">
        <f>Table11[[#This Row],[Survival% as of 12/31/23]]</f>
        <v>0.77819284158241753</v>
      </c>
      <c r="X283" s="7">
        <f>Table11[[#This Row],[ETP'#s]]</f>
        <v>1</v>
      </c>
    </row>
    <row r="284" spans="1:24" x14ac:dyDescent="0.25">
      <c r="A284">
        <f>Table11[[#This Row],[Farmer'#]]</f>
        <v>40003</v>
      </c>
      <c r="B284" t="str">
        <f>Table11[[#This Row],[Representative]]</f>
        <v>Ana Paulina Hurtado Castro</v>
      </c>
      <c r="C284" t="str">
        <f>Table11[[#This Row],[Contract Name]]</f>
        <v>Ana Paulina Hurtado Castro</v>
      </c>
      <c r="D284" t="str">
        <f>Table11[[#This Row],[Status]]</f>
        <v>RFT</v>
      </c>
      <c r="E284" t="str">
        <f>Table11[[#This Row],[Contract Code]]</f>
        <v>MX0003</v>
      </c>
      <c r="F284" s="16">
        <f>Table11[[#This Row],['#TreesContract]]</f>
        <v>1100</v>
      </c>
      <c r="G284" s="16">
        <f>Table11[[#This Row],['#Planted]]</f>
        <v>1100</v>
      </c>
      <c r="H284" s="16">
        <f>Table11[[#This Row],['#TreesContract]]*Table11[[#This Row],[USA Allocation %]]</f>
        <v>1100</v>
      </c>
      <c r="I284" s="16">
        <f>Table11[[#This Row],['#Planted]]*Table11[[#This Row],[USA Allocation %]]</f>
        <v>1100</v>
      </c>
      <c r="J284" s="16">
        <f>Table11[[#This Row],[Contract Amendment]]*Table11[[#This Row],[USA Allocation %]]</f>
        <v>0</v>
      </c>
      <c r="K284" s="16">
        <f>Table11[[#This Row],['#Trees as of 12/31/23]]*Table11[[#This Row],[USA Allocation %]]</f>
        <v>1089</v>
      </c>
      <c r="L284" s="16">
        <f>Table11[[#This Row],['#Replace 24]]*Table11[[#This Row],[USA Allocation %]]</f>
        <v>0</v>
      </c>
      <c r="M284" s="16">
        <f>IF(Table11[[#This Row],[Planting Year]]=2024,Table11['#Planted],0)</f>
        <v>0</v>
      </c>
      <c r="N284" s="16">
        <f>(Table11[[#This Row],[2024 '#Trees Inventory + Estimate]]*Table11[[#This Row],[USA Allocation %]])-SUM(Table37[[#This Row],['# Trees as of 12/31/23]:[New Trees/Planted in 2024]])</f>
        <v>0</v>
      </c>
      <c r="O284" s="16">
        <f>SUM(Table37[[#This Row],['# Trees as of 12/31/23]:[2024 Tree Losses]])</f>
        <v>1089</v>
      </c>
      <c r="P284" s="16">
        <f>SUM(Table37[[#This Row],[Total Trees as of 12/31/24]]-Table37[[#This Row],['# Trees as of 12/31/23]])</f>
        <v>0</v>
      </c>
      <c r="Q284" s="16">
        <f>Table11[[#This Row],['#Total Replacements]]*Table11[[#This Row],[USA Allocation %]]</f>
        <v>0</v>
      </c>
      <c r="R284" s="16">
        <f>IF(Table37[[#This Row],['#Survival based on Inventory]]=0,Table37['#Survival based on Last Year Estimate],Table37['#Survival based on Inventory])</f>
        <v>1089</v>
      </c>
      <c r="S284" s="16">
        <f>Table11[[#This Row],['#Planted]]*Table11[[#This Row],[USA Allocation %]]*Table11[[#This Row],[2024 Inventory Survival%-master]]</f>
        <v>0</v>
      </c>
      <c r="T284" s="16">
        <f>Table11[[#This Row],['#Planted]]*Table11[[#This Row],[USA Allocation %]]*Table11[[#This Row],[2024 Estimated Survival%]]</f>
        <v>1089</v>
      </c>
      <c r="U284">
        <f>Table11[[#This Row],[ETP Year]]</f>
        <v>2020</v>
      </c>
      <c r="V284">
        <f>Table11[[#This Row],[Planting Year]]</f>
        <v>2021</v>
      </c>
      <c r="W284" s="8">
        <f>Table11[[#This Row],[Survival% as of 12/31/23]]</f>
        <v>0.99</v>
      </c>
      <c r="X284" s="7">
        <f>Table11[[#This Row],[ETP'#s]]</f>
        <v>1</v>
      </c>
    </row>
    <row r="285" spans="1:24" x14ac:dyDescent="0.25">
      <c r="A285">
        <f>Table11[[#This Row],[Farmer'#]]</f>
        <v>40008</v>
      </c>
      <c r="B285" t="str">
        <f>Table11[[#This Row],[Representative]]</f>
        <v>Dolores Ramirez Rodriguez</v>
      </c>
      <c r="C285" t="str">
        <f>Table11[[#This Row],[Contract Name]]</f>
        <v>Dolores Ramirez Rodriguez</v>
      </c>
      <c r="D285" t="str">
        <f>Table11[[#This Row],[Status]]</f>
        <v>Active</v>
      </c>
      <c r="E285" t="str">
        <f>Table11[[#This Row],[Contract Code]]</f>
        <v>MX0009</v>
      </c>
      <c r="F285" s="16">
        <f>Table11[[#This Row],['#TreesContract]]</f>
        <v>2750</v>
      </c>
      <c r="G285" s="16">
        <f>Table11[[#This Row],['#Planted]]</f>
        <v>2750</v>
      </c>
      <c r="H285" s="16">
        <f>Table11[[#This Row],['#TreesContract]]*Table11[[#This Row],[USA Allocation %]]</f>
        <v>2750</v>
      </c>
      <c r="I285" s="16">
        <f>Table11[[#This Row],['#Planted]]*Table11[[#This Row],[USA Allocation %]]</f>
        <v>2750</v>
      </c>
      <c r="J285" s="16">
        <f>Table11[[#This Row],[Contract Amendment]]*Table11[[#This Row],[USA Allocation %]]</f>
        <v>0</v>
      </c>
      <c r="K285" s="16">
        <f>Table11[[#This Row],['#Trees as of 12/31/23]]*Table11[[#This Row],[USA Allocation %]]</f>
        <v>2067.4514261692893</v>
      </c>
      <c r="L285" s="16">
        <f>Table11[[#This Row],['#Replace 24]]*Table11[[#This Row],[USA Allocation %]]</f>
        <v>0</v>
      </c>
      <c r="M285" s="16">
        <f>IF(Table11[[#This Row],[Planting Year]]=2024,Table11['#Planted],0)</f>
        <v>0</v>
      </c>
      <c r="N285" s="16">
        <f>(Table11[[#This Row],[2024 '#Trees Inventory + Estimate]]*Table11[[#This Row],[USA Allocation %]])-SUM(Table37[[#This Row],['# Trees as of 12/31/23]:[New Trees/Planted in 2024]])</f>
        <v>0</v>
      </c>
      <c r="O285" s="16">
        <f>SUM(Table37[[#This Row],['# Trees as of 12/31/23]:[2024 Tree Losses]])</f>
        <v>2067.4514261692893</v>
      </c>
      <c r="P285" s="16">
        <f>SUM(Table37[[#This Row],[Total Trees as of 12/31/24]]-Table37[[#This Row],['# Trees as of 12/31/23]])</f>
        <v>0</v>
      </c>
      <c r="Q285" s="16">
        <f>Table11[[#This Row],['#Total Replacements]]*Table11[[#This Row],[USA Allocation %]]</f>
        <v>1000</v>
      </c>
      <c r="R285" s="16">
        <f>IF(Table37[[#This Row],['#Survival based on Inventory]]=0,Table37['#Survival based on Last Year Estimate],Table37['#Survival based on Inventory])</f>
        <v>2067.4514261692893</v>
      </c>
      <c r="S285" s="16">
        <f>Table11[[#This Row],['#Planted]]*Table11[[#This Row],[USA Allocation %]]*Table11[[#This Row],[2024 Inventory Survival%-master]]</f>
        <v>0</v>
      </c>
      <c r="T285" s="16">
        <f>Table11[[#This Row],['#Planted]]*Table11[[#This Row],[USA Allocation %]]*Table11[[#This Row],[2024 Estimated Survival%]]</f>
        <v>2067.4514261692893</v>
      </c>
      <c r="U285">
        <f>Table11[[#This Row],[ETP Year]]</f>
        <v>2021</v>
      </c>
      <c r="V285">
        <f>Table11[[#This Row],[Planting Year]]</f>
        <v>2021</v>
      </c>
      <c r="W285" s="8">
        <f>Table11[[#This Row],[Survival% as of 12/31/23]]</f>
        <v>0.75180051860701436</v>
      </c>
      <c r="X285" s="7">
        <f>Table11[[#This Row],[ETP'#s]]</f>
        <v>1</v>
      </c>
    </row>
    <row r="286" spans="1:24" x14ac:dyDescent="0.25">
      <c r="A286">
        <f>Table11[[#This Row],[Farmer'#]]</f>
        <v>40020</v>
      </c>
      <c r="B286" t="str">
        <f>Table11[[#This Row],[Representative]]</f>
        <v>Alvaro Hernandez Suarez</v>
      </c>
      <c r="C286" t="str">
        <f>Table11[[#This Row],[Contract Name]]</f>
        <v>Alvaro Hernandez Suarez</v>
      </c>
      <c r="D286" t="str">
        <f>Table11[[#This Row],[Status]]</f>
        <v>RFT</v>
      </c>
      <c r="E286" t="str">
        <f>Table11[[#This Row],[Contract Code]]</f>
        <v>MX0021</v>
      </c>
      <c r="F286" s="16">
        <f>Table11[[#This Row],['#TreesContract]]</f>
        <v>2750</v>
      </c>
      <c r="G286" s="16">
        <f>Table11[[#This Row],['#Planted]]</f>
        <v>2750</v>
      </c>
      <c r="H286" s="16">
        <f>Table11[[#This Row],['#TreesContract]]*Table11[[#This Row],[USA Allocation %]]</f>
        <v>2750</v>
      </c>
      <c r="I286" s="16">
        <f>Table11[[#This Row],['#Planted]]*Table11[[#This Row],[USA Allocation %]]</f>
        <v>2750</v>
      </c>
      <c r="J286" s="16">
        <f>Table11[[#This Row],[Contract Amendment]]*Table11[[#This Row],[USA Allocation %]]</f>
        <v>0</v>
      </c>
      <c r="K286" s="16">
        <f>Table11[[#This Row],['#Trees as of 12/31/23]]*Table11[[#This Row],[USA Allocation %]]</f>
        <v>1371.2939185065136</v>
      </c>
      <c r="L286" s="16">
        <f>Table11[[#This Row],['#Replace 24]]*Table11[[#This Row],[USA Allocation %]]</f>
        <v>0</v>
      </c>
      <c r="M286" s="16">
        <f>IF(Table11[[#This Row],[Planting Year]]=2024,Table11['#Planted],0)</f>
        <v>0</v>
      </c>
      <c r="N286" s="16">
        <f>(Table11[[#This Row],[2024 '#Trees Inventory + Estimate]]*Table11[[#This Row],[USA Allocation %]])-SUM(Table37[[#This Row],['# Trees as of 12/31/23]:[New Trees/Planted in 2024]])</f>
        <v>0</v>
      </c>
      <c r="O286" s="16">
        <f>SUM(Table37[[#This Row],['# Trees as of 12/31/23]:[2024 Tree Losses]])</f>
        <v>1371.2939185065136</v>
      </c>
      <c r="P286" s="16">
        <f>SUM(Table37[[#This Row],[Total Trees as of 12/31/24]]-Table37[[#This Row],['# Trees as of 12/31/23]])</f>
        <v>0</v>
      </c>
      <c r="Q286" s="16">
        <f>Table11[[#This Row],['#Total Replacements]]*Table11[[#This Row],[USA Allocation %]]</f>
        <v>1802</v>
      </c>
      <c r="R286" s="16">
        <f>IF(Table37[[#This Row],['#Survival based on Inventory]]=0,Table37['#Survival based on Last Year Estimate],Table37['#Survival based on Inventory])</f>
        <v>1371.2939185065136</v>
      </c>
      <c r="S286" s="16">
        <f>Table11[[#This Row],['#Planted]]*Table11[[#This Row],[USA Allocation %]]*Table11[[#This Row],[2024 Inventory Survival%-master]]</f>
        <v>0</v>
      </c>
      <c r="T286" s="16">
        <f>Table11[[#This Row],['#Planted]]*Table11[[#This Row],[USA Allocation %]]*Table11[[#This Row],[2024 Estimated Survival%]]</f>
        <v>1371.2939185065136</v>
      </c>
      <c r="U286">
        <f>Table11[[#This Row],[ETP Year]]</f>
        <v>2021</v>
      </c>
      <c r="V286">
        <f>Table11[[#This Row],[Planting Year]]</f>
        <v>2021</v>
      </c>
      <c r="W286" s="8">
        <f>Table11[[#This Row],[Survival% as of 12/31/23]]</f>
        <v>0.49865233400236858</v>
      </c>
      <c r="X286" s="7">
        <f>Table11[[#This Row],[ETP'#s]]</f>
        <v>1</v>
      </c>
    </row>
    <row r="287" spans="1:24" x14ac:dyDescent="0.25">
      <c r="A287">
        <f>Table11[[#This Row],[Farmer'#]]</f>
        <v>40021</v>
      </c>
      <c r="B287" t="str">
        <f>Table11[[#This Row],[Representative]]</f>
        <v>Gregorio Martinez Sebastian</v>
      </c>
      <c r="C287" t="str">
        <f>Table11[[#This Row],[Contract Name]]</f>
        <v>Gregorio Martinez Sebastian</v>
      </c>
      <c r="D287" t="str">
        <f>Table11[[#This Row],[Status]]</f>
        <v>Active</v>
      </c>
      <c r="E287" t="str">
        <f>Table11[[#This Row],[Contract Code]]</f>
        <v>MX0022</v>
      </c>
      <c r="F287" s="16">
        <f>Table11[[#This Row],['#TreesContract]]</f>
        <v>2750</v>
      </c>
      <c r="G287" s="16">
        <f>Table11[[#This Row],['#Planted]]</f>
        <v>2750</v>
      </c>
      <c r="H287" s="16">
        <f>Table11[[#This Row],['#TreesContract]]*Table11[[#This Row],[USA Allocation %]]</f>
        <v>2750</v>
      </c>
      <c r="I287" s="16">
        <f>Table11[[#This Row],['#Planted]]*Table11[[#This Row],[USA Allocation %]]</f>
        <v>2750</v>
      </c>
      <c r="J287" s="16">
        <f>Table11[[#This Row],[Contract Amendment]]*Table11[[#This Row],[USA Allocation %]]</f>
        <v>0</v>
      </c>
      <c r="K287" s="16">
        <f>Table11[[#This Row],['#Trees as of 12/31/23]]*Table11[[#This Row],[USA Allocation %]]</f>
        <v>2705.4895262182717</v>
      </c>
      <c r="L287" s="16">
        <f>Table11[[#This Row],['#Replace 24]]*Table11[[#This Row],[USA Allocation %]]</f>
        <v>0</v>
      </c>
      <c r="M287" s="16">
        <f>IF(Table11[[#This Row],[Planting Year]]=2024,Table11['#Planted],0)</f>
        <v>0</v>
      </c>
      <c r="N287" s="16">
        <f>(Table11[[#This Row],[2024 '#Trees Inventory + Estimate]]*Table11[[#This Row],[USA Allocation %]])-SUM(Table37[[#This Row],['# Trees as of 12/31/23]:[New Trees/Planted in 2024]])</f>
        <v>0</v>
      </c>
      <c r="O287" s="16">
        <f>SUM(Table37[[#This Row],['# Trees as of 12/31/23]:[2024 Tree Losses]])</f>
        <v>2705.4895262182717</v>
      </c>
      <c r="P287" s="16">
        <f>SUM(Table37[[#This Row],[Total Trees as of 12/31/24]]-Table37[[#This Row],['# Trees as of 12/31/23]])</f>
        <v>0</v>
      </c>
      <c r="Q287" s="16">
        <f>Table11[[#This Row],['#Total Replacements]]*Table11[[#This Row],[USA Allocation %]]</f>
        <v>2600</v>
      </c>
      <c r="R287" s="16">
        <f>IF(Table37[[#This Row],['#Survival based on Inventory]]=0,Table37['#Survival based on Last Year Estimate],Table37['#Survival based on Inventory])</f>
        <v>2705.4895262182717</v>
      </c>
      <c r="S287" s="16">
        <f>Table11[[#This Row],['#Planted]]*Table11[[#This Row],[USA Allocation %]]*Table11[[#This Row],[2024 Inventory Survival%-master]]</f>
        <v>0</v>
      </c>
      <c r="T287" s="16">
        <f>Table11[[#This Row],['#Planted]]*Table11[[#This Row],[USA Allocation %]]*Table11[[#This Row],[2024 Estimated Survival%]]</f>
        <v>2705.4895262182717</v>
      </c>
      <c r="U287">
        <f>Table11[[#This Row],[ETP Year]]</f>
        <v>2021</v>
      </c>
      <c r="V287">
        <f>Table11[[#This Row],[Planting Year]]</f>
        <v>2021</v>
      </c>
      <c r="W287" s="8">
        <f>Table11[[#This Row],[Survival% as of 12/31/23]]</f>
        <v>0.98381437317028064</v>
      </c>
      <c r="X287" s="7">
        <f>Table11[[#This Row],[ETP'#s]]</f>
        <v>1</v>
      </c>
    </row>
    <row r="288" spans="1:24" x14ac:dyDescent="0.25">
      <c r="A288">
        <f>Table11[[#This Row],[Farmer'#]]</f>
        <v>40022</v>
      </c>
      <c r="B288" t="str">
        <f>Table11[[#This Row],[Representative]]</f>
        <v>Guadelupe Morales Cordova</v>
      </c>
      <c r="C288" t="str">
        <f>Table11[[#This Row],[Contract Name]]</f>
        <v>Guadelupe Morales Cordova</v>
      </c>
      <c r="D288" t="str">
        <f>Table11[[#This Row],[Status]]</f>
        <v>Active</v>
      </c>
      <c r="E288" t="str">
        <f>Table11[[#This Row],[Contract Code]]</f>
        <v>MX0023</v>
      </c>
      <c r="F288" s="16">
        <f>Table11[[#This Row],['#TreesContract]]</f>
        <v>2200</v>
      </c>
      <c r="G288" s="16">
        <f>Table11[[#This Row],['#Planted]]</f>
        <v>2200</v>
      </c>
      <c r="H288" s="16">
        <f>Table11[[#This Row],['#TreesContract]]*Table11[[#This Row],[USA Allocation %]]</f>
        <v>2200</v>
      </c>
      <c r="I288" s="16">
        <f>Table11[[#This Row],['#Planted]]*Table11[[#This Row],[USA Allocation %]]</f>
        <v>2200</v>
      </c>
      <c r="J288" s="16">
        <f>Table11[[#This Row],[Contract Amendment]]*Table11[[#This Row],[USA Allocation %]]</f>
        <v>0</v>
      </c>
      <c r="K288" s="16">
        <f>Table11[[#This Row],['#Trees as of 12/31/23]]*Table11[[#This Row],[USA Allocation %]]</f>
        <v>1688.8549056752554</v>
      </c>
      <c r="L288" s="16">
        <f>Table11[[#This Row],['#Replace 24]]*Table11[[#This Row],[USA Allocation %]]</f>
        <v>0</v>
      </c>
      <c r="M288" s="16">
        <f>IF(Table11[[#This Row],[Planting Year]]=2024,Table11['#Planted],0)</f>
        <v>0</v>
      </c>
      <c r="N288" s="16">
        <f>(Table11[[#This Row],[2024 '#Trees Inventory + Estimate]]*Table11[[#This Row],[USA Allocation %]])-SUM(Table37[[#This Row],['# Trees as of 12/31/23]:[New Trees/Planted in 2024]])</f>
        <v>0</v>
      </c>
      <c r="O288" s="16">
        <f>SUM(Table37[[#This Row],['# Trees as of 12/31/23]:[2024 Tree Losses]])</f>
        <v>1688.8549056752554</v>
      </c>
      <c r="P288" s="16">
        <f>SUM(Table37[[#This Row],[Total Trees as of 12/31/24]]-Table37[[#This Row],['# Trees as of 12/31/23]])</f>
        <v>0</v>
      </c>
      <c r="Q288" s="16">
        <f>Table11[[#This Row],['#Total Replacements]]*Table11[[#This Row],[USA Allocation %]]</f>
        <v>1750</v>
      </c>
      <c r="R288" s="16">
        <f>IF(Table37[[#This Row],['#Survival based on Inventory]]=0,Table37['#Survival based on Last Year Estimate],Table37['#Survival based on Inventory])</f>
        <v>1688.8549056752554</v>
      </c>
      <c r="S288" s="16">
        <f>Table11[[#This Row],['#Planted]]*Table11[[#This Row],[USA Allocation %]]*Table11[[#This Row],[2024 Inventory Survival%-master]]</f>
        <v>0</v>
      </c>
      <c r="T288" s="16">
        <f>Table11[[#This Row],['#Planted]]*Table11[[#This Row],[USA Allocation %]]*Table11[[#This Row],[2024 Estimated Survival%]]</f>
        <v>1688.8549056752554</v>
      </c>
      <c r="U288">
        <f>Table11[[#This Row],[ETP Year]]</f>
        <v>2021</v>
      </c>
      <c r="V288">
        <f>Table11[[#This Row],[Planting Year]]</f>
        <v>2021</v>
      </c>
      <c r="W288" s="8">
        <f>Table11[[#This Row],[Survival% as of 12/31/23]]</f>
        <v>0.76766132076147975</v>
      </c>
      <c r="X288" s="7">
        <f>Table11[[#This Row],[ETP'#s]]</f>
        <v>1</v>
      </c>
    </row>
    <row r="289" spans="1:24" x14ac:dyDescent="0.25">
      <c r="A289">
        <f>Table11[[#This Row],[Farmer'#]]</f>
        <v>40023</v>
      </c>
      <c r="B289" t="str">
        <f>Table11[[#This Row],[Representative]]</f>
        <v>José Baruche Rodríguez Zuñiga</v>
      </c>
      <c r="C289" t="str">
        <f>Table11[[#This Row],[Contract Name]]</f>
        <v>Mayolo Rodríguez Mendoza</v>
      </c>
      <c r="D289" t="str">
        <f>Table11[[#This Row],[Status]]</f>
        <v>RFT</v>
      </c>
      <c r="E289" t="str">
        <f>Table11[[#This Row],[Contract Code]]</f>
        <v>MX0024</v>
      </c>
      <c r="F289" s="16">
        <f>Table11[[#This Row],['#TreesContract]]</f>
        <v>1100</v>
      </c>
      <c r="G289" s="16">
        <f>Table11[[#This Row],['#Planted]]</f>
        <v>1100</v>
      </c>
      <c r="H289" s="16">
        <f>Table11[[#This Row],['#TreesContract]]*Table11[[#This Row],[USA Allocation %]]</f>
        <v>1100</v>
      </c>
      <c r="I289" s="16">
        <f>Table11[[#This Row],['#Planted]]*Table11[[#This Row],[USA Allocation %]]</f>
        <v>1100</v>
      </c>
      <c r="J289" s="16">
        <f>Table11[[#This Row],[Contract Amendment]]*Table11[[#This Row],[USA Allocation %]]</f>
        <v>0</v>
      </c>
      <c r="K289" s="16">
        <f>Table11[[#This Row],['#Trees as of 12/31/23]]*Table11[[#This Row],[USA Allocation %]]</f>
        <v>1045</v>
      </c>
      <c r="L289" s="16">
        <f>Table11[[#This Row],['#Replace 24]]*Table11[[#This Row],[USA Allocation %]]</f>
        <v>0</v>
      </c>
      <c r="M289" s="16">
        <f>IF(Table11[[#This Row],[Planting Year]]=2024,Table11['#Planted],0)</f>
        <v>0</v>
      </c>
      <c r="N289" s="16">
        <f>(Table11[[#This Row],[2024 '#Trees Inventory + Estimate]]*Table11[[#This Row],[USA Allocation %]])-SUM(Table37[[#This Row],['# Trees as of 12/31/23]:[New Trees/Planted in 2024]])</f>
        <v>0</v>
      </c>
      <c r="O289" s="16">
        <f>SUM(Table37[[#This Row],['# Trees as of 12/31/23]:[2024 Tree Losses]])</f>
        <v>1045</v>
      </c>
      <c r="P289" s="16">
        <f>SUM(Table37[[#This Row],[Total Trees as of 12/31/24]]-Table37[[#This Row],['# Trees as of 12/31/23]])</f>
        <v>0</v>
      </c>
      <c r="Q289" s="16">
        <f>Table11[[#This Row],['#Total Replacements]]*Table11[[#This Row],[USA Allocation %]]</f>
        <v>0</v>
      </c>
      <c r="R289" s="16">
        <f>IF(Table37[[#This Row],['#Survival based on Inventory]]=0,Table37['#Survival based on Last Year Estimate],Table37['#Survival based on Inventory])</f>
        <v>1045</v>
      </c>
      <c r="S289" s="16">
        <f>Table11[[#This Row],['#Planted]]*Table11[[#This Row],[USA Allocation %]]*Table11[[#This Row],[2024 Inventory Survival%-master]]</f>
        <v>0</v>
      </c>
      <c r="T289" s="16">
        <f>Table11[[#This Row],['#Planted]]*Table11[[#This Row],[USA Allocation %]]*Table11[[#This Row],[2024 Estimated Survival%]]</f>
        <v>1045</v>
      </c>
      <c r="U289">
        <f>Table11[[#This Row],[ETP Year]]</f>
        <v>2021</v>
      </c>
      <c r="V289">
        <f>Table11[[#This Row],[Planting Year]]</f>
        <v>2021</v>
      </c>
      <c r="W289" s="8">
        <f>Table11[[#This Row],[Survival% as of 12/31/23]]</f>
        <v>0.95</v>
      </c>
      <c r="X289" s="7">
        <f>Table11[[#This Row],[ETP'#s]]</f>
        <v>1</v>
      </c>
    </row>
    <row r="290" spans="1:24" x14ac:dyDescent="0.25">
      <c r="A290">
        <f>Table11[[#This Row],[Farmer'#]]</f>
        <v>40024</v>
      </c>
      <c r="B290" t="str">
        <f>Table11[[#This Row],[Representative]]</f>
        <v>Francisco Crivelli</v>
      </c>
      <c r="C290" t="str">
        <f>Table11[[#This Row],[Contract Name]]</f>
        <v>Teresa Morales Román</v>
      </c>
      <c r="D290" t="str">
        <f>Table11[[#This Row],[Status]]</f>
        <v>RFT</v>
      </c>
      <c r="E290" t="str">
        <f>Table11[[#This Row],[Contract Code]]</f>
        <v>MX0025</v>
      </c>
      <c r="F290" s="16">
        <f>Table11[[#This Row],['#TreesContract]]</f>
        <v>2750</v>
      </c>
      <c r="G290" s="16">
        <f>Table11[[#This Row],['#Planted]]</f>
        <v>2750</v>
      </c>
      <c r="H290" s="16">
        <f>Table11[[#This Row],['#TreesContract]]*Table11[[#This Row],[USA Allocation %]]</f>
        <v>2750</v>
      </c>
      <c r="I290" s="16">
        <f>Table11[[#This Row],['#Planted]]*Table11[[#This Row],[USA Allocation %]]</f>
        <v>2750</v>
      </c>
      <c r="J290" s="16">
        <f>Table11[[#This Row],[Contract Amendment]]*Table11[[#This Row],[USA Allocation %]]</f>
        <v>0</v>
      </c>
      <c r="K290" s="16">
        <f>Table11[[#This Row],['#Trees as of 12/31/23]]*Table11[[#This Row],[USA Allocation %]]</f>
        <v>386.81399751307782</v>
      </c>
      <c r="L290" s="16">
        <f>Table11[[#This Row],['#Replace 24]]*Table11[[#This Row],[USA Allocation %]]</f>
        <v>0</v>
      </c>
      <c r="M290" s="16">
        <f>IF(Table11[[#This Row],[Planting Year]]=2024,Table11['#Planted],0)</f>
        <v>0</v>
      </c>
      <c r="N290" s="16">
        <f>(Table11[[#This Row],[2024 '#Trees Inventory + Estimate]]*Table11[[#This Row],[USA Allocation %]])-SUM(Table37[[#This Row],['# Trees as of 12/31/23]:[New Trees/Planted in 2024]])</f>
        <v>0</v>
      </c>
      <c r="O290" s="16">
        <f>SUM(Table37[[#This Row],['# Trees as of 12/31/23]:[2024 Tree Losses]])</f>
        <v>386.81399751307782</v>
      </c>
      <c r="P290" s="16">
        <f>SUM(Table37[[#This Row],[Total Trees as of 12/31/24]]-Table37[[#This Row],['# Trees as of 12/31/23]])</f>
        <v>0</v>
      </c>
      <c r="Q290" s="16">
        <f>Table11[[#This Row],['#Total Replacements]]*Table11[[#This Row],[USA Allocation %]]</f>
        <v>0</v>
      </c>
      <c r="R290" s="16">
        <f>IF(Table37[[#This Row],['#Survival based on Inventory]]=0,Table37['#Survival based on Last Year Estimate],Table37['#Survival based on Inventory])</f>
        <v>386.81399751307782</v>
      </c>
      <c r="S290" s="16">
        <f>Table11[[#This Row],['#Planted]]*Table11[[#This Row],[USA Allocation %]]*Table11[[#This Row],[2024 Inventory Survival%-master]]</f>
        <v>0</v>
      </c>
      <c r="T290" s="16">
        <f>Table11[[#This Row],['#Planted]]*Table11[[#This Row],[USA Allocation %]]*Table11[[#This Row],[2024 Estimated Survival%]]</f>
        <v>386.81399751307782</v>
      </c>
      <c r="U290">
        <f>Table11[[#This Row],[ETP Year]]</f>
        <v>2021</v>
      </c>
      <c r="V290">
        <f>Table11[[#This Row],[Planting Year]]</f>
        <v>2021</v>
      </c>
      <c r="W290" s="8">
        <f>Table11[[#This Row],[Survival% as of 12/31/23]]</f>
        <v>0.14065963545930102</v>
      </c>
      <c r="X290" s="7">
        <f>Table11[[#This Row],[ETP'#s]]</f>
        <v>1</v>
      </c>
    </row>
    <row r="291" spans="1:24" x14ac:dyDescent="0.25">
      <c r="A291">
        <f>Table11[[#This Row],[Farmer'#]]</f>
        <v>10068</v>
      </c>
      <c r="B291" t="str">
        <f>Table11[[#This Row],[Representative]]</f>
        <v>Pete Preskitt</v>
      </c>
      <c r="C291" t="str">
        <f>Table11[[#This Row],[Contract Name]]</f>
        <v>Pete Preskitt</v>
      </c>
      <c r="D291" t="str">
        <f>Table11[[#This Row],[Status]]</f>
        <v>RFT</v>
      </c>
      <c r="E291" t="str">
        <f>Table11[[#This Row],[Contract Code]]</f>
        <v>US0137</v>
      </c>
      <c r="F291" s="16">
        <f>Table11[[#This Row],['#TreesContract]]</f>
        <v>1100</v>
      </c>
      <c r="G291" s="16">
        <f>Table11[[#This Row],['#Planted]]</f>
        <v>1100</v>
      </c>
      <c r="H291" s="16">
        <f>Table11[[#This Row],['#TreesContract]]*Table11[[#This Row],[USA Allocation %]]</f>
        <v>1100</v>
      </c>
      <c r="I291" s="16">
        <f>Table11[[#This Row],['#Planted]]*Table11[[#This Row],[USA Allocation %]]</f>
        <v>1100</v>
      </c>
      <c r="J291" s="16">
        <f>Table11[[#This Row],[Contract Amendment]]*Table11[[#This Row],[USA Allocation %]]</f>
        <v>0</v>
      </c>
      <c r="K291" s="16">
        <f>Table11[[#This Row],['#Trees as of 12/31/23]]*Table11[[#This Row],[USA Allocation %]]</f>
        <v>1100</v>
      </c>
      <c r="L291" s="16">
        <f>Table11[[#This Row],['#Replace 24]]*Table11[[#This Row],[USA Allocation %]]</f>
        <v>0</v>
      </c>
      <c r="M291" s="16">
        <f>IF(Table11[[#This Row],[Planting Year]]=2024,Table11['#Planted],0)</f>
        <v>0</v>
      </c>
      <c r="N291" s="16">
        <f>(Table11[[#This Row],[2024 '#Trees Inventory + Estimate]]*Table11[[#This Row],[USA Allocation %]])-SUM(Table37[[#This Row],['# Trees as of 12/31/23]:[New Trees/Planted in 2024]])</f>
        <v>0</v>
      </c>
      <c r="O291" s="16">
        <f>SUM(Table37[[#This Row],['# Trees as of 12/31/23]:[2024 Tree Losses]])</f>
        <v>1100</v>
      </c>
      <c r="P291" s="16">
        <f>SUM(Table37[[#This Row],[Total Trees as of 12/31/24]]-Table37[[#This Row],['# Trees as of 12/31/23]])</f>
        <v>0</v>
      </c>
      <c r="Q291" s="16">
        <f>Table11[[#This Row],['#Total Replacements]]*Table11[[#This Row],[USA Allocation %]]</f>
        <v>0</v>
      </c>
      <c r="R291" s="16">
        <f>IF(Table37[[#This Row],['#Survival based on Inventory]]=0,Table37['#Survival based on Last Year Estimate],Table37['#Survival based on Inventory])</f>
        <v>1100</v>
      </c>
      <c r="S291" s="16">
        <f>Table11[[#This Row],['#Planted]]*Table11[[#This Row],[USA Allocation %]]*Table11[[#This Row],[2024 Inventory Survival%-master]]</f>
        <v>0</v>
      </c>
      <c r="T291" s="16">
        <f>Table11[[#This Row],['#Planted]]*Table11[[#This Row],[USA Allocation %]]*Table11[[#This Row],[2024 Estimated Survival%]]</f>
        <v>1100</v>
      </c>
      <c r="U291">
        <f>Table11[[#This Row],[ETP Year]]</f>
        <v>2021</v>
      </c>
      <c r="V291">
        <f>Table11[[#This Row],[Planting Year]]</f>
        <v>2022</v>
      </c>
      <c r="W291" s="8">
        <f>Table11[[#This Row],[Survival% as of 12/31/23]]</f>
        <v>1</v>
      </c>
      <c r="X291" s="7">
        <f>Table11[[#This Row],[ETP'#s]]</f>
        <v>1</v>
      </c>
    </row>
    <row r="292" spans="1:24" x14ac:dyDescent="0.25">
      <c r="A292">
        <f>Table11[[#This Row],[Farmer'#]]</f>
        <v>10080</v>
      </c>
      <c r="B292" t="str">
        <f>Table11[[#This Row],[Representative]]</f>
        <v>Bobby Searcy</v>
      </c>
      <c r="C292" t="str">
        <f>Table11[[#This Row],[Contract Name]]</f>
        <v>Bobby Searcy</v>
      </c>
      <c r="D292" t="str">
        <f>Table11[[#This Row],[Status]]</f>
        <v>Active</v>
      </c>
      <c r="E292" t="str">
        <f>Table11[[#This Row],[Contract Code]]</f>
        <v>US0129</v>
      </c>
      <c r="F292" s="16">
        <f>Table11[[#This Row],['#TreesContract]]</f>
        <v>550</v>
      </c>
      <c r="G292" s="16">
        <f>Table11[[#This Row],['#Planted]]</f>
        <v>550</v>
      </c>
      <c r="H292" s="16">
        <f>Table11[[#This Row],['#TreesContract]]*Table11[[#This Row],[USA Allocation %]]</f>
        <v>550</v>
      </c>
      <c r="I292" s="16">
        <f>Table11[[#This Row],['#Planted]]*Table11[[#This Row],[USA Allocation %]]</f>
        <v>550</v>
      </c>
      <c r="J292" s="16">
        <f>Table11[[#This Row],[Contract Amendment]]*Table11[[#This Row],[USA Allocation %]]</f>
        <v>0</v>
      </c>
      <c r="K292" s="16">
        <f>Table11[[#This Row],['#Trees as of 12/31/23]]*Table11[[#This Row],[USA Allocation %]]</f>
        <v>550</v>
      </c>
      <c r="L292" s="16">
        <f>Table11[[#This Row],['#Replace 24]]*Table11[[#This Row],[USA Allocation %]]</f>
        <v>0</v>
      </c>
      <c r="M292" s="16">
        <f>IF(Table11[[#This Row],[Planting Year]]=2024,Table11['#Planted],0)</f>
        <v>0</v>
      </c>
      <c r="N292" s="16">
        <f>(Table11[[#This Row],[2024 '#Trees Inventory + Estimate]]*Table11[[#This Row],[USA Allocation %]])-SUM(Table37[[#This Row],['# Trees as of 12/31/23]:[New Trees/Planted in 2024]])</f>
        <v>-550</v>
      </c>
      <c r="O292" s="16">
        <f>SUM(Table37[[#This Row],['# Trees as of 12/31/23]:[2024 Tree Losses]])</f>
        <v>0</v>
      </c>
      <c r="P292" s="16">
        <f>SUM(Table37[[#This Row],[Total Trees as of 12/31/24]]-Table37[[#This Row],['# Trees as of 12/31/23]])</f>
        <v>-550</v>
      </c>
      <c r="Q292" s="16">
        <f>Table11[[#This Row],['#Total Replacements]]*Table11[[#This Row],[USA Allocation %]]</f>
        <v>0</v>
      </c>
      <c r="R292" s="16">
        <f>IF(Table37[[#This Row],['#Survival based on Inventory]]=0,Table37['#Survival based on Last Year Estimate],Table37['#Survival based on Inventory])</f>
        <v>0</v>
      </c>
      <c r="S292" s="16">
        <f>Table11[[#This Row],['#Planted]]*Table11[[#This Row],[USA Allocation %]]*Table11[[#This Row],[2024 Inventory Survival%-master]]</f>
        <v>0</v>
      </c>
      <c r="T292" s="16">
        <f>Table11[[#This Row],['#Planted]]*Table11[[#This Row],[USA Allocation %]]*Table11[[#This Row],[2024 Estimated Survival%]]</f>
        <v>0</v>
      </c>
      <c r="U292">
        <f>Table11[[#This Row],[ETP Year]]</f>
        <v>2021</v>
      </c>
      <c r="V292">
        <f>Table11[[#This Row],[Planting Year]]</f>
        <v>2022</v>
      </c>
      <c r="W292" s="8">
        <f>Table11[[#This Row],[Survival% as of 12/31/23]]</f>
        <v>1</v>
      </c>
      <c r="X292" s="7">
        <f>Table11[[#This Row],[ETP'#s]]</f>
        <v>1</v>
      </c>
    </row>
    <row r="293" spans="1:24" x14ac:dyDescent="0.25">
      <c r="A293">
        <f>Table11[[#This Row],[Farmer'#]]</f>
        <v>10082</v>
      </c>
      <c r="B293" t="str">
        <f>Table11[[#This Row],[Representative]]</f>
        <v>Chris Bolen</v>
      </c>
      <c r="C293" t="str">
        <f>Table11[[#This Row],[Contract Name]]</f>
        <v>Chris Bolen</v>
      </c>
      <c r="D293" t="str">
        <f>Table11[[#This Row],[Status]]</f>
        <v>Active</v>
      </c>
      <c r="E293" t="str">
        <f>Table11[[#This Row],[Contract Code]]</f>
        <v>US0130</v>
      </c>
      <c r="F293" s="16">
        <f>Table11[[#This Row],['#TreesContract]]</f>
        <v>1100</v>
      </c>
      <c r="G293" s="16">
        <f>Table11[[#This Row],['#Planted]]</f>
        <v>1100</v>
      </c>
      <c r="H293" s="16">
        <f>Table11[[#This Row],['#TreesContract]]*Table11[[#This Row],[USA Allocation %]]</f>
        <v>1100</v>
      </c>
      <c r="I293" s="16">
        <f>Table11[[#This Row],['#Planted]]*Table11[[#This Row],[USA Allocation %]]</f>
        <v>1100</v>
      </c>
      <c r="J293" s="16">
        <f>Table11[[#This Row],[Contract Amendment]]*Table11[[#This Row],[USA Allocation %]]</f>
        <v>0</v>
      </c>
      <c r="K293" s="16">
        <f>Table11[[#This Row],['#Trees as of 12/31/23]]*Table11[[#This Row],[USA Allocation %]]</f>
        <v>1100</v>
      </c>
      <c r="L293" s="16">
        <f>Table11[[#This Row],['#Replace 24]]*Table11[[#This Row],[USA Allocation %]]</f>
        <v>50</v>
      </c>
      <c r="M293" s="16">
        <f>IF(Table11[[#This Row],[Planting Year]]=2024,Table11['#Planted],0)</f>
        <v>0</v>
      </c>
      <c r="N293" s="16">
        <f>(Table11[[#This Row],[2024 '#Trees Inventory + Estimate]]*Table11[[#This Row],[USA Allocation %]])-SUM(Table37[[#This Row],['# Trees as of 12/31/23]:[New Trees/Planted in 2024]])</f>
        <v>-50</v>
      </c>
      <c r="O293" s="16">
        <f>SUM(Table37[[#This Row],['# Trees as of 12/31/23]:[2024 Tree Losses]])</f>
        <v>1100</v>
      </c>
      <c r="P293" s="16">
        <f>SUM(Table37[[#This Row],[Total Trees as of 12/31/24]]-Table37[[#This Row],['# Trees as of 12/31/23]])</f>
        <v>0</v>
      </c>
      <c r="Q293" s="16">
        <f>Table11[[#This Row],['#Total Replacements]]*Table11[[#This Row],[USA Allocation %]]</f>
        <v>50</v>
      </c>
      <c r="R293" s="16">
        <f>IF(Table37[[#This Row],['#Survival based on Inventory]]=0,Table37['#Survival based on Last Year Estimate],Table37['#Survival based on Inventory])</f>
        <v>1100</v>
      </c>
      <c r="S293" s="16">
        <f>Table11[[#This Row],['#Planted]]*Table11[[#This Row],[USA Allocation %]]*Table11[[#This Row],[2024 Inventory Survival%-master]]</f>
        <v>0</v>
      </c>
      <c r="T293" s="16">
        <f>Table11[[#This Row],['#Planted]]*Table11[[#This Row],[USA Allocation %]]*Table11[[#This Row],[2024 Estimated Survival%]]</f>
        <v>1100</v>
      </c>
      <c r="U293">
        <f>Table11[[#This Row],[ETP Year]]</f>
        <v>2021</v>
      </c>
      <c r="V293">
        <f>Table11[[#This Row],[Planting Year]]</f>
        <v>2022</v>
      </c>
      <c r="W293" s="8">
        <f>Table11[[#This Row],[Survival% as of 12/31/23]]</f>
        <v>1</v>
      </c>
      <c r="X293" s="7">
        <f>Table11[[#This Row],[ETP'#s]]</f>
        <v>1</v>
      </c>
    </row>
    <row r="294" spans="1:24" x14ac:dyDescent="0.25">
      <c r="A294">
        <f>Table11[[#This Row],[Farmer'#]]</f>
        <v>10094</v>
      </c>
      <c r="B294" t="str">
        <f>Table11[[#This Row],[Representative]]</f>
        <v>Kyle Flint</v>
      </c>
      <c r="C294" t="str">
        <f>Table11[[#This Row],[Contract Name]]</f>
        <v>Kyle Flint</v>
      </c>
      <c r="D294" t="str">
        <f>Table11[[#This Row],[Status]]</f>
        <v>Active</v>
      </c>
      <c r="E294" t="str">
        <f>Table11[[#This Row],[Contract Code]]</f>
        <v>US0135</v>
      </c>
      <c r="F294" s="16">
        <f>Table11[[#This Row],['#TreesContract]]</f>
        <v>4400</v>
      </c>
      <c r="G294" s="16">
        <f>Table11[[#This Row],['#Planted]]</f>
        <v>4400</v>
      </c>
      <c r="H294" s="16">
        <f>Table11[[#This Row],['#TreesContract]]*Table11[[#This Row],[USA Allocation %]]</f>
        <v>4400</v>
      </c>
      <c r="I294" s="16">
        <f>Table11[[#This Row],['#Planted]]*Table11[[#This Row],[USA Allocation %]]</f>
        <v>4400</v>
      </c>
      <c r="J294" s="16">
        <f>Table11[[#This Row],[Contract Amendment]]*Table11[[#This Row],[USA Allocation %]]</f>
        <v>0</v>
      </c>
      <c r="K294" s="16">
        <f>Table11[[#This Row],['#Trees as of 12/31/23]]*Table11[[#This Row],[USA Allocation %]]</f>
        <v>4400</v>
      </c>
      <c r="L294" s="16">
        <f>Table11[[#This Row],['#Replace 24]]*Table11[[#This Row],[USA Allocation %]]</f>
        <v>0</v>
      </c>
      <c r="M294" s="16">
        <f>IF(Table11[[#This Row],[Planting Year]]=2024,Table11['#Planted],0)</f>
        <v>0</v>
      </c>
      <c r="N294" s="16">
        <f>(Table11[[#This Row],[2024 '#Trees Inventory + Estimate]]*Table11[[#This Row],[USA Allocation %]])-SUM(Table37[[#This Row],['# Trees as of 12/31/23]:[New Trees/Planted in 2024]])</f>
        <v>-2200</v>
      </c>
      <c r="O294" s="16">
        <f>SUM(Table37[[#This Row],['# Trees as of 12/31/23]:[2024 Tree Losses]])</f>
        <v>2200</v>
      </c>
      <c r="P294" s="16">
        <f>SUM(Table37[[#This Row],[Total Trees as of 12/31/24]]-Table37[[#This Row],['# Trees as of 12/31/23]])</f>
        <v>-2200</v>
      </c>
      <c r="Q294" s="16">
        <f>Table11[[#This Row],['#Total Replacements]]*Table11[[#This Row],[USA Allocation %]]</f>
        <v>950</v>
      </c>
      <c r="R294" s="16">
        <f>IF(Table37[[#This Row],['#Survival based on Inventory]]=0,Table37['#Survival based on Last Year Estimate],Table37['#Survival based on Inventory])</f>
        <v>2200</v>
      </c>
      <c r="S294" s="16">
        <f>Table11[[#This Row],['#Planted]]*Table11[[#This Row],[USA Allocation %]]*Table11[[#This Row],[2024 Inventory Survival%-master]]</f>
        <v>0</v>
      </c>
      <c r="T294" s="16">
        <f>Table11[[#This Row],['#Planted]]*Table11[[#This Row],[USA Allocation %]]*Table11[[#This Row],[2024 Estimated Survival%]]</f>
        <v>2200</v>
      </c>
      <c r="U294">
        <f>Table11[[#This Row],[ETP Year]]</f>
        <v>2021</v>
      </c>
      <c r="V294">
        <f>Table11[[#This Row],[Planting Year]]</f>
        <v>2022</v>
      </c>
      <c r="W294" s="8">
        <f>Table11[[#This Row],[Survival% as of 12/31/23]]</f>
        <v>1</v>
      </c>
      <c r="X294" s="7">
        <f>Table11[[#This Row],[ETP'#s]]</f>
        <v>1</v>
      </c>
    </row>
    <row r="295" spans="1:24" x14ac:dyDescent="0.25">
      <c r="A295">
        <f>Table11[[#This Row],[Farmer'#]]</f>
        <v>10102</v>
      </c>
      <c r="B295" t="str">
        <f>Table11[[#This Row],[Representative]]</f>
        <v>Sisay Souphom</v>
      </c>
      <c r="C295" t="str">
        <f>Table11[[#This Row],[Contract Name]]</f>
        <v>Sisay Souphom</v>
      </c>
      <c r="D295" t="str">
        <f>Table11[[#This Row],[Status]]</f>
        <v>Active</v>
      </c>
      <c r="E295" t="str">
        <f>Table11[[#This Row],[Contract Code]]</f>
        <v>US0141</v>
      </c>
      <c r="F295" s="16">
        <f>Table11[[#This Row],['#TreesContract]]</f>
        <v>550</v>
      </c>
      <c r="G295" s="16">
        <f>Table11[[#This Row],['#Planted]]</f>
        <v>550</v>
      </c>
      <c r="H295" s="16">
        <f>Table11[[#This Row],['#TreesContract]]*Table11[[#This Row],[USA Allocation %]]</f>
        <v>550</v>
      </c>
      <c r="I295" s="16">
        <f>Table11[[#This Row],['#Planted]]*Table11[[#This Row],[USA Allocation %]]</f>
        <v>550</v>
      </c>
      <c r="J295" s="16">
        <f>Table11[[#This Row],[Contract Amendment]]*Table11[[#This Row],[USA Allocation %]]</f>
        <v>0</v>
      </c>
      <c r="K295" s="16">
        <f>Table11[[#This Row],['#Trees as of 12/31/23]]*Table11[[#This Row],[USA Allocation %]]</f>
        <v>550</v>
      </c>
      <c r="L295" s="16">
        <f>Table11[[#This Row],['#Replace 24]]*Table11[[#This Row],[USA Allocation %]]</f>
        <v>0</v>
      </c>
      <c r="M295" s="16">
        <f>IF(Table11[[#This Row],[Planting Year]]=2024,Table11['#Planted],0)</f>
        <v>0</v>
      </c>
      <c r="N295" s="16">
        <f>(Table11[[#This Row],[2024 '#Trees Inventory + Estimate]]*Table11[[#This Row],[USA Allocation %]])-SUM(Table37[[#This Row],['# Trees as of 12/31/23]:[New Trees/Planted in 2024]])</f>
        <v>-151</v>
      </c>
      <c r="O295" s="16">
        <f>SUM(Table37[[#This Row],['# Trees as of 12/31/23]:[2024 Tree Losses]])</f>
        <v>399</v>
      </c>
      <c r="P295" s="16">
        <f>SUM(Table37[[#This Row],[Total Trees as of 12/31/24]]-Table37[[#This Row],['# Trees as of 12/31/23]])</f>
        <v>-151</v>
      </c>
      <c r="Q295" s="16">
        <f>Table11[[#This Row],['#Total Replacements]]*Table11[[#This Row],[USA Allocation %]]</f>
        <v>0</v>
      </c>
      <c r="R295" s="16">
        <f>IF(Table37[[#This Row],['#Survival based on Inventory]]=0,Table37['#Survival based on Last Year Estimate],Table37['#Survival based on Inventory])</f>
        <v>399.3</v>
      </c>
      <c r="S295" s="16">
        <f>Table11[[#This Row],['#Planted]]*Table11[[#This Row],[USA Allocation %]]*Table11[[#This Row],[2024 Inventory Survival%-master]]</f>
        <v>399.3</v>
      </c>
      <c r="T295" s="16">
        <f>Table11[[#This Row],['#Planted]]*Table11[[#This Row],[USA Allocation %]]*Table11[[#This Row],[2024 Estimated Survival%]]</f>
        <v>401.5</v>
      </c>
      <c r="U295">
        <f>Table11[[#This Row],[ETP Year]]</f>
        <v>2021</v>
      </c>
      <c r="V295">
        <f>Table11[[#This Row],[Planting Year]]</f>
        <v>2022</v>
      </c>
      <c r="W295" s="8">
        <f>Table11[[#This Row],[Survival% as of 12/31/23]]</f>
        <v>1</v>
      </c>
      <c r="X295" s="7">
        <f>Table11[[#This Row],[ETP'#s]]</f>
        <v>1</v>
      </c>
    </row>
    <row r="296" spans="1:24" x14ac:dyDescent="0.25">
      <c r="A296">
        <f>Table11[[#This Row],[Farmer'#]]</f>
        <v>10104</v>
      </c>
      <c r="B296" t="str">
        <f>Table11[[#This Row],[Representative]]</f>
        <v>Steven Hunter</v>
      </c>
      <c r="C296" t="str">
        <f>Table11[[#This Row],[Contract Name]]</f>
        <v>Steven Hunter</v>
      </c>
      <c r="D296" t="str">
        <f>Table11[[#This Row],[Status]]</f>
        <v>Active</v>
      </c>
      <c r="E296" t="str">
        <f>Table11[[#This Row],[Contract Code]]</f>
        <v>US0142</v>
      </c>
      <c r="F296" s="16">
        <f>Table11[[#This Row],['#TreesContract]]</f>
        <v>1100</v>
      </c>
      <c r="G296" s="16">
        <f>Table11[[#This Row],['#Planted]]</f>
        <v>1100</v>
      </c>
      <c r="H296" s="16">
        <f>Table11[[#This Row],['#TreesContract]]*Table11[[#This Row],[USA Allocation %]]</f>
        <v>1100</v>
      </c>
      <c r="I296" s="16">
        <f>Table11[[#This Row],['#Planted]]*Table11[[#This Row],[USA Allocation %]]</f>
        <v>1100</v>
      </c>
      <c r="J296" s="16">
        <f>Table11[[#This Row],[Contract Amendment]]*Table11[[#This Row],[USA Allocation %]]</f>
        <v>0</v>
      </c>
      <c r="K296" s="16">
        <f>Table11[[#This Row],['#Trees as of 12/31/23]]*Table11[[#This Row],[USA Allocation %]]</f>
        <v>1100</v>
      </c>
      <c r="L296" s="16">
        <f>Table11[[#This Row],['#Replace 24]]*Table11[[#This Row],[USA Allocation %]]</f>
        <v>0</v>
      </c>
      <c r="M296" s="16">
        <f>IF(Table11[[#This Row],[Planting Year]]=2024,Table11['#Planted],0)</f>
        <v>0</v>
      </c>
      <c r="N296" s="16">
        <f>(Table11[[#This Row],[2024 '#Trees Inventory + Estimate]]*Table11[[#This Row],[USA Allocation %]])-SUM(Table37[[#This Row],['# Trees as of 12/31/23]:[New Trees/Planted in 2024]])</f>
        <v>-1034</v>
      </c>
      <c r="O296" s="16">
        <f>SUM(Table37[[#This Row],['# Trees as of 12/31/23]:[2024 Tree Losses]])</f>
        <v>66</v>
      </c>
      <c r="P296" s="16">
        <f>SUM(Table37[[#This Row],[Total Trees as of 12/31/24]]-Table37[[#This Row],['# Trees as of 12/31/23]])</f>
        <v>-1034</v>
      </c>
      <c r="Q296" s="16">
        <f>Table11[[#This Row],['#Total Replacements]]*Table11[[#This Row],[USA Allocation %]]</f>
        <v>0</v>
      </c>
      <c r="R296" s="16">
        <f>IF(Table37[[#This Row],['#Survival based on Inventory]]=0,Table37['#Survival based on Last Year Estimate],Table37['#Survival based on Inventory])</f>
        <v>66</v>
      </c>
      <c r="S296" s="16">
        <f>Table11[[#This Row],['#Planted]]*Table11[[#This Row],[USA Allocation %]]*Table11[[#This Row],[2024 Inventory Survival%-master]]</f>
        <v>66</v>
      </c>
      <c r="T296" s="16">
        <f>Table11[[#This Row],['#Planted]]*Table11[[#This Row],[USA Allocation %]]*Table11[[#This Row],[2024 Estimated Survival%]]</f>
        <v>66</v>
      </c>
      <c r="U296">
        <f>Table11[[#This Row],[ETP Year]]</f>
        <v>2021</v>
      </c>
      <c r="V296">
        <f>Table11[[#This Row],[Planting Year]]</f>
        <v>2022</v>
      </c>
      <c r="W296" s="8">
        <f>Table11[[#This Row],[Survival% as of 12/31/23]]</f>
        <v>1</v>
      </c>
      <c r="X296" s="7">
        <f>Table11[[#This Row],[ETP'#s]]</f>
        <v>1</v>
      </c>
    </row>
    <row r="297" spans="1:24" x14ac:dyDescent="0.25">
      <c r="A297">
        <f>Table11[[#This Row],[Farmer'#]]</f>
        <v>10109</v>
      </c>
      <c r="B297" t="str">
        <f>Table11[[#This Row],[Representative]]</f>
        <v>Belinda Twohig</v>
      </c>
      <c r="C297" t="str">
        <f>Table11[[#This Row],[Contract Name]]</f>
        <v>Belinda Twohig</v>
      </c>
      <c r="D297" t="str">
        <f>Table11[[#This Row],[Status]]</f>
        <v>Active</v>
      </c>
      <c r="E297" t="str">
        <f>Table11[[#This Row],[Contract Code]]</f>
        <v>US0128</v>
      </c>
      <c r="F297" s="16">
        <f>Table11[[#This Row],['#TreesContract]]</f>
        <v>1320</v>
      </c>
      <c r="G297" s="16">
        <f>Table11[[#This Row],['#Planted]]</f>
        <v>1320</v>
      </c>
      <c r="H297" s="16">
        <f>Table11[[#This Row],['#TreesContract]]*Table11[[#This Row],[USA Allocation %]]</f>
        <v>1320</v>
      </c>
      <c r="I297" s="16">
        <f>Table11[[#This Row],['#Planted]]*Table11[[#This Row],[USA Allocation %]]</f>
        <v>1320</v>
      </c>
      <c r="J297" s="16">
        <f>Table11[[#This Row],[Contract Amendment]]*Table11[[#This Row],[USA Allocation %]]</f>
        <v>0</v>
      </c>
      <c r="K297" s="16">
        <f>Table11[[#This Row],['#Trees as of 12/31/23]]*Table11[[#This Row],[USA Allocation %]]</f>
        <v>1320</v>
      </c>
      <c r="L297" s="16">
        <f>Table11[[#This Row],['#Replace 24]]*Table11[[#This Row],[USA Allocation %]]</f>
        <v>100</v>
      </c>
      <c r="M297" s="16">
        <f>IF(Table11[[#This Row],[Planting Year]]=2024,Table11['#Planted],0)</f>
        <v>0</v>
      </c>
      <c r="N297" s="16">
        <f>(Table11[[#This Row],[2024 '#Trees Inventory + Estimate]]*Table11[[#This Row],[USA Allocation %]])-SUM(Table37[[#This Row],['# Trees as of 12/31/23]:[New Trees/Planted in 2024]])</f>
        <v>-175.24</v>
      </c>
      <c r="O297" s="16">
        <f>SUM(Table37[[#This Row],['# Trees as of 12/31/23]:[2024 Tree Losses]])</f>
        <v>1244.76</v>
      </c>
      <c r="P297" s="16">
        <f>SUM(Table37[[#This Row],[Total Trees as of 12/31/24]]-Table37[[#This Row],['# Trees as of 12/31/23]])</f>
        <v>-75.240000000000009</v>
      </c>
      <c r="Q297" s="16">
        <f>Table11[[#This Row],['#Total Replacements]]*Table11[[#This Row],[USA Allocation %]]</f>
        <v>457</v>
      </c>
      <c r="R297" s="16">
        <f>IF(Table37[[#This Row],['#Survival based on Inventory]]=0,Table37['#Survival based on Last Year Estimate],Table37['#Survival based on Inventory])</f>
        <v>1244.76</v>
      </c>
      <c r="S297" s="16">
        <f>Table11[[#This Row],['#Planted]]*Table11[[#This Row],[USA Allocation %]]*Table11[[#This Row],[2024 Inventory Survival%-master]]</f>
        <v>1244.76</v>
      </c>
      <c r="T297" s="16">
        <f>Table11[[#This Row],['#Planted]]*Table11[[#This Row],[USA Allocation %]]*Table11[[#This Row],[2024 Estimated Survival%]]</f>
        <v>1240.8</v>
      </c>
      <c r="U297">
        <f>Table11[[#This Row],[ETP Year]]</f>
        <v>2021</v>
      </c>
      <c r="V297">
        <f>Table11[[#This Row],[Planting Year]]</f>
        <v>2022</v>
      </c>
      <c r="W297" s="8">
        <f>Table11[[#This Row],[Survival% as of 12/31/23]]</f>
        <v>1</v>
      </c>
      <c r="X297" s="7">
        <f>Table11[[#This Row],[ETP'#s]]</f>
        <v>1</v>
      </c>
    </row>
    <row r="298" spans="1:24" x14ac:dyDescent="0.25">
      <c r="A298">
        <f>Table11[[#This Row],[Farmer'#]]</f>
        <v>10110</v>
      </c>
      <c r="B298" t="str">
        <f>Table11[[#This Row],[Representative]]</f>
        <v>David Hall</v>
      </c>
      <c r="C298" t="str">
        <f>Table11[[#This Row],[Contract Name]]</f>
        <v>David Hall</v>
      </c>
      <c r="D298" t="str">
        <f>Table11[[#This Row],[Status]]</f>
        <v>Active</v>
      </c>
      <c r="E298" t="str">
        <f>Table11[[#This Row],[Contract Code]]</f>
        <v>US0131</v>
      </c>
      <c r="F298" s="16">
        <f>Table11[[#This Row],['#TreesContract]]</f>
        <v>3829</v>
      </c>
      <c r="G298" s="16">
        <f>Table11[[#This Row],['#Planted]]</f>
        <v>3829</v>
      </c>
      <c r="H298" s="16">
        <f>Table11[[#This Row],['#TreesContract]]*Table11[[#This Row],[USA Allocation %]]</f>
        <v>3829</v>
      </c>
      <c r="I298" s="16">
        <f>Table11[[#This Row],['#Planted]]*Table11[[#This Row],[USA Allocation %]]</f>
        <v>3829</v>
      </c>
      <c r="J298" s="16">
        <f>Table11[[#This Row],[Contract Amendment]]*Table11[[#This Row],[USA Allocation %]]</f>
        <v>0</v>
      </c>
      <c r="K298" s="16">
        <f>Table11[[#This Row],['#Trees as of 12/31/23]]*Table11[[#This Row],[USA Allocation %]]</f>
        <v>3829</v>
      </c>
      <c r="L298" s="16">
        <f>Table11[[#This Row],['#Replace 24]]*Table11[[#This Row],[USA Allocation %]]</f>
        <v>0</v>
      </c>
      <c r="M298" s="16">
        <f>IF(Table11[[#This Row],[Planting Year]]=2024,Table11['#Planted],0)</f>
        <v>0</v>
      </c>
      <c r="N298" s="16">
        <f>(Table11[[#This Row],[2024 '#Trees Inventory + Estimate]]*Table11[[#This Row],[USA Allocation %]])-SUM(Table37[[#This Row],['# Trees as of 12/31/23]:[New Trees/Planted in 2024]])</f>
        <v>-92</v>
      </c>
      <c r="O298" s="16">
        <f>SUM(Table37[[#This Row],['# Trees as of 12/31/23]:[2024 Tree Losses]])</f>
        <v>3737</v>
      </c>
      <c r="P298" s="16">
        <f>SUM(Table37[[#This Row],[Total Trees as of 12/31/24]]-Table37[[#This Row],['# Trees as of 12/31/23]])</f>
        <v>-92</v>
      </c>
      <c r="Q298" s="16">
        <f>Table11[[#This Row],['#Total Replacements]]*Table11[[#This Row],[USA Allocation %]]</f>
        <v>840</v>
      </c>
      <c r="R298" s="16">
        <f>IF(Table37[[#This Row],['#Survival based on Inventory]]=0,Table37['#Survival based on Last Year Estimate],Table37['#Survival based on Inventory])</f>
        <v>3737.1039999999998</v>
      </c>
      <c r="S298" s="16">
        <f>Table11[[#This Row],['#Planted]]*Table11[[#This Row],[USA Allocation %]]*Table11[[#This Row],[2024 Inventory Survival%-master]]</f>
        <v>3737.1039999999998</v>
      </c>
      <c r="T298" s="16">
        <f>Table11[[#This Row],['#Planted]]*Table11[[#This Row],[USA Allocation %]]*Table11[[#This Row],[2024 Estimated Survival%]]</f>
        <v>3752.42</v>
      </c>
      <c r="U298">
        <f>Table11[[#This Row],[ETP Year]]</f>
        <v>2021</v>
      </c>
      <c r="V298">
        <f>Table11[[#This Row],[Planting Year]]</f>
        <v>2022</v>
      </c>
      <c r="W298" s="8">
        <f>Table11[[#This Row],[Survival% as of 12/31/23]]</f>
        <v>1</v>
      </c>
      <c r="X298" s="7">
        <f>Table11[[#This Row],[ETP'#s]]</f>
        <v>1</v>
      </c>
    </row>
    <row r="299" spans="1:24" x14ac:dyDescent="0.25">
      <c r="A299">
        <f>Table11[[#This Row],[Farmer'#]]</f>
        <v>10111</v>
      </c>
      <c r="B299" t="str">
        <f>Table11[[#This Row],[Representative]]</f>
        <v>David Lewis</v>
      </c>
      <c r="C299" t="str">
        <f>Table11[[#This Row],[Contract Name]]</f>
        <v>David Lewis</v>
      </c>
      <c r="D299" t="str">
        <f>Table11[[#This Row],[Status]]</f>
        <v>Active</v>
      </c>
      <c r="E299" t="str">
        <f>Table11[[#This Row],[Contract Code]]</f>
        <v>US0132</v>
      </c>
      <c r="F299" s="16">
        <f>Table11[[#This Row],['#TreesContract]]</f>
        <v>1100</v>
      </c>
      <c r="G299" s="16">
        <f>Table11[[#This Row],['#Planted]]</f>
        <v>1100</v>
      </c>
      <c r="H299" s="16">
        <f>Table11[[#This Row],['#TreesContract]]*Table11[[#This Row],[USA Allocation %]]</f>
        <v>1100</v>
      </c>
      <c r="I299" s="16">
        <f>Table11[[#This Row],['#Planted]]*Table11[[#This Row],[USA Allocation %]]</f>
        <v>1100</v>
      </c>
      <c r="J299" s="16">
        <f>Table11[[#This Row],[Contract Amendment]]*Table11[[#This Row],[USA Allocation %]]</f>
        <v>0</v>
      </c>
      <c r="K299" s="16">
        <f>Table11[[#This Row],['#Trees as of 12/31/23]]*Table11[[#This Row],[USA Allocation %]]</f>
        <v>1100</v>
      </c>
      <c r="L299" s="16">
        <f>Table11[[#This Row],['#Replace 24]]*Table11[[#This Row],[USA Allocation %]]</f>
        <v>0</v>
      </c>
      <c r="M299" s="16">
        <f>IF(Table11[[#This Row],[Planting Year]]=2024,Table11['#Planted],0)</f>
        <v>0</v>
      </c>
      <c r="N299" s="16">
        <f>(Table11[[#This Row],[2024 '#Trees Inventory + Estimate]]*Table11[[#This Row],[USA Allocation %]])-SUM(Table37[[#This Row],['# Trees as of 12/31/23]:[New Trees/Planted in 2024]])</f>
        <v>-27</v>
      </c>
      <c r="O299" s="16">
        <f>SUM(Table37[[#This Row],['# Trees as of 12/31/23]:[2024 Tree Losses]])</f>
        <v>1073</v>
      </c>
      <c r="P299" s="16">
        <f>SUM(Table37[[#This Row],[Total Trees as of 12/31/24]]-Table37[[#This Row],['# Trees as of 12/31/23]])</f>
        <v>-27</v>
      </c>
      <c r="Q299" s="16">
        <f>Table11[[#This Row],['#Total Replacements]]*Table11[[#This Row],[USA Allocation %]]</f>
        <v>50</v>
      </c>
      <c r="R299" s="16">
        <f>IF(Table37[[#This Row],['#Survival based on Inventory]]=0,Table37['#Survival based on Last Year Estimate],Table37['#Survival based on Inventory])</f>
        <v>1072.5</v>
      </c>
      <c r="S299" s="16">
        <f>Table11[[#This Row],['#Planted]]*Table11[[#This Row],[USA Allocation %]]*Table11[[#This Row],[2024 Inventory Survival%-master]]</f>
        <v>1072.5</v>
      </c>
      <c r="T299" s="16">
        <f>Table11[[#This Row],['#Planted]]*Table11[[#This Row],[USA Allocation %]]*Table11[[#This Row],[2024 Estimated Survival%]]</f>
        <v>1078</v>
      </c>
      <c r="U299">
        <f>Table11[[#This Row],[ETP Year]]</f>
        <v>2021</v>
      </c>
      <c r="V299">
        <f>Table11[[#This Row],[Planting Year]]</f>
        <v>2022</v>
      </c>
      <c r="W299" s="8">
        <f>Table11[[#This Row],[Survival% as of 12/31/23]]</f>
        <v>1</v>
      </c>
      <c r="X299" s="7">
        <f>Table11[[#This Row],[ETP'#s]]</f>
        <v>1</v>
      </c>
    </row>
    <row r="300" spans="1:24" x14ac:dyDescent="0.25">
      <c r="A300">
        <f>Table11[[#This Row],[Farmer'#]]</f>
        <v>10112</v>
      </c>
      <c r="B300" t="str">
        <f>Table11[[#This Row],[Representative]]</f>
        <v>Heather Rule</v>
      </c>
      <c r="C300" t="str">
        <f>Table11[[#This Row],[Contract Name]]</f>
        <v>Heather Rule</v>
      </c>
      <c r="D300" t="str">
        <f>Table11[[#This Row],[Status]]</f>
        <v>Active</v>
      </c>
      <c r="E300" t="str">
        <f>Table11[[#This Row],[Contract Code]]</f>
        <v>US0133</v>
      </c>
      <c r="F300" s="16">
        <f>Table11[[#This Row],['#TreesContract]]</f>
        <v>1373</v>
      </c>
      <c r="G300" s="16">
        <f>Table11[[#This Row],['#Planted]]</f>
        <v>1373</v>
      </c>
      <c r="H300" s="16">
        <f>Table11[[#This Row],['#TreesContract]]*Table11[[#This Row],[USA Allocation %]]</f>
        <v>1373</v>
      </c>
      <c r="I300" s="16">
        <f>Table11[[#This Row],['#Planted]]*Table11[[#This Row],[USA Allocation %]]</f>
        <v>1373</v>
      </c>
      <c r="J300" s="16">
        <f>Table11[[#This Row],[Contract Amendment]]*Table11[[#This Row],[USA Allocation %]]</f>
        <v>0</v>
      </c>
      <c r="K300" s="16">
        <f>Table11[[#This Row],['#Trees as of 12/31/23]]*Table11[[#This Row],[USA Allocation %]]</f>
        <v>1373</v>
      </c>
      <c r="L300" s="16">
        <f>Table11[[#This Row],['#Replace 24]]*Table11[[#This Row],[USA Allocation %]]</f>
        <v>0</v>
      </c>
      <c r="M300" s="16">
        <f>IF(Table11[[#This Row],[Planting Year]]=2024,Table11['#Planted],0)</f>
        <v>0</v>
      </c>
      <c r="N300" s="16">
        <f>(Table11[[#This Row],[2024 '#Trees Inventory + Estimate]]*Table11[[#This Row],[USA Allocation %]])-SUM(Table37[[#This Row],['# Trees as of 12/31/23]:[New Trees/Planted in 2024]])</f>
        <v>-1373</v>
      </c>
      <c r="O300" s="16">
        <f>SUM(Table37[[#This Row],['# Trees as of 12/31/23]:[2024 Tree Losses]])</f>
        <v>0</v>
      </c>
      <c r="P300" s="16">
        <f>SUM(Table37[[#This Row],[Total Trees as of 12/31/24]]-Table37[[#This Row],['# Trees as of 12/31/23]])</f>
        <v>-1373</v>
      </c>
      <c r="Q300" s="16">
        <f>Table11[[#This Row],['#Total Replacements]]*Table11[[#This Row],[USA Allocation %]]</f>
        <v>400</v>
      </c>
      <c r="R300" s="16">
        <f>IF(Table37[[#This Row],['#Survival based on Inventory]]=0,Table37['#Survival based on Last Year Estimate],Table37['#Survival based on Inventory])</f>
        <v>0</v>
      </c>
      <c r="S300" s="16">
        <f>Table11[[#This Row],['#Planted]]*Table11[[#This Row],[USA Allocation %]]*Table11[[#This Row],[2024 Inventory Survival%-master]]</f>
        <v>0</v>
      </c>
      <c r="T300" s="16">
        <f>Table11[[#This Row],['#Planted]]*Table11[[#This Row],[USA Allocation %]]*Table11[[#This Row],[2024 Estimated Survival%]]</f>
        <v>0</v>
      </c>
      <c r="U300">
        <f>Table11[[#This Row],[ETP Year]]</f>
        <v>2021</v>
      </c>
      <c r="V300">
        <f>Table11[[#This Row],[Planting Year]]</f>
        <v>2022</v>
      </c>
      <c r="W300" s="8">
        <f>Table11[[#This Row],[Survival% as of 12/31/23]]</f>
        <v>1</v>
      </c>
      <c r="X300" s="7">
        <f>Table11[[#This Row],[ETP'#s]]</f>
        <v>1</v>
      </c>
    </row>
    <row r="301" spans="1:24" x14ac:dyDescent="0.25">
      <c r="A301">
        <f>Table11[[#This Row],[Farmer'#]]</f>
        <v>10113</v>
      </c>
      <c r="B301" t="str">
        <f>Table11[[#This Row],[Representative]]</f>
        <v>Kennsel Bennett</v>
      </c>
      <c r="C301" t="str">
        <f>Table11[[#This Row],[Contract Name]]</f>
        <v>Kennsel Bennett</v>
      </c>
      <c r="D301" t="str">
        <f>Table11[[#This Row],[Status]]</f>
        <v>Active</v>
      </c>
      <c r="E301" t="str">
        <f>Table11[[#This Row],[Contract Code]]</f>
        <v>US0134</v>
      </c>
      <c r="F301" s="16">
        <f>Table11[[#This Row],['#TreesContract]]</f>
        <v>1100</v>
      </c>
      <c r="G301" s="16">
        <f>Table11[[#This Row],['#Planted]]</f>
        <v>1100</v>
      </c>
      <c r="H301" s="16">
        <f>Table11[[#This Row],['#TreesContract]]*Table11[[#This Row],[USA Allocation %]]</f>
        <v>1100</v>
      </c>
      <c r="I301" s="16">
        <f>Table11[[#This Row],['#Planted]]*Table11[[#This Row],[USA Allocation %]]</f>
        <v>1100</v>
      </c>
      <c r="J301" s="16">
        <f>Table11[[#This Row],[Contract Amendment]]*Table11[[#This Row],[USA Allocation %]]</f>
        <v>0</v>
      </c>
      <c r="K301" s="16">
        <f>Table11[[#This Row],['#Trees as of 12/31/23]]*Table11[[#This Row],[USA Allocation %]]</f>
        <v>1100</v>
      </c>
      <c r="L301" s="16">
        <f>Table11[[#This Row],['#Replace 24]]*Table11[[#This Row],[USA Allocation %]]</f>
        <v>0</v>
      </c>
      <c r="M301" s="16">
        <f>IF(Table11[[#This Row],[Planting Year]]=2024,Table11['#Planted],0)</f>
        <v>0</v>
      </c>
      <c r="N301" s="16">
        <f>(Table11[[#This Row],[2024 '#Trees Inventory + Estimate]]*Table11[[#This Row],[USA Allocation %]])-SUM(Table37[[#This Row],['# Trees as of 12/31/23]:[New Trees/Planted in 2024]])</f>
        <v>-361</v>
      </c>
      <c r="O301" s="16">
        <f>SUM(Table37[[#This Row],['# Trees as of 12/31/23]:[2024 Tree Losses]])</f>
        <v>739</v>
      </c>
      <c r="P301" s="16">
        <f>SUM(Table37[[#This Row],[Total Trees as of 12/31/24]]-Table37[[#This Row],['# Trees as of 12/31/23]])</f>
        <v>-361</v>
      </c>
      <c r="Q301" s="16">
        <f>Table11[[#This Row],['#Total Replacements]]*Table11[[#This Row],[USA Allocation %]]</f>
        <v>0</v>
      </c>
      <c r="R301" s="16">
        <f>IF(Table37[[#This Row],['#Survival based on Inventory]]=0,Table37['#Survival based on Last Year Estimate],Table37['#Survival based on Inventory])</f>
        <v>739.2</v>
      </c>
      <c r="S301" s="16">
        <f>Table11[[#This Row],['#Planted]]*Table11[[#This Row],[USA Allocation %]]*Table11[[#This Row],[2024 Inventory Survival%-master]]</f>
        <v>739.2</v>
      </c>
      <c r="T301" s="16">
        <f>Table11[[#This Row],['#Planted]]*Table11[[#This Row],[USA Allocation %]]*Table11[[#This Row],[2024 Estimated Survival%]]</f>
        <v>737</v>
      </c>
      <c r="U301">
        <f>Table11[[#This Row],[ETP Year]]</f>
        <v>2021</v>
      </c>
      <c r="V301">
        <f>Table11[[#This Row],[Planting Year]]</f>
        <v>2022</v>
      </c>
      <c r="W301" s="8">
        <f>Table11[[#This Row],[Survival% as of 12/31/23]]</f>
        <v>1</v>
      </c>
      <c r="X301" s="7">
        <f>Table11[[#This Row],[ETP'#s]]</f>
        <v>1</v>
      </c>
    </row>
    <row r="302" spans="1:24" x14ac:dyDescent="0.25">
      <c r="A302">
        <f>Table11[[#This Row],[Farmer'#]]</f>
        <v>10114</v>
      </c>
      <c r="B302" t="str">
        <f>Table11[[#This Row],[Representative]]</f>
        <v>Michele Dominguez</v>
      </c>
      <c r="C302" t="str">
        <f>Table11[[#This Row],[Contract Name]]</f>
        <v>Michele Dominguez</v>
      </c>
      <c r="D302" t="str">
        <f>Table11[[#This Row],[Status]]</f>
        <v>RFT</v>
      </c>
      <c r="E302" t="str">
        <f>Table11[[#This Row],[Contract Code]]</f>
        <v>US0136</v>
      </c>
      <c r="F302" s="16">
        <f>Table11[[#This Row],['#TreesContract]]</f>
        <v>1112</v>
      </c>
      <c r="G302" s="16">
        <f>Table11[[#This Row],['#Planted]]</f>
        <v>1112</v>
      </c>
      <c r="H302" s="16">
        <f>Table11[[#This Row],['#TreesContract]]*Table11[[#This Row],[USA Allocation %]]</f>
        <v>1112</v>
      </c>
      <c r="I302" s="16">
        <f>Table11[[#This Row],['#Planted]]*Table11[[#This Row],[USA Allocation %]]</f>
        <v>1112</v>
      </c>
      <c r="J302" s="16">
        <f>Table11[[#This Row],[Contract Amendment]]*Table11[[#This Row],[USA Allocation %]]</f>
        <v>0</v>
      </c>
      <c r="K302" s="16">
        <f>Table11[[#This Row],['#Trees as of 12/31/23]]*Table11[[#This Row],[USA Allocation %]]</f>
        <v>1112</v>
      </c>
      <c r="L302" s="16">
        <f>Table11[[#This Row],['#Replace 24]]*Table11[[#This Row],[USA Allocation %]]</f>
        <v>0</v>
      </c>
      <c r="M302" s="16">
        <f>IF(Table11[[#This Row],[Planting Year]]=2024,Table11['#Planted],0)</f>
        <v>0</v>
      </c>
      <c r="N302" s="16">
        <f>(Table11[[#This Row],[2024 '#Trees Inventory + Estimate]]*Table11[[#This Row],[USA Allocation %]])-SUM(Table37[[#This Row],['# Trees as of 12/31/23]:[New Trees/Planted in 2024]])</f>
        <v>0</v>
      </c>
      <c r="O302" s="16">
        <f>SUM(Table37[[#This Row],['# Trees as of 12/31/23]:[2024 Tree Losses]])</f>
        <v>1112</v>
      </c>
      <c r="P302" s="16">
        <f>SUM(Table37[[#This Row],[Total Trees as of 12/31/24]]-Table37[[#This Row],['# Trees as of 12/31/23]])</f>
        <v>0</v>
      </c>
      <c r="Q302" s="16">
        <f>Table11[[#This Row],['#Total Replacements]]*Table11[[#This Row],[USA Allocation %]]</f>
        <v>105</v>
      </c>
      <c r="R302" s="16">
        <f>IF(Table37[[#This Row],['#Survival based on Inventory]]=0,Table37['#Survival based on Last Year Estimate],Table37['#Survival based on Inventory])</f>
        <v>1112</v>
      </c>
      <c r="S302" s="16">
        <f>Table11[[#This Row],['#Planted]]*Table11[[#This Row],[USA Allocation %]]*Table11[[#This Row],[2024 Inventory Survival%-master]]</f>
        <v>0</v>
      </c>
      <c r="T302" s="16">
        <f>Table11[[#This Row],['#Planted]]*Table11[[#This Row],[USA Allocation %]]*Table11[[#This Row],[2024 Estimated Survival%]]</f>
        <v>1112</v>
      </c>
      <c r="U302">
        <f>Table11[[#This Row],[ETP Year]]</f>
        <v>2021</v>
      </c>
      <c r="V302">
        <f>Table11[[#This Row],[Planting Year]]</f>
        <v>2022</v>
      </c>
      <c r="W302" s="8">
        <f>Table11[[#This Row],[Survival% as of 12/31/23]]</f>
        <v>1</v>
      </c>
      <c r="X302" s="7">
        <f>Table11[[#This Row],[ETP'#s]]</f>
        <v>1</v>
      </c>
    </row>
    <row r="303" spans="1:24" x14ac:dyDescent="0.25">
      <c r="A303">
        <f>Table11[[#This Row],[Farmer'#]]</f>
        <v>10115</v>
      </c>
      <c r="B303" t="str">
        <f>Table11[[#This Row],[Representative]]</f>
        <v>Rick Griffis</v>
      </c>
      <c r="C303" t="str">
        <f>Table11[[#This Row],[Contract Name]]</f>
        <v>Rick Griffis</v>
      </c>
      <c r="D303" t="str">
        <f>Table11[[#This Row],[Status]]</f>
        <v>RFT</v>
      </c>
      <c r="E303" t="str">
        <f>Table11[[#This Row],[Contract Code]]</f>
        <v>US0138</v>
      </c>
      <c r="F303" s="16">
        <f>Table11[[#This Row],['#TreesContract]]</f>
        <v>1100</v>
      </c>
      <c r="G303" s="16">
        <f>Table11[[#This Row],['#Planted]]</f>
        <v>1100</v>
      </c>
      <c r="H303" s="16">
        <f>Table11[[#This Row],['#TreesContract]]*Table11[[#This Row],[USA Allocation %]]</f>
        <v>1100</v>
      </c>
      <c r="I303" s="16">
        <f>Table11[[#This Row],['#Planted]]*Table11[[#This Row],[USA Allocation %]]</f>
        <v>1100</v>
      </c>
      <c r="J303" s="16">
        <f>Table11[[#This Row],[Contract Amendment]]*Table11[[#This Row],[USA Allocation %]]</f>
        <v>0</v>
      </c>
      <c r="K303" s="16">
        <f>Table11[[#This Row],['#Trees as of 12/31/23]]*Table11[[#This Row],[USA Allocation %]]</f>
        <v>1100</v>
      </c>
      <c r="L303" s="16">
        <f>Table11[[#This Row],['#Replace 24]]*Table11[[#This Row],[USA Allocation %]]</f>
        <v>0</v>
      </c>
      <c r="M303" s="16">
        <f>IF(Table11[[#This Row],[Planting Year]]=2024,Table11['#Planted],0)</f>
        <v>0</v>
      </c>
      <c r="N303" s="16">
        <f>(Table11[[#This Row],[2024 '#Trees Inventory + Estimate]]*Table11[[#This Row],[USA Allocation %]])-SUM(Table37[[#This Row],['# Trees as of 12/31/23]:[New Trees/Planted in 2024]])</f>
        <v>0</v>
      </c>
      <c r="O303" s="16">
        <f>SUM(Table37[[#This Row],['# Trees as of 12/31/23]:[2024 Tree Losses]])</f>
        <v>1100</v>
      </c>
      <c r="P303" s="16">
        <f>SUM(Table37[[#This Row],[Total Trees as of 12/31/24]]-Table37[[#This Row],['# Trees as of 12/31/23]])</f>
        <v>0</v>
      </c>
      <c r="Q303" s="16">
        <f>Table11[[#This Row],['#Total Replacements]]*Table11[[#This Row],[USA Allocation %]]</f>
        <v>63</v>
      </c>
      <c r="R303" s="16">
        <f>IF(Table37[[#This Row],['#Survival based on Inventory]]=0,Table37['#Survival based on Last Year Estimate],Table37['#Survival based on Inventory])</f>
        <v>1100</v>
      </c>
      <c r="S303" s="16">
        <f>Table11[[#This Row],['#Planted]]*Table11[[#This Row],[USA Allocation %]]*Table11[[#This Row],[2024 Inventory Survival%-master]]</f>
        <v>0</v>
      </c>
      <c r="T303" s="16">
        <f>Table11[[#This Row],['#Planted]]*Table11[[#This Row],[USA Allocation %]]*Table11[[#This Row],[2024 Estimated Survival%]]</f>
        <v>1100</v>
      </c>
      <c r="U303">
        <f>Table11[[#This Row],[ETP Year]]</f>
        <v>2021</v>
      </c>
      <c r="V303">
        <f>Table11[[#This Row],[Planting Year]]</f>
        <v>2022</v>
      </c>
      <c r="W303" s="8">
        <f>Table11[[#This Row],[Survival% as of 12/31/23]]</f>
        <v>1</v>
      </c>
      <c r="X303" s="7">
        <f>Table11[[#This Row],[ETP'#s]]</f>
        <v>1</v>
      </c>
    </row>
    <row r="304" spans="1:24" x14ac:dyDescent="0.25">
      <c r="A304">
        <f>Table11[[#This Row],[Farmer'#]]</f>
        <v>10116</v>
      </c>
      <c r="B304" t="str">
        <f>Table11[[#This Row],[Representative]]</f>
        <v>Rob Cason</v>
      </c>
      <c r="C304" t="str">
        <f>Table11[[#This Row],[Contract Name]]</f>
        <v>Rob Cason</v>
      </c>
      <c r="D304" t="str">
        <f>Table11[[#This Row],[Status]]</f>
        <v>Active</v>
      </c>
      <c r="E304" t="str">
        <f>Table11[[#This Row],[Contract Code]]</f>
        <v>US0139</v>
      </c>
      <c r="F304" s="16">
        <f>Table11[[#This Row],['#TreesContract]]</f>
        <v>2200</v>
      </c>
      <c r="G304" s="16">
        <f>Table11[[#This Row],['#Planted]]</f>
        <v>2200</v>
      </c>
      <c r="H304" s="16">
        <f>Table11[[#This Row],['#TreesContract]]*Table11[[#This Row],[USA Allocation %]]</f>
        <v>2200</v>
      </c>
      <c r="I304" s="16">
        <f>Table11[[#This Row],['#Planted]]*Table11[[#This Row],[USA Allocation %]]</f>
        <v>2200</v>
      </c>
      <c r="J304" s="16">
        <f>Table11[[#This Row],[Contract Amendment]]*Table11[[#This Row],[USA Allocation %]]</f>
        <v>0</v>
      </c>
      <c r="K304" s="16">
        <f>Table11[[#This Row],['#Trees as of 12/31/23]]*Table11[[#This Row],[USA Allocation %]]</f>
        <v>2200</v>
      </c>
      <c r="L304" s="16">
        <f>Table11[[#This Row],['#Replace 24]]*Table11[[#This Row],[USA Allocation %]]</f>
        <v>0</v>
      </c>
      <c r="M304" s="16">
        <f>IF(Table11[[#This Row],[Planting Year]]=2024,Table11['#Planted],0)</f>
        <v>0</v>
      </c>
      <c r="N304" s="16">
        <f>(Table11[[#This Row],[2024 '#Trees Inventory + Estimate]]*Table11[[#This Row],[USA Allocation %]])-SUM(Table37[[#This Row],['# Trees as of 12/31/23]:[New Trees/Planted in 2024]])</f>
        <v>-1291</v>
      </c>
      <c r="O304" s="16">
        <f>SUM(Table37[[#This Row],['# Trees as of 12/31/23]:[2024 Tree Losses]])</f>
        <v>909</v>
      </c>
      <c r="P304" s="16">
        <f>SUM(Table37[[#This Row],[Total Trees as of 12/31/24]]-Table37[[#This Row],['# Trees as of 12/31/23]])</f>
        <v>-1291</v>
      </c>
      <c r="Q304" s="16">
        <f>Table11[[#This Row],['#Total Replacements]]*Table11[[#This Row],[USA Allocation %]]</f>
        <v>378</v>
      </c>
      <c r="R304" s="16">
        <f>IF(Table37[[#This Row],['#Survival based on Inventory]]=0,Table37['#Survival based on Last Year Estimate],Table37['#Survival based on Inventory])</f>
        <v>908.59999999999991</v>
      </c>
      <c r="S304" s="16">
        <f>Table11[[#This Row],['#Planted]]*Table11[[#This Row],[USA Allocation %]]*Table11[[#This Row],[2024 Inventory Survival%-master]]</f>
        <v>908.59999999999991</v>
      </c>
      <c r="T304" s="16">
        <f>Table11[[#This Row],['#Planted]]*Table11[[#This Row],[USA Allocation %]]*Table11[[#This Row],[2024 Estimated Survival%]]</f>
        <v>902</v>
      </c>
      <c r="U304">
        <f>Table11[[#This Row],[ETP Year]]</f>
        <v>2021</v>
      </c>
      <c r="V304">
        <f>Table11[[#This Row],[Planting Year]]</f>
        <v>2022</v>
      </c>
      <c r="W304" s="8">
        <f>Table11[[#This Row],[Survival% as of 12/31/23]]</f>
        <v>1</v>
      </c>
      <c r="X304" s="7">
        <f>Table11[[#This Row],[ETP'#s]]</f>
        <v>1</v>
      </c>
    </row>
    <row r="305" spans="1:24" x14ac:dyDescent="0.25">
      <c r="A305">
        <f>Table11[[#This Row],[Farmer'#]]</f>
        <v>10117</v>
      </c>
      <c r="B305" t="str">
        <f>Table11[[#This Row],[Representative]]</f>
        <v>Scott Hamilton</v>
      </c>
      <c r="C305" t="str">
        <f>Table11[[#This Row],[Contract Name]]</f>
        <v>Scott Hamilton</v>
      </c>
      <c r="D305" t="str">
        <f>Table11[[#This Row],[Status]]</f>
        <v>Active</v>
      </c>
      <c r="E305" t="str">
        <f>Table11[[#This Row],[Contract Code]]</f>
        <v>US0140</v>
      </c>
      <c r="F305" s="16">
        <f>Table11[[#This Row],['#TreesContract]]</f>
        <v>1980</v>
      </c>
      <c r="G305" s="16">
        <f>Table11[[#This Row],['#Planted]]</f>
        <v>1980</v>
      </c>
      <c r="H305" s="16">
        <f>Table11[[#This Row],['#TreesContract]]*Table11[[#This Row],[USA Allocation %]]</f>
        <v>1980</v>
      </c>
      <c r="I305" s="16">
        <f>Table11[[#This Row],['#Planted]]*Table11[[#This Row],[USA Allocation %]]</f>
        <v>1980</v>
      </c>
      <c r="J305" s="16">
        <f>Table11[[#This Row],[Contract Amendment]]*Table11[[#This Row],[USA Allocation %]]</f>
        <v>0</v>
      </c>
      <c r="K305" s="16">
        <f>Table11[[#This Row],['#Trees as of 12/31/23]]*Table11[[#This Row],[USA Allocation %]]</f>
        <v>1980</v>
      </c>
      <c r="L305" s="16">
        <f>Table11[[#This Row],['#Replace 24]]*Table11[[#This Row],[USA Allocation %]]</f>
        <v>625</v>
      </c>
      <c r="M305" s="16">
        <f>IF(Table11[[#This Row],[Planting Year]]=2024,Table11['#Planted],0)</f>
        <v>0</v>
      </c>
      <c r="N305" s="16">
        <f>(Table11[[#This Row],[2024 '#Trees Inventory + Estimate]]*Table11[[#This Row],[USA Allocation %]])-SUM(Table37[[#This Row],['# Trees as of 12/31/23]:[New Trees/Planted in 2024]])</f>
        <v>-625</v>
      </c>
      <c r="O305" s="16">
        <f>SUM(Table37[[#This Row],['# Trees as of 12/31/23]:[2024 Tree Losses]])</f>
        <v>1980</v>
      </c>
      <c r="P305" s="16">
        <f>SUM(Table37[[#This Row],[Total Trees as of 12/31/24]]-Table37[[#This Row],['# Trees as of 12/31/23]])</f>
        <v>0</v>
      </c>
      <c r="Q305" s="16">
        <f>Table11[[#This Row],['#Total Replacements]]*Table11[[#This Row],[USA Allocation %]]</f>
        <v>1408</v>
      </c>
      <c r="R305" s="16">
        <f>IF(Table37[[#This Row],['#Survival based on Inventory]]=0,Table37['#Survival based on Last Year Estimate],Table37['#Survival based on Inventory])</f>
        <v>1980</v>
      </c>
      <c r="S305" s="16">
        <f>Table11[[#This Row],['#Planted]]*Table11[[#This Row],[USA Allocation %]]*Table11[[#This Row],[2024 Inventory Survival%-master]]</f>
        <v>0</v>
      </c>
      <c r="T305" s="16">
        <f>Table11[[#This Row],['#Planted]]*Table11[[#This Row],[USA Allocation %]]*Table11[[#This Row],[2024 Estimated Survival%]]</f>
        <v>1980</v>
      </c>
      <c r="U305">
        <f>Table11[[#This Row],[ETP Year]]</f>
        <v>2021</v>
      </c>
      <c r="V305">
        <f>Table11[[#This Row],[Planting Year]]</f>
        <v>2022</v>
      </c>
      <c r="W305" s="8">
        <f>Table11[[#This Row],[Survival% as of 12/31/23]]</f>
        <v>1</v>
      </c>
      <c r="X305" s="7">
        <f>Table11[[#This Row],[ETP'#s]]</f>
        <v>1</v>
      </c>
    </row>
    <row r="306" spans="1:24" x14ac:dyDescent="0.25">
      <c r="A306">
        <f>Table11[[#This Row],[Farmer'#]]</f>
        <v>10118</v>
      </c>
      <c r="B306" t="str">
        <f>Table11[[#This Row],[Representative]]</f>
        <v>Todd McCarley</v>
      </c>
      <c r="C306" t="str">
        <f>Table11[[#This Row],[Contract Name]]</f>
        <v>Todd McCarley</v>
      </c>
      <c r="D306" t="str">
        <f>Table11[[#This Row],[Status]]</f>
        <v>Active</v>
      </c>
      <c r="E306" t="str">
        <f>Table11[[#This Row],[Contract Code]]</f>
        <v>US0143</v>
      </c>
      <c r="F306" s="16">
        <f>Table11[[#This Row],['#TreesContract]]</f>
        <v>1100</v>
      </c>
      <c r="G306" s="16">
        <f>Table11[[#This Row],['#Planted]]</f>
        <v>1100</v>
      </c>
      <c r="H306" s="16">
        <f>Table11[[#This Row],['#TreesContract]]*Table11[[#This Row],[USA Allocation %]]</f>
        <v>1100</v>
      </c>
      <c r="I306" s="16">
        <f>Table11[[#This Row],['#Planted]]*Table11[[#This Row],[USA Allocation %]]</f>
        <v>1100</v>
      </c>
      <c r="J306" s="16">
        <f>Table11[[#This Row],[Contract Amendment]]*Table11[[#This Row],[USA Allocation %]]</f>
        <v>0</v>
      </c>
      <c r="K306" s="16">
        <f>Table11[[#This Row],['#Trees as of 12/31/23]]*Table11[[#This Row],[USA Allocation %]]</f>
        <v>1100</v>
      </c>
      <c r="L306" s="16">
        <f>Table11[[#This Row],['#Replace 24]]*Table11[[#This Row],[USA Allocation %]]</f>
        <v>0</v>
      </c>
      <c r="M306" s="16">
        <f>IF(Table11[[#This Row],[Planting Year]]=2024,Table11['#Planted],0)</f>
        <v>0</v>
      </c>
      <c r="N306" s="16">
        <f>(Table11[[#This Row],[2024 '#Trees Inventory + Estimate]]*Table11[[#This Row],[USA Allocation %]])-SUM(Table37[[#This Row],['# Trees as of 12/31/23]:[New Trees/Planted in 2024]])</f>
        <v>-374</v>
      </c>
      <c r="O306" s="16">
        <f>SUM(Table37[[#This Row],['# Trees as of 12/31/23]:[2024 Tree Losses]])</f>
        <v>726</v>
      </c>
      <c r="P306" s="16">
        <f>SUM(Table37[[#This Row],[Total Trees as of 12/31/24]]-Table37[[#This Row],['# Trees as of 12/31/23]])</f>
        <v>-374</v>
      </c>
      <c r="Q306" s="16">
        <f>Table11[[#This Row],['#Total Replacements]]*Table11[[#This Row],[USA Allocation %]]</f>
        <v>63</v>
      </c>
      <c r="R306" s="16">
        <f>IF(Table37[[#This Row],['#Survival based on Inventory]]=0,Table37['#Survival based on Last Year Estimate],Table37['#Survival based on Inventory])</f>
        <v>726</v>
      </c>
      <c r="S306" s="16">
        <f>Table11[[#This Row],['#Planted]]*Table11[[#This Row],[USA Allocation %]]*Table11[[#This Row],[2024 Inventory Survival%-master]]</f>
        <v>726</v>
      </c>
      <c r="T306" s="16">
        <f>Table11[[#This Row],['#Planted]]*Table11[[#This Row],[USA Allocation %]]*Table11[[#This Row],[2024 Estimated Survival%]]</f>
        <v>726</v>
      </c>
      <c r="U306">
        <f>Table11[[#This Row],[ETP Year]]</f>
        <v>2021</v>
      </c>
      <c r="V306">
        <f>Table11[[#This Row],[Planting Year]]</f>
        <v>2022</v>
      </c>
      <c r="W306" s="8">
        <f>Table11[[#This Row],[Survival% as of 12/31/23]]</f>
        <v>1</v>
      </c>
      <c r="X306" s="7">
        <f>Table11[[#This Row],[ETP'#s]]</f>
        <v>1</v>
      </c>
    </row>
    <row r="307" spans="1:24" x14ac:dyDescent="0.25">
      <c r="A307">
        <f>Table11[[#This Row],[Farmer'#]]</f>
        <v>10119</v>
      </c>
      <c r="B307" t="str">
        <f>Table11[[#This Row],[Representative]]</f>
        <v>William (Cliff) Scales</v>
      </c>
      <c r="C307" t="str">
        <f>Table11[[#This Row],[Contract Name]]</f>
        <v>William (Cliff) Scales</v>
      </c>
      <c r="D307" t="str">
        <f>Table11[[#This Row],[Status]]</f>
        <v>Active</v>
      </c>
      <c r="E307" t="str">
        <f>Table11[[#This Row],[Contract Code]]</f>
        <v>US0144</v>
      </c>
      <c r="F307" s="16">
        <f>Table11[[#This Row],['#TreesContract]]</f>
        <v>1100</v>
      </c>
      <c r="G307" s="16">
        <f>Table11[[#This Row],['#Planted]]</f>
        <v>1100</v>
      </c>
      <c r="H307" s="16">
        <f>Table11[[#This Row],['#TreesContract]]*Table11[[#This Row],[USA Allocation %]]</f>
        <v>1100</v>
      </c>
      <c r="I307" s="16">
        <f>Table11[[#This Row],['#Planted]]*Table11[[#This Row],[USA Allocation %]]</f>
        <v>1100</v>
      </c>
      <c r="J307" s="16">
        <f>Table11[[#This Row],[Contract Amendment]]*Table11[[#This Row],[USA Allocation %]]</f>
        <v>0</v>
      </c>
      <c r="K307" s="16">
        <f>Table11[[#This Row],['#Trees as of 12/31/23]]*Table11[[#This Row],[USA Allocation %]]</f>
        <v>1100</v>
      </c>
      <c r="L307" s="16">
        <f>Table11[[#This Row],['#Replace 24]]*Table11[[#This Row],[USA Allocation %]]</f>
        <v>25</v>
      </c>
      <c r="M307" s="16">
        <f>IF(Table11[[#This Row],[Planting Year]]=2024,Table11['#Planted],0)</f>
        <v>0</v>
      </c>
      <c r="N307" s="16">
        <f>(Table11[[#This Row],[2024 '#Trees Inventory + Estimate]]*Table11[[#This Row],[USA Allocation %]])-SUM(Table37[[#This Row],['# Trees as of 12/31/23]:[New Trees/Planted in 2024]])</f>
        <v>-25</v>
      </c>
      <c r="O307" s="16">
        <f>SUM(Table37[[#This Row],['# Trees as of 12/31/23]:[2024 Tree Losses]])</f>
        <v>1100</v>
      </c>
      <c r="P307" s="16">
        <f>SUM(Table37[[#This Row],[Total Trees as of 12/31/24]]-Table37[[#This Row],['# Trees as of 12/31/23]])</f>
        <v>0</v>
      </c>
      <c r="Q307" s="16">
        <f>Table11[[#This Row],['#Total Replacements]]*Table11[[#This Row],[USA Allocation %]]</f>
        <v>172</v>
      </c>
      <c r="R307" s="16">
        <f>IF(Table37[[#This Row],['#Survival based on Inventory]]=0,Table37['#Survival based on Last Year Estimate],Table37['#Survival based on Inventory])</f>
        <v>1100</v>
      </c>
      <c r="S307" s="16">
        <f>Table11[[#This Row],['#Planted]]*Table11[[#This Row],[USA Allocation %]]*Table11[[#This Row],[2024 Inventory Survival%-master]]</f>
        <v>0</v>
      </c>
      <c r="T307" s="16">
        <f>Table11[[#This Row],['#Planted]]*Table11[[#This Row],[USA Allocation %]]*Table11[[#This Row],[2024 Estimated Survival%]]</f>
        <v>1100</v>
      </c>
      <c r="U307">
        <f>Table11[[#This Row],[ETP Year]]</f>
        <v>2021</v>
      </c>
      <c r="V307">
        <f>Table11[[#This Row],[Planting Year]]</f>
        <v>2022</v>
      </c>
      <c r="W307" s="8">
        <f>Table11[[#This Row],[Survival% as of 12/31/23]]</f>
        <v>1</v>
      </c>
      <c r="X307" s="7">
        <f>Table11[[#This Row],[ETP'#s]]</f>
        <v>1</v>
      </c>
    </row>
    <row r="308" spans="1:24" x14ac:dyDescent="0.25">
      <c r="A308">
        <f>Table11[[#This Row],[Farmer'#]]</f>
        <v>20089</v>
      </c>
      <c r="B308" t="str">
        <f>Table11[[#This Row],[Representative]]</f>
        <v>Alvaro Vargas</v>
      </c>
      <c r="C308" t="str">
        <f>Table11[[#This Row],[Contract Name]]</f>
        <v>Alvaro Vargas</v>
      </c>
      <c r="D308" t="str">
        <f>Table11[[#This Row],[Status]]</f>
        <v>RFT</v>
      </c>
      <c r="E308" t="str">
        <f>Table11[[#This Row],[Contract Code]]</f>
        <v>CR0097</v>
      </c>
      <c r="F308" s="16">
        <f>Table11[[#This Row],['#TreesContract]]</f>
        <v>1200</v>
      </c>
      <c r="G308" s="16">
        <f>Table11[[#This Row],['#Planted]]</f>
        <v>1200</v>
      </c>
      <c r="H308" s="16">
        <f>Table11[[#This Row],['#TreesContract]]*Table11[[#This Row],[USA Allocation %]]</f>
        <v>1200</v>
      </c>
      <c r="I308" s="16">
        <f>Table11[[#This Row],['#Planted]]*Table11[[#This Row],[USA Allocation %]]</f>
        <v>1200</v>
      </c>
      <c r="J308" s="16">
        <f>Table11[[#This Row],[Contract Amendment]]*Table11[[#This Row],[USA Allocation %]]</f>
        <v>0</v>
      </c>
      <c r="K308" s="16">
        <f>Table11[[#This Row],['#Trees as of 12/31/23]]*Table11[[#This Row],[USA Allocation %]]</f>
        <v>1200</v>
      </c>
      <c r="L308" s="16">
        <f>Table11[[#This Row],['#Replace 24]]*Table11[[#This Row],[USA Allocation %]]</f>
        <v>0</v>
      </c>
      <c r="M308" s="16">
        <f>IF(Table11[[#This Row],[Planting Year]]=2024,Table11['#Planted],0)</f>
        <v>0</v>
      </c>
      <c r="N308" s="16">
        <f>(Table11[[#This Row],[2024 '#Trees Inventory + Estimate]]*Table11[[#This Row],[USA Allocation %]])-SUM(Table37[[#This Row],['# Trees as of 12/31/23]:[New Trees/Planted in 2024]])</f>
        <v>-1200</v>
      </c>
      <c r="O308" s="16">
        <f>SUM(Table37[[#This Row],['# Trees as of 12/31/23]:[2024 Tree Losses]])</f>
        <v>0</v>
      </c>
      <c r="P308" s="16">
        <f>SUM(Table37[[#This Row],[Total Trees as of 12/31/24]]-Table37[[#This Row],['# Trees as of 12/31/23]])</f>
        <v>-1200</v>
      </c>
      <c r="Q308" s="16">
        <f>Table11[[#This Row],['#Total Replacements]]*Table11[[#This Row],[USA Allocation %]]</f>
        <v>200</v>
      </c>
      <c r="R308" s="16">
        <f>IF(Table37[[#This Row],['#Survival based on Inventory]]=0,Table37['#Survival based on Last Year Estimate],Table37['#Survival based on Inventory])</f>
        <v>0</v>
      </c>
      <c r="S308" s="16">
        <f>Table11[[#This Row],['#Planted]]*Table11[[#This Row],[USA Allocation %]]*Table11[[#This Row],[2024 Inventory Survival%-master]]</f>
        <v>0</v>
      </c>
      <c r="T308" s="16">
        <f>Table11[[#This Row],['#Planted]]*Table11[[#This Row],[USA Allocation %]]*Table11[[#This Row],[2024 Estimated Survival%]]</f>
        <v>0</v>
      </c>
      <c r="U308">
        <f>Table11[[#This Row],[ETP Year]]</f>
        <v>2021</v>
      </c>
      <c r="V308">
        <f>Table11[[#This Row],[Planting Year]]</f>
        <v>2022</v>
      </c>
      <c r="W308" s="8">
        <f>Table11[[#This Row],[Survival% as of 12/31/23]]</f>
        <v>1</v>
      </c>
      <c r="X308" s="7">
        <f>Table11[[#This Row],[ETP'#s]]</f>
        <v>1</v>
      </c>
    </row>
    <row r="309" spans="1:24" x14ac:dyDescent="0.25">
      <c r="A309">
        <f>Table11[[#This Row],[Farmer'#]]</f>
        <v>20090</v>
      </c>
      <c r="B309" t="str">
        <f>Table11[[#This Row],[Representative]]</f>
        <v>Jacobo Pardo Jara</v>
      </c>
      <c r="C309" t="str">
        <f>Table11[[#This Row],[Contract Name]]</f>
        <v>Grettel Jara Lara</v>
      </c>
      <c r="D309" t="str">
        <f>Table11[[#This Row],[Status]]</f>
        <v>Active</v>
      </c>
      <c r="E309" t="str">
        <f>Table11[[#This Row],[Contract Code]]</f>
        <v>CR0098</v>
      </c>
      <c r="F309" s="16">
        <f>Table11[[#This Row],['#TreesContract]]</f>
        <v>1000</v>
      </c>
      <c r="G309" s="16">
        <f>Table11[[#This Row],['#Planted]]</f>
        <v>1000</v>
      </c>
      <c r="H309" s="16">
        <f>Table11[[#This Row],['#TreesContract]]*Table11[[#This Row],[USA Allocation %]]</f>
        <v>1000</v>
      </c>
      <c r="I309" s="16">
        <f>Table11[[#This Row],['#Planted]]*Table11[[#This Row],[USA Allocation %]]</f>
        <v>1000</v>
      </c>
      <c r="J309" s="16">
        <f>Table11[[#This Row],[Contract Amendment]]*Table11[[#This Row],[USA Allocation %]]</f>
        <v>0</v>
      </c>
      <c r="K309" s="16">
        <f>Table11[[#This Row],['#Trees as of 12/31/23]]*Table11[[#This Row],[USA Allocation %]]</f>
        <v>1000</v>
      </c>
      <c r="L309" s="16">
        <f>Table11[[#This Row],['#Replace 24]]*Table11[[#This Row],[USA Allocation %]]</f>
        <v>0</v>
      </c>
      <c r="M309" s="16">
        <f>IF(Table11[[#This Row],[Planting Year]]=2024,Table11['#Planted],0)</f>
        <v>0</v>
      </c>
      <c r="N309" s="16">
        <f>(Table11[[#This Row],[2024 '#Trees Inventory + Estimate]]*Table11[[#This Row],[USA Allocation %]])-SUM(Table37[[#This Row],['# Trees as of 12/31/23]:[New Trees/Planted in 2024]])</f>
        <v>-18</v>
      </c>
      <c r="O309" s="16">
        <f>SUM(Table37[[#This Row],['# Trees as of 12/31/23]:[2024 Tree Losses]])</f>
        <v>982</v>
      </c>
      <c r="P309" s="16">
        <f>SUM(Table37[[#This Row],[Total Trees as of 12/31/24]]-Table37[[#This Row],['# Trees as of 12/31/23]])</f>
        <v>-18</v>
      </c>
      <c r="Q309" s="16">
        <f>Table11[[#This Row],['#Total Replacements]]*Table11[[#This Row],[USA Allocation %]]</f>
        <v>0</v>
      </c>
      <c r="R309" s="16">
        <f>IF(Table37[[#This Row],['#Survival based on Inventory]]=0,Table37['#Survival based on Last Year Estimate],Table37['#Survival based on Inventory])</f>
        <v>982</v>
      </c>
      <c r="S309" s="16">
        <f>Table11[[#This Row],['#Planted]]*Table11[[#This Row],[USA Allocation %]]*Table11[[#This Row],[2024 Inventory Survival%-master]]</f>
        <v>982</v>
      </c>
      <c r="T309" s="16">
        <f>Table11[[#This Row],['#Planted]]*Table11[[#This Row],[USA Allocation %]]*Table11[[#This Row],[2024 Estimated Survival%]]</f>
        <v>980</v>
      </c>
      <c r="U309">
        <f>Table11[[#This Row],[ETP Year]]</f>
        <v>2021</v>
      </c>
      <c r="V309">
        <f>Table11[[#This Row],[Planting Year]]</f>
        <v>2022</v>
      </c>
      <c r="W309" s="8">
        <f>Table11[[#This Row],[Survival% as of 12/31/23]]</f>
        <v>1</v>
      </c>
      <c r="X309" s="7">
        <f>Table11[[#This Row],[ETP'#s]]</f>
        <v>1</v>
      </c>
    </row>
    <row r="310" spans="1:24" x14ac:dyDescent="0.25">
      <c r="A310">
        <f>Table11[[#This Row],[Farmer'#]]</f>
        <v>20091</v>
      </c>
      <c r="B310" t="str">
        <f>Table11[[#This Row],[Representative]]</f>
        <v>Corporacion Comercial San Miguel del Pacifico S.A</v>
      </c>
      <c r="C310" t="str">
        <f>Table11[[#This Row],[Contract Name]]</f>
        <v>Jose Francisco Angulo</v>
      </c>
      <c r="D310" t="str">
        <f>Table11[[#This Row],[Status]]</f>
        <v>Active</v>
      </c>
      <c r="E310" t="str">
        <f>Table11[[#This Row],[Contract Code]]</f>
        <v>CR0099</v>
      </c>
      <c r="F310" s="16">
        <f>Table11[[#This Row],['#TreesContract]]</f>
        <v>2000</v>
      </c>
      <c r="G310" s="16">
        <f>Table11[[#This Row],['#Planted]]</f>
        <v>2000</v>
      </c>
      <c r="H310" s="16">
        <f>Table11[[#This Row],['#TreesContract]]*Table11[[#This Row],[USA Allocation %]]</f>
        <v>2000</v>
      </c>
      <c r="I310" s="16">
        <f>Table11[[#This Row],['#Planted]]*Table11[[#This Row],[USA Allocation %]]</f>
        <v>2000</v>
      </c>
      <c r="J310" s="16">
        <f>Table11[[#This Row],[Contract Amendment]]*Table11[[#This Row],[USA Allocation %]]</f>
        <v>0</v>
      </c>
      <c r="K310" s="16">
        <f>Table11[[#This Row],['#Trees as of 12/31/23]]*Table11[[#This Row],[USA Allocation %]]</f>
        <v>2000</v>
      </c>
      <c r="L310" s="16">
        <f>Table11[[#This Row],['#Replace 24]]*Table11[[#This Row],[USA Allocation %]]</f>
        <v>0</v>
      </c>
      <c r="M310" s="16">
        <f>IF(Table11[[#This Row],[Planting Year]]=2024,Table11['#Planted],0)</f>
        <v>0</v>
      </c>
      <c r="N310" s="16">
        <f>(Table11[[#This Row],[2024 '#Trees Inventory + Estimate]]*Table11[[#This Row],[USA Allocation %]])-SUM(Table37[[#This Row],['# Trees as of 12/31/23]:[New Trees/Planted in 2024]])</f>
        <v>0</v>
      </c>
      <c r="O310" s="16">
        <f>SUM(Table37[[#This Row],['# Trees as of 12/31/23]:[2024 Tree Losses]])</f>
        <v>2000</v>
      </c>
      <c r="P310" s="16">
        <f>SUM(Table37[[#This Row],[Total Trees as of 12/31/24]]-Table37[[#This Row],['# Trees as of 12/31/23]])</f>
        <v>0</v>
      </c>
      <c r="Q310" s="16">
        <f>Table11[[#This Row],['#Total Replacements]]*Table11[[#This Row],[USA Allocation %]]</f>
        <v>0</v>
      </c>
      <c r="R310" s="16">
        <f>IF(Table37[[#This Row],['#Survival based on Inventory]]=0,Table37['#Survival based on Last Year Estimate],Table37['#Survival based on Inventory])</f>
        <v>2000</v>
      </c>
      <c r="S310" s="16">
        <f>Table11[[#This Row],['#Planted]]*Table11[[#This Row],[USA Allocation %]]*Table11[[#This Row],[2024 Inventory Survival%-master]]</f>
        <v>0</v>
      </c>
      <c r="T310" s="16">
        <f>Table11[[#This Row],['#Planted]]*Table11[[#This Row],[USA Allocation %]]*Table11[[#This Row],[2024 Estimated Survival%]]</f>
        <v>2000</v>
      </c>
      <c r="U310">
        <f>Table11[[#This Row],[ETP Year]]</f>
        <v>2021</v>
      </c>
      <c r="V310">
        <f>Table11[[#This Row],[Planting Year]]</f>
        <v>2022</v>
      </c>
      <c r="W310" s="8">
        <f>Table11[[#This Row],[Survival% as of 12/31/23]]</f>
        <v>1</v>
      </c>
      <c r="X310" s="7">
        <f>Table11[[#This Row],[ETP'#s]]</f>
        <v>1</v>
      </c>
    </row>
    <row r="311" spans="1:24" x14ac:dyDescent="0.25">
      <c r="A311">
        <f>Table11[[#This Row],[Farmer'#]]</f>
        <v>30023</v>
      </c>
      <c r="B311" t="str">
        <f>Table11[[#This Row],[Representative]]</f>
        <v>Julio Francisco Morán Pérez</v>
      </c>
      <c r="C311" t="str">
        <f>Table11[[#This Row],[Contract Name]]</f>
        <v>Julio Francisco Morán Pérez</v>
      </c>
      <c r="D311" t="str">
        <f>Table11[[#This Row],[Status]]</f>
        <v>Active</v>
      </c>
      <c r="E311" t="str">
        <f>Table11[[#This Row],[Contract Code]]</f>
        <v>GT0042</v>
      </c>
      <c r="F311" s="16">
        <f>Table11[[#This Row],['#TreesContract]]</f>
        <v>4000</v>
      </c>
      <c r="G311" s="16">
        <f>Table11[[#This Row],['#Planted]]</f>
        <v>4000</v>
      </c>
      <c r="H311" s="16">
        <f>Table11[[#This Row],['#TreesContract]]*Table11[[#This Row],[USA Allocation %]]</f>
        <v>4000</v>
      </c>
      <c r="I311" s="16">
        <f>Table11[[#This Row],['#Planted]]*Table11[[#This Row],[USA Allocation %]]</f>
        <v>4000</v>
      </c>
      <c r="J311" s="16">
        <f>Table11[[#This Row],[Contract Amendment]]*Table11[[#This Row],[USA Allocation %]]</f>
        <v>0</v>
      </c>
      <c r="K311" s="16">
        <f>Table11[[#This Row],['#Trees as of 12/31/23]]*Table11[[#This Row],[USA Allocation %]]</f>
        <v>4000</v>
      </c>
      <c r="L311" s="16">
        <f>Table11[[#This Row],['#Replace 24]]*Table11[[#This Row],[USA Allocation %]]</f>
        <v>0</v>
      </c>
      <c r="M311" s="16">
        <f>IF(Table11[[#This Row],[Planting Year]]=2024,Table11['#Planted],0)</f>
        <v>0</v>
      </c>
      <c r="N311" s="16">
        <f>(Table11[[#This Row],[2024 '#Trees Inventory + Estimate]]*Table11[[#This Row],[USA Allocation %]])-SUM(Table37[[#This Row],['# Trees as of 12/31/23]:[New Trees/Planted in 2024]])</f>
        <v>-580</v>
      </c>
      <c r="O311" s="16">
        <f>SUM(Table37[[#This Row],['# Trees as of 12/31/23]:[2024 Tree Losses]])</f>
        <v>3420</v>
      </c>
      <c r="P311" s="16">
        <f>SUM(Table37[[#This Row],[Total Trees as of 12/31/24]]-Table37[[#This Row],['# Trees as of 12/31/23]])</f>
        <v>-580</v>
      </c>
      <c r="Q311" s="16">
        <f>Table11[[#This Row],['#Total Replacements]]*Table11[[#This Row],[USA Allocation %]]</f>
        <v>0</v>
      </c>
      <c r="R311" s="16">
        <f>IF(Table37[[#This Row],['#Survival based on Inventory]]=0,Table37['#Survival based on Last Year Estimate],Table37['#Survival based on Inventory])</f>
        <v>3420</v>
      </c>
      <c r="S311" s="16">
        <f>Table11[[#This Row],['#Planted]]*Table11[[#This Row],[USA Allocation %]]*Table11[[#This Row],[2024 Inventory Survival%-master]]</f>
        <v>3420</v>
      </c>
      <c r="T311" s="16">
        <f>Table11[[#This Row],['#Planted]]*Table11[[#This Row],[USA Allocation %]]*Table11[[#This Row],[2024 Estimated Survival%]]</f>
        <v>3440</v>
      </c>
      <c r="U311">
        <f>Table11[[#This Row],[ETP Year]]</f>
        <v>2021</v>
      </c>
      <c r="V311">
        <f>Table11[[#This Row],[Planting Year]]</f>
        <v>2022</v>
      </c>
      <c r="W311" s="8">
        <f>Table11[[#This Row],[Survival% as of 12/31/23]]</f>
        <v>1</v>
      </c>
      <c r="X311" s="7">
        <f>Table11[[#This Row],[ETP'#s]]</f>
        <v>1</v>
      </c>
    </row>
    <row r="312" spans="1:24" x14ac:dyDescent="0.25">
      <c r="A312">
        <f>Table11[[#This Row],[Farmer'#]]</f>
        <v>30026</v>
      </c>
      <c r="B312" t="str">
        <f>Table11[[#This Row],[Representative]]</f>
        <v>Richard Steven Callaway Ayau - Eco Energía H20</v>
      </c>
      <c r="C312" t="str">
        <f>Table11[[#This Row],[Contract Name]]</f>
        <v>Richard Steven Callaway Ayau</v>
      </c>
      <c r="D312" t="str">
        <f>Table11[[#This Row],[Status]]</f>
        <v>Active</v>
      </c>
      <c r="E312" t="str">
        <f>Table11[[#This Row],[Contract Code]]</f>
        <v>GT0043</v>
      </c>
      <c r="F312" s="16">
        <f>Table11[[#This Row],['#TreesContract]]</f>
        <v>2000</v>
      </c>
      <c r="G312" s="16">
        <f>Table11[[#This Row],['#Planted]]</f>
        <v>2000</v>
      </c>
      <c r="H312" s="16">
        <f>Table11[[#This Row],['#TreesContract]]*Table11[[#This Row],[USA Allocation %]]</f>
        <v>2000</v>
      </c>
      <c r="I312" s="16">
        <f>Table11[[#This Row],['#Planted]]*Table11[[#This Row],[USA Allocation %]]</f>
        <v>2000</v>
      </c>
      <c r="J312" s="16">
        <f>Table11[[#This Row],[Contract Amendment]]*Table11[[#This Row],[USA Allocation %]]</f>
        <v>0</v>
      </c>
      <c r="K312" s="16">
        <f>Table11[[#This Row],['#Trees as of 12/31/23]]*Table11[[#This Row],[USA Allocation %]]</f>
        <v>2000</v>
      </c>
      <c r="L312" s="16">
        <f>Table11[[#This Row],['#Replace 24]]*Table11[[#This Row],[USA Allocation %]]</f>
        <v>0</v>
      </c>
      <c r="M312" s="16">
        <f>IF(Table11[[#This Row],[Planting Year]]=2024,Table11['#Planted],0)</f>
        <v>0</v>
      </c>
      <c r="N312" s="16">
        <f>(Table11[[#This Row],[2024 '#Trees Inventory + Estimate]]*Table11[[#This Row],[USA Allocation %]])-SUM(Table37[[#This Row],['# Trees as of 12/31/23]:[New Trees/Planted in 2024]])</f>
        <v>-48</v>
      </c>
      <c r="O312" s="16">
        <f>SUM(Table37[[#This Row],['# Trees as of 12/31/23]:[2024 Tree Losses]])</f>
        <v>1952</v>
      </c>
      <c r="P312" s="16">
        <f>SUM(Table37[[#This Row],[Total Trees as of 12/31/24]]-Table37[[#This Row],['# Trees as of 12/31/23]])</f>
        <v>-48</v>
      </c>
      <c r="Q312" s="16">
        <f>Table11[[#This Row],['#Total Replacements]]*Table11[[#This Row],[USA Allocation %]]</f>
        <v>250</v>
      </c>
      <c r="R312" s="16">
        <f>IF(Table37[[#This Row],['#Survival based on Inventory]]=0,Table37['#Survival based on Last Year Estimate],Table37['#Survival based on Inventory])</f>
        <v>1952</v>
      </c>
      <c r="S312" s="16">
        <f>Table11[[#This Row],['#Planted]]*Table11[[#This Row],[USA Allocation %]]*Table11[[#This Row],[2024 Inventory Survival%-master]]</f>
        <v>1952</v>
      </c>
      <c r="T312" s="16">
        <f>Table11[[#This Row],['#Planted]]*Table11[[#This Row],[USA Allocation %]]*Table11[[#This Row],[2024 Estimated Survival%]]</f>
        <v>1960</v>
      </c>
      <c r="U312">
        <f>Table11[[#This Row],[ETP Year]]</f>
        <v>2021</v>
      </c>
      <c r="V312">
        <f>Table11[[#This Row],[Planting Year]]</f>
        <v>2022</v>
      </c>
      <c r="W312" s="8">
        <f>Table11[[#This Row],[Survival% as of 12/31/23]]</f>
        <v>1</v>
      </c>
      <c r="X312" s="7">
        <f>Table11[[#This Row],[ETP'#s]]</f>
        <v>1</v>
      </c>
    </row>
    <row r="313" spans="1:24" x14ac:dyDescent="0.25">
      <c r="A313">
        <f>Table11[[#This Row],[Farmer'#]]</f>
        <v>30028</v>
      </c>
      <c r="B313" t="str">
        <f>Table11[[#This Row],[Representative]]</f>
        <v>Derek José Herman Gordillo</v>
      </c>
      <c r="C313" t="str">
        <f>Table11[[#This Row],[Contract Name]]</f>
        <v>Agroindustrias Nativa S.A./Derek José Herman Gordillo</v>
      </c>
      <c r="D313" t="str">
        <f>Table11[[#This Row],[Status]]</f>
        <v>Active</v>
      </c>
      <c r="E313" t="str">
        <f>Table11[[#This Row],[Contract Code]]</f>
        <v>GT0031b</v>
      </c>
      <c r="F313" s="16">
        <f>Table11[[#This Row],['#TreesContract]]</f>
        <v>20500</v>
      </c>
      <c r="G313" s="16">
        <f>Table11[[#This Row],['#Planted]]</f>
        <v>20489</v>
      </c>
      <c r="H313" s="16">
        <f>Table11[[#This Row],['#TreesContract]]*Table11[[#This Row],[USA Allocation %]]</f>
        <v>20500</v>
      </c>
      <c r="I313" s="16">
        <f>Table11[[#This Row],['#Planted]]*Table11[[#This Row],[USA Allocation %]]</f>
        <v>20489</v>
      </c>
      <c r="J313" s="16">
        <f>Table11[[#This Row],[Contract Amendment]]*Table11[[#This Row],[USA Allocation %]]</f>
        <v>0</v>
      </c>
      <c r="K313" s="16">
        <f>Table11[[#This Row],['#Trees as of 12/31/23]]*Table11[[#This Row],[USA Allocation %]]</f>
        <v>4751</v>
      </c>
      <c r="L313" s="16">
        <f>Table11[[#This Row],['#Replace 24]]*Table11[[#This Row],[USA Allocation %]]</f>
        <v>0</v>
      </c>
      <c r="M313" s="16">
        <f>IF(Table11[[#This Row],[Planting Year]]=2024,Table11['#Planted],0)</f>
        <v>0</v>
      </c>
      <c r="N313" s="16">
        <f>(Table11[[#This Row],[2024 '#Trees Inventory + Estimate]]*Table11[[#This Row],[USA Allocation %]])-SUM(Table37[[#This Row],['# Trees as of 12/31/23]:[New Trees/Planted in 2024]])</f>
        <v>12059</v>
      </c>
      <c r="O313" s="16">
        <f>SUM(Table37[[#This Row],['# Trees as of 12/31/23]:[2024 Tree Losses]])</f>
        <v>16810</v>
      </c>
      <c r="P313" s="16">
        <f>SUM(Table37[[#This Row],[Total Trees as of 12/31/24]]-Table37[[#This Row],['# Trees as of 12/31/23]])</f>
        <v>12059</v>
      </c>
      <c r="Q313" s="16">
        <f>Table11[[#This Row],['#Total Replacements]]*Table11[[#This Row],[USA Allocation %]]</f>
        <v>0</v>
      </c>
      <c r="R313" s="16">
        <f>IF(Table37[[#This Row],['#Survival based on Inventory]]=0,Table37['#Survival based on Last Year Estimate],Table37['#Survival based on Inventory])</f>
        <v>16800.98</v>
      </c>
      <c r="S313" s="16">
        <f>Table11[[#This Row],['#Planted]]*Table11[[#This Row],[USA Allocation %]]*Table11[[#This Row],[2024 Inventory Survival%-master]]</f>
        <v>16800.98</v>
      </c>
      <c r="T313" s="16">
        <f>Table11[[#This Row],['#Planted]]*Table11[[#This Row],[USA Allocation %]]*Table11[[#This Row],[2024 Estimated Survival%]]</f>
        <v>16800.98</v>
      </c>
      <c r="U313">
        <f>Table11[[#This Row],[ETP Year]]</f>
        <v>2021</v>
      </c>
      <c r="V313">
        <f>Table11[[#This Row],[Planting Year]]</f>
        <v>2022</v>
      </c>
      <c r="W313" s="8">
        <f>Table11[[#This Row],[Survival% as of 12/31/23]]</f>
        <v>1</v>
      </c>
      <c r="X313" s="7">
        <f>Table11[[#This Row],[ETP'#s]]</f>
        <v>1</v>
      </c>
    </row>
    <row r="314" spans="1:24" x14ac:dyDescent="0.25">
      <c r="A314">
        <f>Table11[[#This Row],[Farmer'#]]</f>
        <v>30033</v>
      </c>
      <c r="B314" t="str">
        <f>Table11[[#This Row],[Representative]]</f>
        <v>Trapiche de la Vega S.A. /María Isabel Agüero</v>
      </c>
      <c r="C314" t="str">
        <f>Table11[[#This Row],[Contract Name]]</f>
        <v>Trapiche de la Vega S.A. /María Isabel Agüero</v>
      </c>
      <c r="D314" t="str">
        <f>Table11[[#This Row],[Status]]</f>
        <v>Active</v>
      </c>
      <c r="E314" t="str">
        <f>Table11[[#This Row],[Contract Code]]</f>
        <v>GT0041</v>
      </c>
      <c r="F314" s="16">
        <f>Table11[[#This Row],['#TreesContract]]</f>
        <v>1000</v>
      </c>
      <c r="G314" s="16">
        <f>Table11[[#This Row],['#Planted]]</f>
        <v>1000</v>
      </c>
      <c r="H314" s="16">
        <f>Table11[[#This Row],['#TreesContract]]*Table11[[#This Row],[USA Allocation %]]</f>
        <v>1000</v>
      </c>
      <c r="I314" s="16">
        <f>Table11[[#This Row],['#Planted]]*Table11[[#This Row],[USA Allocation %]]</f>
        <v>1000</v>
      </c>
      <c r="J314" s="16">
        <f>Table11[[#This Row],[Contract Amendment]]*Table11[[#This Row],[USA Allocation %]]</f>
        <v>0</v>
      </c>
      <c r="K314" s="16">
        <f>Table11[[#This Row],['#Trees as of 12/31/23]]*Table11[[#This Row],[USA Allocation %]]</f>
        <v>1000</v>
      </c>
      <c r="L314" s="16">
        <f>Table11[[#This Row],['#Replace 24]]*Table11[[#This Row],[USA Allocation %]]</f>
        <v>0</v>
      </c>
      <c r="M314" s="16">
        <f>IF(Table11[[#This Row],[Planting Year]]=2024,Table11['#Planted],0)</f>
        <v>0</v>
      </c>
      <c r="N314" s="16">
        <f>(Table11[[#This Row],[2024 '#Trees Inventory + Estimate]]*Table11[[#This Row],[USA Allocation %]])-SUM(Table37[[#This Row],['# Trees as of 12/31/23]:[New Trees/Planted in 2024]])</f>
        <v>-65</v>
      </c>
      <c r="O314" s="16">
        <f>SUM(Table37[[#This Row],['# Trees as of 12/31/23]:[2024 Tree Losses]])</f>
        <v>935</v>
      </c>
      <c r="P314" s="16">
        <f>SUM(Table37[[#This Row],[Total Trees as of 12/31/24]]-Table37[[#This Row],['# Trees as of 12/31/23]])</f>
        <v>-65</v>
      </c>
      <c r="Q314" s="16">
        <f>Table11[[#This Row],['#Total Replacements]]*Table11[[#This Row],[USA Allocation %]]</f>
        <v>360</v>
      </c>
      <c r="R314" s="16">
        <f>IF(Table37[[#This Row],['#Survival based on Inventory]]=0,Table37['#Survival based on Last Year Estimate],Table37['#Survival based on Inventory])</f>
        <v>935</v>
      </c>
      <c r="S314" s="16">
        <f>Table11[[#This Row],['#Planted]]*Table11[[#This Row],[USA Allocation %]]*Table11[[#This Row],[2024 Inventory Survival%-master]]</f>
        <v>935</v>
      </c>
      <c r="T314" s="16">
        <f>Table11[[#This Row],['#Planted]]*Table11[[#This Row],[USA Allocation %]]*Table11[[#This Row],[2024 Estimated Survival%]]</f>
        <v>940</v>
      </c>
      <c r="U314">
        <f>Table11[[#This Row],[ETP Year]]</f>
        <v>2021</v>
      </c>
      <c r="V314">
        <f>Table11[[#This Row],[Planting Year]]</f>
        <v>2022</v>
      </c>
      <c r="W314" s="8">
        <f>Table11[[#This Row],[Survival% as of 12/31/23]]</f>
        <v>1</v>
      </c>
      <c r="X314" s="7">
        <f>Table11[[#This Row],[ETP'#s]]</f>
        <v>1</v>
      </c>
    </row>
    <row r="315" spans="1:24" x14ac:dyDescent="0.25">
      <c r="A315">
        <f>Table11[[#This Row],[Farmer'#]]</f>
        <v>40025</v>
      </c>
      <c r="B315" t="str">
        <f>Table11[[#This Row],[Representative]]</f>
        <v>Caralampio Arreola López</v>
      </c>
      <c r="C315" t="str">
        <f>Table11[[#This Row],[Contract Name]]</f>
        <v>Caralampio Arreola López</v>
      </c>
      <c r="D315" t="str">
        <f>Table11[[#This Row],[Status]]</f>
        <v>Active</v>
      </c>
      <c r="E315" t="str">
        <f>Table11[[#This Row],[Contract Code]]</f>
        <v>MX0026</v>
      </c>
      <c r="F315" s="16">
        <f>Table11[[#This Row],['#TreesContract]]</f>
        <v>2750</v>
      </c>
      <c r="G315" s="16">
        <f>Table11[[#This Row],['#Planted]]</f>
        <v>2750</v>
      </c>
      <c r="H315" s="16">
        <f>Table11[[#This Row],['#TreesContract]]*Table11[[#This Row],[USA Allocation %]]</f>
        <v>2750</v>
      </c>
      <c r="I315" s="16">
        <f>Table11[[#This Row],['#Planted]]*Table11[[#This Row],[USA Allocation %]]</f>
        <v>2750</v>
      </c>
      <c r="J315" s="16">
        <f>Table11[[#This Row],[Contract Amendment]]*Table11[[#This Row],[USA Allocation %]]</f>
        <v>0</v>
      </c>
      <c r="K315" s="16">
        <f>Table11[[#This Row],['#Trees as of 12/31/23]]*Table11[[#This Row],[USA Allocation %]]</f>
        <v>2750</v>
      </c>
      <c r="L315" s="16">
        <f>Table11[[#This Row],['#Replace 24]]*Table11[[#This Row],[USA Allocation %]]</f>
        <v>1750</v>
      </c>
      <c r="M315" s="16">
        <f>IF(Table11[[#This Row],[Planting Year]]=2024,Table11['#Planted],0)</f>
        <v>0</v>
      </c>
      <c r="N315" s="16">
        <f>(Table11[[#This Row],[2024 '#Trees Inventory + Estimate]]*Table11[[#This Row],[USA Allocation %]])-SUM(Table37[[#This Row],['# Trees as of 12/31/23]:[New Trees/Planted in 2024]])</f>
        <v>-1906.75</v>
      </c>
      <c r="O315" s="16">
        <f>SUM(Table37[[#This Row],['# Trees as of 12/31/23]:[2024 Tree Losses]])</f>
        <v>2593.25</v>
      </c>
      <c r="P315" s="16">
        <f>SUM(Table37[[#This Row],[Total Trees as of 12/31/24]]-Table37[[#This Row],['# Trees as of 12/31/23]])</f>
        <v>-156.75</v>
      </c>
      <c r="Q315" s="16">
        <f>Table11[[#This Row],['#Total Replacements]]*Table11[[#This Row],[USA Allocation %]]</f>
        <v>3250</v>
      </c>
      <c r="R315" s="16">
        <f>IF(Table37[[#This Row],['#Survival based on Inventory]]=0,Table37['#Survival based on Last Year Estimate],Table37['#Survival based on Inventory])</f>
        <v>2593.25</v>
      </c>
      <c r="S315" s="16">
        <f>Table11[[#This Row],['#Planted]]*Table11[[#This Row],[USA Allocation %]]*Table11[[#This Row],[2024 Inventory Survival%-master]]</f>
        <v>2593.25</v>
      </c>
      <c r="T315" s="16">
        <f>Table11[[#This Row],['#Planted]]*Table11[[#This Row],[USA Allocation %]]*Table11[[#This Row],[2024 Estimated Survival%]]</f>
        <v>2585</v>
      </c>
      <c r="U315">
        <f>Table11[[#This Row],[ETP Year]]</f>
        <v>2021</v>
      </c>
      <c r="V315">
        <f>Table11[[#This Row],[Planting Year]]</f>
        <v>2022</v>
      </c>
      <c r="W315" s="8">
        <f>Table11[[#This Row],[Survival% as of 12/31/23]]</f>
        <v>1</v>
      </c>
      <c r="X315" s="7">
        <f>Table11[[#This Row],[ETP'#s]]</f>
        <v>1</v>
      </c>
    </row>
    <row r="316" spans="1:24" x14ac:dyDescent="0.25">
      <c r="A316">
        <f>Table11[[#This Row],[Farmer'#]]</f>
        <v>40026</v>
      </c>
      <c r="B316" t="str">
        <f>Table11[[#This Row],[Representative]]</f>
        <v>Carlos Carbajal</v>
      </c>
      <c r="C316" t="str">
        <f>Table11[[#This Row],[Contract Name]]</f>
        <v>Carlos Carbajal</v>
      </c>
      <c r="D316" t="str">
        <f>Table11[[#This Row],[Status]]</f>
        <v>Active</v>
      </c>
      <c r="E316" t="str">
        <f>Table11[[#This Row],[Contract Code]]</f>
        <v>MX0027</v>
      </c>
      <c r="F316" s="16">
        <f>Table11[[#This Row],['#TreesContract]]</f>
        <v>2750</v>
      </c>
      <c r="G316" s="16">
        <f>Table11[[#This Row],['#Planted]]</f>
        <v>2750</v>
      </c>
      <c r="H316" s="16">
        <f>Table11[[#This Row],['#TreesContract]]*Table11[[#This Row],[USA Allocation %]]</f>
        <v>2750</v>
      </c>
      <c r="I316" s="16">
        <f>Table11[[#This Row],['#Planted]]*Table11[[#This Row],[USA Allocation %]]</f>
        <v>2750</v>
      </c>
      <c r="J316" s="16">
        <f>Table11[[#This Row],[Contract Amendment]]*Table11[[#This Row],[USA Allocation %]]</f>
        <v>0</v>
      </c>
      <c r="K316" s="16">
        <f>Table11[[#This Row],['#Trees as of 12/31/23]]*Table11[[#This Row],[USA Allocation %]]</f>
        <v>2750</v>
      </c>
      <c r="L316" s="16">
        <f>Table11[[#This Row],['#Replace 24]]*Table11[[#This Row],[USA Allocation %]]</f>
        <v>1300</v>
      </c>
      <c r="M316" s="16">
        <f>IF(Table11[[#This Row],[Planting Year]]=2024,Table11['#Planted],0)</f>
        <v>0</v>
      </c>
      <c r="N316" s="16">
        <f>(Table11[[#This Row],[2024 '#Trees Inventory + Estimate]]*Table11[[#This Row],[USA Allocation %]])-SUM(Table37[[#This Row],['# Trees as of 12/31/23]:[New Trees/Planted in 2024]])</f>
        <v>-1363.25</v>
      </c>
      <c r="O316" s="16">
        <f>SUM(Table37[[#This Row],['# Trees as of 12/31/23]:[2024 Tree Losses]])</f>
        <v>2686.75</v>
      </c>
      <c r="P316" s="16">
        <f>SUM(Table37[[#This Row],[Total Trees as of 12/31/24]]-Table37[[#This Row],['# Trees as of 12/31/23]])</f>
        <v>-63.25</v>
      </c>
      <c r="Q316" s="16">
        <f>Table11[[#This Row],['#Total Replacements]]*Table11[[#This Row],[USA Allocation %]]</f>
        <v>3950</v>
      </c>
      <c r="R316" s="16">
        <f>IF(Table37[[#This Row],['#Survival based on Inventory]]=0,Table37['#Survival based on Last Year Estimate],Table37['#Survival based on Inventory])</f>
        <v>2686.75</v>
      </c>
      <c r="S316" s="16">
        <f>Table11[[#This Row],['#Planted]]*Table11[[#This Row],[USA Allocation %]]*Table11[[#This Row],[2024 Inventory Survival%-master]]</f>
        <v>2686.75</v>
      </c>
      <c r="T316" s="16">
        <f>Table11[[#This Row],['#Planted]]*Table11[[#This Row],[USA Allocation %]]*Table11[[#This Row],[2024 Estimated Survival%]]</f>
        <v>2695</v>
      </c>
      <c r="U316">
        <f>Table11[[#This Row],[ETP Year]]</f>
        <v>2021</v>
      </c>
      <c r="V316">
        <f>Table11[[#This Row],[Planting Year]]</f>
        <v>2022</v>
      </c>
      <c r="W316" s="8">
        <f>Table11[[#This Row],[Survival% as of 12/31/23]]</f>
        <v>1</v>
      </c>
      <c r="X316" s="7">
        <f>Table11[[#This Row],[ETP'#s]]</f>
        <v>1</v>
      </c>
    </row>
    <row r="317" spans="1:24" x14ac:dyDescent="0.25">
      <c r="A317">
        <f>Table11[[#This Row],[Farmer'#]]</f>
        <v>40027</v>
      </c>
      <c r="B317" t="str">
        <f>Table11[[#This Row],[Representative]]</f>
        <v>Cirilo Carbajal Hernandez</v>
      </c>
      <c r="C317" t="str">
        <f>Table11[[#This Row],[Contract Name]]</f>
        <v>Cirilo Carbajal Hernandez</v>
      </c>
      <c r="D317" t="str">
        <f>Table11[[#This Row],[Status]]</f>
        <v>Active</v>
      </c>
      <c r="E317" t="str">
        <f>Table11[[#This Row],[Contract Code]]</f>
        <v>MX0028</v>
      </c>
      <c r="F317" s="16">
        <f>Table11[[#This Row],['#TreesContract]]</f>
        <v>2750</v>
      </c>
      <c r="G317" s="16">
        <f>Table11[[#This Row],['#Planted]]</f>
        <v>2750</v>
      </c>
      <c r="H317" s="16">
        <f>Table11[[#This Row],['#TreesContract]]*Table11[[#This Row],[USA Allocation %]]</f>
        <v>2750</v>
      </c>
      <c r="I317" s="16">
        <f>Table11[[#This Row],['#Planted]]*Table11[[#This Row],[USA Allocation %]]</f>
        <v>2750</v>
      </c>
      <c r="J317" s="16">
        <f>Table11[[#This Row],[Contract Amendment]]*Table11[[#This Row],[USA Allocation %]]</f>
        <v>0</v>
      </c>
      <c r="K317" s="16">
        <f>Table11[[#This Row],['#Trees as of 12/31/23]]*Table11[[#This Row],[USA Allocation %]]</f>
        <v>2750</v>
      </c>
      <c r="L317" s="16">
        <f>Table11[[#This Row],['#Replace 24]]*Table11[[#This Row],[USA Allocation %]]</f>
        <v>600</v>
      </c>
      <c r="M317" s="16">
        <f>IF(Table11[[#This Row],[Planting Year]]=2024,Table11['#Planted],0)</f>
        <v>0</v>
      </c>
      <c r="N317" s="16">
        <f>(Table11[[#This Row],[2024 '#Trees Inventory + Estimate]]*Table11[[#This Row],[USA Allocation %]])-SUM(Table37[[#This Row],['# Trees as of 12/31/23]:[New Trees/Planted in 2024]])</f>
        <v>-704.5</v>
      </c>
      <c r="O317" s="16">
        <f>SUM(Table37[[#This Row],['# Trees as of 12/31/23]:[2024 Tree Losses]])</f>
        <v>2645.5</v>
      </c>
      <c r="P317" s="16">
        <f>SUM(Table37[[#This Row],[Total Trees as of 12/31/24]]-Table37[[#This Row],['# Trees as of 12/31/23]])</f>
        <v>-104.5</v>
      </c>
      <c r="Q317" s="16">
        <f>Table11[[#This Row],['#Total Replacements]]*Table11[[#This Row],[USA Allocation %]]</f>
        <v>3520</v>
      </c>
      <c r="R317" s="16">
        <f>IF(Table37[[#This Row],['#Survival based on Inventory]]=0,Table37['#Survival based on Last Year Estimate],Table37['#Survival based on Inventory])</f>
        <v>2645.5</v>
      </c>
      <c r="S317" s="16">
        <f>Table11[[#This Row],['#Planted]]*Table11[[#This Row],[USA Allocation %]]*Table11[[#This Row],[2024 Inventory Survival%-master]]</f>
        <v>2645.5</v>
      </c>
      <c r="T317" s="16">
        <f>Table11[[#This Row],['#Planted]]*Table11[[#This Row],[USA Allocation %]]*Table11[[#This Row],[2024 Estimated Survival%]]</f>
        <v>2640</v>
      </c>
      <c r="U317">
        <f>Table11[[#This Row],[ETP Year]]</f>
        <v>2021</v>
      </c>
      <c r="V317">
        <f>Table11[[#This Row],[Planting Year]]</f>
        <v>2022</v>
      </c>
      <c r="W317" s="8">
        <f>Table11[[#This Row],[Survival% as of 12/31/23]]</f>
        <v>1</v>
      </c>
      <c r="X317" s="7">
        <f>Table11[[#This Row],[ETP'#s]]</f>
        <v>1</v>
      </c>
    </row>
    <row r="318" spans="1:24" x14ac:dyDescent="0.25">
      <c r="A318">
        <f>Table11[[#This Row],[Farmer'#]]</f>
        <v>40028</v>
      </c>
      <c r="B318" t="str">
        <f>Table11[[#This Row],[Representative]]</f>
        <v>Francisco Contreras</v>
      </c>
      <c r="C318" t="str">
        <f>Table11[[#This Row],[Contract Name]]</f>
        <v>Francisco Contreras</v>
      </c>
      <c r="D318" t="str">
        <f>Table11[[#This Row],[Status]]</f>
        <v>Active</v>
      </c>
      <c r="E318" t="str">
        <f>Table11[[#This Row],[Contract Code]]</f>
        <v>MX0029</v>
      </c>
      <c r="F318" s="16">
        <f>Table11[[#This Row],['#TreesContract]]</f>
        <v>5600</v>
      </c>
      <c r="G318" s="16">
        <f>Table11[[#This Row],['#Planted]]</f>
        <v>5600</v>
      </c>
      <c r="H318" s="16">
        <f>Table11[[#This Row],['#TreesContract]]*Table11[[#This Row],[USA Allocation %]]</f>
        <v>5600</v>
      </c>
      <c r="I318" s="16">
        <f>Table11[[#This Row],['#Planted]]*Table11[[#This Row],[USA Allocation %]]</f>
        <v>5600</v>
      </c>
      <c r="J318" s="16">
        <f>Table11[[#This Row],[Contract Amendment]]*Table11[[#This Row],[USA Allocation %]]</f>
        <v>0</v>
      </c>
      <c r="K318" s="16">
        <f>Table11[[#This Row],['#Trees as of 12/31/23]]*Table11[[#This Row],[USA Allocation %]]</f>
        <v>5600</v>
      </c>
      <c r="L318" s="16">
        <f>Table11[[#This Row],['#Replace 24]]*Table11[[#This Row],[USA Allocation %]]</f>
        <v>0</v>
      </c>
      <c r="M318" s="16">
        <f>IF(Table11[[#This Row],[Planting Year]]=2024,Table11['#Planted],0)</f>
        <v>0</v>
      </c>
      <c r="N318" s="16">
        <f>(Table11[[#This Row],[2024 '#Trees Inventory + Estimate]]*Table11[[#This Row],[USA Allocation %]])-SUM(Table37[[#This Row],['# Trees as of 12/31/23]:[New Trees/Planted in 2024]])</f>
        <v>-1075.1999999999998</v>
      </c>
      <c r="O318" s="16">
        <f>SUM(Table37[[#This Row],['# Trees as of 12/31/23]:[2024 Tree Losses]])</f>
        <v>4524.8</v>
      </c>
      <c r="P318" s="16">
        <f>SUM(Table37[[#This Row],[Total Trees as of 12/31/24]]-Table37[[#This Row],['# Trees as of 12/31/23]])</f>
        <v>-1075.1999999999998</v>
      </c>
      <c r="Q318" s="16">
        <f>Table11[[#This Row],['#Total Replacements]]*Table11[[#This Row],[USA Allocation %]]</f>
        <v>0</v>
      </c>
      <c r="R318" s="16">
        <f>IF(Table37[[#This Row],['#Survival based on Inventory]]=0,Table37['#Survival based on Last Year Estimate],Table37['#Survival based on Inventory])</f>
        <v>4524.8</v>
      </c>
      <c r="S318" s="16">
        <f>Table11[[#This Row],['#Planted]]*Table11[[#This Row],[USA Allocation %]]*Table11[[#This Row],[2024 Inventory Survival%-master]]</f>
        <v>4524.8</v>
      </c>
      <c r="T318" s="16">
        <f>Table11[[#This Row],['#Planted]]*Table11[[#This Row],[USA Allocation %]]*Table11[[#This Row],[2024 Estimated Survival%]]</f>
        <v>4536</v>
      </c>
      <c r="U318">
        <f>Table11[[#This Row],[ETP Year]]</f>
        <v>2021</v>
      </c>
      <c r="V318">
        <f>Table11[[#This Row],[Planting Year]]</f>
        <v>2022</v>
      </c>
      <c r="W318" s="8">
        <f>Table11[[#This Row],[Survival% as of 12/31/23]]</f>
        <v>1</v>
      </c>
      <c r="X318" s="7">
        <f>Table11[[#This Row],[ETP'#s]]</f>
        <v>1</v>
      </c>
    </row>
    <row r="319" spans="1:24" x14ac:dyDescent="0.25">
      <c r="A319">
        <f>Table11[[#This Row],[Farmer'#]]</f>
        <v>40029</v>
      </c>
      <c r="B319" t="str">
        <f>Table11[[#This Row],[Representative]]</f>
        <v>Heradio Hernandez Jímenez</v>
      </c>
      <c r="C319" t="str">
        <f>Table11[[#This Row],[Contract Name]]</f>
        <v>Heradio Hernandez Jimenez</v>
      </c>
      <c r="D319" t="str">
        <f>Table11[[#This Row],[Status]]</f>
        <v>Active</v>
      </c>
      <c r="E319" t="str">
        <f>Table11[[#This Row],[Contract Code]]</f>
        <v>MX0030</v>
      </c>
      <c r="F319" s="16">
        <f>Table11[[#This Row],['#TreesContract]]</f>
        <v>2200</v>
      </c>
      <c r="G319" s="16">
        <f>Table11[[#This Row],['#Planted]]</f>
        <v>2200</v>
      </c>
      <c r="H319" s="16">
        <f>Table11[[#This Row],['#TreesContract]]*Table11[[#This Row],[USA Allocation %]]</f>
        <v>2200</v>
      </c>
      <c r="I319" s="16">
        <f>Table11[[#This Row],['#Planted]]*Table11[[#This Row],[USA Allocation %]]</f>
        <v>2200</v>
      </c>
      <c r="J319" s="16">
        <f>Table11[[#This Row],[Contract Amendment]]*Table11[[#This Row],[USA Allocation %]]</f>
        <v>0</v>
      </c>
      <c r="K319" s="16">
        <f>Table11[[#This Row],['#Trees as of 12/31/23]]*Table11[[#This Row],[USA Allocation %]]</f>
        <v>2200</v>
      </c>
      <c r="L319" s="16">
        <f>Table11[[#This Row],['#Replace 24]]*Table11[[#This Row],[USA Allocation %]]</f>
        <v>0</v>
      </c>
      <c r="M319" s="16">
        <f>IF(Table11[[#This Row],[Planting Year]]=2024,Table11['#Planted],0)</f>
        <v>0</v>
      </c>
      <c r="N319" s="16">
        <f>(Table11[[#This Row],[2024 '#Trees Inventory + Estimate]]*Table11[[#This Row],[USA Allocation %]])-SUM(Table37[[#This Row],['# Trees as of 12/31/23]:[New Trees/Planted in 2024]])</f>
        <v>-1658.8</v>
      </c>
      <c r="O319" s="16">
        <f>SUM(Table37[[#This Row],['# Trees as of 12/31/23]:[2024 Tree Losses]])</f>
        <v>541.20000000000005</v>
      </c>
      <c r="P319" s="16">
        <f>SUM(Table37[[#This Row],[Total Trees as of 12/31/24]]-Table37[[#This Row],['# Trees as of 12/31/23]])</f>
        <v>-1658.8</v>
      </c>
      <c r="Q319" s="16">
        <f>Table11[[#This Row],['#Total Replacements]]*Table11[[#This Row],[USA Allocation %]]</f>
        <v>400</v>
      </c>
      <c r="R319" s="16">
        <f>IF(Table37[[#This Row],['#Survival based on Inventory]]=0,Table37['#Survival based on Last Year Estimate],Table37['#Survival based on Inventory])</f>
        <v>541.20000000000005</v>
      </c>
      <c r="S319" s="16">
        <f>Table11[[#This Row],['#Planted]]*Table11[[#This Row],[USA Allocation %]]*Table11[[#This Row],[2024 Inventory Survival%-master]]</f>
        <v>541.20000000000005</v>
      </c>
      <c r="T319" s="16">
        <f>Table11[[#This Row],['#Planted]]*Table11[[#This Row],[USA Allocation %]]*Table11[[#This Row],[2024 Estimated Survival%]]</f>
        <v>550</v>
      </c>
      <c r="U319">
        <f>Table11[[#This Row],[ETP Year]]</f>
        <v>2021</v>
      </c>
      <c r="V319">
        <f>Table11[[#This Row],[Planting Year]]</f>
        <v>2022</v>
      </c>
      <c r="W319" s="8">
        <f>Table11[[#This Row],[Survival% as of 12/31/23]]</f>
        <v>1</v>
      </c>
      <c r="X319" s="7">
        <f>Table11[[#This Row],[ETP'#s]]</f>
        <v>1</v>
      </c>
    </row>
    <row r="320" spans="1:24" x14ac:dyDescent="0.25">
      <c r="A320">
        <f>Table11[[#This Row],[Farmer'#]]</f>
        <v>40030</v>
      </c>
      <c r="B320" t="str">
        <f>Table11[[#This Row],[Representative]]</f>
        <v>Jesus Rauda Gutierrez</v>
      </c>
      <c r="C320" t="str">
        <f>Table11[[#This Row],[Contract Name]]</f>
        <v>Jesus Rauda Gutierrez</v>
      </c>
      <c r="D320" t="str">
        <f>Table11[[#This Row],[Status]]</f>
        <v>Active</v>
      </c>
      <c r="E320" t="str">
        <f>Table11[[#This Row],[Contract Code]]</f>
        <v>MX0031</v>
      </c>
      <c r="F320" s="16">
        <f>Table11[[#This Row],['#TreesContract]]</f>
        <v>2750</v>
      </c>
      <c r="G320" s="16">
        <f>Table11[[#This Row],['#Planted]]</f>
        <v>2750</v>
      </c>
      <c r="H320" s="16">
        <f>Table11[[#This Row],['#TreesContract]]*Table11[[#This Row],[USA Allocation %]]</f>
        <v>2750</v>
      </c>
      <c r="I320" s="16">
        <f>Table11[[#This Row],['#Planted]]*Table11[[#This Row],[USA Allocation %]]</f>
        <v>2750</v>
      </c>
      <c r="J320" s="16">
        <f>Table11[[#This Row],[Contract Amendment]]*Table11[[#This Row],[USA Allocation %]]</f>
        <v>0</v>
      </c>
      <c r="K320" s="16">
        <f>Table11[[#This Row],['#Trees as of 12/31/23]]*Table11[[#This Row],[USA Allocation %]]</f>
        <v>2750</v>
      </c>
      <c r="L320" s="16">
        <f>Table11[[#This Row],['#Replace 24]]*Table11[[#This Row],[USA Allocation %]]</f>
        <v>800</v>
      </c>
      <c r="M320" s="16">
        <f>IF(Table11[[#This Row],[Planting Year]]=2024,Table11['#Planted],0)</f>
        <v>0</v>
      </c>
      <c r="N320" s="16">
        <f>(Table11[[#This Row],[2024 '#Trees Inventory + Estimate]]*Table11[[#This Row],[USA Allocation %]])-SUM(Table37[[#This Row],['# Trees as of 12/31/23]:[New Trees/Planted in 2024]])</f>
        <v>-877</v>
      </c>
      <c r="O320" s="16">
        <f>SUM(Table37[[#This Row],['# Trees as of 12/31/23]:[2024 Tree Losses]])</f>
        <v>2673</v>
      </c>
      <c r="P320" s="16">
        <f>SUM(Table37[[#This Row],[Total Trees as of 12/31/24]]-Table37[[#This Row],['# Trees as of 12/31/23]])</f>
        <v>-77</v>
      </c>
      <c r="Q320" s="16">
        <f>Table11[[#This Row],['#Total Replacements]]*Table11[[#This Row],[USA Allocation %]]</f>
        <v>2850</v>
      </c>
      <c r="R320" s="16">
        <f>IF(Table37[[#This Row],['#Survival based on Inventory]]=0,Table37['#Survival based on Last Year Estimate],Table37['#Survival based on Inventory])</f>
        <v>2673</v>
      </c>
      <c r="S320" s="16">
        <f>Table11[[#This Row],['#Planted]]*Table11[[#This Row],[USA Allocation %]]*Table11[[#This Row],[2024 Inventory Survival%-master]]</f>
        <v>2673</v>
      </c>
      <c r="T320" s="16">
        <f>Table11[[#This Row],['#Planted]]*Table11[[#This Row],[USA Allocation %]]*Table11[[#This Row],[2024 Estimated Survival%]]</f>
        <v>2667.5</v>
      </c>
      <c r="U320">
        <f>Table11[[#This Row],[ETP Year]]</f>
        <v>2021</v>
      </c>
      <c r="V320">
        <f>Table11[[#This Row],[Planting Year]]</f>
        <v>2022</v>
      </c>
      <c r="W320" s="8">
        <f>Table11[[#This Row],[Survival% as of 12/31/23]]</f>
        <v>1</v>
      </c>
      <c r="X320" s="7">
        <f>Table11[[#This Row],[ETP'#s]]</f>
        <v>1</v>
      </c>
    </row>
    <row r="321" spans="1:24" x14ac:dyDescent="0.25">
      <c r="A321">
        <f>Table11[[#This Row],[Farmer'#]]</f>
        <v>40031</v>
      </c>
      <c r="B321" t="str">
        <f>Table11[[#This Row],[Representative]]</f>
        <v>Jose Armando Carbajal Ocampo</v>
      </c>
      <c r="C321" t="str">
        <f>Table11[[#This Row],[Contract Name]]</f>
        <v>Jose Armando Carbajal Ocampo</v>
      </c>
      <c r="D321" t="str">
        <f>Table11[[#This Row],[Status]]</f>
        <v>Active</v>
      </c>
      <c r="E321" t="str">
        <f>Table11[[#This Row],[Contract Code]]</f>
        <v>MX0032</v>
      </c>
      <c r="F321" s="16">
        <f>Table11[[#This Row],['#TreesContract]]</f>
        <v>2750</v>
      </c>
      <c r="G321" s="16">
        <f>Table11[[#This Row],['#Planted]]</f>
        <v>2750</v>
      </c>
      <c r="H321" s="16">
        <f>Table11[[#This Row],['#TreesContract]]*Table11[[#This Row],[USA Allocation %]]</f>
        <v>2750</v>
      </c>
      <c r="I321" s="16">
        <f>Table11[[#This Row],['#Planted]]*Table11[[#This Row],[USA Allocation %]]</f>
        <v>2750</v>
      </c>
      <c r="J321" s="16">
        <f>Table11[[#This Row],[Contract Amendment]]*Table11[[#This Row],[USA Allocation %]]</f>
        <v>0</v>
      </c>
      <c r="K321" s="16">
        <f>Table11[[#This Row],['#Trees as of 12/31/23]]*Table11[[#This Row],[USA Allocation %]]</f>
        <v>2750</v>
      </c>
      <c r="L321" s="16">
        <f>Table11[[#This Row],['#Replace 24]]*Table11[[#This Row],[USA Allocation %]]</f>
        <v>0</v>
      </c>
      <c r="M321" s="16">
        <f>IF(Table11[[#This Row],[Planting Year]]=2024,Table11['#Planted],0)</f>
        <v>0</v>
      </c>
      <c r="N321" s="16">
        <f>(Table11[[#This Row],[2024 '#Trees Inventory + Estimate]]*Table11[[#This Row],[USA Allocation %]])-SUM(Table37[[#This Row],['# Trees as of 12/31/23]:[New Trees/Planted in 2024]])</f>
        <v>-324.5</v>
      </c>
      <c r="O321" s="16">
        <f>SUM(Table37[[#This Row],['# Trees as of 12/31/23]:[2024 Tree Losses]])</f>
        <v>2425.5</v>
      </c>
      <c r="P321" s="16">
        <f>SUM(Table37[[#This Row],[Total Trees as of 12/31/24]]-Table37[[#This Row],['# Trees as of 12/31/23]])</f>
        <v>-324.5</v>
      </c>
      <c r="Q321" s="16">
        <f>Table11[[#This Row],['#Total Replacements]]*Table11[[#This Row],[USA Allocation %]]</f>
        <v>3050</v>
      </c>
      <c r="R321" s="16">
        <f>IF(Table37[[#This Row],['#Survival based on Inventory]]=0,Table37['#Survival based on Last Year Estimate],Table37['#Survival based on Inventory])</f>
        <v>2425.5</v>
      </c>
      <c r="S321" s="16">
        <f>Table11[[#This Row],['#Planted]]*Table11[[#This Row],[USA Allocation %]]*Table11[[#This Row],[2024 Inventory Survival%-master]]</f>
        <v>2425.5</v>
      </c>
      <c r="T321" s="16">
        <f>Table11[[#This Row],['#Planted]]*Table11[[#This Row],[USA Allocation %]]*Table11[[#This Row],[2024 Estimated Survival%]]</f>
        <v>2420</v>
      </c>
      <c r="U321">
        <f>Table11[[#This Row],[ETP Year]]</f>
        <v>2021</v>
      </c>
      <c r="V321">
        <f>Table11[[#This Row],[Planting Year]]</f>
        <v>2022</v>
      </c>
      <c r="W321" s="8">
        <f>Table11[[#This Row],[Survival% as of 12/31/23]]</f>
        <v>1</v>
      </c>
      <c r="X321" s="7">
        <f>Table11[[#This Row],[ETP'#s]]</f>
        <v>1</v>
      </c>
    </row>
    <row r="322" spans="1:24" x14ac:dyDescent="0.25">
      <c r="A322">
        <f>Table11[[#This Row],[Farmer'#]]</f>
        <v>40032</v>
      </c>
      <c r="B322" t="str">
        <f>Table11[[#This Row],[Representative]]</f>
        <v>Lucas Raudas Guitierrez</v>
      </c>
      <c r="C322" t="str">
        <f>Table11[[#This Row],[Contract Name]]</f>
        <v>Lucas Raudas Guitierrez</v>
      </c>
      <c r="D322" t="str">
        <f>Table11[[#This Row],[Status]]</f>
        <v>Active</v>
      </c>
      <c r="E322" t="str">
        <f>Table11[[#This Row],[Contract Code]]</f>
        <v>MX0033</v>
      </c>
      <c r="F322" s="16">
        <f>Table11[[#This Row],['#TreesContract]]</f>
        <v>4716</v>
      </c>
      <c r="G322" s="16">
        <f>Table11[[#This Row],['#Planted]]</f>
        <v>4716</v>
      </c>
      <c r="H322" s="16">
        <f>Table11[[#This Row],['#TreesContract]]*Table11[[#This Row],[USA Allocation %]]</f>
        <v>4716</v>
      </c>
      <c r="I322" s="16">
        <f>Table11[[#This Row],['#Planted]]*Table11[[#This Row],[USA Allocation %]]</f>
        <v>4716</v>
      </c>
      <c r="J322" s="16">
        <f>Table11[[#This Row],[Contract Amendment]]*Table11[[#This Row],[USA Allocation %]]</f>
        <v>0</v>
      </c>
      <c r="K322" s="16">
        <f>Table11[[#This Row],['#Trees as of 12/31/23]]*Table11[[#This Row],[USA Allocation %]]</f>
        <v>4716</v>
      </c>
      <c r="L322" s="16">
        <f>Table11[[#This Row],['#Replace 24]]*Table11[[#This Row],[USA Allocation %]]</f>
        <v>0</v>
      </c>
      <c r="M322" s="16">
        <f>IF(Table11[[#This Row],[Planting Year]]=2024,Table11['#Planted],0)</f>
        <v>0</v>
      </c>
      <c r="N322" s="16">
        <f>(Table11[[#This Row],[2024 '#Trees Inventory + Estimate]]*Table11[[#This Row],[USA Allocation %]])-SUM(Table37[[#This Row],['# Trees as of 12/31/23]:[New Trees/Planted in 2024]])</f>
        <v>-287.67600000000039</v>
      </c>
      <c r="O322" s="16">
        <f>SUM(Table37[[#This Row],['# Trees as of 12/31/23]:[2024 Tree Losses]])</f>
        <v>4428.3239999999996</v>
      </c>
      <c r="P322" s="16">
        <f>SUM(Table37[[#This Row],[Total Trees as of 12/31/24]]-Table37[[#This Row],['# Trees as of 12/31/23]])</f>
        <v>-287.67600000000039</v>
      </c>
      <c r="Q322" s="16">
        <f>Table11[[#This Row],['#Total Replacements]]*Table11[[#This Row],[USA Allocation %]]</f>
        <v>3741</v>
      </c>
      <c r="R322" s="16">
        <f>IF(Table37[[#This Row],['#Survival based on Inventory]]=0,Table37['#Survival based on Last Year Estimate],Table37['#Survival based on Inventory])</f>
        <v>4428.3239999999996</v>
      </c>
      <c r="S322" s="16">
        <f>Table11[[#This Row],['#Planted]]*Table11[[#This Row],[USA Allocation %]]*Table11[[#This Row],[2024 Inventory Survival%-master]]</f>
        <v>4428.3239999999996</v>
      </c>
      <c r="T322" s="16">
        <f>Table11[[#This Row],['#Planted]]*Table11[[#This Row],[USA Allocation %]]*Table11[[#This Row],[2024 Estimated Survival%]]</f>
        <v>4433.04</v>
      </c>
      <c r="U322">
        <f>Table11[[#This Row],[ETP Year]]</f>
        <v>2021</v>
      </c>
      <c r="V322">
        <f>Table11[[#This Row],[Planting Year]]</f>
        <v>2022</v>
      </c>
      <c r="W322" s="8">
        <f>Table11[[#This Row],[Survival% as of 12/31/23]]</f>
        <v>1</v>
      </c>
      <c r="X322" s="7">
        <f>Table11[[#This Row],[ETP'#s]]</f>
        <v>1</v>
      </c>
    </row>
    <row r="323" spans="1:24" x14ac:dyDescent="0.25">
      <c r="A323">
        <f>Table11[[#This Row],[Farmer'#]]</f>
        <v>40033</v>
      </c>
      <c r="B323" t="str">
        <f>Table11[[#This Row],[Representative]]</f>
        <v>Pedro Molina Sanchez</v>
      </c>
      <c r="C323" t="str">
        <f>Table11[[#This Row],[Contract Name]]</f>
        <v>Pedro Molina Sanchez</v>
      </c>
      <c r="D323" t="str">
        <f>Table11[[#This Row],[Status]]</f>
        <v>Active</v>
      </c>
      <c r="E323" t="str">
        <f>Table11[[#This Row],[Contract Code]]</f>
        <v>MX0034</v>
      </c>
      <c r="F323" s="16">
        <f>Table11[[#This Row],['#TreesContract]]</f>
        <v>4400</v>
      </c>
      <c r="G323" s="16">
        <f>Table11[[#This Row],['#Planted]]</f>
        <v>4400</v>
      </c>
      <c r="H323" s="16">
        <f>Table11[[#This Row],['#TreesContract]]*Table11[[#This Row],[USA Allocation %]]</f>
        <v>4400</v>
      </c>
      <c r="I323" s="16">
        <f>Table11[[#This Row],['#Planted]]*Table11[[#This Row],[USA Allocation %]]</f>
        <v>4400</v>
      </c>
      <c r="J323" s="16">
        <f>Table11[[#This Row],[Contract Amendment]]*Table11[[#This Row],[USA Allocation %]]</f>
        <v>0</v>
      </c>
      <c r="K323" s="16">
        <f>Table11[[#This Row],['#Trees as of 12/31/23]]*Table11[[#This Row],[USA Allocation %]]</f>
        <v>4400</v>
      </c>
      <c r="L323" s="16">
        <f>Table11[[#This Row],['#Replace 24]]*Table11[[#This Row],[USA Allocation %]]</f>
        <v>0</v>
      </c>
      <c r="M323" s="16">
        <f>IF(Table11[[#This Row],[Planting Year]]=2024,Table11['#Planted],0)</f>
        <v>0</v>
      </c>
      <c r="N323" s="16">
        <f>(Table11[[#This Row],[2024 '#Trees Inventory + Estimate]]*Table11[[#This Row],[USA Allocation %]])-SUM(Table37[[#This Row],['# Trees as of 12/31/23]:[New Trees/Planted in 2024]])</f>
        <v>-4400</v>
      </c>
      <c r="O323" s="16">
        <f>SUM(Table37[[#This Row],['# Trees as of 12/31/23]:[2024 Tree Losses]])</f>
        <v>0</v>
      </c>
      <c r="P323" s="16">
        <f>SUM(Table37[[#This Row],[Total Trees as of 12/31/24]]-Table37[[#This Row],['# Trees as of 12/31/23]])</f>
        <v>-4400</v>
      </c>
      <c r="Q323" s="16">
        <f>Table11[[#This Row],['#Total Replacements]]*Table11[[#This Row],[USA Allocation %]]</f>
        <v>150</v>
      </c>
      <c r="R323" s="16">
        <f>IF(Table37[[#This Row],['#Survival based on Inventory]]=0,Table37['#Survival based on Last Year Estimate],Table37['#Survival based on Inventory])</f>
        <v>0</v>
      </c>
      <c r="S323" s="16">
        <f>Table11[[#This Row],['#Planted]]*Table11[[#This Row],[USA Allocation %]]*Table11[[#This Row],[2024 Inventory Survival%-master]]</f>
        <v>0</v>
      </c>
      <c r="T323" s="16">
        <f>Table11[[#This Row],['#Planted]]*Table11[[#This Row],[USA Allocation %]]*Table11[[#This Row],[2024 Estimated Survival%]]</f>
        <v>0</v>
      </c>
      <c r="U323">
        <f>Table11[[#This Row],[ETP Year]]</f>
        <v>2021</v>
      </c>
      <c r="V323">
        <f>Table11[[#This Row],[Planting Year]]</f>
        <v>2022</v>
      </c>
      <c r="W323" s="8">
        <f>Table11[[#This Row],[Survival% as of 12/31/23]]</f>
        <v>1</v>
      </c>
      <c r="X323" s="7">
        <f>Table11[[#This Row],[ETP'#s]]</f>
        <v>1</v>
      </c>
    </row>
    <row r="324" spans="1:24" x14ac:dyDescent="0.25">
      <c r="A324">
        <f>Table11[[#This Row],[Farmer'#]]</f>
        <v>40034</v>
      </c>
      <c r="B324" t="str">
        <f>Table11[[#This Row],[Representative]]</f>
        <v>Rafael Hernández Hernández</v>
      </c>
      <c r="C324" t="str">
        <f>Table11[[#This Row],[Contract Name]]</f>
        <v>Rafael Hernández Hernández</v>
      </c>
      <c r="D324" t="str">
        <f>Table11[[#This Row],[Status]]</f>
        <v>Active</v>
      </c>
      <c r="E324" t="str">
        <f>Table11[[#This Row],[Contract Code]]</f>
        <v>MX0035</v>
      </c>
      <c r="F324" s="16">
        <f>Table11[[#This Row],['#TreesContract]]</f>
        <v>2200</v>
      </c>
      <c r="G324" s="16">
        <f>Table11[[#This Row],['#Planted]]</f>
        <v>2200</v>
      </c>
      <c r="H324" s="16">
        <f>Table11[[#This Row],['#TreesContract]]*Table11[[#This Row],[USA Allocation %]]</f>
        <v>2200</v>
      </c>
      <c r="I324" s="16">
        <f>Table11[[#This Row],['#Planted]]*Table11[[#This Row],[USA Allocation %]]</f>
        <v>2200</v>
      </c>
      <c r="J324" s="16">
        <f>Table11[[#This Row],[Contract Amendment]]*Table11[[#This Row],[USA Allocation %]]</f>
        <v>0</v>
      </c>
      <c r="K324" s="16">
        <f>Table11[[#This Row],['#Trees as of 12/31/23]]*Table11[[#This Row],[USA Allocation %]]</f>
        <v>2200</v>
      </c>
      <c r="L324" s="16">
        <f>Table11[[#This Row],['#Replace 24]]*Table11[[#This Row],[USA Allocation %]]</f>
        <v>1500</v>
      </c>
      <c r="M324" s="16">
        <f>IF(Table11[[#This Row],[Planting Year]]=2024,Table11['#Planted],0)</f>
        <v>0</v>
      </c>
      <c r="N324" s="16">
        <f>(Table11[[#This Row],[2024 '#Trees Inventory + Estimate]]*Table11[[#This Row],[USA Allocation %]])-SUM(Table37[[#This Row],['# Trees as of 12/31/23]:[New Trees/Planted in 2024]])</f>
        <v>-1654</v>
      </c>
      <c r="O324" s="16">
        <f>SUM(Table37[[#This Row],['# Trees as of 12/31/23]:[2024 Tree Losses]])</f>
        <v>2046</v>
      </c>
      <c r="P324" s="16">
        <f>SUM(Table37[[#This Row],[Total Trees as of 12/31/24]]-Table37[[#This Row],['# Trees as of 12/31/23]])</f>
        <v>-154</v>
      </c>
      <c r="Q324" s="16">
        <f>Table11[[#This Row],['#Total Replacements]]*Table11[[#This Row],[USA Allocation %]]</f>
        <v>3691</v>
      </c>
      <c r="R324" s="16">
        <f>IF(Table37[[#This Row],['#Survival based on Inventory]]=0,Table37['#Survival based on Last Year Estimate],Table37['#Survival based on Inventory])</f>
        <v>2046</v>
      </c>
      <c r="S324" s="16">
        <f>Table11[[#This Row],['#Planted]]*Table11[[#This Row],[USA Allocation %]]*Table11[[#This Row],[2024 Inventory Survival%-master]]</f>
        <v>2046</v>
      </c>
      <c r="T324" s="16">
        <f>Table11[[#This Row],['#Planted]]*Table11[[#This Row],[USA Allocation %]]*Table11[[#This Row],[2024 Estimated Survival%]]</f>
        <v>2046</v>
      </c>
      <c r="U324">
        <f>Table11[[#This Row],[ETP Year]]</f>
        <v>2021</v>
      </c>
      <c r="V324">
        <f>Table11[[#This Row],[Planting Year]]</f>
        <v>2022</v>
      </c>
      <c r="W324" s="8">
        <f>Table11[[#This Row],[Survival% as of 12/31/23]]</f>
        <v>1</v>
      </c>
      <c r="X324" s="7">
        <f>Table11[[#This Row],[ETP'#s]]</f>
        <v>1</v>
      </c>
    </row>
    <row r="325" spans="1:24" x14ac:dyDescent="0.25">
      <c r="A325">
        <f>Table11[[#This Row],[Farmer'#]]</f>
        <v>40035</v>
      </c>
      <c r="B325" t="str">
        <f>Table11[[#This Row],[Representative]]</f>
        <v>Tito Soria</v>
      </c>
      <c r="C325" t="str">
        <f>Table11[[#This Row],[Contract Name]]</f>
        <v>Tito Soria</v>
      </c>
      <c r="D325" t="str">
        <f>Table11[[#This Row],[Status]]</f>
        <v>Active</v>
      </c>
      <c r="E325" t="str">
        <f>Table11[[#This Row],[Contract Code]]</f>
        <v>MX0036</v>
      </c>
      <c r="F325" s="16">
        <f>Table11[[#This Row],['#TreesContract]]</f>
        <v>2750</v>
      </c>
      <c r="G325" s="16">
        <f>Table11[[#This Row],['#Planted]]</f>
        <v>2750</v>
      </c>
      <c r="H325" s="16">
        <f>Table11[[#This Row],['#TreesContract]]*Table11[[#This Row],[USA Allocation %]]</f>
        <v>2750</v>
      </c>
      <c r="I325" s="16">
        <f>Table11[[#This Row],['#Planted]]*Table11[[#This Row],[USA Allocation %]]</f>
        <v>2750</v>
      </c>
      <c r="J325" s="16">
        <f>Table11[[#This Row],[Contract Amendment]]*Table11[[#This Row],[USA Allocation %]]</f>
        <v>0</v>
      </c>
      <c r="K325" s="16">
        <f>Table11[[#This Row],['#Trees as of 12/31/23]]*Table11[[#This Row],[USA Allocation %]]</f>
        <v>2750</v>
      </c>
      <c r="L325" s="16">
        <f>Table11[[#This Row],['#Replace 24]]*Table11[[#This Row],[USA Allocation %]]</f>
        <v>0</v>
      </c>
      <c r="M325" s="16">
        <f>IF(Table11[[#This Row],[Planting Year]]=2024,Table11['#Planted],0)</f>
        <v>0</v>
      </c>
      <c r="N325" s="16">
        <f>(Table11[[#This Row],[2024 '#Trees Inventory + Estimate]]*Table11[[#This Row],[USA Allocation %]])-SUM(Table37[[#This Row],['# Trees as of 12/31/23]:[New Trees/Planted in 2024]])</f>
        <v>-935</v>
      </c>
      <c r="O325" s="16">
        <f>SUM(Table37[[#This Row],['# Trees as of 12/31/23]:[2024 Tree Losses]])</f>
        <v>1815</v>
      </c>
      <c r="P325" s="16">
        <f>SUM(Table37[[#This Row],[Total Trees as of 12/31/24]]-Table37[[#This Row],['# Trees as of 12/31/23]])</f>
        <v>-935</v>
      </c>
      <c r="Q325" s="16">
        <f>Table11[[#This Row],['#Total Replacements]]*Table11[[#This Row],[USA Allocation %]]</f>
        <v>370</v>
      </c>
      <c r="R325" s="16">
        <f>IF(Table37[[#This Row],['#Survival based on Inventory]]=0,Table37['#Survival based on Last Year Estimate],Table37['#Survival based on Inventory])</f>
        <v>1815</v>
      </c>
      <c r="S325" s="16">
        <f>Table11[[#This Row],['#Planted]]*Table11[[#This Row],[USA Allocation %]]*Table11[[#This Row],[2024 Inventory Survival%-master]]</f>
        <v>1815</v>
      </c>
      <c r="T325" s="16">
        <f>Table11[[#This Row],['#Planted]]*Table11[[#This Row],[USA Allocation %]]*Table11[[#This Row],[2024 Estimated Survival%]]</f>
        <v>1815</v>
      </c>
      <c r="U325">
        <f>Table11[[#This Row],[ETP Year]]</f>
        <v>2021</v>
      </c>
      <c r="V325">
        <f>Table11[[#This Row],[Planting Year]]</f>
        <v>2022</v>
      </c>
      <c r="W325" s="8">
        <f>Table11[[#This Row],[Survival% as of 12/31/23]]</f>
        <v>1</v>
      </c>
      <c r="X325" s="7">
        <f>Table11[[#This Row],[ETP'#s]]</f>
        <v>1</v>
      </c>
    </row>
    <row r="326" spans="1:24" x14ac:dyDescent="0.25">
      <c r="A326">
        <f>Table11[[#This Row],[Farmer'#]]</f>
        <v>40036</v>
      </c>
      <c r="B326" t="str">
        <f>Table11[[#This Row],[Representative]]</f>
        <v>Ubaldo Guillermo Pérez Cruz</v>
      </c>
      <c r="C326" t="str">
        <f>Table11[[#This Row],[Contract Name]]</f>
        <v>Ubaldo Guillermo Pérez Cruz</v>
      </c>
      <c r="D326" t="str">
        <f>Table11[[#This Row],[Status]]</f>
        <v>Active</v>
      </c>
      <c r="E326" t="str">
        <f>Table11[[#This Row],[Contract Code]]</f>
        <v>MX0037</v>
      </c>
      <c r="F326" s="16">
        <f>Table11[[#This Row],['#TreesContract]]</f>
        <v>2750</v>
      </c>
      <c r="G326" s="16">
        <f>Table11[[#This Row],['#Planted]]</f>
        <v>2750</v>
      </c>
      <c r="H326" s="16">
        <f>Table11[[#This Row],['#TreesContract]]*Table11[[#This Row],[USA Allocation %]]</f>
        <v>2750</v>
      </c>
      <c r="I326" s="16">
        <f>Table11[[#This Row],['#Planted]]*Table11[[#This Row],[USA Allocation %]]</f>
        <v>2750</v>
      </c>
      <c r="J326" s="16">
        <f>Table11[[#This Row],[Contract Amendment]]*Table11[[#This Row],[USA Allocation %]]</f>
        <v>0</v>
      </c>
      <c r="K326" s="16">
        <f>Table11[[#This Row],['#Trees as of 12/31/23]]*Table11[[#This Row],[USA Allocation %]]</f>
        <v>2750</v>
      </c>
      <c r="L326" s="16">
        <f>Table11[[#This Row],['#Replace 24]]*Table11[[#This Row],[USA Allocation %]]</f>
        <v>0</v>
      </c>
      <c r="M326" s="16">
        <f>IF(Table11[[#This Row],[Planting Year]]=2024,Table11['#Planted],0)</f>
        <v>0</v>
      </c>
      <c r="N326" s="16">
        <f>(Table11[[#This Row],[2024 '#Trees Inventory + Estimate]]*Table11[[#This Row],[USA Allocation %]])-SUM(Table37[[#This Row],['# Trees as of 12/31/23]:[New Trees/Planted in 2024]])</f>
        <v>-2420</v>
      </c>
      <c r="O326" s="16">
        <f>SUM(Table37[[#This Row],['# Trees as of 12/31/23]:[2024 Tree Losses]])</f>
        <v>330</v>
      </c>
      <c r="P326" s="16">
        <f>SUM(Table37[[#This Row],[Total Trees as of 12/31/24]]-Table37[[#This Row],['# Trees as of 12/31/23]])</f>
        <v>-2420</v>
      </c>
      <c r="Q326" s="16">
        <f>Table11[[#This Row],['#Total Replacements]]*Table11[[#This Row],[USA Allocation %]]</f>
        <v>0</v>
      </c>
      <c r="R326" s="16">
        <f>IF(Table37[[#This Row],['#Survival based on Inventory]]=0,Table37['#Survival based on Last Year Estimate],Table37['#Survival based on Inventory])</f>
        <v>330</v>
      </c>
      <c r="S326" s="16">
        <f>Table11[[#This Row],['#Planted]]*Table11[[#This Row],[USA Allocation %]]*Table11[[#This Row],[2024 Inventory Survival%-master]]</f>
        <v>330</v>
      </c>
      <c r="T326" s="16">
        <f>Table11[[#This Row],['#Planted]]*Table11[[#This Row],[USA Allocation %]]*Table11[[#This Row],[2024 Estimated Survival%]]</f>
        <v>330</v>
      </c>
      <c r="U326">
        <f>Table11[[#This Row],[ETP Year]]</f>
        <v>2021</v>
      </c>
      <c r="V326">
        <f>Table11[[#This Row],[Planting Year]]</f>
        <v>2022</v>
      </c>
      <c r="W326" s="8">
        <f>Table11[[#This Row],[Survival% as of 12/31/23]]</f>
        <v>1</v>
      </c>
      <c r="X326" s="7">
        <f>Table11[[#This Row],[ETP'#s]]</f>
        <v>1</v>
      </c>
    </row>
    <row r="327" spans="1:24" x14ac:dyDescent="0.25">
      <c r="A327">
        <f>Table11[[#This Row],[Farmer'#]]</f>
        <v>10061</v>
      </c>
      <c r="B327" t="str">
        <f>Table11[[#This Row],[Representative]]</f>
        <v>Jim West</v>
      </c>
      <c r="C327" t="str">
        <f>Table11[[#This Row],[Contract Name]]</f>
        <v>Jim West</v>
      </c>
      <c r="D327" t="str">
        <f>Table11[[#This Row],[Status]]</f>
        <v>Active</v>
      </c>
      <c r="E327" t="str">
        <f>Table11[[#This Row],[Contract Code]]</f>
        <v>US0151</v>
      </c>
      <c r="F327" s="16">
        <f>Table11[[#This Row],['#TreesContract]]</f>
        <v>1100</v>
      </c>
      <c r="G327" s="16">
        <f>Table11[[#This Row],['#Planted]]</f>
        <v>1100</v>
      </c>
      <c r="H327" s="16">
        <f>Table11[[#This Row],['#TreesContract]]*Table11[[#This Row],[USA Allocation %]]</f>
        <v>1100</v>
      </c>
      <c r="I327" s="16">
        <f>Table11[[#This Row],['#Planted]]*Table11[[#This Row],[USA Allocation %]]</f>
        <v>1100</v>
      </c>
      <c r="J327" s="16">
        <f>Table11[[#This Row],[Contract Amendment]]*Table11[[#This Row],[USA Allocation %]]</f>
        <v>0</v>
      </c>
      <c r="K327" s="16">
        <f>Table11[[#This Row],['#Trees as of 12/31/23]]*Table11[[#This Row],[USA Allocation %]]</f>
        <v>1100</v>
      </c>
      <c r="L327" s="16">
        <f>Table11[[#This Row],['#Replace 24]]*Table11[[#This Row],[USA Allocation %]]</f>
        <v>90</v>
      </c>
      <c r="M327" s="16">
        <f>IF(Table11[[#This Row],[Planting Year]]=2024,Table11['#Planted],0)</f>
        <v>0</v>
      </c>
      <c r="N327" s="16">
        <f>(Table11[[#This Row],[2024 '#Trees Inventory + Estimate]]*Table11[[#This Row],[USA Allocation %]])-SUM(Table37[[#This Row],['# Trees as of 12/31/23]:[New Trees/Planted in 2024]])</f>
        <v>-90</v>
      </c>
      <c r="O327" s="16">
        <f>SUM(Table37[[#This Row],['# Trees as of 12/31/23]:[2024 Tree Losses]])</f>
        <v>1100</v>
      </c>
      <c r="P327" s="16">
        <f>SUM(Table37[[#This Row],[Total Trees as of 12/31/24]]-Table37[[#This Row],['# Trees as of 12/31/23]])</f>
        <v>0</v>
      </c>
      <c r="Q327" s="16">
        <f>Table11[[#This Row],['#Total Replacements]]*Table11[[#This Row],[USA Allocation %]]</f>
        <v>90</v>
      </c>
      <c r="R327" s="16">
        <f>IF(Table37[[#This Row],['#Survival based on Inventory]]=0,Table37['#Survival based on Last Year Estimate],Table37['#Survival based on Inventory])</f>
        <v>1100</v>
      </c>
      <c r="S327" s="16">
        <f>Table11[[#This Row],['#Planted]]*Table11[[#This Row],[USA Allocation %]]*Table11[[#This Row],[2024 Inventory Survival%-master]]</f>
        <v>0</v>
      </c>
      <c r="T327" s="16">
        <f>Table11[[#This Row],['#Planted]]*Table11[[#This Row],[USA Allocation %]]*Table11[[#This Row],[2024 Estimated Survival%]]</f>
        <v>1100</v>
      </c>
      <c r="U327">
        <f>Table11[[#This Row],[ETP Year]]</f>
        <v>2021</v>
      </c>
      <c r="V327">
        <f>Table11[[#This Row],[Planting Year]]</f>
        <v>2023</v>
      </c>
      <c r="W327" s="8">
        <f>Table11[[#This Row],[Survival% as of 12/31/23]]</f>
        <v>1</v>
      </c>
      <c r="X327" s="7">
        <f>Table11[[#This Row],[ETP'#s]]</f>
        <v>1</v>
      </c>
    </row>
    <row r="328" spans="1:24" x14ac:dyDescent="0.25">
      <c r="A328">
        <f>Table11[[#This Row],[Farmer'#]]</f>
        <v>10094</v>
      </c>
      <c r="B328" t="str">
        <f>Table11[[#This Row],[Representative]]</f>
        <v>Kyle Flint</v>
      </c>
      <c r="C328" t="str">
        <f>Table11[[#This Row],[Contract Name]]</f>
        <v>Kyle Flint</v>
      </c>
      <c r="D328" t="str">
        <f>Table11[[#This Row],[Status]]</f>
        <v>Active</v>
      </c>
      <c r="E328" t="str">
        <f>Table11[[#This Row],[Contract Code]]</f>
        <v>US0152</v>
      </c>
      <c r="F328" s="16">
        <f>Table11[[#This Row],['#TreesContract]]</f>
        <v>1100</v>
      </c>
      <c r="G328" s="16">
        <f>Table11[[#This Row],['#Planted]]</f>
        <v>1100</v>
      </c>
      <c r="H328" s="16">
        <f>Table11[[#This Row],['#TreesContract]]*Table11[[#This Row],[USA Allocation %]]</f>
        <v>1100</v>
      </c>
      <c r="I328" s="16">
        <f>Table11[[#This Row],['#Planted]]*Table11[[#This Row],[USA Allocation %]]</f>
        <v>1100</v>
      </c>
      <c r="J328" s="16">
        <f>Table11[[#This Row],[Contract Amendment]]*Table11[[#This Row],[USA Allocation %]]</f>
        <v>0</v>
      </c>
      <c r="K328" s="16">
        <f>Table11[[#This Row],['#Trees as of 12/31/23]]*Table11[[#This Row],[USA Allocation %]]</f>
        <v>1100</v>
      </c>
      <c r="L328" s="16">
        <f>Table11[[#This Row],['#Replace 24]]*Table11[[#This Row],[USA Allocation %]]</f>
        <v>0</v>
      </c>
      <c r="M328" s="16">
        <f>IF(Table11[[#This Row],[Planting Year]]=2024,Table11['#Planted],0)</f>
        <v>0</v>
      </c>
      <c r="N328" s="16">
        <f>(Table11[[#This Row],[2024 '#Trees Inventory + Estimate]]*Table11[[#This Row],[USA Allocation %]])-SUM(Table37[[#This Row],['# Trees as of 12/31/23]:[New Trees/Planted in 2024]])</f>
        <v>-550</v>
      </c>
      <c r="O328" s="16">
        <f>SUM(Table37[[#This Row],['# Trees as of 12/31/23]:[2024 Tree Losses]])</f>
        <v>550</v>
      </c>
      <c r="P328" s="16">
        <f>SUM(Table37[[#This Row],[Total Trees as of 12/31/24]]-Table37[[#This Row],['# Trees as of 12/31/23]])</f>
        <v>-550</v>
      </c>
      <c r="Q328" s="16">
        <f>Table11[[#This Row],['#Total Replacements]]*Table11[[#This Row],[USA Allocation %]]</f>
        <v>0</v>
      </c>
      <c r="R328" s="16">
        <f>IF(Table37[[#This Row],['#Survival based on Inventory]]=0,Table37['#Survival based on Last Year Estimate],Table37['#Survival based on Inventory])</f>
        <v>1100</v>
      </c>
      <c r="S328" s="16">
        <f>Table11[[#This Row],['#Planted]]*Table11[[#This Row],[USA Allocation %]]*Table11[[#This Row],[2024 Inventory Survival%-master]]</f>
        <v>0</v>
      </c>
      <c r="T328" s="16">
        <f>Table11[[#This Row],['#Planted]]*Table11[[#This Row],[USA Allocation %]]*Table11[[#This Row],[2024 Estimated Survival%]]</f>
        <v>1100</v>
      </c>
      <c r="U328">
        <f>Table11[[#This Row],[ETP Year]]</f>
        <v>2021</v>
      </c>
      <c r="V328">
        <f>Table11[[#This Row],[Planting Year]]</f>
        <v>2023</v>
      </c>
      <c r="W328" s="8">
        <f>Table11[[#This Row],[Survival% as of 12/31/23]]</f>
        <v>1</v>
      </c>
      <c r="X328" s="7">
        <f>Table11[[#This Row],[ETP'#s]]</f>
        <v>1</v>
      </c>
    </row>
    <row r="329" spans="1:24" x14ac:dyDescent="0.25">
      <c r="A329">
        <f>Table11[[#This Row],[Farmer'#]]</f>
        <v>10110</v>
      </c>
      <c r="B329" t="str">
        <f>Table11[[#This Row],[Representative]]</f>
        <v>David Hall</v>
      </c>
      <c r="C329" t="str">
        <f>Table11[[#This Row],[Contract Name]]</f>
        <v>David Hall</v>
      </c>
      <c r="D329" t="str">
        <f>Table11[[#This Row],[Status]]</f>
        <v>Active</v>
      </c>
      <c r="E329" t="str">
        <f>Table11[[#This Row],[Contract Code]]</f>
        <v>US0148</v>
      </c>
      <c r="F329" s="16">
        <f>Table11[[#This Row],['#TreesContract]]</f>
        <v>1100</v>
      </c>
      <c r="G329" s="16">
        <f>Table11[[#This Row],['#Planted]]</f>
        <v>1100</v>
      </c>
      <c r="H329" s="16">
        <f>Table11[[#This Row],['#TreesContract]]*Table11[[#This Row],[USA Allocation %]]</f>
        <v>1100</v>
      </c>
      <c r="I329" s="16">
        <f>Table11[[#This Row],['#Planted]]*Table11[[#This Row],[USA Allocation %]]</f>
        <v>1100</v>
      </c>
      <c r="J329" s="16">
        <f>Table11[[#This Row],[Contract Amendment]]*Table11[[#This Row],[USA Allocation %]]</f>
        <v>0</v>
      </c>
      <c r="K329" s="16">
        <f>Table11[[#This Row],['#Trees as of 12/31/23]]*Table11[[#This Row],[USA Allocation %]]</f>
        <v>1100</v>
      </c>
      <c r="L329" s="16">
        <f>Table11[[#This Row],['#Replace 24]]*Table11[[#This Row],[USA Allocation %]]</f>
        <v>0</v>
      </c>
      <c r="M329" s="16">
        <f>IF(Table11[[#This Row],[Planting Year]]=2024,Table11['#Planted],0)</f>
        <v>0</v>
      </c>
      <c r="N329" s="16">
        <f>(Table11[[#This Row],[2024 '#Trees Inventory + Estimate]]*Table11[[#This Row],[USA Allocation %]])-SUM(Table37[[#This Row],['# Trees as of 12/31/23]:[New Trees/Planted in 2024]])</f>
        <v>0</v>
      </c>
      <c r="O329" s="16">
        <f>SUM(Table37[[#This Row],['# Trees as of 12/31/23]:[2024 Tree Losses]])</f>
        <v>1100</v>
      </c>
      <c r="P329" s="16">
        <f>SUM(Table37[[#This Row],[Total Trees as of 12/31/24]]-Table37[[#This Row],['# Trees as of 12/31/23]])</f>
        <v>0</v>
      </c>
      <c r="Q329" s="16">
        <f>Table11[[#This Row],['#Total Replacements]]*Table11[[#This Row],[USA Allocation %]]</f>
        <v>34</v>
      </c>
      <c r="R329" s="16">
        <f>IF(Table37[[#This Row],['#Survival based on Inventory]]=0,Table37['#Survival based on Last Year Estimate],Table37['#Survival based on Inventory])</f>
        <v>1100</v>
      </c>
      <c r="S329" s="16">
        <f>Table11[[#This Row],['#Planted]]*Table11[[#This Row],[USA Allocation %]]*Table11[[#This Row],[2024 Inventory Survival%-master]]</f>
        <v>0</v>
      </c>
      <c r="T329" s="16">
        <f>Table11[[#This Row],['#Planted]]*Table11[[#This Row],[USA Allocation %]]*Table11[[#This Row],[2024 Estimated Survival%]]</f>
        <v>1100</v>
      </c>
      <c r="U329">
        <f>Table11[[#This Row],[ETP Year]]</f>
        <v>2021</v>
      </c>
      <c r="V329">
        <f>Table11[[#This Row],[Planting Year]]</f>
        <v>2023</v>
      </c>
      <c r="W329" s="8">
        <f>Table11[[#This Row],[Survival% as of 12/31/23]]</f>
        <v>1</v>
      </c>
      <c r="X329" s="7">
        <f>Table11[[#This Row],[ETP'#s]]</f>
        <v>1</v>
      </c>
    </row>
    <row r="330" spans="1:24" x14ac:dyDescent="0.25">
      <c r="A330">
        <f>Table11[[#This Row],[Farmer'#]]</f>
        <v>10116</v>
      </c>
      <c r="B330" t="str">
        <f>Table11[[#This Row],[Representative]]</f>
        <v>Rob Cason</v>
      </c>
      <c r="C330" t="str">
        <f>Table11[[#This Row],[Contract Name]]</f>
        <v>Rob Cason</v>
      </c>
      <c r="D330" t="str">
        <f>Table11[[#This Row],[Status]]</f>
        <v>Active</v>
      </c>
      <c r="E330" t="str">
        <f>Table11[[#This Row],[Contract Code]]</f>
        <v>US0153</v>
      </c>
      <c r="F330" s="16">
        <f>Table11[[#This Row],['#TreesContract]]</f>
        <v>1430</v>
      </c>
      <c r="G330" s="16">
        <f>Table11[[#This Row],['#Planted]]</f>
        <v>1430</v>
      </c>
      <c r="H330" s="16">
        <f>Table11[[#This Row],['#TreesContract]]*Table11[[#This Row],[USA Allocation %]]</f>
        <v>1430</v>
      </c>
      <c r="I330" s="16">
        <f>Table11[[#This Row],['#Planted]]*Table11[[#This Row],[USA Allocation %]]</f>
        <v>1430</v>
      </c>
      <c r="J330" s="16">
        <f>Table11[[#This Row],[Contract Amendment]]*Table11[[#This Row],[USA Allocation %]]</f>
        <v>0</v>
      </c>
      <c r="K330" s="16">
        <f>Table11[[#This Row],['#Trees as of 12/31/23]]*Table11[[#This Row],[USA Allocation %]]</f>
        <v>1430</v>
      </c>
      <c r="L330" s="16">
        <f>Table11[[#This Row],['#Replace 24]]*Table11[[#This Row],[USA Allocation %]]</f>
        <v>0</v>
      </c>
      <c r="M330" s="16">
        <f>IF(Table11[[#This Row],[Planting Year]]=2024,Table11['#Planted],0)</f>
        <v>0</v>
      </c>
      <c r="N330" s="16">
        <f>(Table11[[#This Row],[2024 '#Trees Inventory + Estimate]]*Table11[[#This Row],[USA Allocation %]])-SUM(Table37[[#This Row],['# Trees as of 12/31/23]:[New Trees/Planted in 2024]])</f>
        <v>0</v>
      </c>
      <c r="O330" s="16">
        <f>SUM(Table37[[#This Row],['# Trees as of 12/31/23]:[2024 Tree Losses]])</f>
        <v>1430</v>
      </c>
      <c r="P330" s="16">
        <f>SUM(Table37[[#This Row],[Total Trees as of 12/31/24]]-Table37[[#This Row],['# Trees as of 12/31/23]])</f>
        <v>0</v>
      </c>
      <c r="Q330" s="16">
        <f>Table11[[#This Row],['#Total Replacements]]*Table11[[#This Row],[USA Allocation %]]</f>
        <v>19</v>
      </c>
      <c r="R330" s="16">
        <f>IF(Table37[[#This Row],['#Survival based on Inventory]]=0,Table37['#Survival based on Last Year Estimate],Table37['#Survival based on Inventory])</f>
        <v>1430</v>
      </c>
      <c r="S330" s="16">
        <f>Table11[[#This Row],['#Planted]]*Table11[[#This Row],[USA Allocation %]]*Table11[[#This Row],[2024 Inventory Survival%-master]]</f>
        <v>0</v>
      </c>
      <c r="T330" s="16">
        <f>Table11[[#This Row],['#Planted]]*Table11[[#This Row],[USA Allocation %]]*Table11[[#This Row],[2024 Estimated Survival%]]</f>
        <v>1430</v>
      </c>
      <c r="U330">
        <f>Table11[[#This Row],[ETP Year]]</f>
        <v>2022</v>
      </c>
      <c r="V330">
        <f>Table11[[#This Row],[Planting Year]]</f>
        <v>2023</v>
      </c>
      <c r="W330" s="8">
        <f>Table11[[#This Row],[Survival% as of 12/31/23]]</f>
        <v>1</v>
      </c>
      <c r="X330" s="7">
        <f>Table11[[#This Row],[ETP'#s]]</f>
        <v>1</v>
      </c>
    </row>
    <row r="331" spans="1:24" x14ac:dyDescent="0.25">
      <c r="A331">
        <f>Table11[[#This Row],[Farmer'#]]</f>
        <v>10120</v>
      </c>
      <c r="B331" t="str">
        <f>Table11[[#This Row],[Representative]]</f>
        <v>Andy McCormick</v>
      </c>
      <c r="C331" t="str">
        <f>Table11[[#This Row],[Contract Name]]</f>
        <v>Andy McCormick</v>
      </c>
      <c r="D331" t="str">
        <f>Table11[[#This Row],[Status]]</f>
        <v>Active</v>
      </c>
      <c r="E331" t="str">
        <f>Table11[[#This Row],[Contract Code]]</f>
        <v>US0145</v>
      </c>
      <c r="F331" s="16">
        <f>Table11[[#This Row],['#TreesContract]]</f>
        <v>1650</v>
      </c>
      <c r="G331" s="16">
        <f>Table11[[#This Row],['#Planted]]</f>
        <v>1650</v>
      </c>
      <c r="H331" s="16">
        <f>Table11[[#This Row],['#TreesContract]]*Table11[[#This Row],[USA Allocation %]]</f>
        <v>1650</v>
      </c>
      <c r="I331" s="16">
        <f>Table11[[#This Row],['#Planted]]*Table11[[#This Row],[USA Allocation %]]</f>
        <v>1650</v>
      </c>
      <c r="J331" s="16">
        <f>Table11[[#This Row],[Contract Amendment]]*Table11[[#This Row],[USA Allocation %]]</f>
        <v>0</v>
      </c>
      <c r="K331" s="16">
        <f>Table11[[#This Row],['#Trees as of 12/31/23]]*Table11[[#This Row],[USA Allocation %]]</f>
        <v>1650</v>
      </c>
      <c r="L331" s="16">
        <f>Table11[[#This Row],['#Replace 24]]*Table11[[#This Row],[USA Allocation %]]</f>
        <v>200</v>
      </c>
      <c r="M331" s="16">
        <f>IF(Table11[[#This Row],[Planting Year]]=2024,Table11['#Planted],0)</f>
        <v>0</v>
      </c>
      <c r="N331" s="16">
        <f>(Table11[[#This Row],[2024 '#Trees Inventory + Estimate]]*Table11[[#This Row],[USA Allocation %]])-SUM(Table37[[#This Row],['# Trees as of 12/31/23]:[New Trees/Planted in 2024]])</f>
        <v>-200</v>
      </c>
      <c r="O331" s="16">
        <f>SUM(Table37[[#This Row],['# Trees as of 12/31/23]:[2024 Tree Losses]])</f>
        <v>1650</v>
      </c>
      <c r="P331" s="16">
        <f>SUM(Table37[[#This Row],[Total Trees as of 12/31/24]]-Table37[[#This Row],['# Trees as of 12/31/23]])</f>
        <v>0</v>
      </c>
      <c r="Q331" s="16">
        <f>Table11[[#This Row],['#Total Replacements]]*Table11[[#This Row],[USA Allocation %]]</f>
        <v>200</v>
      </c>
      <c r="R331" s="16">
        <f>IF(Table37[[#This Row],['#Survival based on Inventory]]=0,Table37['#Survival based on Last Year Estimate],Table37['#Survival based on Inventory])</f>
        <v>1650</v>
      </c>
      <c r="S331" s="16">
        <f>Table11[[#This Row],['#Planted]]*Table11[[#This Row],[USA Allocation %]]*Table11[[#This Row],[2024 Inventory Survival%-master]]</f>
        <v>0</v>
      </c>
      <c r="T331" s="16">
        <f>Table11[[#This Row],['#Planted]]*Table11[[#This Row],[USA Allocation %]]*Table11[[#This Row],[2024 Estimated Survival%]]</f>
        <v>1650</v>
      </c>
      <c r="U331">
        <f>Table11[[#This Row],[ETP Year]]</f>
        <v>2021</v>
      </c>
      <c r="V331">
        <f>Table11[[#This Row],[Planting Year]]</f>
        <v>2023</v>
      </c>
      <c r="W331" s="8">
        <f>Table11[[#This Row],[Survival% as of 12/31/23]]</f>
        <v>1</v>
      </c>
      <c r="X331" s="7">
        <f>Table11[[#This Row],[ETP'#s]]</f>
        <v>1</v>
      </c>
    </row>
    <row r="332" spans="1:24" x14ac:dyDescent="0.25">
      <c r="A332">
        <f>Table11[[#This Row],[Farmer'#]]</f>
        <v>10121</v>
      </c>
      <c r="B332" t="str">
        <f>Table11[[#This Row],[Representative]]</f>
        <v>Clinton Hardie</v>
      </c>
      <c r="C332" t="str">
        <f>Table11[[#This Row],[Contract Name]]</f>
        <v>Anita J Hardie</v>
      </c>
      <c r="D332" t="str">
        <f>Table11[[#This Row],[Status]]</f>
        <v>Active</v>
      </c>
      <c r="E332" t="str">
        <f>Table11[[#This Row],[Contract Code]]</f>
        <v>US0146</v>
      </c>
      <c r="F332" s="16">
        <f>Table11[[#This Row],['#TreesContract]]</f>
        <v>2800</v>
      </c>
      <c r="G332" s="16">
        <f>Table11[[#This Row],['#Planted]]</f>
        <v>2800</v>
      </c>
      <c r="H332" s="16">
        <f>Table11[[#This Row],['#TreesContract]]*Table11[[#This Row],[USA Allocation %]]</f>
        <v>2800</v>
      </c>
      <c r="I332" s="16">
        <f>Table11[[#This Row],['#Planted]]*Table11[[#This Row],[USA Allocation %]]</f>
        <v>2800</v>
      </c>
      <c r="J332" s="16">
        <f>Table11[[#This Row],[Contract Amendment]]*Table11[[#This Row],[USA Allocation %]]</f>
        <v>0</v>
      </c>
      <c r="K332" s="16">
        <f>Table11[[#This Row],['#Trees as of 12/31/23]]*Table11[[#This Row],[USA Allocation %]]</f>
        <v>2800</v>
      </c>
      <c r="L332" s="16">
        <f>Table11[[#This Row],['#Replace 24]]*Table11[[#This Row],[USA Allocation %]]</f>
        <v>475</v>
      </c>
      <c r="M332" s="16">
        <f>IF(Table11[[#This Row],[Planting Year]]=2024,Table11['#Planted],0)</f>
        <v>0</v>
      </c>
      <c r="N332" s="16">
        <f>(Table11[[#This Row],[2024 '#Trees Inventory + Estimate]]*Table11[[#This Row],[USA Allocation %]])-SUM(Table37[[#This Row],['# Trees as of 12/31/23]:[New Trees/Planted in 2024]])</f>
        <v>-475</v>
      </c>
      <c r="O332" s="16">
        <f>SUM(Table37[[#This Row],['# Trees as of 12/31/23]:[2024 Tree Losses]])</f>
        <v>2800</v>
      </c>
      <c r="P332" s="16">
        <f>SUM(Table37[[#This Row],[Total Trees as of 12/31/24]]-Table37[[#This Row],['# Trees as of 12/31/23]])</f>
        <v>0</v>
      </c>
      <c r="Q332" s="16">
        <f>Table11[[#This Row],['#Total Replacements]]*Table11[[#This Row],[USA Allocation %]]</f>
        <v>762</v>
      </c>
      <c r="R332" s="16">
        <f>IF(Table37[[#This Row],['#Survival based on Inventory]]=0,Table37['#Survival based on Last Year Estimate],Table37['#Survival based on Inventory])</f>
        <v>2800</v>
      </c>
      <c r="S332" s="16">
        <f>Table11[[#This Row],['#Planted]]*Table11[[#This Row],[USA Allocation %]]*Table11[[#This Row],[2024 Inventory Survival%-master]]</f>
        <v>0</v>
      </c>
      <c r="T332" s="16">
        <f>Table11[[#This Row],['#Planted]]*Table11[[#This Row],[USA Allocation %]]*Table11[[#This Row],[2024 Estimated Survival%]]</f>
        <v>2800</v>
      </c>
      <c r="U332">
        <f>Table11[[#This Row],[ETP Year]]</f>
        <v>2021</v>
      </c>
      <c r="V332">
        <f>Table11[[#This Row],[Planting Year]]</f>
        <v>2023</v>
      </c>
      <c r="W332" s="8">
        <f>Table11[[#This Row],[Survival% as of 12/31/23]]</f>
        <v>1</v>
      </c>
      <c r="X332" s="7">
        <f>Table11[[#This Row],[ETP'#s]]</f>
        <v>1</v>
      </c>
    </row>
    <row r="333" spans="1:24" x14ac:dyDescent="0.25">
      <c r="A333">
        <f>Table11[[#This Row],[Farmer'#]]</f>
        <v>10122</v>
      </c>
      <c r="B333" t="str">
        <f>Table11[[#This Row],[Representative]]</f>
        <v>Colin McCulley</v>
      </c>
      <c r="C333" t="str">
        <f>Table11[[#This Row],[Contract Name]]</f>
        <v>Colin McCulley</v>
      </c>
      <c r="D333" t="str">
        <f>Table11[[#This Row],[Status]]</f>
        <v>Active</v>
      </c>
      <c r="E333" t="str">
        <f>Table11[[#This Row],[Contract Code]]</f>
        <v>US0147</v>
      </c>
      <c r="F333" s="16">
        <f>Table11[[#This Row],['#TreesContract]]</f>
        <v>1320</v>
      </c>
      <c r="G333" s="16">
        <f>Table11[[#This Row],['#Planted]]</f>
        <v>1320</v>
      </c>
      <c r="H333" s="16">
        <f>Table11[[#This Row],['#TreesContract]]*Table11[[#This Row],[USA Allocation %]]</f>
        <v>1320</v>
      </c>
      <c r="I333" s="16">
        <f>Table11[[#This Row],['#Planted]]*Table11[[#This Row],[USA Allocation %]]</f>
        <v>1320</v>
      </c>
      <c r="J333" s="16">
        <f>Table11[[#This Row],[Contract Amendment]]*Table11[[#This Row],[USA Allocation %]]</f>
        <v>0</v>
      </c>
      <c r="K333" s="16">
        <f>Table11[[#This Row],['#Trees as of 12/31/23]]*Table11[[#This Row],[USA Allocation %]]</f>
        <v>1320</v>
      </c>
      <c r="L333" s="16">
        <f>Table11[[#This Row],['#Replace 24]]*Table11[[#This Row],[USA Allocation %]]</f>
        <v>75</v>
      </c>
      <c r="M333" s="16">
        <f>IF(Table11[[#This Row],[Planting Year]]=2024,Table11['#Planted],0)</f>
        <v>0</v>
      </c>
      <c r="N333" s="16">
        <f>(Table11[[#This Row],[2024 '#Trees Inventory + Estimate]]*Table11[[#This Row],[USA Allocation %]])-SUM(Table37[[#This Row],['# Trees as of 12/31/23]:[New Trees/Planted in 2024]])</f>
        <v>-75</v>
      </c>
      <c r="O333" s="16">
        <f>SUM(Table37[[#This Row],['# Trees as of 12/31/23]:[2024 Tree Losses]])</f>
        <v>1320</v>
      </c>
      <c r="P333" s="16">
        <f>SUM(Table37[[#This Row],[Total Trees as of 12/31/24]]-Table37[[#This Row],['# Trees as of 12/31/23]])</f>
        <v>0</v>
      </c>
      <c r="Q333" s="16">
        <f>Table11[[#This Row],['#Total Replacements]]*Table11[[#This Row],[USA Allocation %]]</f>
        <v>162</v>
      </c>
      <c r="R333" s="16">
        <f>IF(Table37[[#This Row],['#Survival based on Inventory]]=0,Table37['#Survival based on Last Year Estimate],Table37['#Survival based on Inventory])</f>
        <v>1320</v>
      </c>
      <c r="S333" s="16">
        <f>Table11[[#This Row],['#Planted]]*Table11[[#This Row],[USA Allocation %]]*Table11[[#This Row],[2024 Inventory Survival%-master]]</f>
        <v>0</v>
      </c>
      <c r="T333" s="16">
        <f>Table11[[#This Row],['#Planted]]*Table11[[#This Row],[USA Allocation %]]*Table11[[#This Row],[2024 Estimated Survival%]]</f>
        <v>1320</v>
      </c>
      <c r="U333">
        <f>Table11[[#This Row],[ETP Year]]</f>
        <v>2021</v>
      </c>
      <c r="V333">
        <f>Table11[[#This Row],[Planting Year]]</f>
        <v>2023</v>
      </c>
      <c r="W333" s="8">
        <f>Table11[[#This Row],[Survival% as of 12/31/23]]</f>
        <v>1</v>
      </c>
      <c r="X333" s="7">
        <f>Table11[[#This Row],[ETP'#s]]</f>
        <v>1</v>
      </c>
    </row>
    <row r="334" spans="1:24" x14ac:dyDescent="0.25">
      <c r="A334">
        <f>Table11[[#This Row],[Farmer'#]]</f>
        <v>10123</v>
      </c>
      <c r="B334" t="str">
        <f>Table11[[#This Row],[Representative]]</f>
        <v>Greg Lumpkin</v>
      </c>
      <c r="C334" t="str">
        <f>Table11[[#This Row],[Contract Name]]</f>
        <v>WT Lumpkin Farms</v>
      </c>
      <c r="D334" t="str">
        <f>Table11[[#This Row],[Status]]</f>
        <v>Active</v>
      </c>
      <c r="E334" t="str">
        <f>Table11[[#This Row],[Contract Code]]</f>
        <v>US0149</v>
      </c>
      <c r="F334" s="16">
        <f>Table11[[#This Row],['#TreesContract]]</f>
        <v>2096</v>
      </c>
      <c r="G334" s="16">
        <f>Table11[[#This Row],['#Planted]]</f>
        <v>2096</v>
      </c>
      <c r="H334" s="16">
        <f>Table11[[#This Row],['#TreesContract]]*Table11[[#This Row],[USA Allocation %]]</f>
        <v>2096</v>
      </c>
      <c r="I334" s="16">
        <f>Table11[[#This Row],['#Planted]]*Table11[[#This Row],[USA Allocation %]]</f>
        <v>2096</v>
      </c>
      <c r="J334" s="16">
        <f>Table11[[#This Row],[Contract Amendment]]*Table11[[#This Row],[USA Allocation %]]</f>
        <v>0</v>
      </c>
      <c r="K334" s="16">
        <f>Table11[[#This Row],['#Trees as of 12/31/23]]*Table11[[#This Row],[USA Allocation %]]</f>
        <v>1760</v>
      </c>
      <c r="L334" s="16">
        <f>Table11[[#This Row],['#Replace 24]]*Table11[[#This Row],[USA Allocation %]]</f>
        <v>0</v>
      </c>
      <c r="M334" s="16">
        <f>IF(Table11[[#This Row],[Planting Year]]=2024,Table11['#Planted],0)</f>
        <v>0</v>
      </c>
      <c r="N334" s="16">
        <f>(Table11[[#This Row],[2024 '#Trees Inventory + Estimate]]*Table11[[#This Row],[USA Allocation %]])-SUM(Table37[[#This Row],['# Trees as of 12/31/23]:[New Trees/Planted in 2024]])</f>
        <v>0</v>
      </c>
      <c r="O334" s="16">
        <f>SUM(Table37[[#This Row],['# Trees as of 12/31/23]:[2024 Tree Losses]])</f>
        <v>1760</v>
      </c>
      <c r="P334" s="16">
        <f>SUM(Table37[[#This Row],[Total Trees as of 12/31/24]]-Table37[[#This Row],['# Trees as of 12/31/23]])</f>
        <v>0</v>
      </c>
      <c r="Q334" s="16">
        <f>Table11[[#This Row],['#Total Replacements]]*Table11[[#This Row],[USA Allocation %]]</f>
        <v>0</v>
      </c>
      <c r="R334" s="16">
        <f>IF(Table37[[#This Row],['#Survival based on Inventory]]=0,Table37['#Survival based on Last Year Estimate],Table37['#Survival based on Inventory])</f>
        <v>2096</v>
      </c>
      <c r="S334" s="16">
        <f>Table11[[#This Row],['#Planted]]*Table11[[#This Row],[USA Allocation %]]*Table11[[#This Row],[2024 Inventory Survival%-master]]</f>
        <v>0</v>
      </c>
      <c r="T334" s="16">
        <f>Table11[[#This Row],['#Planted]]*Table11[[#This Row],[USA Allocation %]]*Table11[[#This Row],[2024 Estimated Survival%]]</f>
        <v>2096</v>
      </c>
      <c r="U334">
        <f>Table11[[#This Row],[ETP Year]]</f>
        <v>2021</v>
      </c>
      <c r="V334">
        <f>Table11[[#This Row],[Planting Year]]</f>
        <v>2023</v>
      </c>
      <c r="W334" s="8">
        <f>Table11[[#This Row],[Survival% as of 12/31/23]]</f>
        <v>1</v>
      </c>
      <c r="X334" s="7">
        <f>Table11[[#This Row],[ETP'#s]]</f>
        <v>1</v>
      </c>
    </row>
    <row r="335" spans="1:24" x14ac:dyDescent="0.25">
      <c r="A335">
        <f>Table11[[#This Row],[Farmer'#]]</f>
        <v>10124</v>
      </c>
      <c r="B335" t="str">
        <f>Table11[[#This Row],[Representative]]</f>
        <v>Jim Lamberth</v>
      </c>
      <c r="C335" t="str">
        <f>Table11[[#This Row],[Contract Name]]</f>
        <v>James Lamberth</v>
      </c>
      <c r="D335" t="str">
        <f>Table11[[#This Row],[Status]]</f>
        <v>Active</v>
      </c>
      <c r="E335" t="str">
        <f>Table11[[#This Row],[Contract Code]]</f>
        <v>US0150</v>
      </c>
      <c r="F335" s="16">
        <f>Table11[[#This Row],['#TreesContract]]</f>
        <v>2200</v>
      </c>
      <c r="G335" s="16">
        <f>Table11[[#This Row],['#Planted]]</f>
        <v>2200</v>
      </c>
      <c r="H335" s="16">
        <f>Table11[[#This Row],['#TreesContract]]*Table11[[#This Row],[USA Allocation %]]</f>
        <v>2200</v>
      </c>
      <c r="I335" s="16">
        <f>Table11[[#This Row],['#Planted]]*Table11[[#This Row],[USA Allocation %]]</f>
        <v>2200</v>
      </c>
      <c r="J335" s="16">
        <f>Table11[[#This Row],[Contract Amendment]]*Table11[[#This Row],[USA Allocation %]]</f>
        <v>0</v>
      </c>
      <c r="K335" s="16">
        <f>Table11[[#This Row],['#Trees as of 12/31/23]]*Table11[[#This Row],[USA Allocation %]]</f>
        <v>2200</v>
      </c>
      <c r="L335" s="16">
        <f>Table11[[#This Row],['#Replace 24]]*Table11[[#This Row],[USA Allocation %]]</f>
        <v>200</v>
      </c>
      <c r="M335" s="16">
        <f>IF(Table11[[#This Row],[Planting Year]]=2024,Table11['#Planted],0)</f>
        <v>0</v>
      </c>
      <c r="N335" s="16">
        <f>(Table11[[#This Row],[2024 '#Trees Inventory + Estimate]]*Table11[[#This Row],[USA Allocation %]])-SUM(Table37[[#This Row],['# Trees as of 12/31/23]:[New Trees/Planted in 2024]])</f>
        <v>-200</v>
      </c>
      <c r="O335" s="16">
        <f>SUM(Table37[[#This Row],['# Trees as of 12/31/23]:[2024 Tree Losses]])</f>
        <v>2200</v>
      </c>
      <c r="P335" s="16">
        <f>SUM(Table37[[#This Row],[Total Trees as of 12/31/24]]-Table37[[#This Row],['# Trees as of 12/31/23]])</f>
        <v>0</v>
      </c>
      <c r="Q335" s="16">
        <f>Table11[[#This Row],['#Total Replacements]]*Table11[[#This Row],[USA Allocation %]]</f>
        <v>200</v>
      </c>
      <c r="R335" s="16">
        <f>IF(Table37[[#This Row],['#Survival based on Inventory]]=0,Table37['#Survival based on Last Year Estimate],Table37['#Survival based on Inventory])</f>
        <v>2200</v>
      </c>
      <c r="S335" s="16">
        <f>Table11[[#This Row],['#Planted]]*Table11[[#This Row],[USA Allocation %]]*Table11[[#This Row],[2024 Inventory Survival%-master]]</f>
        <v>0</v>
      </c>
      <c r="T335" s="16">
        <f>Table11[[#This Row],['#Planted]]*Table11[[#This Row],[USA Allocation %]]*Table11[[#This Row],[2024 Estimated Survival%]]</f>
        <v>2200</v>
      </c>
      <c r="U335">
        <f>Table11[[#This Row],[ETP Year]]</f>
        <v>2021</v>
      </c>
      <c r="V335">
        <f>Table11[[#This Row],[Planting Year]]</f>
        <v>2023</v>
      </c>
      <c r="W335" s="8">
        <f>Table11[[#This Row],[Survival% as of 12/31/23]]</f>
        <v>1</v>
      </c>
      <c r="X335" s="7">
        <f>Table11[[#This Row],[ETP'#s]]</f>
        <v>1</v>
      </c>
    </row>
    <row r="336" spans="1:24" x14ac:dyDescent="0.25">
      <c r="A336">
        <f>Table11[[#This Row],[Farmer'#]]</f>
        <v>10125</v>
      </c>
      <c r="B336" t="str">
        <f>Table11[[#This Row],[Representative]]</f>
        <v>Steve Carson</v>
      </c>
      <c r="C336" t="str">
        <f>Table11[[#This Row],[Contract Name]]</f>
        <v>Steve Carson</v>
      </c>
      <c r="D336" t="str">
        <f>Table11[[#This Row],[Status]]</f>
        <v>Active</v>
      </c>
      <c r="E336" t="str">
        <f>Table11[[#This Row],[Contract Code]]</f>
        <v>US0154</v>
      </c>
      <c r="F336" s="16">
        <f>Table11[[#This Row],['#TreesContract]]</f>
        <v>2750</v>
      </c>
      <c r="G336" s="16">
        <f>Table11[[#This Row],['#Planted]]</f>
        <v>2750</v>
      </c>
      <c r="H336" s="16">
        <f>Table11[[#This Row],['#TreesContract]]*Table11[[#This Row],[USA Allocation %]]</f>
        <v>2750</v>
      </c>
      <c r="I336" s="16">
        <f>Table11[[#This Row],['#Planted]]*Table11[[#This Row],[USA Allocation %]]</f>
        <v>2750</v>
      </c>
      <c r="J336" s="16">
        <f>Table11[[#This Row],[Contract Amendment]]*Table11[[#This Row],[USA Allocation %]]</f>
        <v>0</v>
      </c>
      <c r="K336" s="16">
        <f>Table11[[#This Row],['#Trees as of 12/31/23]]*Table11[[#This Row],[USA Allocation %]]</f>
        <v>2750</v>
      </c>
      <c r="L336" s="16">
        <f>Table11[[#This Row],['#Replace 24]]*Table11[[#This Row],[USA Allocation %]]</f>
        <v>550</v>
      </c>
      <c r="M336" s="16">
        <f>IF(Table11[[#This Row],[Planting Year]]=2024,Table11['#Planted],0)</f>
        <v>0</v>
      </c>
      <c r="N336" s="16">
        <f>(Table11[[#This Row],[2024 '#Trees Inventory + Estimate]]*Table11[[#This Row],[USA Allocation %]])-SUM(Table37[[#This Row],['# Trees as of 12/31/23]:[New Trees/Planted in 2024]])</f>
        <v>-550</v>
      </c>
      <c r="O336" s="16">
        <f>SUM(Table37[[#This Row],['# Trees as of 12/31/23]:[2024 Tree Losses]])</f>
        <v>2750</v>
      </c>
      <c r="P336" s="16">
        <f>SUM(Table37[[#This Row],[Total Trees as of 12/31/24]]-Table37[[#This Row],['# Trees as of 12/31/23]])</f>
        <v>0</v>
      </c>
      <c r="Q336" s="16">
        <f>Table11[[#This Row],['#Total Replacements]]*Table11[[#This Row],[USA Allocation %]]</f>
        <v>550</v>
      </c>
      <c r="R336" s="16">
        <f>IF(Table37[[#This Row],['#Survival based on Inventory]]=0,Table37['#Survival based on Last Year Estimate],Table37['#Survival based on Inventory])</f>
        <v>2750</v>
      </c>
      <c r="S336" s="16">
        <f>Table11[[#This Row],['#Planted]]*Table11[[#This Row],[USA Allocation %]]*Table11[[#This Row],[2024 Inventory Survival%-master]]</f>
        <v>0</v>
      </c>
      <c r="T336" s="16">
        <f>Table11[[#This Row],['#Planted]]*Table11[[#This Row],[USA Allocation %]]*Table11[[#This Row],[2024 Estimated Survival%]]</f>
        <v>2750</v>
      </c>
      <c r="U336">
        <f>Table11[[#This Row],[ETP Year]]</f>
        <v>2022</v>
      </c>
      <c r="V336">
        <f>Table11[[#This Row],[Planting Year]]</f>
        <v>2023</v>
      </c>
      <c r="W336" s="8">
        <f>Table11[[#This Row],[Survival% as of 12/31/23]]</f>
        <v>1</v>
      </c>
      <c r="X336" s="7">
        <f>Table11[[#This Row],[ETP'#s]]</f>
        <v>1</v>
      </c>
    </row>
    <row r="337" spans="1:24" x14ac:dyDescent="0.25">
      <c r="A337">
        <f>Table11[[#This Row],[Farmer'#]]</f>
        <v>20092</v>
      </c>
      <c r="B337" t="str">
        <f>Table11[[#This Row],[Representative]]</f>
        <v>Samuel Wards</v>
      </c>
      <c r="C337" t="str">
        <f>Table11[[#This Row],[Contract Name]]</f>
        <v>Samule Wards</v>
      </c>
      <c r="D337" t="str">
        <f>Table11[[#This Row],[Status]]</f>
        <v>Active</v>
      </c>
      <c r="E337" t="str">
        <f>Table11[[#This Row],[Contract Code]]</f>
        <v>CR0100</v>
      </c>
      <c r="F337" s="16">
        <f>Table11[[#This Row],['#TreesContract]]</f>
        <v>1000</v>
      </c>
      <c r="G337" s="16">
        <f>Table11[[#This Row],['#Planted]]</f>
        <v>1000</v>
      </c>
      <c r="H337" s="16">
        <f>Table11[[#This Row],['#TreesContract]]*Table11[[#This Row],[USA Allocation %]]</f>
        <v>1000</v>
      </c>
      <c r="I337" s="16">
        <f>Table11[[#This Row],['#Planted]]*Table11[[#This Row],[USA Allocation %]]</f>
        <v>1000</v>
      </c>
      <c r="J337" s="16">
        <f>Table11[[#This Row],[Contract Amendment]]*Table11[[#This Row],[USA Allocation %]]</f>
        <v>0</v>
      </c>
      <c r="K337" s="16">
        <f>Table11[[#This Row],['#Trees as of 12/31/23]]*Table11[[#This Row],[USA Allocation %]]</f>
        <v>1000</v>
      </c>
      <c r="L337" s="16">
        <f>Table11[[#This Row],['#Replace 24]]*Table11[[#This Row],[USA Allocation %]]</f>
        <v>62</v>
      </c>
      <c r="M337" s="16">
        <f>IF(Table11[[#This Row],[Planting Year]]=2024,Table11['#Planted],0)</f>
        <v>0</v>
      </c>
      <c r="N337" s="16">
        <f>(Table11[[#This Row],[2024 '#Trees Inventory + Estimate]]*Table11[[#This Row],[USA Allocation %]])-SUM(Table37[[#This Row],['# Trees as of 12/31/23]:[New Trees/Planted in 2024]])</f>
        <v>-62</v>
      </c>
      <c r="O337" s="16">
        <f>SUM(Table37[[#This Row],['# Trees as of 12/31/23]:[2024 Tree Losses]])</f>
        <v>1000</v>
      </c>
      <c r="P337" s="16">
        <f>SUM(Table37[[#This Row],[Total Trees as of 12/31/24]]-Table37[[#This Row],['# Trees as of 12/31/23]])</f>
        <v>0</v>
      </c>
      <c r="Q337" s="16">
        <f>Table11[[#This Row],['#Total Replacements]]*Table11[[#This Row],[USA Allocation %]]</f>
        <v>312</v>
      </c>
      <c r="R337" s="16">
        <f>IF(Table37[[#This Row],['#Survival based on Inventory]]=0,Table37['#Survival based on Last Year Estimate],Table37['#Survival based on Inventory])</f>
        <v>1000</v>
      </c>
      <c r="S337" s="16">
        <f>Table11[[#This Row],['#Planted]]*Table11[[#This Row],[USA Allocation %]]*Table11[[#This Row],[2024 Inventory Survival%-master]]</f>
        <v>0</v>
      </c>
      <c r="T337" s="16">
        <f>Table11[[#This Row],['#Planted]]*Table11[[#This Row],[USA Allocation %]]*Table11[[#This Row],[2024 Estimated Survival%]]</f>
        <v>1000</v>
      </c>
      <c r="U337">
        <f>Table11[[#This Row],[ETP Year]]</f>
        <v>2021</v>
      </c>
      <c r="V337">
        <f>Table11[[#This Row],[Planting Year]]</f>
        <v>2023</v>
      </c>
      <c r="W337" s="8">
        <f>Table11[[#This Row],[Survival% as of 12/31/23]]</f>
        <v>1</v>
      </c>
      <c r="X337" s="7">
        <f>Table11[[#This Row],[ETP'#s]]</f>
        <v>1</v>
      </c>
    </row>
    <row r="338" spans="1:24" x14ac:dyDescent="0.25">
      <c r="A338">
        <f>Table11[[#This Row],[Farmer'#]]</f>
        <v>20093</v>
      </c>
      <c r="B338" t="str">
        <f>Table11[[#This Row],[Representative]]</f>
        <v>Leonardo Barquero</v>
      </c>
      <c r="C338" t="str">
        <f>Table11[[#This Row],[Contract Name]]</f>
        <v>Tecamachalco S.A</v>
      </c>
      <c r="D338" t="str">
        <f>Table11[[#This Row],[Status]]</f>
        <v>Active</v>
      </c>
      <c r="E338" t="str">
        <f>Table11[[#This Row],[Contract Code]]</f>
        <v>CR0101</v>
      </c>
      <c r="F338" s="16">
        <f>Table11[[#This Row],['#TreesContract]]</f>
        <v>1700</v>
      </c>
      <c r="G338" s="16">
        <f>Table11[[#This Row],['#Planted]]</f>
        <v>1700</v>
      </c>
      <c r="H338" s="16">
        <f>Table11[[#This Row],['#TreesContract]]*Table11[[#This Row],[USA Allocation %]]</f>
        <v>1700</v>
      </c>
      <c r="I338" s="16">
        <f>Table11[[#This Row],['#Planted]]*Table11[[#This Row],[USA Allocation %]]</f>
        <v>1700</v>
      </c>
      <c r="J338" s="16">
        <f>Table11[[#This Row],[Contract Amendment]]*Table11[[#This Row],[USA Allocation %]]</f>
        <v>0</v>
      </c>
      <c r="K338" s="16">
        <f>Table11[[#This Row],['#Trees as of 12/31/23]]*Table11[[#This Row],[USA Allocation %]]</f>
        <v>1700</v>
      </c>
      <c r="L338" s="16">
        <f>Table11[[#This Row],['#Replace 24]]*Table11[[#This Row],[USA Allocation %]]</f>
        <v>355</v>
      </c>
      <c r="M338" s="16">
        <f>IF(Table11[[#This Row],[Planting Year]]=2024,Table11['#Planted],0)</f>
        <v>0</v>
      </c>
      <c r="N338" s="16">
        <f>(Table11[[#This Row],[2024 '#Trees Inventory + Estimate]]*Table11[[#This Row],[USA Allocation %]])-SUM(Table37[[#This Row],['# Trees as of 12/31/23]:[New Trees/Planted in 2024]])</f>
        <v>-355</v>
      </c>
      <c r="O338" s="16">
        <f>SUM(Table37[[#This Row],['# Trees as of 12/31/23]:[2024 Tree Losses]])</f>
        <v>1700</v>
      </c>
      <c r="P338" s="16">
        <f>SUM(Table37[[#This Row],[Total Trees as of 12/31/24]]-Table37[[#This Row],['# Trees as of 12/31/23]])</f>
        <v>0</v>
      </c>
      <c r="Q338" s="16">
        <f>Table11[[#This Row],['#Total Replacements]]*Table11[[#This Row],[USA Allocation %]]</f>
        <v>355</v>
      </c>
      <c r="R338" s="16">
        <f>IF(Table37[[#This Row],['#Survival based on Inventory]]=0,Table37['#Survival based on Last Year Estimate],Table37['#Survival based on Inventory])</f>
        <v>1700</v>
      </c>
      <c r="S338" s="16">
        <f>Table11[[#This Row],['#Planted]]*Table11[[#This Row],[USA Allocation %]]*Table11[[#This Row],[2024 Inventory Survival%-master]]</f>
        <v>0</v>
      </c>
      <c r="T338" s="16">
        <f>Table11[[#This Row],['#Planted]]*Table11[[#This Row],[USA Allocation %]]*Table11[[#This Row],[2024 Estimated Survival%]]</f>
        <v>1700</v>
      </c>
      <c r="U338">
        <f>Table11[[#This Row],[ETP Year]]</f>
        <v>2021</v>
      </c>
      <c r="V338">
        <f>Table11[[#This Row],[Planting Year]]</f>
        <v>2023</v>
      </c>
      <c r="W338" s="8">
        <f>Table11[[#This Row],[Survival% as of 12/31/23]]</f>
        <v>1</v>
      </c>
      <c r="X338" s="7">
        <f>Table11[[#This Row],[ETP'#s]]</f>
        <v>1</v>
      </c>
    </row>
    <row r="339" spans="1:24" x14ac:dyDescent="0.25">
      <c r="A339">
        <f>Table11[[#This Row],[Farmer'#]]</f>
        <v>20094</v>
      </c>
      <c r="B339" t="str">
        <f>Table11[[#This Row],[Representative]]</f>
        <v>William Romero</v>
      </c>
      <c r="C339" t="str">
        <f>Table11[[#This Row],[Contract Name]]</f>
        <v>Karen Vargas Fernandez y William Romero Fernandez</v>
      </c>
      <c r="D339" t="str">
        <f>Table11[[#This Row],[Status]]</f>
        <v>Active</v>
      </c>
      <c r="E339" t="str">
        <f>Table11[[#This Row],[Contract Code]]</f>
        <v>CR0102</v>
      </c>
      <c r="F339" s="16">
        <f>Table11[[#This Row],['#TreesContract]]</f>
        <v>1200</v>
      </c>
      <c r="G339" s="16">
        <f>Table11[[#This Row],['#Planted]]</f>
        <v>1200</v>
      </c>
      <c r="H339" s="16">
        <f>Table11[[#This Row],['#TreesContract]]*Table11[[#This Row],[USA Allocation %]]</f>
        <v>1200</v>
      </c>
      <c r="I339" s="16">
        <f>Table11[[#This Row],['#Planted]]*Table11[[#This Row],[USA Allocation %]]</f>
        <v>1200</v>
      </c>
      <c r="J339" s="16">
        <f>Table11[[#This Row],[Contract Amendment]]*Table11[[#This Row],[USA Allocation %]]</f>
        <v>0</v>
      </c>
      <c r="K339" s="16">
        <f>Table11[[#This Row],['#Trees as of 12/31/23]]*Table11[[#This Row],[USA Allocation %]]</f>
        <v>1200</v>
      </c>
      <c r="L339" s="16">
        <f>Table11[[#This Row],['#Replace 24]]*Table11[[#This Row],[USA Allocation %]]</f>
        <v>0</v>
      </c>
      <c r="M339" s="16">
        <f>IF(Table11[[#This Row],[Planting Year]]=2024,Table11['#Planted],0)</f>
        <v>0</v>
      </c>
      <c r="N339" s="16">
        <f>(Table11[[#This Row],[2024 '#Trees Inventory + Estimate]]*Table11[[#This Row],[USA Allocation %]])-SUM(Table37[[#This Row],['# Trees as of 12/31/23]:[New Trees/Planted in 2024]])</f>
        <v>-56</v>
      </c>
      <c r="O339" s="16">
        <f>SUM(Table37[[#This Row],['# Trees as of 12/31/23]:[2024 Tree Losses]])</f>
        <v>1144</v>
      </c>
      <c r="P339" s="16">
        <f>SUM(Table37[[#This Row],[Total Trees as of 12/31/24]]-Table37[[#This Row],['# Trees as of 12/31/23]])</f>
        <v>-56</v>
      </c>
      <c r="Q339" s="16">
        <f>Table11[[#This Row],['#Total Replacements]]*Table11[[#This Row],[USA Allocation %]]</f>
        <v>100</v>
      </c>
      <c r="R339" s="16">
        <f>IF(Table37[[#This Row],['#Survival based on Inventory]]=0,Table37['#Survival based on Last Year Estimate],Table37['#Survival based on Inventory])</f>
        <v>1143.5999999999999</v>
      </c>
      <c r="S339" s="16">
        <f>Table11[[#This Row],['#Planted]]*Table11[[#This Row],[USA Allocation %]]*Table11[[#This Row],[2024 Inventory Survival%-master]]</f>
        <v>1143.5999999999999</v>
      </c>
      <c r="T339" s="16">
        <f>Table11[[#This Row],['#Planted]]*Table11[[#This Row],[USA Allocation %]]*Table11[[#This Row],[2024 Estimated Survival%]]</f>
        <v>1140</v>
      </c>
      <c r="U339">
        <f>Table11[[#This Row],[ETP Year]]</f>
        <v>2022</v>
      </c>
      <c r="V339">
        <f>Table11[[#This Row],[Planting Year]]</f>
        <v>2023</v>
      </c>
      <c r="W339" s="8">
        <f>Table11[[#This Row],[Survival% as of 12/31/23]]</f>
        <v>1</v>
      </c>
      <c r="X339" s="7">
        <f>Table11[[#This Row],[ETP'#s]]</f>
        <v>1</v>
      </c>
    </row>
    <row r="340" spans="1:24" x14ac:dyDescent="0.25">
      <c r="A340">
        <f>Table11[[#This Row],[Farmer'#]]</f>
        <v>20095</v>
      </c>
      <c r="B340" t="str">
        <f>Table11[[#This Row],[Representative]]</f>
        <v>Jorge Alberto Cole</v>
      </c>
      <c r="C340" t="str">
        <f>Table11[[#This Row],[Contract Name]]</f>
        <v>Himalaya Verde  LTDA</v>
      </c>
      <c r="D340" t="str">
        <f>Table11[[#This Row],[Status]]</f>
        <v>Active</v>
      </c>
      <c r="E340" t="str">
        <f>Table11[[#This Row],[Contract Code]]</f>
        <v>CR0103</v>
      </c>
      <c r="F340" s="16">
        <f>Table11[[#This Row],['#TreesContract]]</f>
        <v>2000</v>
      </c>
      <c r="G340" s="16">
        <f>Table11[[#This Row],['#Planted]]</f>
        <v>2000</v>
      </c>
      <c r="H340" s="16">
        <f>Table11[[#This Row],['#TreesContract]]*Table11[[#This Row],[USA Allocation %]]</f>
        <v>2000</v>
      </c>
      <c r="I340" s="16">
        <f>Table11[[#This Row],['#Planted]]*Table11[[#This Row],[USA Allocation %]]</f>
        <v>2000</v>
      </c>
      <c r="J340" s="16">
        <f>Table11[[#This Row],[Contract Amendment]]*Table11[[#This Row],[USA Allocation %]]</f>
        <v>0</v>
      </c>
      <c r="K340" s="16">
        <f>Table11[[#This Row],['#Trees as of 12/31/23]]*Table11[[#This Row],[USA Allocation %]]</f>
        <v>2000</v>
      </c>
      <c r="L340" s="16">
        <f>Table11[[#This Row],['#Replace 24]]*Table11[[#This Row],[USA Allocation %]]</f>
        <v>180</v>
      </c>
      <c r="M340" s="16">
        <f>IF(Table11[[#This Row],[Planting Year]]=2024,Table11['#Planted],0)</f>
        <v>0</v>
      </c>
      <c r="N340" s="16">
        <f>(Table11[[#This Row],[2024 '#Trees Inventory + Estimate]]*Table11[[#This Row],[USA Allocation %]])-SUM(Table37[[#This Row],['# Trees as of 12/31/23]:[New Trees/Planted in 2024]])</f>
        <v>-180</v>
      </c>
      <c r="O340" s="16">
        <f>SUM(Table37[[#This Row],['# Trees as of 12/31/23]:[2024 Tree Losses]])</f>
        <v>2000</v>
      </c>
      <c r="P340" s="16">
        <f>SUM(Table37[[#This Row],[Total Trees as of 12/31/24]]-Table37[[#This Row],['# Trees as of 12/31/23]])</f>
        <v>0</v>
      </c>
      <c r="Q340" s="16">
        <f>Table11[[#This Row],['#Total Replacements]]*Table11[[#This Row],[USA Allocation %]]</f>
        <v>180</v>
      </c>
      <c r="R340" s="16">
        <f>IF(Table37[[#This Row],['#Survival based on Inventory]]=0,Table37['#Survival based on Last Year Estimate],Table37['#Survival based on Inventory])</f>
        <v>2000</v>
      </c>
      <c r="S340" s="16">
        <f>Table11[[#This Row],['#Planted]]*Table11[[#This Row],[USA Allocation %]]*Table11[[#This Row],[2024 Inventory Survival%-master]]</f>
        <v>0</v>
      </c>
      <c r="T340" s="16">
        <f>Table11[[#This Row],['#Planted]]*Table11[[#This Row],[USA Allocation %]]*Table11[[#This Row],[2024 Estimated Survival%]]</f>
        <v>2000</v>
      </c>
      <c r="U340">
        <f>Table11[[#This Row],[ETP Year]]</f>
        <v>2022</v>
      </c>
      <c r="V340">
        <f>Table11[[#This Row],[Planting Year]]</f>
        <v>2023</v>
      </c>
      <c r="W340" s="8">
        <f>Table11[[#This Row],[Survival% as of 12/31/23]]</f>
        <v>1</v>
      </c>
      <c r="X340" s="7">
        <f>Table11[[#This Row],[ETP'#s]]</f>
        <v>1</v>
      </c>
    </row>
    <row r="341" spans="1:24" x14ac:dyDescent="0.25">
      <c r="A341">
        <f>Table11[[#This Row],[Farmer'#]]</f>
        <v>20096</v>
      </c>
      <c r="B341" t="str">
        <f>Table11[[#This Row],[Representative]]</f>
        <v>Emmanuel Manuel Ruiz</v>
      </c>
      <c r="C341" t="str">
        <f>Table11[[#This Row],[Contract Name]]</f>
        <v>Jose Manuel Ruiz</v>
      </c>
      <c r="D341" t="str">
        <f>Table11[[#This Row],[Status]]</f>
        <v>Active</v>
      </c>
      <c r="E341" t="str">
        <f>Table11[[#This Row],[Contract Code]]</f>
        <v>CR0104</v>
      </c>
      <c r="F341" s="16">
        <f>Table11[[#This Row],['#TreesContract]]</f>
        <v>2000</v>
      </c>
      <c r="G341" s="16">
        <f>Table11[[#This Row],['#Planted]]</f>
        <v>2000</v>
      </c>
      <c r="H341" s="16">
        <f>Table11[[#This Row],['#TreesContract]]*Table11[[#This Row],[USA Allocation %]]</f>
        <v>2000</v>
      </c>
      <c r="I341" s="16">
        <f>Table11[[#This Row],['#Planted]]*Table11[[#This Row],[USA Allocation %]]</f>
        <v>2000</v>
      </c>
      <c r="J341" s="16">
        <f>Table11[[#This Row],[Contract Amendment]]*Table11[[#This Row],[USA Allocation %]]</f>
        <v>0</v>
      </c>
      <c r="K341" s="16">
        <f>Table11[[#This Row],['#Trees as of 12/31/23]]*Table11[[#This Row],[USA Allocation %]]</f>
        <v>2000</v>
      </c>
      <c r="L341" s="16">
        <f>Table11[[#This Row],['#Replace 24]]*Table11[[#This Row],[USA Allocation %]]</f>
        <v>140</v>
      </c>
      <c r="M341" s="16">
        <f>IF(Table11[[#This Row],[Planting Year]]=2024,Table11['#Planted],0)</f>
        <v>0</v>
      </c>
      <c r="N341" s="16">
        <f>(Table11[[#This Row],[2024 '#Trees Inventory + Estimate]]*Table11[[#This Row],[USA Allocation %]])-SUM(Table37[[#This Row],['# Trees as of 12/31/23]:[New Trees/Planted in 2024]])</f>
        <v>-278</v>
      </c>
      <c r="O341" s="16">
        <f>SUM(Table37[[#This Row],['# Trees as of 12/31/23]:[2024 Tree Losses]])</f>
        <v>1862</v>
      </c>
      <c r="P341" s="16">
        <f>SUM(Table37[[#This Row],[Total Trees as of 12/31/24]]-Table37[[#This Row],['# Trees as of 12/31/23]])</f>
        <v>-138</v>
      </c>
      <c r="Q341" s="16">
        <f>Table11[[#This Row],['#Total Replacements]]*Table11[[#This Row],[USA Allocation %]]</f>
        <v>140</v>
      </c>
      <c r="R341" s="16">
        <f>IF(Table37[[#This Row],['#Survival based on Inventory]]=0,Table37['#Survival based on Last Year Estimate],Table37['#Survival based on Inventory])</f>
        <v>1862</v>
      </c>
      <c r="S341" s="16">
        <f>Table11[[#This Row],['#Planted]]*Table11[[#This Row],[USA Allocation %]]*Table11[[#This Row],[2024 Inventory Survival%-master]]</f>
        <v>1862</v>
      </c>
      <c r="T341" s="16">
        <f>Table11[[#This Row],['#Planted]]*Table11[[#This Row],[USA Allocation %]]*Table11[[#This Row],[2024 Estimated Survival%]]</f>
        <v>1860</v>
      </c>
      <c r="U341">
        <f>Table11[[#This Row],[ETP Year]]</f>
        <v>2022</v>
      </c>
      <c r="V341">
        <f>Table11[[#This Row],[Planting Year]]</f>
        <v>2023</v>
      </c>
      <c r="W341" s="8">
        <f>Table11[[#This Row],[Survival% as of 12/31/23]]</f>
        <v>1</v>
      </c>
      <c r="X341" s="7">
        <f>Table11[[#This Row],[ETP'#s]]</f>
        <v>1</v>
      </c>
    </row>
    <row r="342" spans="1:24" x14ac:dyDescent="0.25">
      <c r="A342">
        <f>Table11[[#This Row],[Farmer'#]]</f>
        <v>20097</v>
      </c>
      <c r="B342" t="str">
        <f>Table11[[#This Row],[Representative]]</f>
        <v>Johaner Rosales Flores</v>
      </c>
      <c r="C342" t="str">
        <f>Table11[[#This Row],[Contract Name]]</f>
        <v>Johaner Rosales Flores</v>
      </c>
      <c r="D342" t="str">
        <f>Table11[[#This Row],[Status]]</f>
        <v>Active</v>
      </c>
      <c r="E342" t="str">
        <f>Table11[[#This Row],[Contract Code]]</f>
        <v>CR0105</v>
      </c>
      <c r="F342" s="16">
        <f>Table11[[#This Row],['#TreesContract]]</f>
        <v>2400</v>
      </c>
      <c r="G342" s="16">
        <f>Table11[[#This Row],['#Planted]]</f>
        <v>2400</v>
      </c>
      <c r="H342" s="16">
        <f>Table11[[#This Row],['#TreesContract]]*Table11[[#This Row],[USA Allocation %]]</f>
        <v>2400</v>
      </c>
      <c r="I342" s="16">
        <f>Table11[[#This Row],['#Planted]]*Table11[[#This Row],[USA Allocation %]]</f>
        <v>2400</v>
      </c>
      <c r="J342" s="16">
        <f>Table11[[#This Row],[Contract Amendment]]*Table11[[#This Row],[USA Allocation %]]</f>
        <v>0</v>
      </c>
      <c r="K342" s="16">
        <f>Table11[[#This Row],['#Trees as of 12/31/23]]*Table11[[#This Row],[USA Allocation %]]</f>
        <v>2400</v>
      </c>
      <c r="L342" s="16">
        <f>Table11[[#This Row],['#Replace 24]]*Table11[[#This Row],[USA Allocation %]]</f>
        <v>0</v>
      </c>
      <c r="M342" s="16">
        <f>IF(Table11[[#This Row],[Planting Year]]=2024,Table11['#Planted],0)</f>
        <v>0</v>
      </c>
      <c r="N342" s="16">
        <f>(Table11[[#This Row],[2024 '#Trees Inventory + Estimate]]*Table11[[#This Row],[USA Allocation %]])-SUM(Table37[[#This Row],['# Trees as of 12/31/23]:[New Trees/Planted in 2024]])</f>
        <v>0</v>
      </c>
      <c r="O342" s="16">
        <f>SUM(Table37[[#This Row],['# Trees as of 12/31/23]:[2024 Tree Losses]])</f>
        <v>2400</v>
      </c>
      <c r="P342" s="16">
        <f>SUM(Table37[[#This Row],[Total Trees as of 12/31/24]]-Table37[[#This Row],['# Trees as of 12/31/23]])</f>
        <v>0</v>
      </c>
      <c r="Q342" s="16">
        <f>Table11[[#This Row],['#Total Replacements]]*Table11[[#This Row],[USA Allocation %]]</f>
        <v>0</v>
      </c>
      <c r="R342" s="16">
        <f>IF(Table37[[#This Row],['#Survival based on Inventory]]=0,Table37['#Survival based on Last Year Estimate],Table37['#Survival based on Inventory])</f>
        <v>2400</v>
      </c>
      <c r="S342" s="16">
        <f>Table11[[#This Row],['#Planted]]*Table11[[#This Row],[USA Allocation %]]*Table11[[#This Row],[2024 Inventory Survival%-master]]</f>
        <v>0</v>
      </c>
      <c r="T342" s="16">
        <f>Table11[[#This Row],['#Planted]]*Table11[[#This Row],[USA Allocation %]]*Table11[[#This Row],[2024 Estimated Survival%]]</f>
        <v>2400</v>
      </c>
      <c r="U342">
        <f>Table11[[#This Row],[ETP Year]]</f>
        <v>2021</v>
      </c>
      <c r="V342">
        <f>Table11[[#This Row],[Planting Year]]</f>
        <v>2023</v>
      </c>
      <c r="W342" s="8">
        <f>Table11[[#This Row],[Survival% as of 12/31/23]]</f>
        <v>1</v>
      </c>
      <c r="X342" s="7">
        <f>Table11[[#This Row],[ETP'#s]]</f>
        <v>1</v>
      </c>
    </row>
    <row r="343" spans="1:24" x14ac:dyDescent="0.25">
      <c r="A343">
        <f>Table11[[#This Row],[Farmer'#]]</f>
        <v>30017</v>
      </c>
      <c r="B343" t="str">
        <f>Table11[[#This Row],[Representative]]</f>
        <v>David Horacio Estrada Jeréz</v>
      </c>
      <c r="C343" t="str">
        <f>Table11[[#This Row],[Contract Name]]</f>
        <v>David Horacio Estrada Jeréz</v>
      </c>
      <c r="D343" t="str">
        <f>Table11[[#This Row],[Status]]</f>
        <v>Active</v>
      </c>
      <c r="E343" t="str">
        <f>Table11[[#This Row],[Contract Code]]</f>
        <v>GT0044</v>
      </c>
      <c r="F343" s="16">
        <f>Table11[[#This Row],['#TreesContract]]</f>
        <v>1000</v>
      </c>
      <c r="G343" s="16">
        <f>Table11[[#This Row],['#Planted]]</f>
        <v>1000</v>
      </c>
      <c r="H343" s="16">
        <f>Table11[[#This Row],['#TreesContract]]*Table11[[#This Row],[USA Allocation %]]</f>
        <v>1000</v>
      </c>
      <c r="I343" s="16">
        <f>Table11[[#This Row],['#Planted]]*Table11[[#This Row],[USA Allocation %]]</f>
        <v>1000</v>
      </c>
      <c r="J343" s="16">
        <f>Table11[[#This Row],[Contract Amendment]]*Table11[[#This Row],[USA Allocation %]]</f>
        <v>0</v>
      </c>
      <c r="K343" s="16">
        <f>Table11[[#This Row],['#Trees as of 12/31/23]]*Table11[[#This Row],[USA Allocation %]]</f>
        <v>1000</v>
      </c>
      <c r="L343" s="16">
        <f>Table11[[#This Row],['#Replace 24]]*Table11[[#This Row],[USA Allocation %]]</f>
        <v>0</v>
      </c>
      <c r="M343" s="16">
        <f>IF(Table11[[#This Row],[Planting Year]]=2024,Table11['#Planted],0)</f>
        <v>0</v>
      </c>
      <c r="N343" s="16">
        <f>(Table11[[#This Row],[2024 '#Trees Inventory + Estimate]]*Table11[[#This Row],[USA Allocation %]])-SUM(Table37[[#This Row],['# Trees as of 12/31/23]:[New Trees/Planted in 2024]])</f>
        <v>-145</v>
      </c>
      <c r="O343" s="16">
        <f>SUM(Table37[[#This Row],['# Trees as of 12/31/23]:[2024 Tree Losses]])</f>
        <v>855</v>
      </c>
      <c r="P343" s="16">
        <f>SUM(Table37[[#This Row],[Total Trees as of 12/31/24]]-Table37[[#This Row],['# Trees as of 12/31/23]])</f>
        <v>-145</v>
      </c>
      <c r="Q343" s="16">
        <f>Table11[[#This Row],['#Total Replacements]]*Table11[[#This Row],[USA Allocation %]]</f>
        <v>0</v>
      </c>
      <c r="R343" s="16">
        <f>IF(Table37[[#This Row],['#Survival based on Inventory]]=0,Table37['#Survival based on Last Year Estimate],Table37['#Survival based on Inventory])</f>
        <v>855</v>
      </c>
      <c r="S343" s="16">
        <f>Table11[[#This Row],['#Planted]]*Table11[[#This Row],[USA Allocation %]]*Table11[[#This Row],[2024 Inventory Survival%-master]]</f>
        <v>855</v>
      </c>
      <c r="T343" s="16">
        <f>Table11[[#This Row],['#Planted]]*Table11[[#This Row],[USA Allocation %]]*Table11[[#This Row],[2024 Estimated Survival%]]</f>
        <v>860</v>
      </c>
      <c r="U343">
        <f>Table11[[#This Row],[ETP Year]]</f>
        <v>2022</v>
      </c>
      <c r="V343">
        <f>Table11[[#This Row],[Planting Year]]</f>
        <v>2023</v>
      </c>
      <c r="W343" s="8">
        <f>Table11[[#This Row],[Survival% as of 12/31/23]]</f>
        <v>1</v>
      </c>
      <c r="X343" s="7">
        <f>Table11[[#This Row],[ETP'#s]]</f>
        <v>1</v>
      </c>
    </row>
    <row r="344" spans="1:24" x14ac:dyDescent="0.25">
      <c r="A344">
        <f>Table11[[#This Row],[Farmer'#]]</f>
        <v>30028</v>
      </c>
      <c r="B344" t="str">
        <f>Table11[[#This Row],[Representative]]</f>
        <v>Derek José Herman Gordillo</v>
      </c>
      <c r="C344" t="str">
        <f>Table11[[#This Row],[Contract Name]]</f>
        <v>Agroindustrias Nativa S.A./Derek José Herman Gordillo</v>
      </c>
      <c r="D344" t="str">
        <f>Table11[[#This Row],[Status]]</f>
        <v>Active</v>
      </c>
      <c r="E344" t="str">
        <f>Table11[[#This Row],[Contract Code]]</f>
        <v>GT0031c</v>
      </c>
      <c r="F344" s="16">
        <f>Table11[[#This Row],['#TreesContract]]</f>
        <v>9420</v>
      </c>
      <c r="G344" s="16">
        <f>Table11[[#This Row],['#Planted]]</f>
        <v>9420</v>
      </c>
      <c r="H344" s="16">
        <f>Table11[[#This Row],['#TreesContract]]*Table11[[#This Row],[USA Allocation %]]</f>
        <v>9420</v>
      </c>
      <c r="I344" s="16">
        <f>Table11[[#This Row],['#Planted]]*Table11[[#This Row],[USA Allocation %]]</f>
        <v>9420</v>
      </c>
      <c r="J344" s="16">
        <f>Table11[[#This Row],[Contract Amendment]]*Table11[[#This Row],[USA Allocation %]]</f>
        <v>0</v>
      </c>
      <c r="K344" s="16">
        <f>Table11[[#This Row],['#Trees as of 12/31/23]]*Table11[[#This Row],[USA Allocation %]]</f>
        <v>0</v>
      </c>
      <c r="L344" s="16">
        <f>Table11[[#This Row],['#Replace 24]]*Table11[[#This Row],[USA Allocation %]]</f>
        <v>0</v>
      </c>
      <c r="M344" s="16">
        <f>IF(Table11[[#This Row],[Planting Year]]=2024,Table11['#Planted],0)</f>
        <v>0</v>
      </c>
      <c r="N344" s="16">
        <f>(Table11[[#This Row],[2024 '#Trees Inventory + Estimate]]*Table11[[#This Row],[USA Allocation %]])-SUM(Table37[[#This Row],['# Trees as of 12/31/23]:[New Trees/Planted in 2024]])</f>
        <v>9420</v>
      </c>
      <c r="O344" s="16">
        <f>SUM(Table37[[#This Row],['# Trees as of 12/31/23]:[2024 Tree Losses]])</f>
        <v>9420</v>
      </c>
      <c r="P344" s="16">
        <f>SUM(Table37[[#This Row],[Total Trees as of 12/31/24]]-Table37[[#This Row],['# Trees as of 12/31/23]])</f>
        <v>9420</v>
      </c>
      <c r="Q344" s="16">
        <f>Table11[[#This Row],['#Total Replacements]]*Table11[[#This Row],[USA Allocation %]]</f>
        <v>0</v>
      </c>
      <c r="R344" s="16">
        <f>IF(Table37[[#This Row],['#Survival based on Inventory]]=0,Table37['#Survival based on Last Year Estimate],Table37['#Survival based on Inventory])</f>
        <v>9420</v>
      </c>
      <c r="S344" s="16">
        <f>Table11[[#This Row],['#Planted]]*Table11[[#This Row],[USA Allocation %]]*Table11[[#This Row],[2024 Inventory Survival%-master]]</f>
        <v>9420</v>
      </c>
      <c r="T344" s="16">
        <f>Table11[[#This Row],['#Planted]]*Table11[[#This Row],[USA Allocation %]]*Table11[[#This Row],[2024 Estimated Survival%]]</f>
        <v>9420</v>
      </c>
      <c r="U344">
        <f>Table11[[#This Row],[ETP Year]]</f>
        <v>2022</v>
      </c>
      <c r="V344">
        <f>Table11[[#This Row],[Planting Year]]</f>
        <v>2023</v>
      </c>
      <c r="W344" s="8">
        <f>Table11[[#This Row],[Survival% as of 12/31/23]]</f>
        <v>1</v>
      </c>
      <c r="X344" s="7">
        <f>Table11[[#This Row],[ETP'#s]]</f>
        <v>1</v>
      </c>
    </row>
    <row r="345" spans="1:24" x14ac:dyDescent="0.25">
      <c r="A345">
        <f>Table11[[#This Row],[Farmer'#]]</f>
        <v>30033</v>
      </c>
      <c r="B345" t="str">
        <f>Table11[[#This Row],[Representative]]</f>
        <v>Trapiche de la Vega S.A. /María Isabel Agüero</v>
      </c>
      <c r="C345" t="str">
        <f>Table11[[#This Row],[Contract Name]]</f>
        <v>Trapiche de la Vega Sociedad Anónima / Walesca María Isabel Agüero Urruela de Maegli</v>
      </c>
      <c r="D345" t="str">
        <f>Table11[[#This Row],[Status]]</f>
        <v>Active</v>
      </c>
      <c r="E345" t="str">
        <f>Table11[[#This Row],[Contract Code]]</f>
        <v>GT0045</v>
      </c>
      <c r="F345" s="16">
        <f>Table11[[#This Row],['#TreesContract]]</f>
        <v>1640</v>
      </c>
      <c r="G345" s="16">
        <f>Table11[[#This Row],['#Planted]]</f>
        <v>1640</v>
      </c>
      <c r="H345" s="16">
        <f>Table11[[#This Row],['#TreesContract]]*Table11[[#This Row],[USA Allocation %]]</f>
        <v>1640</v>
      </c>
      <c r="I345" s="16">
        <f>Table11[[#This Row],['#Planted]]*Table11[[#This Row],[USA Allocation %]]</f>
        <v>1640</v>
      </c>
      <c r="J345" s="16">
        <f>Table11[[#This Row],[Contract Amendment]]*Table11[[#This Row],[USA Allocation %]]</f>
        <v>0</v>
      </c>
      <c r="K345" s="16">
        <f>Table11[[#This Row],['#Trees as of 12/31/23]]*Table11[[#This Row],[USA Allocation %]]</f>
        <v>1640</v>
      </c>
      <c r="L345" s="16">
        <f>Table11[[#This Row],['#Replace 24]]*Table11[[#This Row],[USA Allocation %]]</f>
        <v>0</v>
      </c>
      <c r="M345" s="16">
        <f>IF(Table11[[#This Row],[Planting Year]]=2024,Table11['#Planted],0)</f>
        <v>0</v>
      </c>
      <c r="N345" s="16">
        <f>(Table11[[#This Row],[2024 '#Trees Inventory + Estimate]]*Table11[[#This Row],[USA Allocation %]])-SUM(Table37[[#This Row],['# Trees as of 12/31/23]:[New Trees/Planted in 2024]])</f>
        <v>-446</v>
      </c>
      <c r="O345" s="16">
        <f>SUM(Table37[[#This Row],['# Trees as of 12/31/23]:[2024 Tree Losses]])</f>
        <v>1194</v>
      </c>
      <c r="P345" s="16">
        <f>SUM(Table37[[#This Row],[Total Trees as of 12/31/24]]-Table37[[#This Row],['# Trees as of 12/31/23]])</f>
        <v>-446</v>
      </c>
      <c r="Q345" s="16">
        <f>Table11[[#This Row],['#Total Replacements]]*Table11[[#This Row],[USA Allocation %]]</f>
        <v>0</v>
      </c>
      <c r="R345" s="16">
        <f>IF(Table37[[#This Row],['#Survival based on Inventory]]=0,Table37['#Survival based on Last Year Estimate],Table37['#Survival based on Inventory])</f>
        <v>1193.92</v>
      </c>
      <c r="S345" s="16">
        <f>Table11[[#This Row],['#Planted]]*Table11[[#This Row],[USA Allocation %]]*Table11[[#This Row],[2024 Inventory Survival%-master]]</f>
        <v>1193.92</v>
      </c>
      <c r="T345" s="16">
        <f>Table11[[#This Row],['#Planted]]*Table11[[#This Row],[USA Allocation %]]*Table11[[#This Row],[2024 Estimated Survival%]]</f>
        <v>1197.2</v>
      </c>
      <c r="U345">
        <f>Table11[[#This Row],[ETP Year]]</f>
        <v>2022</v>
      </c>
      <c r="V345">
        <f>Table11[[#This Row],[Planting Year]]</f>
        <v>2023</v>
      </c>
      <c r="W345" s="8">
        <f>Table11[[#This Row],[Survival% as of 12/31/23]]</f>
        <v>1</v>
      </c>
      <c r="X345" s="7">
        <f>Table11[[#This Row],[ETP'#s]]</f>
        <v>1</v>
      </c>
    </row>
    <row r="346" spans="1:24" x14ac:dyDescent="0.25">
      <c r="A346">
        <f>Table11[[#This Row],[Farmer'#]]</f>
        <v>40025</v>
      </c>
      <c r="B346" t="str">
        <f>Table11[[#This Row],[Representative]]</f>
        <v>Caralampio Arreola López</v>
      </c>
      <c r="C346" t="str">
        <f>Table11[[#This Row],[Contract Name]]</f>
        <v>Caralampio Arreola López</v>
      </c>
      <c r="D346" t="str">
        <f>Table11[[#This Row],[Status]]</f>
        <v>Active</v>
      </c>
      <c r="E346" t="str">
        <f>Table11[[#This Row],[Contract Code]]</f>
        <v>MX0042</v>
      </c>
      <c r="F346" s="16">
        <f>Table11[[#This Row],['#TreesContract]]</f>
        <v>1100</v>
      </c>
      <c r="G346" s="16">
        <f>Table11[[#This Row],['#Planted]]</f>
        <v>1100</v>
      </c>
      <c r="H346" s="16">
        <f>Table11[[#This Row],['#TreesContract]]*Table11[[#This Row],[USA Allocation %]]</f>
        <v>1100</v>
      </c>
      <c r="I346" s="16">
        <f>Table11[[#This Row],['#Planted]]*Table11[[#This Row],[USA Allocation %]]</f>
        <v>1100</v>
      </c>
      <c r="J346" s="16">
        <f>Table11[[#This Row],[Contract Amendment]]*Table11[[#This Row],[USA Allocation %]]</f>
        <v>0</v>
      </c>
      <c r="K346" s="16">
        <f>Table11[[#This Row],['#Trees as of 12/31/23]]*Table11[[#This Row],[USA Allocation %]]</f>
        <v>1100</v>
      </c>
      <c r="L346" s="16">
        <f>Table11[[#This Row],['#Replace 24]]*Table11[[#This Row],[USA Allocation %]]</f>
        <v>0</v>
      </c>
      <c r="M346" s="16">
        <f>IF(Table11[[#This Row],[Planting Year]]=2024,Table11['#Planted],0)</f>
        <v>0</v>
      </c>
      <c r="N346" s="16">
        <f>(Table11[[#This Row],[2024 '#Trees Inventory + Estimate]]*Table11[[#This Row],[USA Allocation %]])-SUM(Table37[[#This Row],['# Trees as of 12/31/23]:[New Trees/Planted in 2024]])</f>
        <v>0</v>
      </c>
      <c r="O346" s="16">
        <f>SUM(Table37[[#This Row],['# Trees as of 12/31/23]:[2024 Tree Losses]])</f>
        <v>1100</v>
      </c>
      <c r="P346" s="16">
        <f>SUM(Table37[[#This Row],[Total Trees as of 12/31/24]]-Table37[[#This Row],['# Trees as of 12/31/23]])</f>
        <v>0</v>
      </c>
      <c r="Q346" s="16">
        <f>Table11[[#This Row],['#Total Replacements]]*Table11[[#This Row],[USA Allocation %]]</f>
        <v>0</v>
      </c>
      <c r="R346" s="16">
        <f>IF(Table37[[#This Row],['#Survival based on Inventory]]=0,Table37['#Survival based on Last Year Estimate],Table37['#Survival based on Inventory])</f>
        <v>1100</v>
      </c>
      <c r="S346" s="16">
        <f>Table11[[#This Row],['#Planted]]*Table11[[#This Row],[USA Allocation %]]*Table11[[#This Row],[2024 Inventory Survival%-master]]</f>
        <v>0</v>
      </c>
      <c r="T346" s="16">
        <f>Table11[[#This Row],['#Planted]]*Table11[[#This Row],[USA Allocation %]]*Table11[[#This Row],[2024 Estimated Survival%]]</f>
        <v>1100</v>
      </c>
      <c r="U346">
        <f>Table11[[#This Row],[ETP Year]]</f>
        <v>2022</v>
      </c>
      <c r="V346">
        <f>Table11[[#This Row],[Planting Year]]</f>
        <v>2023</v>
      </c>
      <c r="W346" s="8">
        <f>Table11[[#This Row],[Survival% as of 12/31/23]]</f>
        <v>1</v>
      </c>
      <c r="X346" s="7">
        <f>Table11[[#This Row],[ETP'#s]]</f>
        <v>1</v>
      </c>
    </row>
    <row r="347" spans="1:24" x14ac:dyDescent="0.25">
      <c r="A347">
        <f>Table11[[#This Row],[Farmer'#]]</f>
        <v>40026</v>
      </c>
      <c r="B347" t="str">
        <f>Table11[[#This Row],[Representative]]</f>
        <v>Carlos Carbajal Gutiérrez</v>
      </c>
      <c r="C347" t="str">
        <f>Table11[[#This Row],[Contract Name]]</f>
        <v>Carlos Carbajal Gutiérrez</v>
      </c>
      <c r="D347" t="str">
        <f>Table11[[#This Row],[Status]]</f>
        <v>Active</v>
      </c>
      <c r="E347" t="str">
        <f>Table11[[#This Row],[Contract Code]]</f>
        <v>MX0043</v>
      </c>
      <c r="F347" s="16">
        <f>Table11[[#This Row],['#TreesContract]]</f>
        <v>1100</v>
      </c>
      <c r="G347" s="16">
        <f>Table11[[#This Row],['#Planted]]</f>
        <v>1100</v>
      </c>
      <c r="H347" s="16">
        <f>Table11[[#This Row],['#TreesContract]]*Table11[[#This Row],[USA Allocation %]]</f>
        <v>1100</v>
      </c>
      <c r="I347" s="16">
        <f>Table11[[#This Row],['#Planted]]*Table11[[#This Row],[USA Allocation %]]</f>
        <v>1100</v>
      </c>
      <c r="J347" s="16">
        <f>Table11[[#This Row],[Contract Amendment]]*Table11[[#This Row],[USA Allocation %]]</f>
        <v>0</v>
      </c>
      <c r="K347" s="16">
        <f>Table11[[#This Row],['#Trees as of 12/31/23]]*Table11[[#This Row],[USA Allocation %]]</f>
        <v>1100</v>
      </c>
      <c r="L347" s="16">
        <f>Table11[[#This Row],['#Replace 24]]*Table11[[#This Row],[USA Allocation %]]</f>
        <v>0</v>
      </c>
      <c r="M347" s="16">
        <f>IF(Table11[[#This Row],[Planting Year]]=2024,Table11['#Planted],0)</f>
        <v>0</v>
      </c>
      <c r="N347" s="16">
        <f>(Table11[[#This Row],[2024 '#Trees Inventory + Estimate]]*Table11[[#This Row],[USA Allocation %]])-SUM(Table37[[#This Row],['# Trees as of 12/31/23]:[New Trees/Planted in 2024]])</f>
        <v>0</v>
      </c>
      <c r="O347" s="16">
        <f>SUM(Table37[[#This Row],['# Trees as of 12/31/23]:[2024 Tree Losses]])</f>
        <v>1100</v>
      </c>
      <c r="P347" s="16">
        <f>SUM(Table37[[#This Row],[Total Trees as of 12/31/24]]-Table37[[#This Row],['# Trees as of 12/31/23]])</f>
        <v>0</v>
      </c>
      <c r="Q347" s="16">
        <f>Table11[[#This Row],['#Total Replacements]]*Table11[[#This Row],[USA Allocation %]]</f>
        <v>0</v>
      </c>
      <c r="R347" s="16">
        <f>IF(Table37[[#This Row],['#Survival based on Inventory]]=0,Table37['#Survival based on Last Year Estimate],Table37['#Survival based on Inventory])</f>
        <v>1100</v>
      </c>
      <c r="S347" s="16">
        <f>Table11[[#This Row],['#Planted]]*Table11[[#This Row],[USA Allocation %]]*Table11[[#This Row],[2024 Inventory Survival%-master]]</f>
        <v>0</v>
      </c>
      <c r="T347" s="16">
        <f>Table11[[#This Row],['#Planted]]*Table11[[#This Row],[USA Allocation %]]*Table11[[#This Row],[2024 Estimated Survival%]]</f>
        <v>1100</v>
      </c>
      <c r="U347">
        <f>Table11[[#This Row],[ETP Year]]</f>
        <v>2022</v>
      </c>
      <c r="V347">
        <f>Table11[[#This Row],[Planting Year]]</f>
        <v>2023</v>
      </c>
      <c r="W347" s="8">
        <f>Table11[[#This Row],[Survival% as of 12/31/23]]</f>
        <v>1</v>
      </c>
      <c r="X347" s="7">
        <f>Table11[[#This Row],[ETP'#s]]</f>
        <v>1</v>
      </c>
    </row>
    <row r="348" spans="1:24" x14ac:dyDescent="0.25">
      <c r="A348">
        <f>Table11[[#This Row],[Farmer'#]]</f>
        <v>40033</v>
      </c>
      <c r="B348" t="str">
        <f>Table11[[#This Row],[Representative]]</f>
        <v>Pedro Molina Sánchez</v>
      </c>
      <c r="C348" t="str">
        <f>Table11[[#This Row],[Contract Name]]</f>
        <v>Pedro Molina Sánchez</v>
      </c>
      <c r="D348" t="str">
        <f>Table11[[#This Row],[Status]]</f>
        <v>Active</v>
      </c>
      <c r="E348" t="str">
        <f>Table11[[#This Row],[Contract Code]]</f>
        <v>MX0048</v>
      </c>
      <c r="F348" s="16">
        <f>Table11[[#This Row],['#TreesContract]]</f>
        <v>1650</v>
      </c>
      <c r="G348" s="16">
        <f>Table11[[#This Row],['#Planted]]</f>
        <v>1650</v>
      </c>
      <c r="H348" s="16">
        <f>Table11[[#This Row],['#TreesContract]]*Table11[[#This Row],[USA Allocation %]]</f>
        <v>1650</v>
      </c>
      <c r="I348" s="16">
        <f>Table11[[#This Row],['#Planted]]*Table11[[#This Row],[USA Allocation %]]</f>
        <v>1650</v>
      </c>
      <c r="J348" s="16">
        <f>Table11[[#This Row],[Contract Amendment]]*Table11[[#This Row],[USA Allocation %]]</f>
        <v>0</v>
      </c>
      <c r="K348" s="16">
        <f>Table11[[#This Row],['#Trees as of 12/31/23]]*Table11[[#This Row],[USA Allocation %]]</f>
        <v>1650</v>
      </c>
      <c r="L348" s="16">
        <f>Table11[[#This Row],['#Replace 24]]*Table11[[#This Row],[USA Allocation %]]</f>
        <v>0</v>
      </c>
      <c r="M348" s="16">
        <f>IF(Table11[[#This Row],[Planting Year]]=2024,Table11['#Planted],0)</f>
        <v>0</v>
      </c>
      <c r="N348" s="16">
        <f>(Table11[[#This Row],[2024 '#Trees Inventory + Estimate]]*Table11[[#This Row],[USA Allocation %]])-SUM(Table37[[#This Row],['# Trees as of 12/31/23]:[New Trees/Planted in 2024]])</f>
        <v>0</v>
      </c>
      <c r="O348" s="16">
        <f>SUM(Table37[[#This Row],['# Trees as of 12/31/23]:[2024 Tree Losses]])</f>
        <v>1650</v>
      </c>
      <c r="P348" s="16">
        <f>SUM(Table37[[#This Row],[Total Trees as of 12/31/24]]-Table37[[#This Row],['# Trees as of 12/31/23]])</f>
        <v>0</v>
      </c>
      <c r="Q348" s="16">
        <f>Table11[[#This Row],['#Total Replacements]]*Table11[[#This Row],[USA Allocation %]]</f>
        <v>0</v>
      </c>
      <c r="R348" s="16">
        <f>IF(Table37[[#This Row],['#Survival based on Inventory]]=0,Table37['#Survival based on Last Year Estimate],Table37['#Survival based on Inventory])</f>
        <v>1650</v>
      </c>
      <c r="S348" s="16">
        <f>Table11[[#This Row],['#Planted]]*Table11[[#This Row],[USA Allocation %]]*Table11[[#This Row],[2024 Inventory Survival%-master]]</f>
        <v>0</v>
      </c>
      <c r="T348" s="16">
        <f>Table11[[#This Row],['#Planted]]*Table11[[#This Row],[USA Allocation %]]*Table11[[#This Row],[2024 Estimated Survival%]]</f>
        <v>1650</v>
      </c>
      <c r="U348">
        <f>Table11[[#This Row],[ETP Year]]</f>
        <v>2022</v>
      </c>
      <c r="V348">
        <f>Table11[[#This Row],[Planting Year]]</f>
        <v>2023</v>
      </c>
      <c r="W348" s="8">
        <f>Table11[[#This Row],[Survival% as of 12/31/23]]</f>
        <v>1</v>
      </c>
      <c r="X348" s="7">
        <f>Table11[[#This Row],[ETP'#s]]</f>
        <v>1</v>
      </c>
    </row>
    <row r="349" spans="1:24" x14ac:dyDescent="0.25">
      <c r="A349">
        <f>Table11[[#This Row],[Farmer'#]]</f>
        <v>40035</v>
      </c>
      <c r="B349" t="str">
        <f>Table11[[#This Row],[Representative]]</f>
        <v>Tito Soria Pérez</v>
      </c>
      <c r="C349" t="str">
        <f>Table11[[#This Row],[Contract Name]]</f>
        <v>Tito Soria Pérez</v>
      </c>
      <c r="D349" t="str">
        <f>Table11[[#This Row],[Status]]</f>
        <v>Active</v>
      </c>
      <c r="E349" t="str">
        <f>Table11[[#This Row],[Contract Code]]</f>
        <v>MX0051</v>
      </c>
      <c r="F349" s="16">
        <f>Table11[[#This Row],['#TreesContract]]</f>
        <v>11000</v>
      </c>
      <c r="G349" s="16">
        <f>Table11[[#This Row],['#Planted]]</f>
        <v>11000</v>
      </c>
      <c r="H349" s="16">
        <f>Table11[[#This Row],['#TreesContract]]*Table11[[#This Row],[USA Allocation %]]</f>
        <v>11000</v>
      </c>
      <c r="I349" s="16">
        <f>Table11[[#This Row],['#Planted]]*Table11[[#This Row],[USA Allocation %]]</f>
        <v>11000</v>
      </c>
      <c r="J349" s="16">
        <f>Table11[[#This Row],[Contract Amendment]]*Table11[[#This Row],[USA Allocation %]]</f>
        <v>0</v>
      </c>
      <c r="K349" s="16">
        <f>Table11[[#This Row],['#Trees as of 12/31/23]]*Table11[[#This Row],[USA Allocation %]]</f>
        <v>11000</v>
      </c>
      <c r="L349" s="16">
        <f>Table11[[#This Row],['#Replace 24]]*Table11[[#This Row],[USA Allocation %]]</f>
        <v>1000</v>
      </c>
      <c r="M349" s="16">
        <f>IF(Table11[[#This Row],[Planting Year]]=2024,Table11['#Planted],0)</f>
        <v>0</v>
      </c>
      <c r="N349" s="16">
        <f>(Table11[[#This Row],[2024 '#Trees Inventory + Estimate]]*Table11[[#This Row],[USA Allocation %]])-SUM(Table37[[#This Row],['# Trees as of 12/31/23]:[New Trees/Planted in 2024]])</f>
        <v>-1000</v>
      </c>
      <c r="O349" s="16">
        <f>SUM(Table37[[#This Row],['# Trees as of 12/31/23]:[2024 Tree Losses]])</f>
        <v>11000</v>
      </c>
      <c r="P349" s="16">
        <f>SUM(Table37[[#This Row],[Total Trees as of 12/31/24]]-Table37[[#This Row],['# Trees as of 12/31/23]])</f>
        <v>0</v>
      </c>
      <c r="Q349" s="16">
        <f>Table11[[#This Row],['#Total Replacements]]*Table11[[#This Row],[USA Allocation %]]</f>
        <v>1000</v>
      </c>
      <c r="R349" s="16">
        <f>IF(Table37[[#This Row],['#Survival based on Inventory]]=0,Table37['#Survival based on Last Year Estimate],Table37['#Survival based on Inventory])</f>
        <v>11000</v>
      </c>
      <c r="S349" s="16">
        <f>Table11[[#This Row],['#Planted]]*Table11[[#This Row],[USA Allocation %]]*Table11[[#This Row],[2024 Inventory Survival%-master]]</f>
        <v>0</v>
      </c>
      <c r="T349" s="16">
        <f>Table11[[#This Row],['#Planted]]*Table11[[#This Row],[USA Allocation %]]*Table11[[#This Row],[2024 Estimated Survival%]]</f>
        <v>11000</v>
      </c>
      <c r="U349">
        <f>Table11[[#This Row],[ETP Year]]</f>
        <v>2022</v>
      </c>
      <c r="V349">
        <f>Table11[[#This Row],[Planting Year]]</f>
        <v>2023</v>
      </c>
      <c r="W349" s="8">
        <f>Table11[[#This Row],[Survival% as of 12/31/23]]</f>
        <v>1</v>
      </c>
      <c r="X349" s="7">
        <f>Table11[[#This Row],[ETP'#s]]</f>
        <v>1</v>
      </c>
    </row>
    <row r="350" spans="1:24" x14ac:dyDescent="0.25">
      <c r="A350">
        <f>Table11[[#This Row],[Farmer'#]]</f>
        <v>40037</v>
      </c>
      <c r="B350" t="str">
        <f>Table11[[#This Row],[Representative]]</f>
        <v>Abraham Arreola Salto</v>
      </c>
      <c r="C350" t="str">
        <f>Table11[[#This Row],[Contract Name]]</f>
        <v>Abraham Arreola Salto</v>
      </c>
      <c r="D350" t="str">
        <f>Table11[[#This Row],[Status]]</f>
        <v>Active</v>
      </c>
      <c r="E350" t="str">
        <f>Table11[[#This Row],[Contract Code]]</f>
        <v>MX0038</v>
      </c>
      <c r="F350" s="16">
        <f>Table11[[#This Row],['#TreesContract]]</f>
        <v>2750</v>
      </c>
      <c r="G350" s="16">
        <f>Table11[[#This Row],['#Planted]]</f>
        <v>2750</v>
      </c>
      <c r="H350" s="16">
        <f>Table11[[#This Row],['#TreesContract]]*Table11[[#This Row],[USA Allocation %]]</f>
        <v>2750</v>
      </c>
      <c r="I350" s="16">
        <f>Table11[[#This Row],['#Planted]]*Table11[[#This Row],[USA Allocation %]]</f>
        <v>2750</v>
      </c>
      <c r="J350" s="16">
        <f>Table11[[#This Row],[Contract Amendment]]*Table11[[#This Row],[USA Allocation %]]</f>
        <v>0</v>
      </c>
      <c r="K350" s="16">
        <f>Table11[[#This Row],['#Trees as of 12/31/23]]*Table11[[#This Row],[USA Allocation %]]</f>
        <v>2750</v>
      </c>
      <c r="L350" s="16">
        <f>Table11[[#This Row],['#Replace 24]]*Table11[[#This Row],[USA Allocation %]]</f>
        <v>50</v>
      </c>
      <c r="M350" s="16">
        <f>IF(Table11[[#This Row],[Planting Year]]=2024,Table11['#Planted],0)</f>
        <v>0</v>
      </c>
      <c r="N350" s="16">
        <f>(Table11[[#This Row],[2024 '#Trees Inventory + Estimate]]*Table11[[#This Row],[USA Allocation %]])-SUM(Table37[[#This Row],['# Trees as of 12/31/23]:[New Trees/Planted in 2024]])</f>
        <v>-50</v>
      </c>
      <c r="O350" s="16">
        <f>SUM(Table37[[#This Row],['# Trees as of 12/31/23]:[2024 Tree Losses]])</f>
        <v>2750</v>
      </c>
      <c r="P350" s="16">
        <f>SUM(Table37[[#This Row],[Total Trees as of 12/31/24]]-Table37[[#This Row],['# Trees as of 12/31/23]])</f>
        <v>0</v>
      </c>
      <c r="Q350" s="16">
        <f>Table11[[#This Row],['#Total Replacements]]*Table11[[#This Row],[USA Allocation %]]</f>
        <v>850</v>
      </c>
      <c r="R350" s="16">
        <f>IF(Table37[[#This Row],['#Survival based on Inventory]]=0,Table37['#Survival based on Last Year Estimate],Table37['#Survival based on Inventory])</f>
        <v>2750</v>
      </c>
      <c r="S350" s="16">
        <f>Table11[[#This Row],['#Planted]]*Table11[[#This Row],[USA Allocation %]]*Table11[[#This Row],[2024 Inventory Survival%-master]]</f>
        <v>0</v>
      </c>
      <c r="T350" s="16">
        <f>Table11[[#This Row],['#Planted]]*Table11[[#This Row],[USA Allocation %]]*Table11[[#This Row],[2024 Estimated Survival%]]</f>
        <v>2750</v>
      </c>
      <c r="U350">
        <f>Table11[[#This Row],[ETP Year]]</f>
        <v>2021</v>
      </c>
      <c r="V350">
        <f>Table11[[#This Row],[Planting Year]]</f>
        <v>2023</v>
      </c>
      <c r="W350" s="8">
        <f>Table11[[#This Row],[Survival% as of 12/31/23]]</f>
        <v>1</v>
      </c>
      <c r="X350" s="7">
        <f>Table11[[#This Row],[ETP'#s]]</f>
        <v>1</v>
      </c>
    </row>
    <row r="351" spans="1:24" x14ac:dyDescent="0.25">
      <c r="A351">
        <f>Table11[[#This Row],[Farmer'#]]</f>
        <v>40038</v>
      </c>
      <c r="B351" t="str">
        <f>Table11[[#This Row],[Representative]]</f>
        <v>Agustín Ayala Torres</v>
      </c>
      <c r="C351" t="str">
        <f>Table11[[#This Row],[Contract Name]]</f>
        <v>Agustín Ayala Torres</v>
      </c>
      <c r="D351" t="str">
        <f>Table11[[#This Row],[Status]]</f>
        <v>Active</v>
      </c>
      <c r="E351" t="str">
        <f>Table11[[#This Row],[Contract Code]]</f>
        <v>MX0039</v>
      </c>
      <c r="F351" s="16">
        <f>Table11[[#This Row],['#TreesContract]]</f>
        <v>3542</v>
      </c>
      <c r="G351" s="16">
        <f>Table11[[#This Row],['#Planted]]</f>
        <v>2800</v>
      </c>
      <c r="H351" s="16">
        <f>Table11[[#This Row],['#TreesContract]]*Table11[[#This Row],[USA Allocation %]]</f>
        <v>3542</v>
      </c>
      <c r="I351" s="16">
        <f>Table11[[#This Row],['#Planted]]*Table11[[#This Row],[USA Allocation %]]</f>
        <v>2800</v>
      </c>
      <c r="J351" s="16">
        <f>Table11[[#This Row],[Contract Amendment]]*Table11[[#This Row],[USA Allocation %]]</f>
        <v>0</v>
      </c>
      <c r="K351" s="16">
        <f>Table11[[#This Row],['#Trees as of 12/31/23]]*Table11[[#This Row],[USA Allocation %]]</f>
        <v>2800</v>
      </c>
      <c r="L351" s="16">
        <f>Table11[[#This Row],['#Replace 24]]*Table11[[#This Row],[USA Allocation %]]</f>
        <v>0</v>
      </c>
      <c r="M351" s="16">
        <f>IF(Table11[[#This Row],[Planting Year]]=2024,Table11['#Planted],0)</f>
        <v>0</v>
      </c>
      <c r="N351" s="16">
        <f>(Table11[[#This Row],[2024 '#Trees Inventory + Estimate]]*Table11[[#This Row],[USA Allocation %]])-SUM(Table37[[#This Row],['# Trees as of 12/31/23]:[New Trees/Planted in 2024]])</f>
        <v>0</v>
      </c>
      <c r="O351" s="16">
        <f>SUM(Table37[[#This Row],['# Trees as of 12/31/23]:[2024 Tree Losses]])</f>
        <v>2800</v>
      </c>
      <c r="P351" s="16">
        <f>SUM(Table37[[#This Row],[Total Trees as of 12/31/24]]-Table37[[#This Row],['# Trees as of 12/31/23]])</f>
        <v>0</v>
      </c>
      <c r="Q351" s="16">
        <f>Table11[[#This Row],['#Total Replacements]]*Table11[[#This Row],[USA Allocation %]]</f>
        <v>0</v>
      </c>
      <c r="R351" s="16">
        <f>IF(Table37[[#This Row],['#Survival based on Inventory]]=0,Table37['#Survival based on Last Year Estimate],Table37['#Survival based on Inventory])</f>
        <v>2800</v>
      </c>
      <c r="S351" s="16">
        <f>Table11[[#This Row],['#Planted]]*Table11[[#This Row],[USA Allocation %]]*Table11[[#This Row],[2024 Inventory Survival%-master]]</f>
        <v>0</v>
      </c>
      <c r="T351" s="16">
        <f>Table11[[#This Row],['#Planted]]*Table11[[#This Row],[USA Allocation %]]*Table11[[#This Row],[2024 Estimated Survival%]]</f>
        <v>2800</v>
      </c>
      <c r="U351">
        <f>Table11[[#This Row],[ETP Year]]</f>
        <v>2022</v>
      </c>
      <c r="V351">
        <f>Table11[[#This Row],[Planting Year]]</f>
        <v>2023</v>
      </c>
      <c r="W351" s="8">
        <f>Table11[[#This Row],[Survival% as of 12/31/23]]</f>
        <v>1</v>
      </c>
      <c r="X351" s="7">
        <f>Table11[[#This Row],[ETP'#s]]</f>
        <v>1</v>
      </c>
    </row>
    <row r="352" spans="1:24" x14ac:dyDescent="0.25">
      <c r="A352">
        <f>Table11[[#This Row],[Farmer'#]]</f>
        <v>40039</v>
      </c>
      <c r="B352" t="str">
        <f>Table11[[#This Row],[Representative]]</f>
        <v>Angela López Cruz</v>
      </c>
      <c r="C352" t="str">
        <f>Table11[[#This Row],[Contract Name]]</f>
        <v>Angela López Cruz</v>
      </c>
      <c r="D352" t="str">
        <f>Table11[[#This Row],[Status]]</f>
        <v>Active</v>
      </c>
      <c r="E352" t="str">
        <f>Table11[[#This Row],[Contract Code]]</f>
        <v>MX0040</v>
      </c>
      <c r="F352" s="16">
        <f>Table11[[#This Row],['#TreesContract]]</f>
        <v>2750</v>
      </c>
      <c r="G352" s="16">
        <f>Table11[[#This Row],['#Planted]]</f>
        <v>2750</v>
      </c>
      <c r="H352" s="16">
        <f>Table11[[#This Row],['#TreesContract]]*Table11[[#This Row],[USA Allocation %]]</f>
        <v>2750</v>
      </c>
      <c r="I352" s="16">
        <f>Table11[[#This Row],['#Planted]]*Table11[[#This Row],[USA Allocation %]]</f>
        <v>2750</v>
      </c>
      <c r="J352" s="16">
        <f>Table11[[#This Row],[Contract Amendment]]*Table11[[#This Row],[USA Allocation %]]</f>
        <v>0</v>
      </c>
      <c r="K352" s="16">
        <f>Table11[[#This Row],['#Trees as of 12/31/23]]*Table11[[#This Row],[USA Allocation %]]</f>
        <v>2750</v>
      </c>
      <c r="L352" s="16">
        <f>Table11[[#This Row],['#Replace 24]]*Table11[[#This Row],[USA Allocation %]]</f>
        <v>749</v>
      </c>
      <c r="M352" s="16">
        <f>IF(Table11[[#This Row],[Planting Year]]=2024,Table11['#Planted],0)</f>
        <v>0</v>
      </c>
      <c r="N352" s="16">
        <f>(Table11[[#This Row],[2024 '#Trees Inventory + Estimate]]*Table11[[#This Row],[USA Allocation %]])-SUM(Table37[[#This Row],['# Trees as of 12/31/23]:[New Trees/Planted in 2024]])</f>
        <v>-749</v>
      </c>
      <c r="O352" s="16">
        <f>SUM(Table37[[#This Row],['# Trees as of 12/31/23]:[2024 Tree Losses]])</f>
        <v>2750</v>
      </c>
      <c r="P352" s="16">
        <f>SUM(Table37[[#This Row],[Total Trees as of 12/31/24]]-Table37[[#This Row],['# Trees as of 12/31/23]])</f>
        <v>0</v>
      </c>
      <c r="Q352" s="16">
        <f>Table11[[#This Row],['#Total Replacements]]*Table11[[#This Row],[USA Allocation %]]</f>
        <v>1399</v>
      </c>
      <c r="R352" s="16">
        <f>IF(Table37[[#This Row],['#Survival based on Inventory]]=0,Table37['#Survival based on Last Year Estimate],Table37['#Survival based on Inventory])</f>
        <v>2750</v>
      </c>
      <c r="S352" s="16">
        <f>Table11[[#This Row],['#Planted]]*Table11[[#This Row],[USA Allocation %]]*Table11[[#This Row],[2024 Inventory Survival%-master]]</f>
        <v>0</v>
      </c>
      <c r="T352" s="16">
        <f>Table11[[#This Row],['#Planted]]*Table11[[#This Row],[USA Allocation %]]*Table11[[#This Row],[2024 Estimated Survival%]]</f>
        <v>2750</v>
      </c>
      <c r="U352">
        <f>Table11[[#This Row],[ETP Year]]</f>
        <v>2021</v>
      </c>
      <c r="V352">
        <f>Table11[[#This Row],[Planting Year]]</f>
        <v>2023</v>
      </c>
      <c r="W352" s="8">
        <f>Table11[[#This Row],[Survival% as of 12/31/23]]</f>
        <v>1</v>
      </c>
      <c r="X352" s="7">
        <f>Table11[[#This Row],[ETP'#s]]</f>
        <v>1</v>
      </c>
    </row>
    <row r="353" spans="1:24" x14ac:dyDescent="0.25">
      <c r="A353">
        <f>Table11[[#This Row],[Farmer'#]]</f>
        <v>40040</v>
      </c>
      <c r="B353" t="str">
        <f>Table11[[#This Row],[Representative]]</f>
        <v>Aquiles Augusto Del Río Radilla</v>
      </c>
      <c r="C353" t="str">
        <f>Table11[[#This Row],[Contract Name]]</f>
        <v>Aquiles Augusto Del Río Radilla</v>
      </c>
      <c r="D353" t="str">
        <f>Table11[[#This Row],[Status]]</f>
        <v>Out of Program</v>
      </c>
      <c r="E353" t="str">
        <f>Table11[[#This Row],[Contract Code]]</f>
        <v>MX0041</v>
      </c>
      <c r="F353" s="16">
        <f>Table11[[#This Row],['#TreesContract]]</f>
        <v>2750</v>
      </c>
      <c r="G353" s="16">
        <f>Table11[[#This Row],['#Planted]]</f>
        <v>420</v>
      </c>
      <c r="H353" s="16">
        <f>Table11[[#This Row],['#TreesContract]]*Table11[[#This Row],[USA Allocation %]]</f>
        <v>2750</v>
      </c>
      <c r="I353" s="16">
        <f>Table11[[#This Row],['#Planted]]*Table11[[#This Row],[USA Allocation %]]</f>
        <v>420</v>
      </c>
      <c r="J353" s="16">
        <f>Table11[[#This Row],[Contract Amendment]]*Table11[[#This Row],[USA Allocation %]]</f>
        <v>0</v>
      </c>
      <c r="K353" s="16">
        <f>Table11[[#This Row],['#Trees as of 12/31/23]]*Table11[[#This Row],[USA Allocation %]]</f>
        <v>0</v>
      </c>
      <c r="L353" s="16">
        <f>Table11[[#This Row],['#Replace 24]]*Table11[[#This Row],[USA Allocation %]]</f>
        <v>0</v>
      </c>
      <c r="M353" s="16">
        <f>IF(Table11[[#This Row],[Planting Year]]=2024,Table11['#Planted],0)</f>
        <v>0</v>
      </c>
      <c r="N353" s="16">
        <f>(Table11[[#This Row],[2024 '#Trees Inventory + Estimate]]*Table11[[#This Row],[USA Allocation %]])-SUM(Table37[[#This Row],['# Trees as of 12/31/23]:[New Trees/Planted in 2024]])</f>
        <v>0</v>
      </c>
      <c r="O353" s="16">
        <f>SUM(Table37[[#This Row],['# Trees as of 12/31/23]:[2024 Tree Losses]])</f>
        <v>0</v>
      </c>
      <c r="P353" s="16">
        <f>SUM(Table37[[#This Row],[Total Trees as of 12/31/24]]-Table37[[#This Row],['# Trees as of 12/31/23]])</f>
        <v>0</v>
      </c>
      <c r="Q353" s="16">
        <f>Table11[[#This Row],['#Total Replacements]]*Table11[[#This Row],[USA Allocation %]]</f>
        <v>0</v>
      </c>
      <c r="R353" s="16">
        <f>IF(Table37[[#This Row],['#Survival based on Inventory]]=0,Table37['#Survival based on Last Year Estimate],Table37['#Survival based on Inventory])</f>
        <v>0</v>
      </c>
      <c r="S353" s="16">
        <f>Table11[[#This Row],['#Planted]]*Table11[[#This Row],[USA Allocation %]]*Table11[[#This Row],[2024 Inventory Survival%-master]]</f>
        <v>0</v>
      </c>
      <c r="T353" s="16">
        <f>Table11[[#This Row],['#Planted]]*Table11[[#This Row],[USA Allocation %]]*Table11[[#This Row],[2024 Estimated Survival%]]</f>
        <v>0</v>
      </c>
      <c r="U353">
        <f>Table11[[#This Row],[ETP Year]]</f>
        <v>2022</v>
      </c>
      <c r="V353">
        <f>Table11[[#This Row],[Planting Year]]</f>
        <v>2023</v>
      </c>
      <c r="W353" s="8">
        <f>Table11[[#This Row],[Survival% as of 12/31/23]]</f>
        <v>0</v>
      </c>
      <c r="X353" s="7">
        <f>Table11[[#This Row],[ETP'#s]]</f>
        <v>0</v>
      </c>
    </row>
    <row r="354" spans="1:24" x14ac:dyDescent="0.25">
      <c r="A354">
        <f>Table11[[#This Row],[Farmer'#]]</f>
        <v>40041</v>
      </c>
      <c r="B354" t="str">
        <f>Table11[[#This Row],[Representative]]</f>
        <v>Eduardo Romero Aguilar</v>
      </c>
      <c r="C354" t="str">
        <f>Table11[[#This Row],[Contract Name]]</f>
        <v>Eduardo Romero Aguilar</v>
      </c>
      <c r="D354" t="str">
        <f>Table11[[#This Row],[Status]]</f>
        <v>Active</v>
      </c>
      <c r="E354" t="str">
        <f>Table11[[#This Row],[Contract Code]]</f>
        <v>MX0044</v>
      </c>
      <c r="F354" s="16">
        <f>Table11[[#This Row],['#TreesContract]]</f>
        <v>2750</v>
      </c>
      <c r="G354" s="16">
        <f>Table11[[#This Row],['#Planted]]</f>
        <v>2750</v>
      </c>
      <c r="H354" s="16">
        <f>Table11[[#This Row],['#TreesContract]]*Table11[[#This Row],[USA Allocation %]]</f>
        <v>2750</v>
      </c>
      <c r="I354" s="16">
        <f>Table11[[#This Row],['#Planted]]*Table11[[#This Row],[USA Allocation %]]</f>
        <v>2750</v>
      </c>
      <c r="J354" s="16">
        <f>Table11[[#This Row],[Contract Amendment]]*Table11[[#This Row],[USA Allocation %]]</f>
        <v>0</v>
      </c>
      <c r="K354" s="16">
        <f>Table11[[#This Row],['#Trees as of 12/31/23]]*Table11[[#This Row],[USA Allocation %]]</f>
        <v>2750</v>
      </c>
      <c r="L354" s="16">
        <f>Table11[[#This Row],['#Replace 24]]*Table11[[#This Row],[USA Allocation %]]</f>
        <v>0</v>
      </c>
      <c r="M354" s="16">
        <f>IF(Table11[[#This Row],[Planting Year]]=2024,Table11['#Planted],0)</f>
        <v>0</v>
      </c>
      <c r="N354" s="16">
        <f>(Table11[[#This Row],[2024 '#Trees Inventory + Estimate]]*Table11[[#This Row],[USA Allocation %]])-SUM(Table37[[#This Row],['# Trees as of 12/31/23]:[New Trees/Planted in 2024]])</f>
        <v>0</v>
      </c>
      <c r="O354" s="16">
        <f>SUM(Table37[[#This Row],['# Trees as of 12/31/23]:[2024 Tree Losses]])</f>
        <v>2750</v>
      </c>
      <c r="P354" s="16">
        <f>SUM(Table37[[#This Row],[Total Trees as of 12/31/24]]-Table37[[#This Row],['# Trees as of 12/31/23]])</f>
        <v>0</v>
      </c>
      <c r="Q354" s="16">
        <f>Table11[[#This Row],['#Total Replacements]]*Table11[[#This Row],[USA Allocation %]]</f>
        <v>465</v>
      </c>
      <c r="R354" s="16">
        <f>IF(Table37[[#This Row],['#Survival based on Inventory]]=0,Table37['#Survival based on Last Year Estimate],Table37['#Survival based on Inventory])</f>
        <v>2750</v>
      </c>
      <c r="S354" s="16">
        <f>Table11[[#This Row],['#Planted]]*Table11[[#This Row],[USA Allocation %]]*Table11[[#This Row],[2024 Inventory Survival%-master]]</f>
        <v>0</v>
      </c>
      <c r="T354" s="16">
        <f>Table11[[#This Row],['#Planted]]*Table11[[#This Row],[USA Allocation %]]*Table11[[#This Row],[2024 Estimated Survival%]]</f>
        <v>2750</v>
      </c>
      <c r="U354">
        <f>Table11[[#This Row],[ETP Year]]</f>
        <v>2021</v>
      </c>
      <c r="V354">
        <f>Table11[[#This Row],[Planting Year]]</f>
        <v>2023</v>
      </c>
      <c r="W354" s="8">
        <f>Table11[[#This Row],[Survival% as of 12/31/23]]</f>
        <v>1</v>
      </c>
      <c r="X354" s="7">
        <f>Table11[[#This Row],[ETP'#s]]</f>
        <v>1</v>
      </c>
    </row>
    <row r="355" spans="1:24" x14ac:dyDescent="0.25">
      <c r="A355">
        <f>Table11[[#This Row],[Farmer'#]]</f>
        <v>40042</v>
      </c>
      <c r="B355" t="str">
        <f>Table11[[#This Row],[Representative]]</f>
        <v>Juan Ramón Aguilar Rodríguez</v>
      </c>
      <c r="C355" t="str">
        <f>Table11[[#This Row],[Contract Name]]</f>
        <v>Juan Ramón Aguilar Rodríguez</v>
      </c>
      <c r="D355" t="str">
        <f>Table11[[#This Row],[Status]]</f>
        <v>Out of Program</v>
      </c>
      <c r="E355" t="str">
        <f>Table11[[#This Row],[Contract Code]]</f>
        <v>MX0045</v>
      </c>
      <c r="F355" s="16">
        <f>Table11[[#This Row],['#TreesContract]]</f>
        <v>550</v>
      </c>
      <c r="G355" s="16">
        <f>Table11[[#This Row],['#Planted]]</f>
        <v>200</v>
      </c>
      <c r="H355" s="16">
        <f>Table11[[#This Row],['#TreesContract]]*Table11[[#This Row],[USA Allocation %]]</f>
        <v>550</v>
      </c>
      <c r="I355" s="16">
        <f>Table11[[#This Row],['#Planted]]*Table11[[#This Row],[USA Allocation %]]</f>
        <v>200</v>
      </c>
      <c r="J355" s="16">
        <f>Table11[[#This Row],[Contract Amendment]]*Table11[[#This Row],[USA Allocation %]]</f>
        <v>0</v>
      </c>
      <c r="K355" s="16">
        <f>Table11[[#This Row],['#Trees as of 12/31/23]]*Table11[[#This Row],[USA Allocation %]]</f>
        <v>0</v>
      </c>
      <c r="L355" s="16">
        <f>Table11[[#This Row],['#Replace 24]]*Table11[[#This Row],[USA Allocation %]]</f>
        <v>0</v>
      </c>
      <c r="M355" s="16">
        <f>IF(Table11[[#This Row],[Planting Year]]=2024,Table11['#Planted],0)</f>
        <v>0</v>
      </c>
      <c r="N355" s="16">
        <f>(Table11[[#This Row],[2024 '#Trees Inventory + Estimate]]*Table11[[#This Row],[USA Allocation %]])-SUM(Table37[[#This Row],['# Trees as of 12/31/23]:[New Trees/Planted in 2024]])</f>
        <v>0</v>
      </c>
      <c r="O355" s="16">
        <f>SUM(Table37[[#This Row],['# Trees as of 12/31/23]:[2024 Tree Losses]])</f>
        <v>0</v>
      </c>
      <c r="P355" s="16">
        <f>SUM(Table37[[#This Row],[Total Trees as of 12/31/24]]-Table37[[#This Row],['# Trees as of 12/31/23]])</f>
        <v>0</v>
      </c>
      <c r="Q355" s="16">
        <f>Table11[[#This Row],['#Total Replacements]]*Table11[[#This Row],[USA Allocation %]]</f>
        <v>0</v>
      </c>
      <c r="R355" s="16">
        <f>IF(Table37[[#This Row],['#Survival based on Inventory]]=0,Table37['#Survival based on Last Year Estimate],Table37['#Survival based on Inventory])</f>
        <v>0</v>
      </c>
      <c r="S355" s="16">
        <f>Table11[[#This Row],['#Planted]]*Table11[[#This Row],[USA Allocation %]]*Table11[[#This Row],[2024 Inventory Survival%-master]]</f>
        <v>0</v>
      </c>
      <c r="T355" s="16">
        <f>Table11[[#This Row],['#Planted]]*Table11[[#This Row],[USA Allocation %]]*Table11[[#This Row],[2024 Estimated Survival%]]</f>
        <v>0</v>
      </c>
      <c r="U355">
        <f>Table11[[#This Row],[ETP Year]]</f>
        <v>2022</v>
      </c>
      <c r="V355">
        <f>Table11[[#This Row],[Planting Year]]</f>
        <v>2023</v>
      </c>
      <c r="W355" s="8">
        <f>Table11[[#This Row],[Survival% as of 12/31/23]]</f>
        <v>0</v>
      </c>
      <c r="X355" s="7">
        <f>Table11[[#This Row],[ETP'#s]]</f>
        <v>0</v>
      </c>
    </row>
    <row r="356" spans="1:24" x14ac:dyDescent="0.25">
      <c r="A356">
        <f>Table11[[#This Row],[Farmer'#]]</f>
        <v>40043</v>
      </c>
      <c r="B356" t="str">
        <f>Table11[[#This Row],[Representative]]</f>
        <v>Lorenzo Rodríguez Osorio</v>
      </c>
      <c r="C356" t="str">
        <f>Table11[[#This Row],[Contract Name]]</f>
        <v>Lorenzo Rodríguez Osorio</v>
      </c>
      <c r="D356" t="str">
        <f>Table11[[#This Row],[Status]]</f>
        <v>Active</v>
      </c>
      <c r="E356" t="str">
        <f>Table11[[#This Row],[Contract Code]]</f>
        <v>MX0046</v>
      </c>
      <c r="F356" s="16">
        <f>Table11[[#This Row],['#TreesContract]]</f>
        <v>1100</v>
      </c>
      <c r="G356" s="16">
        <f>Table11[[#This Row],['#Planted]]</f>
        <v>1100</v>
      </c>
      <c r="H356" s="16">
        <f>Table11[[#This Row],['#TreesContract]]*Table11[[#This Row],[USA Allocation %]]</f>
        <v>1100</v>
      </c>
      <c r="I356" s="16">
        <f>Table11[[#This Row],['#Planted]]*Table11[[#This Row],[USA Allocation %]]</f>
        <v>1100</v>
      </c>
      <c r="J356" s="16">
        <f>Table11[[#This Row],[Contract Amendment]]*Table11[[#This Row],[USA Allocation %]]</f>
        <v>0</v>
      </c>
      <c r="K356" s="16">
        <f>Table11[[#This Row],['#Trees as of 12/31/23]]*Table11[[#This Row],[USA Allocation %]]</f>
        <v>1100</v>
      </c>
      <c r="L356" s="16">
        <f>Table11[[#This Row],['#Replace 24]]*Table11[[#This Row],[USA Allocation %]]</f>
        <v>0</v>
      </c>
      <c r="M356" s="16">
        <f>IF(Table11[[#This Row],[Planting Year]]=2024,Table11['#Planted],0)</f>
        <v>0</v>
      </c>
      <c r="N356" s="16">
        <f>(Table11[[#This Row],[2024 '#Trees Inventory + Estimate]]*Table11[[#This Row],[USA Allocation %]])-SUM(Table37[[#This Row],['# Trees as of 12/31/23]:[New Trees/Planted in 2024]])</f>
        <v>0</v>
      </c>
      <c r="O356" s="16">
        <f>SUM(Table37[[#This Row],['# Trees as of 12/31/23]:[2024 Tree Losses]])</f>
        <v>1100</v>
      </c>
      <c r="P356" s="16">
        <f>SUM(Table37[[#This Row],[Total Trees as of 12/31/24]]-Table37[[#This Row],['# Trees as of 12/31/23]])</f>
        <v>0</v>
      </c>
      <c r="Q356" s="16">
        <f>Table11[[#This Row],['#Total Replacements]]*Table11[[#This Row],[USA Allocation %]]</f>
        <v>550</v>
      </c>
      <c r="R356" s="16">
        <f>IF(Table37[[#This Row],['#Survival based on Inventory]]=0,Table37['#Survival based on Last Year Estimate],Table37['#Survival based on Inventory])</f>
        <v>1100</v>
      </c>
      <c r="S356" s="16">
        <f>Table11[[#This Row],['#Planted]]*Table11[[#This Row],[USA Allocation %]]*Table11[[#This Row],[2024 Inventory Survival%-master]]</f>
        <v>0</v>
      </c>
      <c r="T356" s="16">
        <f>Table11[[#This Row],['#Planted]]*Table11[[#This Row],[USA Allocation %]]*Table11[[#This Row],[2024 Estimated Survival%]]</f>
        <v>1100</v>
      </c>
      <c r="U356">
        <f>Table11[[#This Row],[ETP Year]]</f>
        <v>2021</v>
      </c>
      <c r="V356">
        <f>Table11[[#This Row],[Planting Year]]</f>
        <v>2023</v>
      </c>
      <c r="W356" s="8">
        <f>Table11[[#This Row],[Survival% as of 12/31/23]]</f>
        <v>1</v>
      </c>
      <c r="X356" s="7">
        <f>Table11[[#This Row],[ETP'#s]]</f>
        <v>1</v>
      </c>
    </row>
    <row r="357" spans="1:24" x14ac:dyDescent="0.25">
      <c r="A357">
        <f>Table11[[#This Row],[Farmer'#]]</f>
        <v>40044</v>
      </c>
      <c r="B357" t="str">
        <f>Table11[[#This Row],[Representative]]</f>
        <v>Moisés Jacinto Felipe</v>
      </c>
      <c r="C357" t="str">
        <f>Table11[[#This Row],[Contract Name]]</f>
        <v>Moisés Jacinto Felipe</v>
      </c>
      <c r="D357" t="str">
        <f>Table11[[#This Row],[Status]]</f>
        <v>Active</v>
      </c>
      <c r="E357" t="str">
        <f>Table11[[#This Row],[Contract Code]]</f>
        <v>MX0047</v>
      </c>
      <c r="F357" s="16">
        <f>Table11[[#This Row],['#TreesContract]]</f>
        <v>4400</v>
      </c>
      <c r="G357" s="16">
        <f>Table11[[#This Row],['#Planted]]</f>
        <v>2650</v>
      </c>
      <c r="H357" s="16">
        <f>Table11[[#This Row],['#TreesContract]]*Table11[[#This Row],[USA Allocation %]]</f>
        <v>4400</v>
      </c>
      <c r="I357" s="16">
        <f>Table11[[#This Row],['#Planted]]*Table11[[#This Row],[USA Allocation %]]</f>
        <v>2650</v>
      </c>
      <c r="J357" s="16">
        <f>Table11[[#This Row],[Contract Amendment]]*Table11[[#This Row],[USA Allocation %]]</f>
        <v>0</v>
      </c>
      <c r="K357" s="16">
        <f>Table11[[#This Row],['#Trees as of 12/31/23]]*Table11[[#This Row],[USA Allocation %]]</f>
        <v>2650</v>
      </c>
      <c r="L357" s="16">
        <f>Table11[[#This Row],['#Replace 24]]*Table11[[#This Row],[USA Allocation %]]</f>
        <v>0</v>
      </c>
      <c r="M357" s="16">
        <f>IF(Table11[[#This Row],[Planting Year]]=2024,Table11['#Planted],0)</f>
        <v>0</v>
      </c>
      <c r="N357" s="16">
        <f>(Table11[[#This Row],[2024 '#Trees Inventory + Estimate]]*Table11[[#This Row],[USA Allocation %]])-SUM(Table37[[#This Row],['# Trees as of 12/31/23]:[New Trees/Planted in 2024]])</f>
        <v>0</v>
      </c>
      <c r="O357" s="16">
        <f>SUM(Table37[[#This Row],['# Trees as of 12/31/23]:[2024 Tree Losses]])</f>
        <v>2650</v>
      </c>
      <c r="P357" s="16">
        <f>SUM(Table37[[#This Row],[Total Trees as of 12/31/24]]-Table37[[#This Row],['# Trees as of 12/31/23]])</f>
        <v>0</v>
      </c>
      <c r="Q357" s="16">
        <f>Table11[[#This Row],['#Total Replacements]]*Table11[[#This Row],[USA Allocation %]]</f>
        <v>0</v>
      </c>
      <c r="R357" s="16">
        <f>IF(Table37[[#This Row],['#Survival based on Inventory]]=0,Table37['#Survival based on Last Year Estimate],Table37['#Survival based on Inventory])</f>
        <v>2650</v>
      </c>
      <c r="S357" s="16">
        <f>Table11[[#This Row],['#Planted]]*Table11[[#This Row],[USA Allocation %]]*Table11[[#This Row],[2024 Inventory Survival%-master]]</f>
        <v>0</v>
      </c>
      <c r="T357" s="16">
        <f>Table11[[#This Row],['#Planted]]*Table11[[#This Row],[USA Allocation %]]*Table11[[#This Row],[2024 Estimated Survival%]]</f>
        <v>2650</v>
      </c>
      <c r="U357">
        <f>Table11[[#This Row],[ETP Year]]</f>
        <v>2022</v>
      </c>
      <c r="V357">
        <f>Table11[[#This Row],[Planting Year]]</f>
        <v>2023</v>
      </c>
      <c r="W357" s="8">
        <f>Table11[[#This Row],[Survival% as of 12/31/23]]</f>
        <v>1</v>
      </c>
      <c r="X357" s="7">
        <f>Table11[[#This Row],[ETP'#s]]</f>
        <v>1</v>
      </c>
    </row>
    <row r="358" spans="1:24" x14ac:dyDescent="0.25">
      <c r="A358">
        <f>Table11[[#This Row],[Farmer'#]]</f>
        <v>40045</v>
      </c>
      <c r="B358" t="str">
        <f>Table11[[#This Row],[Representative]]</f>
        <v>Roberta Felipe Cruz</v>
      </c>
      <c r="C358" t="str">
        <f>Table11[[#This Row],[Contract Name]]</f>
        <v>Roberta Felipe Cruz</v>
      </c>
      <c r="D358" t="str">
        <f>Table11[[#This Row],[Status]]</f>
        <v>Active</v>
      </c>
      <c r="E358" t="str">
        <f>Table11[[#This Row],[Contract Code]]</f>
        <v>MX0049</v>
      </c>
      <c r="F358" s="16">
        <f>Table11[[#This Row],['#TreesContract]]</f>
        <v>2750</v>
      </c>
      <c r="G358" s="16">
        <f>Table11[[#This Row],['#Planted]]</f>
        <v>1650</v>
      </c>
      <c r="H358" s="16">
        <f>Table11[[#This Row],['#TreesContract]]*Table11[[#This Row],[USA Allocation %]]</f>
        <v>2750</v>
      </c>
      <c r="I358" s="16">
        <f>Table11[[#This Row],['#Planted]]*Table11[[#This Row],[USA Allocation %]]</f>
        <v>1650</v>
      </c>
      <c r="J358" s="16">
        <f>Table11[[#This Row],[Contract Amendment]]*Table11[[#This Row],[USA Allocation %]]</f>
        <v>0</v>
      </c>
      <c r="K358" s="16">
        <f>Table11[[#This Row],['#Trees as of 12/31/23]]*Table11[[#This Row],[USA Allocation %]]</f>
        <v>1650</v>
      </c>
      <c r="L358" s="16">
        <f>Table11[[#This Row],['#Replace 24]]*Table11[[#This Row],[USA Allocation %]]</f>
        <v>0</v>
      </c>
      <c r="M358" s="16">
        <f>IF(Table11[[#This Row],[Planting Year]]=2024,Table11['#Planted],0)</f>
        <v>0</v>
      </c>
      <c r="N358" s="16">
        <f>(Table11[[#This Row],[2024 '#Trees Inventory + Estimate]]*Table11[[#This Row],[USA Allocation %]])-SUM(Table37[[#This Row],['# Trees as of 12/31/23]:[New Trees/Planted in 2024]])</f>
        <v>0</v>
      </c>
      <c r="O358" s="16">
        <f>SUM(Table37[[#This Row],['# Trees as of 12/31/23]:[2024 Tree Losses]])</f>
        <v>1650</v>
      </c>
      <c r="P358" s="16">
        <f>SUM(Table37[[#This Row],[Total Trees as of 12/31/24]]-Table37[[#This Row],['# Trees as of 12/31/23]])</f>
        <v>0</v>
      </c>
      <c r="Q358" s="16">
        <f>Table11[[#This Row],['#Total Replacements]]*Table11[[#This Row],[USA Allocation %]]</f>
        <v>0</v>
      </c>
      <c r="R358" s="16">
        <f>IF(Table37[[#This Row],['#Survival based on Inventory]]=0,Table37['#Survival based on Last Year Estimate],Table37['#Survival based on Inventory])</f>
        <v>1650</v>
      </c>
      <c r="S358" s="16">
        <f>Table11[[#This Row],['#Planted]]*Table11[[#This Row],[USA Allocation %]]*Table11[[#This Row],[2024 Inventory Survival%-master]]</f>
        <v>0</v>
      </c>
      <c r="T358" s="16">
        <f>Table11[[#This Row],['#Planted]]*Table11[[#This Row],[USA Allocation %]]*Table11[[#This Row],[2024 Estimated Survival%]]</f>
        <v>1650</v>
      </c>
      <c r="U358">
        <f>Table11[[#This Row],[ETP Year]]</f>
        <v>2022</v>
      </c>
      <c r="V358">
        <f>Table11[[#This Row],[Planting Year]]</f>
        <v>2023</v>
      </c>
      <c r="W358" s="8">
        <f>Table11[[#This Row],[Survival% as of 12/31/23]]</f>
        <v>1</v>
      </c>
      <c r="X358" s="7">
        <f>Table11[[#This Row],[ETP'#s]]</f>
        <v>1</v>
      </c>
    </row>
    <row r="359" spans="1:24" x14ac:dyDescent="0.25">
      <c r="A359">
        <f>Table11[[#This Row],[Farmer'#]]</f>
        <v>40046</v>
      </c>
      <c r="B359" t="str">
        <f>Table11[[#This Row],[Representative]]</f>
        <v>Sofía Bautista Bustos</v>
      </c>
      <c r="C359" t="str">
        <f>Table11[[#This Row],[Contract Name]]</f>
        <v>Sofía Bautista Bustos</v>
      </c>
      <c r="D359" t="str">
        <f>Table11[[#This Row],[Status]]</f>
        <v>Active</v>
      </c>
      <c r="E359" t="str">
        <f>Table11[[#This Row],[Contract Code]]</f>
        <v>MX0050</v>
      </c>
      <c r="F359" s="16">
        <f>Table11[[#This Row],['#TreesContract]]</f>
        <v>2750</v>
      </c>
      <c r="G359" s="16">
        <f>Table11[[#This Row],['#Planted]]</f>
        <v>2750</v>
      </c>
      <c r="H359" s="16">
        <f>Table11[[#This Row],['#TreesContract]]*Table11[[#This Row],[USA Allocation %]]</f>
        <v>2750</v>
      </c>
      <c r="I359" s="16">
        <f>Table11[[#This Row],['#Planted]]*Table11[[#This Row],[USA Allocation %]]</f>
        <v>2750</v>
      </c>
      <c r="J359" s="16">
        <f>Table11[[#This Row],[Contract Amendment]]*Table11[[#This Row],[USA Allocation %]]</f>
        <v>0</v>
      </c>
      <c r="K359" s="16">
        <f>Table11[[#This Row],['#Trees as of 12/31/23]]*Table11[[#This Row],[USA Allocation %]]</f>
        <v>2750</v>
      </c>
      <c r="L359" s="16">
        <f>Table11[[#This Row],['#Replace 24]]*Table11[[#This Row],[USA Allocation %]]</f>
        <v>0</v>
      </c>
      <c r="M359" s="16">
        <f>IF(Table11[[#This Row],[Planting Year]]=2024,Table11['#Planted],0)</f>
        <v>0</v>
      </c>
      <c r="N359" s="16">
        <f>(Table11[[#This Row],[2024 '#Trees Inventory + Estimate]]*Table11[[#This Row],[USA Allocation %]])-SUM(Table37[[#This Row],['# Trees as of 12/31/23]:[New Trees/Planted in 2024]])</f>
        <v>0</v>
      </c>
      <c r="O359" s="16">
        <f>SUM(Table37[[#This Row],['# Trees as of 12/31/23]:[2024 Tree Losses]])</f>
        <v>2750</v>
      </c>
      <c r="P359" s="16">
        <f>SUM(Table37[[#This Row],[Total Trees as of 12/31/24]]-Table37[[#This Row],['# Trees as of 12/31/23]])</f>
        <v>0</v>
      </c>
      <c r="Q359" s="16">
        <f>Table11[[#This Row],['#Total Replacements]]*Table11[[#This Row],[USA Allocation %]]</f>
        <v>0</v>
      </c>
      <c r="R359" s="16">
        <f>IF(Table37[[#This Row],['#Survival based on Inventory]]=0,Table37['#Survival based on Last Year Estimate],Table37['#Survival based on Inventory])</f>
        <v>2750</v>
      </c>
      <c r="S359" s="16">
        <f>Table11[[#This Row],['#Planted]]*Table11[[#This Row],[USA Allocation %]]*Table11[[#This Row],[2024 Inventory Survival%-master]]</f>
        <v>0</v>
      </c>
      <c r="T359" s="16">
        <f>Table11[[#This Row],['#Planted]]*Table11[[#This Row],[USA Allocation %]]*Table11[[#This Row],[2024 Estimated Survival%]]</f>
        <v>2750</v>
      </c>
      <c r="U359">
        <f>Table11[[#This Row],[ETP Year]]</f>
        <v>2021</v>
      </c>
      <c r="V359">
        <f>Table11[[#This Row],[Planting Year]]</f>
        <v>2023</v>
      </c>
      <c r="W359" s="8">
        <f>Table11[[#This Row],[Survival% as of 12/31/23]]</f>
        <v>1</v>
      </c>
      <c r="X359" s="7">
        <f>Table11[[#This Row],[ETP'#s]]</f>
        <v>1</v>
      </c>
    </row>
    <row r="360" spans="1:24" x14ac:dyDescent="0.25">
      <c r="A360">
        <f>Table11[[#This Row],[Farmer'#]]</f>
        <v>40047</v>
      </c>
      <c r="B360" t="str">
        <f>Table11[[#This Row],[Representative]]</f>
        <v>Victorico Ortega Cohetero</v>
      </c>
      <c r="C360" t="str">
        <f>Table11[[#This Row],[Contract Name]]</f>
        <v>Victorico Ortega Cohetero</v>
      </c>
      <c r="D360" t="str">
        <f>Table11[[#This Row],[Status]]</f>
        <v>Active</v>
      </c>
      <c r="E360" t="str">
        <f>Table11[[#This Row],[Contract Code]]</f>
        <v>MX0052</v>
      </c>
      <c r="F360" s="16">
        <f>Table11[[#This Row],['#TreesContract]]</f>
        <v>2750</v>
      </c>
      <c r="G360" s="16">
        <f>Table11[[#This Row],['#Planted]]</f>
        <v>2750</v>
      </c>
      <c r="H360" s="16">
        <f>Table11[[#This Row],['#TreesContract]]*Table11[[#This Row],[USA Allocation %]]</f>
        <v>2750</v>
      </c>
      <c r="I360" s="16">
        <f>Table11[[#This Row],['#Planted]]*Table11[[#This Row],[USA Allocation %]]</f>
        <v>2750</v>
      </c>
      <c r="J360" s="16">
        <f>Table11[[#This Row],[Contract Amendment]]*Table11[[#This Row],[USA Allocation %]]</f>
        <v>0</v>
      </c>
      <c r="K360" s="16">
        <f>Table11[[#This Row],['#Trees as of 12/31/23]]*Table11[[#This Row],[USA Allocation %]]</f>
        <v>2750</v>
      </c>
      <c r="L360" s="16">
        <f>Table11[[#This Row],['#Replace 24]]*Table11[[#This Row],[USA Allocation %]]</f>
        <v>0</v>
      </c>
      <c r="M360" s="16">
        <f>IF(Table11[[#This Row],[Planting Year]]=2024,Table11['#Planted],0)</f>
        <v>0</v>
      </c>
      <c r="N360" s="16">
        <f>(Table11[[#This Row],[2024 '#Trees Inventory + Estimate]]*Table11[[#This Row],[USA Allocation %]])-SUM(Table37[[#This Row],['# Trees as of 12/31/23]:[New Trees/Planted in 2024]])</f>
        <v>0</v>
      </c>
      <c r="O360" s="16">
        <f>SUM(Table37[[#This Row],['# Trees as of 12/31/23]:[2024 Tree Losses]])</f>
        <v>2750</v>
      </c>
      <c r="P360" s="16">
        <f>SUM(Table37[[#This Row],[Total Trees as of 12/31/24]]-Table37[[#This Row],['# Trees as of 12/31/23]])</f>
        <v>0</v>
      </c>
      <c r="Q360" s="16">
        <f>Table11[[#This Row],['#Total Replacements]]*Table11[[#This Row],[USA Allocation %]]</f>
        <v>100</v>
      </c>
      <c r="R360" s="16">
        <f>IF(Table37[[#This Row],['#Survival based on Inventory]]=0,Table37['#Survival based on Last Year Estimate],Table37['#Survival based on Inventory])</f>
        <v>2750</v>
      </c>
      <c r="S360" s="16">
        <f>Table11[[#This Row],['#Planted]]*Table11[[#This Row],[USA Allocation %]]*Table11[[#This Row],[2024 Inventory Survival%-master]]</f>
        <v>0</v>
      </c>
      <c r="T360" s="16">
        <f>Table11[[#This Row],['#Planted]]*Table11[[#This Row],[USA Allocation %]]*Table11[[#This Row],[2024 Estimated Survival%]]</f>
        <v>2750</v>
      </c>
      <c r="U360">
        <f>Table11[[#This Row],[ETP Year]]</f>
        <v>2021</v>
      </c>
      <c r="V360">
        <f>Table11[[#This Row],[Planting Year]]</f>
        <v>2023</v>
      </c>
      <c r="W360" s="8">
        <f>Table11[[#This Row],[Survival% as of 12/31/23]]</f>
        <v>1</v>
      </c>
      <c r="X360" s="7">
        <f>Table11[[#This Row],[ETP'#s]]</f>
        <v>1</v>
      </c>
    </row>
    <row r="361" spans="1:24" x14ac:dyDescent="0.25">
      <c r="F361" s="16">
        <f>SUBTOTAL(109,Table37['#TreesContract])</f>
        <v>744126</v>
      </c>
      <c r="G361" s="16">
        <f>SUBTOTAL(109,Table37['#Planted])</f>
        <v>736843</v>
      </c>
      <c r="H361" s="39">
        <f>SUBTOTAL(109,Table37['# Trees Allocated to US Series])</f>
        <v>616686.56787999999</v>
      </c>
      <c r="I361" s="39">
        <f>SUBTOTAL(109,Table37['# Planted for Allocated Portion])</f>
        <v>609403.56787999999</v>
      </c>
      <c r="J361" s="16">
        <f>SUBTOTAL(109,Table37[Amendment])</f>
        <v>0</v>
      </c>
      <c r="K361" s="16">
        <f>SUBTOTAL(109,Table37['# Trees as of 12/31/23])</f>
        <v>398555.33224685094</v>
      </c>
      <c r="L361" s="16">
        <f>SUBTOTAL(109,Table37['# Replaced in 2024])</f>
        <v>10976</v>
      </c>
      <c r="M361" s="16">
        <f>SUBTOTAL(109,Table37[New Trees/Planted in 2024])</f>
        <v>0</v>
      </c>
      <c r="N361" s="16">
        <f>SUBTOTAL(109,Table37[2024 Tree Losses])</f>
        <v>-44271.306079411588</v>
      </c>
      <c r="O361" s="39">
        <f>SUBTOTAL(109,Table37[Total Trees as of 12/31/24])</f>
        <v>365260.0261674393</v>
      </c>
      <c r="P361" s="16">
        <f>SUBTOTAL(109,Table37[Tree Change as of 12/31/24])</f>
        <v>-33295.306079411588</v>
      </c>
      <c r="Q361" s="16">
        <f>SUBTOTAL(109,Table37['#Total Replaced All Years])</f>
        <v>157910.19457228907</v>
      </c>
      <c r="R361" s="39">
        <f>SUBTOTAL(109,Table37[Inventory/Smart Sheet count])</f>
        <v>368635.7718794031</v>
      </c>
      <c r="S361" s="16">
        <f>SUBTOTAL(109,Table37['#Survival based on Inventory])</f>
        <v>135287.17300000004</v>
      </c>
      <c r="T361" s="16">
        <f>SUBTOTAL(109,Table37['#Survival based on Last Year Estimate])</f>
        <v>368754.82887940313</v>
      </c>
      <c r="W361" s="8"/>
    </row>
    <row r="362" spans="1:24" x14ac:dyDescent="0.25">
      <c r="S362" s="16"/>
    </row>
  </sheetData>
  <protectedRanges>
    <protectedRange sqref="A1:W1" name="Range1_8"/>
  </protectedRanges>
  <phoneticPr fontId="1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EF54F-E7DA-4670-81BF-6B7633A91F3B}">
  <dimension ref="A1:X361"/>
  <sheetViews>
    <sheetView showZeros="0" zoomScale="70" zoomScaleNormal="70" workbookViewId="0">
      <pane xSplit="2" ySplit="1" topLeftCell="K2" activePane="bottomRight" state="frozen"/>
      <selection pane="topRight" activeCell="K2" sqref="K2"/>
      <selection pane="bottomLeft" activeCell="K2" sqref="K2"/>
      <selection pane="bottomRight" activeCell="K2" sqref="K2"/>
    </sheetView>
  </sheetViews>
  <sheetFormatPr defaultColWidth="8.85546875" defaultRowHeight="15" x14ac:dyDescent="0.25"/>
  <cols>
    <col min="1" max="1" width="10.42578125" customWidth="1"/>
    <col min="2" max="2" width="17.42578125" customWidth="1"/>
    <col min="3" max="3" width="14.42578125" customWidth="1"/>
    <col min="4" max="5" width="12.42578125" customWidth="1"/>
    <col min="6" max="6" width="11.42578125" customWidth="1"/>
    <col min="7" max="7" width="17.28515625" customWidth="1"/>
    <col min="8" max="9" width="11.42578125" customWidth="1"/>
    <col min="10" max="10" width="11.28515625" customWidth="1"/>
    <col min="11" max="11" width="13.28515625" customWidth="1"/>
    <col min="12" max="12" width="18.42578125" customWidth="1"/>
    <col min="13" max="13" width="16.140625" customWidth="1"/>
    <col min="14" max="14" width="18.42578125" customWidth="1"/>
    <col min="15" max="15" width="17.140625" customWidth="1"/>
    <col min="16" max="16" width="17.28515625" bestFit="1" customWidth="1"/>
    <col min="17" max="17" width="11.28515625" bestFit="1" customWidth="1"/>
    <col min="18" max="18" width="18.140625" bestFit="1" customWidth="1"/>
    <col min="19" max="19" width="18.140625" customWidth="1"/>
    <col min="20" max="20" width="17.28515625" customWidth="1"/>
    <col min="21" max="22" width="20.42578125" customWidth="1"/>
    <col min="23" max="23" width="12.42578125" bestFit="1" customWidth="1"/>
  </cols>
  <sheetData>
    <row r="1" spans="1:24" ht="63" x14ac:dyDescent="0.25">
      <c r="A1" s="10" t="s">
        <v>2433</v>
      </c>
      <c r="B1" s="10" t="s">
        <v>75</v>
      </c>
      <c r="C1" s="10" t="s">
        <v>77</v>
      </c>
      <c r="D1" s="10" t="s">
        <v>79</v>
      </c>
      <c r="E1" s="10" t="s">
        <v>2434</v>
      </c>
      <c r="F1" s="10" t="s">
        <v>90</v>
      </c>
      <c r="G1" s="10" t="s">
        <v>91</v>
      </c>
      <c r="H1" s="12" t="s">
        <v>2435</v>
      </c>
      <c r="I1" s="12" t="s">
        <v>2436</v>
      </c>
      <c r="J1" s="12" t="s">
        <v>2437</v>
      </c>
      <c r="K1" s="12" t="s">
        <v>2438</v>
      </c>
      <c r="L1" s="12" t="s">
        <v>2439</v>
      </c>
      <c r="M1" s="12" t="s">
        <v>2440</v>
      </c>
      <c r="N1" s="12" t="s">
        <v>2441</v>
      </c>
      <c r="O1" s="12" t="s">
        <v>2442</v>
      </c>
      <c r="P1" s="12" t="s">
        <v>2443</v>
      </c>
      <c r="Q1" s="10" t="s">
        <v>2444</v>
      </c>
      <c r="R1" s="13" t="s">
        <v>2445</v>
      </c>
      <c r="S1" s="14" t="s">
        <v>2446</v>
      </c>
      <c r="T1" s="14" t="s">
        <v>2447</v>
      </c>
      <c r="U1" s="10" t="s">
        <v>73</v>
      </c>
      <c r="V1" s="10" t="s">
        <v>66</v>
      </c>
      <c r="W1" s="11" t="s">
        <v>2448</v>
      </c>
      <c r="X1" s="11" t="s">
        <v>2449</v>
      </c>
    </row>
    <row r="2" spans="1:24" x14ac:dyDescent="0.25">
      <c r="A2" s="9">
        <f>Table11[[#This Row],[Farmer'#]]</f>
        <v>10001</v>
      </c>
      <c r="B2" s="9" t="str">
        <f>Table11[[#This Row],[Representative]]</f>
        <v>Bruce Gamble</v>
      </c>
      <c r="C2" s="9" t="str">
        <f>Table11[[#This Row],[Contract Name]]</f>
        <v>Bruce Gamble</v>
      </c>
      <c r="D2" s="9" t="str">
        <f>Table11[[#This Row],[Status]]</f>
        <v>RFT</v>
      </c>
      <c r="E2" s="9" t="str">
        <f>Table11[[#This Row],[Contract Code]]</f>
        <v>US0001</v>
      </c>
      <c r="F2" s="30">
        <f>Table11[[#This Row],['#TreesContract]]</f>
        <v>2200</v>
      </c>
      <c r="G2" s="30">
        <f>Table11[[#This Row],['#Planted]]</f>
        <v>2200</v>
      </c>
      <c r="H2" s="30">
        <f>Table11[[#This Row],['#TreesContract]]*Table11[[#This Row],[Canada Allocation %]]</f>
        <v>2200</v>
      </c>
      <c r="I2" s="30">
        <f>Table11[[#This Row],['#Planted]]*Table11[[#This Row],[Canada Allocation %]]</f>
        <v>2200</v>
      </c>
      <c r="J2" s="30">
        <f>Table11[[#This Row],[Contract Amendment]]*Table11[[#This Row],[Canada Allocation %]]</f>
        <v>0</v>
      </c>
      <c r="K2" s="30">
        <f>Table11[[#This Row],['#Trees as of 12/31/23]]*Table11[[#This Row],[Canada Allocation %]]</f>
        <v>0</v>
      </c>
      <c r="L2" s="30">
        <f>Table11[[#This Row],['#Replace 24]]*Table11[[#This Row],[Canada Allocation %]]</f>
        <v>0</v>
      </c>
      <c r="M2" s="30"/>
      <c r="N2" s="31">
        <f>(Table11[[#This Row],[2024 '#Trees Inventory + Estimate]]*Table11[[#This Row],[Canada Allocation %]])-SUM(Table378[[#This Row],['# Trees as of 12/31/23]:[New Trees/Planted in 2024]])</f>
        <v>0</v>
      </c>
      <c r="O2" s="31">
        <f>SUM(Table378[[#This Row],['# Trees as of 12/31/23]:[2024 Tree Losses]])</f>
        <v>0</v>
      </c>
      <c r="P2" s="31">
        <f>SUM(Table378[[#This Row],[Total Trees as of 12/31/24]]-Table378[[#This Row],['# Trees as of 12/31/23]])</f>
        <v>0</v>
      </c>
      <c r="Q2" s="31">
        <f>Table11[[#This Row],['#Total Replacements]]*Table11[[#This Row],[Canada Allocation %]]</f>
        <v>1000</v>
      </c>
      <c r="R2" s="31">
        <f>IF(Table378[[#This Row],['#Survival based on Inventory]]=0,Table378['#Survival based on Last Year Estimate],Table378['#Survival based on Inventory])</f>
        <v>0</v>
      </c>
      <c r="S2" s="31">
        <f>Table11[[#This Row],['#Planted]]*Table11[[#This Row],[Canada Allocation %]]*Table11[[#This Row],[2024 Inventory Survival%-master]]</f>
        <v>0</v>
      </c>
      <c r="T2" s="31">
        <f>Table11[[#This Row],['#Planted]]*Table11[[#This Row],[Canada Allocation %]]*Table11[[#This Row],[2024 Estimated Survival%]]</f>
        <v>0</v>
      </c>
      <c r="U2" s="29">
        <f>Table11[[#This Row],[ETP Year]]</f>
        <v>2015</v>
      </c>
      <c r="V2" s="29">
        <f>Table11[[#This Row],[Planting Year]]</f>
        <v>2015</v>
      </c>
      <c r="W2" s="28">
        <f>Table11[[#This Row],[Survival% as of 12/31/23]]</f>
        <v>0</v>
      </c>
      <c r="X2" s="45">
        <f>Table11[[#This Row],[ETP'#s]]</f>
        <v>1</v>
      </c>
    </row>
    <row r="3" spans="1:24" x14ac:dyDescent="0.25">
      <c r="A3">
        <f>Table11[[#This Row],[Farmer'#]]</f>
        <v>10001</v>
      </c>
      <c r="B3" t="str">
        <f>Table11[[#This Row],[Representative]]</f>
        <v>Bruce Gamble</v>
      </c>
      <c r="C3" t="str">
        <f>Table11[[#This Row],[Contract Name]]</f>
        <v>Bruce Gamble</v>
      </c>
      <c r="D3" t="str">
        <f>Table11[[#This Row],[Status]]</f>
        <v>Active</v>
      </c>
      <c r="E3" t="str">
        <f>Table11[[#This Row],[Contract Code]]</f>
        <v>US0004</v>
      </c>
      <c r="F3" s="16">
        <f>Table11[[#This Row],['#TreesContract]]</f>
        <v>2200</v>
      </c>
      <c r="G3" s="16">
        <f>Table11[[#This Row],['#Planted]]</f>
        <v>2200</v>
      </c>
      <c r="H3" s="16">
        <f>Table11[[#This Row],['#TreesContract]]*Table11[[#This Row],[Canada Allocation %]]</f>
        <v>2200</v>
      </c>
      <c r="I3" s="16">
        <f>Table11[[#This Row],['#Planted]]*Table11[[#This Row],[Canada Allocation %]]</f>
        <v>2200</v>
      </c>
      <c r="J3" s="16">
        <f>Table11[[#This Row],[Contract Amendment]]*Table11[[#This Row],[Canada Allocation %]]</f>
        <v>0</v>
      </c>
      <c r="K3" s="16">
        <f>Table11[[#This Row],['#Trees as of 12/31/23]]*Table11[[#This Row],[Canada Allocation %]]</f>
        <v>1222.8459330143542</v>
      </c>
      <c r="L3" s="16">
        <f>Table11[[#This Row],['#Replace 24]]*Table11[[#This Row],[Canada Allocation %]]</f>
        <v>0</v>
      </c>
      <c r="M3" s="16"/>
      <c r="N3" s="16">
        <f>(Table11[[#This Row],[2024 '#Trees Inventory + Estimate]]*Table11[[#This Row],[Canada Allocation %]])-SUM(Table378[[#This Row],['# Trees as of 12/31/23]:[New Trees/Planted in 2024]])</f>
        <v>0</v>
      </c>
      <c r="O3" s="16">
        <f>SUM(Table378[[#This Row],['# Trees as of 12/31/23]:[2024 Tree Losses]])</f>
        <v>1222.8459330143542</v>
      </c>
      <c r="P3" s="16">
        <f>SUM(Table378[[#This Row],[Total Trees as of 12/31/24]]-Table378[[#This Row],['# Trees as of 12/31/23]])</f>
        <v>0</v>
      </c>
      <c r="Q3" s="16">
        <f>Table11[[#This Row],['#Total Replacements]]*Table11[[#This Row],[Canada Allocation %]]</f>
        <v>1800</v>
      </c>
      <c r="R3" s="16">
        <f>IF(Table378[[#This Row],['#Survival based on Inventory]]=0,Table378['#Survival based on Last Year Estimate],Table378['#Survival based on Inventory])</f>
        <v>1222.8459330143542</v>
      </c>
      <c r="S3" s="16">
        <f>Table11[[#This Row],['#Planted]]*Table11[[#This Row],[Canada Allocation %]]*Table11[[#This Row],[2024 Inventory Survival%-master]]</f>
        <v>0</v>
      </c>
      <c r="T3" s="16">
        <f>Table11[[#This Row],['#Planted]]*Table11[[#This Row],[Canada Allocation %]]*Table11[[#This Row],[2024 Estimated Survival%]]</f>
        <v>1222.8459330143542</v>
      </c>
      <c r="U3" s="7">
        <f>Table11[[#This Row],[ETP Year]]</f>
        <v>2015</v>
      </c>
      <c r="V3" s="7">
        <f>Table11[[#This Row],[Planting Year]]</f>
        <v>2016</v>
      </c>
      <c r="W3" s="8">
        <f>Table11[[#This Row],[Survival% as of 12/31/23]]</f>
        <v>0.55583906046107012</v>
      </c>
      <c r="X3" s="7">
        <f>Table11[[#This Row],[ETP'#s]]</f>
        <v>1</v>
      </c>
    </row>
    <row r="4" spans="1:24" x14ac:dyDescent="0.25">
      <c r="A4">
        <f>Table11[[#This Row],[Farmer'#]]</f>
        <v>10001</v>
      </c>
      <c r="B4" t="str">
        <f>Table11[[#This Row],[Representative]]</f>
        <v>Bruce Gamble</v>
      </c>
      <c r="C4" t="str">
        <f>Table11[[#This Row],[Contract Name]]</f>
        <v>Bruce Gamble</v>
      </c>
      <c r="D4" t="str">
        <f>Table11[[#This Row],[Status]]</f>
        <v>RFT</v>
      </c>
      <c r="E4" t="str">
        <f>Table11[[#This Row],[Contract Code]]</f>
        <v>US0005</v>
      </c>
      <c r="F4" s="16">
        <f>Table11[[#This Row],['#TreesContract]]</f>
        <v>2200</v>
      </c>
      <c r="G4" s="16">
        <f>Table11[[#This Row],['#Planted]]</f>
        <v>2200</v>
      </c>
      <c r="H4" s="16">
        <f>Table11[[#This Row],['#TreesContract]]*Table11[[#This Row],[Canada Allocation %]]</f>
        <v>2200</v>
      </c>
      <c r="I4" s="16">
        <f>Table11[[#This Row],['#Planted]]*Table11[[#This Row],[Canada Allocation %]]</f>
        <v>2200</v>
      </c>
      <c r="J4" s="16">
        <f>Table11[[#This Row],[Contract Amendment]]*Table11[[#This Row],[Canada Allocation %]]</f>
        <v>0</v>
      </c>
      <c r="K4" s="16">
        <f>Table11[[#This Row],['#Trees as of 12/31/23]]*Table11[[#This Row],[Canada Allocation %]]</f>
        <v>1175.7131173324947</v>
      </c>
      <c r="L4" s="16">
        <f>Table11[[#This Row],['#Replace 24]]*Table11[[#This Row],[Canada Allocation %]]</f>
        <v>0</v>
      </c>
      <c r="M4" s="16"/>
      <c r="N4" s="16">
        <f>(Table11[[#This Row],[2024 '#Trees Inventory + Estimate]]*Table11[[#This Row],[Canada Allocation %]])-SUM(Table378[[#This Row],['# Trees as of 12/31/23]:[New Trees/Planted in 2024]])</f>
        <v>0</v>
      </c>
      <c r="O4" s="16">
        <f>SUM(Table378[[#This Row],['# Trees as of 12/31/23]:[2024 Tree Losses]])</f>
        <v>1175.7131173324947</v>
      </c>
      <c r="P4" s="16">
        <f>SUM(Table378[[#This Row],[Total Trees as of 12/31/24]]-Table378[[#This Row],['# Trees as of 12/31/23]])</f>
        <v>0</v>
      </c>
      <c r="Q4" s="16">
        <f>Table11[[#This Row],['#Total Replacements]]*Table11[[#This Row],[Canada Allocation %]]</f>
        <v>2200</v>
      </c>
      <c r="R4" s="16">
        <f>IF(Table378[[#This Row],['#Survival based on Inventory]]=0,Table378['#Survival based on Last Year Estimate],Table378['#Survival based on Inventory])</f>
        <v>1175.7131173324947</v>
      </c>
      <c r="S4" s="16">
        <f>Table11[[#This Row],['#Planted]]*Table11[[#This Row],[Canada Allocation %]]*Table11[[#This Row],[2024 Inventory Survival%-master]]</f>
        <v>0</v>
      </c>
      <c r="T4" s="16">
        <f>Table11[[#This Row],['#Planted]]*Table11[[#This Row],[Canada Allocation %]]*Table11[[#This Row],[2024 Estimated Survival%]]</f>
        <v>1175.7131173324947</v>
      </c>
      <c r="U4" s="7">
        <f>Table11[[#This Row],[ETP Year]]</f>
        <v>2016</v>
      </c>
      <c r="V4" s="7">
        <f>Table11[[#This Row],[Planting Year]]</f>
        <v>2016</v>
      </c>
      <c r="W4" s="8">
        <f>Table11[[#This Row],[Survival% as of 12/31/23]]</f>
        <v>0.53441505333295214</v>
      </c>
      <c r="X4" s="7">
        <f>Table11[[#This Row],[ETP'#s]]</f>
        <v>1</v>
      </c>
    </row>
    <row r="5" spans="1:24" x14ac:dyDescent="0.25">
      <c r="A5">
        <f>Table11[[#This Row],[Farmer'#]]</f>
        <v>10002</v>
      </c>
      <c r="B5" t="str">
        <f>Table11[[#This Row],[Representative]]</f>
        <v>Bob Miller</v>
      </c>
      <c r="C5" t="str">
        <f>Table11[[#This Row],[Contract Name]]</f>
        <v>Bob Miller</v>
      </c>
      <c r="D5" t="str">
        <f>Table11[[#This Row],[Status]]</f>
        <v>Out of Program</v>
      </c>
      <c r="E5" t="str">
        <f>Table11[[#This Row],[Contract Code]]</f>
        <v>US0002</v>
      </c>
      <c r="F5" s="16">
        <f>Table11[[#This Row],['#TreesContract]]</f>
        <v>1200</v>
      </c>
      <c r="G5" s="16">
        <f>Table11[[#This Row],['#Planted]]</f>
        <v>1200</v>
      </c>
      <c r="H5" s="16">
        <f>Table11[[#This Row],['#TreesContract]]*Table11[[#This Row],[Canada Allocation %]]</f>
        <v>1200</v>
      </c>
      <c r="I5" s="16">
        <f>Table11[[#This Row],['#Planted]]*Table11[[#This Row],[Canada Allocation %]]</f>
        <v>1200</v>
      </c>
      <c r="J5" s="16">
        <f>Table11[[#This Row],[Contract Amendment]]*Table11[[#This Row],[Canada Allocation %]]</f>
        <v>0</v>
      </c>
      <c r="K5" s="16">
        <f>Table11[[#This Row],['#Trees as of 12/31/23]]*Table11[[#This Row],[Canada Allocation %]]</f>
        <v>0</v>
      </c>
      <c r="L5" s="16">
        <f>Table11[[#This Row],['#Replace 24]]*Table11[[#This Row],[Canada Allocation %]]</f>
        <v>0</v>
      </c>
      <c r="M5" s="16"/>
      <c r="N5" s="16">
        <f>(Table11[[#This Row],[2024 '#Trees Inventory + Estimate]]*Table11[[#This Row],[Canada Allocation %]])-SUM(Table378[[#This Row],['# Trees as of 12/31/23]:[New Trees/Planted in 2024]])</f>
        <v>0</v>
      </c>
      <c r="O5" s="16">
        <f>SUM(Table378[[#This Row],['# Trees as of 12/31/23]:[2024 Tree Losses]])</f>
        <v>0</v>
      </c>
      <c r="P5" s="16">
        <f>SUM(Table378[[#This Row],[Total Trees as of 12/31/24]]-Table378[[#This Row],['# Trees as of 12/31/23]])</f>
        <v>0</v>
      </c>
      <c r="Q5" s="16">
        <f>Table11[[#This Row],['#Total Replacements]]*Table11[[#This Row],[Canada Allocation %]]</f>
        <v>0</v>
      </c>
      <c r="R5" s="16">
        <f>IF(Table378[[#This Row],['#Survival based on Inventory]]=0,Table378['#Survival based on Last Year Estimate],Table378['#Survival based on Inventory])</f>
        <v>0</v>
      </c>
      <c r="S5" s="16">
        <f>Table11[[#This Row],['#Planted]]*Table11[[#This Row],[Canada Allocation %]]*Table11[[#This Row],[2024 Inventory Survival%-master]]</f>
        <v>0</v>
      </c>
      <c r="T5" s="16">
        <f>Table11[[#This Row],['#Planted]]*Table11[[#This Row],[Canada Allocation %]]*Table11[[#This Row],[2024 Estimated Survival%]]</f>
        <v>0</v>
      </c>
      <c r="U5" s="7">
        <f>Table11[[#This Row],[ETP Year]]</f>
        <v>2015</v>
      </c>
      <c r="V5" s="7">
        <f>Table11[[#This Row],[Planting Year]]</f>
        <v>2016</v>
      </c>
      <c r="W5" s="8">
        <f>Table11[[#This Row],[Survival% as of 12/31/23]]</f>
        <v>0</v>
      </c>
      <c r="X5" s="7">
        <f>Table11[[#This Row],[ETP'#s]]</f>
        <v>1</v>
      </c>
    </row>
    <row r="6" spans="1:24" x14ac:dyDescent="0.25">
      <c r="A6">
        <f>Table11[[#This Row],[Farmer'#]]</f>
        <v>10003</v>
      </c>
      <c r="B6" t="str">
        <f>Table11[[#This Row],[Representative]]</f>
        <v>Brian Lusnia</v>
      </c>
      <c r="C6" t="str">
        <f>Table11[[#This Row],[Contract Name]]</f>
        <v>Brian Lusnia</v>
      </c>
      <c r="D6" t="str">
        <f>Table11[[#This Row],[Status]]</f>
        <v>Out of Program</v>
      </c>
      <c r="E6" t="str">
        <f>Table11[[#This Row],[Contract Code]]</f>
        <v>US0003</v>
      </c>
      <c r="F6" s="16">
        <f>Table11[[#This Row],['#TreesContract]]</f>
        <v>1100</v>
      </c>
      <c r="G6" s="16">
        <f>Table11[[#This Row],['#Planted]]</f>
        <v>1100</v>
      </c>
      <c r="H6" s="16">
        <f>Table11[[#This Row],['#TreesContract]]*Table11[[#This Row],[Canada Allocation %]]</f>
        <v>1100</v>
      </c>
      <c r="I6" s="16">
        <f>Table11[[#This Row],['#Planted]]*Table11[[#This Row],[Canada Allocation %]]</f>
        <v>1100</v>
      </c>
      <c r="J6" s="16">
        <f>Table11[[#This Row],[Contract Amendment]]*Table11[[#This Row],[Canada Allocation %]]</f>
        <v>0</v>
      </c>
      <c r="K6" s="16">
        <f>Table11[[#This Row],['#Trees as of 12/31/23]]*Table11[[#This Row],[Canada Allocation %]]</f>
        <v>0</v>
      </c>
      <c r="L6" s="16">
        <f>Table11[[#This Row],['#Replace 24]]*Table11[[#This Row],[Canada Allocation %]]</f>
        <v>0</v>
      </c>
      <c r="M6" s="16"/>
      <c r="N6" s="16">
        <f>(Table11[[#This Row],[2024 '#Trees Inventory + Estimate]]*Table11[[#This Row],[Canada Allocation %]])-SUM(Table378[[#This Row],['# Trees as of 12/31/23]:[New Trees/Planted in 2024]])</f>
        <v>0</v>
      </c>
      <c r="O6" s="16">
        <f>SUM(Table378[[#This Row],['# Trees as of 12/31/23]:[2024 Tree Losses]])</f>
        <v>0</v>
      </c>
      <c r="P6" s="16">
        <f>SUM(Table378[[#This Row],[Total Trees as of 12/31/24]]-Table378[[#This Row],['# Trees as of 12/31/23]])</f>
        <v>0</v>
      </c>
      <c r="Q6" s="16">
        <f>Table11[[#This Row],['#Total Replacements]]*Table11[[#This Row],[Canada Allocation %]]</f>
        <v>205</v>
      </c>
      <c r="R6" s="16">
        <f>IF(Table378[[#This Row],['#Survival based on Inventory]]=0,Table378['#Survival based on Last Year Estimate],Table378['#Survival based on Inventory])</f>
        <v>0</v>
      </c>
      <c r="S6" s="16">
        <f>Table11[[#This Row],['#Planted]]*Table11[[#This Row],[Canada Allocation %]]*Table11[[#This Row],[2024 Inventory Survival%-master]]</f>
        <v>0</v>
      </c>
      <c r="T6" s="16">
        <f>Table11[[#This Row],['#Planted]]*Table11[[#This Row],[Canada Allocation %]]*Table11[[#This Row],[2024 Estimated Survival%]]</f>
        <v>0</v>
      </c>
      <c r="U6" s="7">
        <f>Table11[[#This Row],[ETP Year]]</f>
        <v>2015</v>
      </c>
      <c r="V6" s="7">
        <f>Table11[[#This Row],[Planting Year]]</f>
        <v>2016</v>
      </c>
      <c r="W6" s="8">
        <f>Table11[[#This Row],[Survival% as of 12/31/23]]</f>
        <v>0</v>
      </c>
      <c r="X6" s="7">
        <f>Table11[[#This Row],[ETP'#s]]</f>
        <v>1</v>
      </c>
    </row>
    <row r="7" spans="1:24" x14ac:dyDescent="0.25">
      <c r="A7">
        <f>Table11[[#This Row],[Farmer'#]]</f>
        <v>10004</v>
      </c>
      <c r="B7" t="str">
        <f>Table11[[#This Row],[Representative]]</f>
        <v>David Smith</v>
      </c>
      <c r="C7" t="str">
        <f>Table11[[#This Row],[Contract Name]]</f>
        <v>David Smith</v>
      </c>
      <c r="D7" t="str">
        <f>Table11[[#This Row],[Status]]</f>
        <v>Active</v>
      </c>
      <c r="E7" t="str">
        <f>Table11[[#This Row],[Contract Code]]</f>
        <v>US0006</v>
      </c>
      <c r="F7" s="16">
        <f>Table11[[#This Row],['#TreesContract]]</f>
        <v>2200</v>
      </c>
      <c r="G7" s="16">
        <f>Table11[[#This Row],['#Planted]]</f>
        <v>2200</v>
      </c>
      <c r="H7" s="16">
        <f>Table11[[#This Row],['#TreesContract]]*Table11[[#This Row],[Canada Allocation %]]</f>
        <v>2200</v>
      </c>
      <c r="I7" s="16">
        <f>Table11[[#This Row],['#Planted]]*Table11[[#This Row],[Canada Allocation %]]</f>
        <v>2200</v>
      </c>
      <c r="J7" s="16">
        <f>Table11[[#This Row],[Contract Amendment]]*Table11[[#This Row],[Canada Allocation %]]</f>
        <v>0</v>
      </c>
      <c r="K7" s="16">
        <f>Table11[[#This Row],['#Trees as of 12/31/23]]*Table11[[#This Row],[Canada Allocation %]]</f>
        <v>2016.3062500000001</v>
      </c>
      <c r="L7" s="16">
        <f>Table11[[#This Row],['#Replace 24]]*Table11[[#This Row],[Canada Allocation %]]</f>
        <v>0</v>
      </c>
      <c r="M7" s="16"/>
      <c r="N7" s="16">
        <f>(Table11[[#This Row],[2024 '#Trees Inventory + Estimate]]*Table11[[#This Row],[Canada Allocation %]])-SUM(Table378[[#This Row],['# Trees as of 12/31/23]:[New Trees/Planted in 2024]])</f>
        <v>0</v>
      </c>
      <c r="O7" s="16">
        <f>SUM(Table378[[#This Row],['# Trees as of 12/31/23]:[2024 Tree Losses]])</f>
        <v>2016.3062500000001</v>
      </c>
      <c r="P7" s="16">
        <f>SUM(Table378[[#This Row],[Total Trees as of 12/31/24]]-Table378[[#This Row],['# Trees as of 12/31/23]])</f>
        <v>0</v>
      </c>
      <c r="Q7" s="16">
        <f>Table11[[#This Row],['#Total Replacements]]*Table11[[#This Row],[Canada Allocation %]]</f>
        <v>1350</v>
      </c>
      <c r="R7" s="16">
        <f>IF(Table378[[#This Row],['#Survival based on Inventory]]=0,Table378['#Survival based on Last Year Estimate],Table378['#Survival based on Inventory])</f>
        <v>2016.3062500000001</v>
      </c>
      <c r="S7" s="16">
        <f>Table11[[#This Row],['#Planted]]*Table11[[#This Row],[Canada Allocation %]]*Table11[[#This Row],[2024 Inventory Survival%-master]]</f>
        <v>0</v>
      </c>
      <c r="T7" s="16">
        <f>Table11[[#This Row],['#Planted]]*Table11[[#This Row],[Canada Allocation %]]*Table11[[#This Row],[2024 Estimated Survival%]]</f>
        <v>2016.3062500000001</v>
      </c>
      <c r="U7" s="7">
        <f>Table11[[#This Row],[ETP Year]]</f>
        <v>2015</v>
      </c>
      <c r="V7" s="7">
        <f>Table11[[#This Row],[Planting Year]]</f>
        <v>2016</v>
      </c>
      <c r="W7" s="8">
        <f>Table11[[#This Row],[Survival% as of 12/31/23]]</f>
        <v>0.91650284090909095</v>
      </c>
      <c r="X7" s="7">
        <f>Table11[[#This Row],[ETP'#s]]</f>
        <v>1</v>
      </c>
    </row>
    <row r="8" spans="1:24" x14ac:dyDescent="0.25">
      <c r="A8">
        <f>Table11[[#This Row],[Farmer'#]]</f>
        <v>10005</v>
      </c>
      <c r="B8" t="str">
        <f>Table11[[#This Row],[Representative]]</f>
        <v>Dennis Stoltzfoos</v>
      </c>
      <c r="C8" t="str">
        <f>Table11[[#This Row],[Contract Name]]</f>
        <v>Dennis Stoltzfoos</v>
      </c>
      <c r="D8" t="str">
        <f>Table11[[#This Row],[Status]]</f>
        <v>Out of Program</v>
      </c>
      <c r="E8" t="str">
        <f>Table11[[#This Row],[Contract Code]]</f>
        <v>US0007</v>
      </c>
      <c r="F8" s="16">
        <f>Table11[[#This Row],['#TreesContract]]</f>
        <v>1100</v>
      </c>
      <c r="G8" s="16">
        <f>Table11[[#This Row],['#Planted]]</f>
        <v>1100</v>
      </c>
      <c r="H8" s="16">
        <f>Table11[[#This Row],['#TreesContract]]*Table11[[#This Row],[Canada Allocation %]]</f>
        <v>1100</v>
      </c>
      <c r="I8" s="16">
        <f>Table11[[#This Row],['#Planted]]*Table11[[#This Row],[Canada Allocation %]]</f>
        <v>1100</v>
      </c>
      <c r="J8" s="16">
        <f>Table11[[#This Row],[Contract Amendment]]*Table11[[#This Row],[Canada Allocation %]]</f>
        <v>0</v>
      </c>
      <c r="K8" s="16">
        <f>Table11[[#This Row],['#Trees as of 12/31/23]]*Table11[[#This Row],[Canada Allocation %]]</f>
        <v>0</v>
      </c>
      <c r="L8" s="16">
        <f>Table11[[#This Row],['#Replace 24]]*Table11[[#This Row],[Canada Allocation %]]</f>
        <v>0</v>
      </c>
      <c r="M8" s="16"/>
      <c r="N8" s="16">
        <f>(Table11[[#This Row],[2024 '#Trees Inventory + Estimate]]*Table11[[#This Row],[Canada Allocation %]])-SUM(Table378[[#This Row],['# Trees as of 12/31/23]:[New Trees/Planted in 2024]])</f>
        <v>0</v>
      </c>
      <c r="O8" s="16">
        <f>SUM(Table378[[#This Row],['# Trees as of 12/31/23]:[2024 Tree Losses]])</f>
        <v>0</v>
      </c>
      <c r="P8" s="16">
        <f>SUM(Table378[[#This Row],[Total Trees as of 12/31/24]]-Table378[[#This Row],['# Trees as of 12/31/23]])</f>
        <v>0</v>
      </c>
      <c r="Q8" s="16">
        <f>Table11[[#This Row],['#Total Replacements]]*Table11[[#This Row],[Canada Allocation %]]</f>
        <v>240</v>
      </c>
      <c r="R8" s="16">
        <f>IF(Table378[[#This Row],['#Survival based on Inventory]]=0,Table378['#Survival based on Last Year Estimate],Table378['#Survival based on Inventory])</f>
        <v>0</v>
      </c>
      <c r="S8" s="16">
        <f>Table11[[#This Row],['#Planted]]*Table11[[#This Row],[Canada Allocation %]]*Table11[[#This Row],[2024 Inventory Survival%-master]]</f>
        <v>0</v>
      </c>
      <c r="T8" s="16">
        <f>Table11[[#This Row],['#Planted]]*Table11[[#This Row],[Canada Allocation %]]*Table11[[#This Row],[2024 Estimated Survival%]]</f>
        <v>0</v>
      </c>
      <c r="U8" s="7">
        <f>Table11[[#This Row],[ETP Year]]</f>
        <v>2015</v>
      </c>
      <c r="V8" s="7">
        <f>Table11[[#This Row],[Planting Year]]</f>
        <v>2016</v>
      </c>
      <c r="W8" s="8">
        <f>Table11[[#This Row],[Survival% as of 12/31/23]]</f>
        <v>0</v>
      </c>
      <c r="X8" s="7">
        <f>Table11[[#This Row],[ETP'#s]]</f>
        <v>1</v>
      </c>
    </row>
    <row r="9" spans="1:24" x14ac:dyDescent="0.25">
      <c r="A9">
        <f>Table11[[#This Row],[Farmer'#]]</f>
        <v>10006</v>
      </c>
      <c r="B9" t="str">
        <f>Table11[[#This Row],[Representative]]</f>
        <v>Eugene Martens</v>
      </c>
      <c r="C9" t="str">
        <f>Table11[[#This Row],[Contract Name]]</f>
        <v>Eugene Martens</v>
      </c>
      <c r="D9" t="str">
        <f>Table11[[#This Row],[Status]]</f>
        <v>Active</v>
      </c>
      <c r="E9" t="str">
        <f>Table11[[#This Row],[Contract Code]]</f>
        <v>US0008</v>
      </c>
      <c r="F9" s="16">
        <f>Table11[[#This Row],['#TreesContract]]</f>
        <v>800</v>
      </c>
      <c r="G9" s="16">
        <f>Table11[[#This Row],['#Planted]]</f>
        <v>800</v>
      </c>
      <c r="H9" s="16">
        <f>Table11[[#This Row],['#TreesContract]]*Table11[[#This Row],[Canada Allocation %]]</f>
        <v>800</v>
      </c>
      <c r="I9" s="16">
        <f>Table11[[#This Row],['#Planted]]*Table11[[#This Row],[Canada Allocation %]]</f>
        <v>800</v>
      </c>
      <c r="J9" s="16">
        <f>Table11[[#This Row],[Contract Amendment]]*Table11[[#This Row],[Canada Allocation %]]</f>
        <v>0</v>
      </c>
      <c r="K9" s="16">
        <f>Table11[[#This Row],['#Trees as of 12/31/23]]*Table11[[#This Row],[Canada Allocation %]]</f>
        <v>689.88333333333333</v>
      </c>
      <c r="L9" s="16">
        <f>Table11[[#This Row],['#Replace 24]]*Table11[[#This Row],[Canada Allocation %]]</f>
        <v>0</v>
      </c>
      <c r="M9" s="16"/>
      <c r="N9" s="16">
        <f>(Table11[[#This Row],[2024 '#Trees Inventory + Estimate]]*Table11[[#This Row],[Canada Allocation %]])-SUM(Table378[[#This Row],['# Trees as of 12/31/23]:[New Trees/Planted in 2024]])</f>
        <v>0</v>
      </c>
      <c r="O9" s="16">
        <f>SUM(Table378[[#This Row],['# Trees as of 12/31/23]:[2024 Tree Losses]])</f>
        <v>689.88333333333333</v>
      </c>
      <c r="P9" s="16">
        <f>SUM(Table378[[#This Row],[Total Trees as of 12/31/24]]-Table378[[#This Row],['# Trees as of 12/31/23]])</f>
        <v>0</v>
      </c>
      <c r="Q9" s="16">
        <f>Table11[[#This Row],['#Total Replacements]]*Table11[[#This Row],[Canada Allocation %]]</f>
        <v>340</v>
      </c>
      <c r="R9" s="16">
        <f>IF(Table378[[#This Row],['#Survival based on Inventory]]=0,Table378['#Survival based on Last Year Estimate],Table378['#Survival based on Inventory])</f>
        <v>689.88333333333333</v>
      </c>
      <c r="S9" s="16">
        <f>Table11[[#This Row],['#Planted]]*Table11[[#This Row],[Canada Allocation %]]*Table11[[#This Row],[2024 Inventory Survival%-master]]</f>
        <v>0</v>
      </c>
      <c r="T9" s="16">
        <f>Table11[[#This Row],['#Planted]]*Table11[[#This Row],[Canada Allocation %]]*Table11[[#This Row],[2024 Estimated Survival%]]</f>
        <v>689.88333333333333</v>
      </c>
      <c r="U9" s="7">
        <f>Table11[[#This Row],[ETP Year]]</f>
        <v>2015</v>
      </c>
      <c r="V9" s="7">
        <f>Table11[[#This Row],[Planting Year]]</f>
        <v>2016</v>
      </c>
      <c r="W9" s="8">
        <f>Table11[[#This Row],[Survival% as of 12/31/23]]</f>
        <v>0.86235416666666664</v>
      </c>
      <c r="X9" s="7">
        <f>Table11[[#This Row],[ETP'#s]]</f>
        <v>1</v>
      </c>
    </row>
    <row r="10" spans="1:24" x14ac:dyDescent="0.25">
      <c r="A10">
        <f>Table11[[#This Row],[Farmer'#]]</f>
        <v>10007</v>
      </c>
      <c r="B10" t="str">
        <f>Table11[[#This Row],[Representative]]</f>
        <v>Jay Ridings</v>
      </c>
      <c r="C10" t="str">
        <f>Table11[[#This Row],[Contract Name]]</f>
        <v>Jay Ridings</v>
      </c>
      <c r="D10" t="str">
        <f>Table11[[#This Row],[Status]]</f>
        <v>RFT</v>
      </c>
      <c r="E10" t="str">
        <f>Table11[[#This Row],[Contract Code]]</f>
        <v>US0009</v>
      </c>
      <c r="F10" s="16">
        <f>Table11[[#This Row],['#TreesContract]]</f>
        <v>1650</v>
      </c>
      <c r="G10" s="16">
        <f>Table11[[#This Row],['#Planted]]</f>
        <v>1650</v>
      </c>
      <c r="H10" s="16">
        <f>Table11[[#This Row],['#TreesContract]]*Table11[[#This Row],[Canada Allocation %]]</f>
        <v>1650</v>
      </c>
      <c r="I10" s="16">
        <f>Table11[[#This Row],['#Planted]]*Table11[[#This Row],[Canada Allocation %]]</f>
        <v>1650</v>
      </c>
      <c r="J10" s="16">
        <f>Table11[[#This Row],[Contract Amendment]]*Table11[[#This Row],[Canada Allocation %]]</f>
        <v>0</v>
      </c>
      <c r="K10" s="16">
        <f>Table11[[#This Row],['#Trees as of 12/31/23]]*Table11[[#This Row],[Canada Allocation %]]</f>
        <v>458.18181818181807</v>
      </c>
      <c r="L10" s="16">
        <f>Table11[[#This Row],['#Replace 24]]*Table11[[#This Row],[Canada Allocation %]]</f>
        <v>0</v>
      </c>
      <c r="M10" s="16"/>
      <c r="N10" s="16">
        <f>(Table11[[#This Row],[2024 '#Trees Inventory + Estimate]]*Table11[[#This Row],[Canada Allocation %]])-SUM(Table378[[#This Row],['# Trees as of 12/31/23]:[New Trees/Planted in 2024]])</f>
        <v>0</v>
      </c>
      <c r="O10" s="16">
        <f>SUM(Table378[[#This Row],['# Trees as of 12/31/23]:[2024 Tree Losses]])</f>
        <v>458.18181818181807</v>
      </c>
      <c r="P10" s="16">
        <f>SUM(Table378[[#This Row],[Total Trees as of 12/31/24]]-Table378[[#This Row],['# Trees as of 12/31/23]])</f>
        <v>0</v>
      </c>
      <c r="Q10" s="16">
        <f>Table11[[#This Row],['#Total Replacements]]*Table11[[#This Row],[Canada Allocation %]]</f>
        <v>2050</v>
      </c>
      <c r="R10" s="16">
        <f>IF(Table378[[#This Row],['#Survival based on Inventory]]=0,Table378['#Survival based on Last Year Estimate],Table378['#Survival based on Inventory])</f>
        <v>458.18181818181807</v>
      </c>
      <c r="S10" s="16">
        <f>Table11[[#This Row],['#Planted]]*Table11[[#This Row],[Canada Allocation %]]*Table11[[#This Row],[2024 Inventory Survival%-master]]</f>
        <v>0</v>
      </c>
      <c r="T10" s="16">
        <f>Table11[[#This Row],['#Planted]]*Table11[[#This Row],[Canada Allocation %]]*Table11[[#This Row],[2024 Estimated Survival%]]</f>
        <v>458.18181818181807</v>
      </c>
      <c r="U10" s="7">
        <f>Table11[[#This Row],[ETP Year]]</f>
        <v>2015</v>
      </c>
      <c r="V10" s="7">
        <f>Table11[[#This Row],[Planting Year]]</f>
        <v>2016</v>
      </c>
      <c r="W10" s="8">
        <f>Table11[[#This Row],[Survival% as of 12/31/23]]</f>
        <v>0.27768595041322308</v>
      </c>
      <c r="X10" s="7">
        <f>Table11[[#This Row],[ETP'#s]]</f>
        <v>1</v>
      </c>
    </row>
    <row r="11" spans="1:24" x14ac:dyDescent="0.25">
      <c r="A11">
        <f>Table11[[#This Row],[Farmer'#]]</f>
        <v>10008</v>
      </c>
      <c r="B11" t="str">
        <f>Table11[[#This Row],[Representative]]</f>
        <v>Jonathan Walker</v>
      </c>
      <c r="C11" t="str">
        <f>Table11[[#This Row],[Contract Name]]</f>
        <v>Jonathan Walker</v>
      </c>
      <c r="D11" t="str">
        <f>Table11[[#This Row],[Status]]</f>
        <v>Out of Program</v>
      </c>
      <c r="E11" t="str">
        <f>Table11[[#This Row],[Contract Code]]</f>
        <v>US0010</v>
      </c>
      <c r="F11" s="16">
        <f>Table11[[#This Row],['#TreesContract]]</f>
        <v>550</v>
      </c>
      <c r="G11" s="16">
        <f>Table11[[#This Row],['#Planted]]</f>
        <v>550</v>
      </c>
      <c r="H11" s="16">
        <f>Table11[[#This Row],['#TreesContract]]*Table11[[#This Row],[Canada Allocation %]]</f>
        <v>550</v>
      </c>
      <c r="I11" s="16">
        <f>Table11[[#This Row],['#Planted]]*Table11[[#This Row],[Canada Allocation %]]</f>
        <v>550</v>
      </c>
      <c r="J11" s="16">
        <f>Table11[[#This Row],[Contract Amendment]]*Table11[[#This Row],[Canada Allocation %]]</f>
        <v>0</v>
      </c>
      <c r="K11" s="16">
        <f>Table11[[#This Row],['#Trees as of 12/31/23]]*Table11[[#This Row],[Canada Allocation %]]</f>
        <v>0</v>
      </c>
      <c r="L11" s="16">
        <f>Table11[[#This Row],['#Replace 24]]*Table11[[#This Row],[Canada Allocation %]]</f>
        <v>0</v>
      </c>
      <c r="M11" s="16"/>
      <c r="N11" s="16">
        <f>(Table11[[#This Row],[2024 '#Trees Inventory + Estimate]]*Table11[[#This Row],[Canada Allocation %]])-SUM(Table378[[#This Row],['# Trees as of 12/31/23]:[New Trees/Planted in 2024]])</f>
        <v>0</v>
      </c>
      <c r="O11" s="16">
        <f>SUM(Table378[[#This Row],['# Trees as of 12/31/23]:[2024 Tree Losses]])</f>
        <v>0</v>
      </c>
      <c r="P11" s="16">
        <f>SUM(Table378[[#This Row],[Total Trees as of 12/31/24]]-Table378[[#This Row],['# Trees as of 12/31/23]])</f>
        <v>0</v>
      </c>
      <c r="Q11" s="16">
        <f>Table11[[#This Row],['#Total Replacements]]*Table11[[#This Row],[Canada Allocation %]]</f>
        <v>865</v>
      </c>
      <c r="R11" s="16">
        <f>IF(Table378[[#This Row],['#Survival based on Inventory]]=0,Table378['#Survival based on Last Year Estimate],Table378['#Survival based on Inventory])</f>
        <v>0</v>
      </c>
      <c r="S11" s="16">
        <f>Table11[[#This Row],['#Planted]]*Table11[[#This Row],[Canada Allocation %]]*Table11[[#This Row],[2024 Inventory Survival%-master]]</f>
        <v>0</v>
      </c>
      <c r="T11" s="16">
        <f>Table11[[#This Row],['#Planted]]*Table11[[#This Row],[Canada Allocation %]]*Table11[[#This Row],[2024 Estimated Survival%]]</f>
        <v>0</v>
      </c>
      <c r="U11" s="7">
        <f>Table11[[#This Row],[ETP Year]]</f>
        <v>2015</v>
      </c>
      <c r="V11" s="7">
        <f>Table11[[#This Row],[Planting Year]]</f>
        <v>2016</v>
      </c>
      <c r="W11" s="8">
        <f>Table11[[#This Row],[Survival% as of 12/31/23]]</f>
        <v>0</v>
      </c>
      <c r="X11" s="7">
        <f>Table11[[#This Row],[ETP'#s]]</f>
        <v>1</v>
      </c>
    </row>
    <row r="12" spans="1:24" x14ac:dyDescent="0.25">
      <c r="A12">
        <f>Table11[[#This Row],[Farmer'#]]</f>
        <v>10009</v>
      </c>
      <c r="B12" t="str">
        <f>Table11[[#This Row],[Representative]]</f>
        <v>Joseph Hostetler</v>
      </c>
      <c r="C12" t="str">
        <f>Table11[[#This Row],[Contract Name]]</f>
        <v>Joseph Hostetler</v>
      </c>
      <c r="D12" t="str">
        <f>Table11[[#This Row],[Status]]</f>
        <v>Active</v>
      </c>
      <c r="E12" t="str">
        <f>Table11[[#This Row],[Contract Code]]</f>
        <v>US0011</v>
      </c>
      <c r="F12" s="16">
        <f>Table11[[#This Row],['#TreesContract]]</f>
        <v>1295</v>
      </c>
      <c r="G12" s="16">
        <f>Table11[[#This Row],['#Planted]]</f>
        <v>1295</v>
      </c>
      <c r="H12" s="16">
        <f>Table11[[#This Row],['#TreesContract]]*Table11[[#This Row],[Canada Allocation %]]</f>
        <v>1295</v>
      </c>
      <c r="I12" s="16">
        <f>Table11[[#This Row],['#Planted]]*Table11[[#This Row],[Canada Allocation %]]</f>
        <v>1295</v>
      </c>
      <c r="J12" s="16">
        <f>Table11[[#This Row],[Contract Amendment]]*Table11[[#This Row],[Canada Allocation %]]</f>
        <v>0</v>
      </c>
      <c r="K12" s="16">
        <f>Table11[[#This Row],['#Trees as of 12/31/23]]*Table11[[#This Row],[Canada Allocation %]]</f>
        <v>458.18181818181807</v>
      </c>
      <c r="L12" s="16">
        <f>Table11[[#This Row],['#Replace 24]]*Table11[[#This Row],[Canada Allocation %]]</f>
        <v>0</v>
      </c>
      <c r="M12" s="16"/>
      <c r="N12" s="16">
        <f>(Table11[[#This Row],[2024 '#Trees Inventory + Estimate]]*Table11[[#This Row],[Canada Allocation %]])-SUM(Table378[[#This Row],['# Trees as of 12/31/23]:[New Trees/Planted in 2024]])</f>
        <v>-300.4040404040403</v>
      </c>
      <c r="O12" s="16">
        <f>SUM(Table378[[#This Row],['# Trees as of 12/31/23]:[2024 Tree Losses]])</f>
        <v>157.77777777777777</v>
      </c>
      <c r="P12" s="16">
        <f>SUM(Table378[[#This Row],[Total Trees as of 12/31/24]]-Table378[[#This Row],['# Trees as of 12/31/23]])</f>
        <v>-300.4040404040403</v>
      </c>
      <c r="Q12" s="16">
        <f>Table11[[#This Row],['#Total Replacements]]*Table11[[#This Row],[Canada Allocation %]]</f>
        <v>150</v>
      </c>
      <c r="R12" s="16">
        <f>IF(Table378[[#This Row],['#Survival based on Inventory]]=0,Table378['#Survival based on Last Year Estimate],Table378['#Survival based on Inventory])</f>
        <v>157.7777777777778</v>
      </c>
      <c r="S12" s="16">
        <f>Table11[[#This Row],['#Planted]]*Table11[[#This Row],[Canada Allocation %]]*Table11[[#This Row],[2024 Inventory Survival%-master]]</f>
        <v>0</v>
      </c>
      <c r="T12" s="16">
        <f>Table11[[#This Row],['#Planted]]*Table11[[#This Row],[Canada Allocation %]]*Table11[[#This Row],[2024 Estimated Survival%]]</f>
        <v>157.7777777777778</v>
      </c>
      <c r="U12" s="7">
        <f>Table11[[#This Row],[ETP Year]]</f>
        <v>2015</v>
      </c>
      <c r="V12" s="7">
        <f>Table11[[#This Row],[Planting Year]]</f>
        <v>2016</v>
      </c>
      <c r="W12" s="8">
        <f>Table11[[#This Row],[Survival% as of 12/31/23]]</f>
        <v>0.12183612183612186</v>
      </c>
      <c r="X12" s="7">
        <f>Table11[[#This Row],[ETP'#s]]</f>
        <v>1</v>
      </c>
    </row>
    <row r="13" spans="1:24" x14ac:dyDescent="0.25">
      <c r="A13">
        <f>Table11[[#This Row],[Farmer'#]]</f>
        <v>10010</v>
      </c>
      <c r="B13" t="str">
        <f>Table11[[#This Row],[Representative]]</f>
        <v>Loretta Adderson</v>
      </c>
      <c r="C13" t="str">
        <f>Table11[[#This Row],[Contract Name]]</f>
        <v>Loretta Adderson</v>
      </c>
      <c r="D13" t="str">
        <f>Table11[[#This Row],[Status]]</f>
        <v>Out of Program</v>
      </c>
      <c r="E13" t="str">
        <f>Table11[[#This Row],[Contract Code]]</f>
        <v>US0012</v>
      </c>
      <c r="F13" s="16">
        <f>Table11[[#This Row],['#TreesContract]]</f>
        <v>2200</v>
      </c>
      <c r="G13" s="16">
        <f>Table11[[#This Row],['#Planted]]</f>
        <v>2200</v>
      </c>
      <c r="H13" s="16">
        <f>Table11[[#This Row],['#TreesContract]]*Table11[[#This Row],[Canada Allocation %]]</f>
        <v>2200</v>
      </c>
      <c r="I13" s="16">
        <f>Table11[[#This Row],['#Planted]]*Table11[[#This Row],[Canada Allocation %]]</f>
        <v>2200</v>
      </c>
      <c r="J13" s="16">
        <f>Table11[[#This Row],[Contract Amendment]]*Table11[[#This Row],[Canada Allocation %]]</f>
        <v>0</v>
      </c>
      <c r="K13" s="16">
        <f>Table11[[#This Row],['#Trees as of 12/31/23]]*Table11[[#This Row],[Canada Allocation %]]</f>
        <v>0</v>
      </c>
      <c r="L13" s="16">
        <f>Table11[[#This Row],['#Replace 24]]*Table11[[#This Row],[Canada Allocation %]]</f>
        <v>0</v>
      </c>
      <c r="M13" s="16"/>
      <c r="N13" s="16">
        <f>(Table11[[#This Row],[2024 '#Trees Inventory + Estimate]]*Table11[[#This Row],[Canada Allocation %]])-SUM(Table378[[#This Row],['# Trees as of 12/31/23]:[New Trees/Planted in 2024]])</f>
        <v>0</v>
      </c>
      <c r="O13" s="16">
        <f>SUM(Table378[[#This Row],['# Trees as of 12/31/23]:[2024 Tree Losses]])</f>
        <v>0</v>
      </c>
      <c r="P13" s="16">
        <f>SUM(Table378[[#This Row],[Total Trees as of 12/31/24]]-Table378[[#This Row],['# Trees as of 12/31/23]])</f>
        <v>0</v>
      </c>
      <c r="Q13" s="16">
        <f>Table11[[#This Row],['#Total Replacements]]*Table11[[#This Row],[Canada Allocation %]]</f>
        <v>0</v>
      </c>
      <c r="R13" s="16">
        <f>IF(Table378[[#This Row],['#Survival based on Inventory]]=0,Table378['#Survival based on Last Year Estimate],Table378['#Survival based on Inventory])</f>
        <v>0</v>
      </c>
      <c r="S13" s="16">
        <f>Table11[[#This Row],['#Planted]]*Table11[[#This Row],[Canada Allocation %]]*Table11[[#This Row],[2024 Inventory Survival%-master]]</f>
        <v>0</v>
      </c>
      <c r="T13" s="16">
        <f>Table11[[#This Row],['#Planted]]*Table11[[#This Row],[Canada Allocation %]]*Table11[[#This Row],[2024 Estimated Survival%]]</f>
        <v>0</v>
      </c>
      <c r="U13" s="7">
        <f>Table11[[#This Row],[ETP Year]]</f>
        <v>2015</v>
      </c>
      <c r="V13" s="7">
        <f>Table11[[#This Row],[Planting Year]]</f>
        <v>2016</v>
      </c>
      <c r="W13" s="8">
        <f>Table11[[#This Row],[Survival% as of 12/31/23]]</f>
        <v>0</v>
      </c>
      <c r="X13" s="7">
        <f>Table11[[#This Row],[ETP'#s]]</f>
        <v>1</v>
      </c>
    </row>
    <row r="14" spans="1:24" x14ac:dyDescent="0.25">
      <c r="A14">
        <f>Table11[[#This Row],[Farmer'#]]</f>
        <v>10011</v>
      </c>
      <c r="B14" t="str">
        <f>Table11[[#This Row],[Representative]]</f>
        <v>Nolan Bradford</v>
      </c>
      <c r="C14" t="str">
        <f>Table11[[#This Row],[Contract Name]]</f>
        <v>Nolan Bradford</v>
      </c>
      <c r="D14" t="str">
        <f>Table11[[#This Row],[Status]]</f>
        <v>Out of Program</v>
      </c>
      <c r="E14" t="str">
        <f>Table11[[#This Row],[Contract Code]]</f>
        <v>US0013</v>
      </c>
      <c r="F14" s="16">
        <f>Table11[[#This Row],['#TreesContract]]</f>
        <v>550</v>
      </c>
      <c r="G14" s="16">
        <f>Table11[[#This Row],['#Planted]]</f>
        <v>550</v>
      </c>
      <c r="H14" s="16">
        <f>Table11[[#This Row],['#TreesContract]]*Table11[[#This Row],[Canada Allocation %]]</f>
        <v>550</v>
      </c>
      <c r="I14" s="16">
        <f>Table11[[#This Row],['#Planted]]*Table11[[#This Row],[Canada Allocation %]]</f>
        <v>550</v>
      </c>
      <c r="J14" s="16">
        <f>Table11[[#This Row],[Contract Amendment]]*Table11[[#This Row],[Canada Allocation %]]</f>
        <v>0</v>
      </c>
      <c r="K14" s="16">
        <f>Table11[[#This Row],['#Trees as of 12/31/23]]*Table11[[#This Row],[Canada Allocation %]]</f>
        <v>0</v>
      </c>
      <c r="L14" s="16">
        <f>Table11[[#This Row],['#Replace 24]]*Table11[[#This Row],[Canada Allocation %]]</f>
        <v>0</v>
      </c>
      <c r="M14" s="16"/>
      <c r="N14" s="16">
        <f>(Table11[[#This Row],[2024 '#Trees Inventory + Estimate]]*Table11[[#This Row],[Canada Allocation %]])-SUM(Table378[[#This Row],['# Trees as of 12/31/23]:[New Trees/Planted in 2024]])</f>
        <v>0</v>
      </c>
      <c r="O14" s="16">
        <f>SUM(Table378[[#This Row],['# Trees as of 12/31/23]:[2024 Tree Losses]])</f>
        <v>0</v>
      </c>
      <c r="P14" s="16">
        <f>SUM(Table378[[#This Row],[Total Trees as of 12/31/24]]-Table378[[#This Row],['# Trees as of 12/31/23]])</f>
        <v>0</v>
      </c>
      <c r="Q14" s="16">
        <f>Table11[[#This Row],['#Total Replacements]]*Table11[[#This Row],[Canada Allocation %]]</f>
        <v>0</v>
      </c>
      <c r="R14" s="16">
        <f>IF(Table378[[#This Row],['#Survival based on Inventory]]=0,Table378['#Survival based on Last Year Estimate],Table378['#Survival based on Inventory])</f>
        <v>0</v>
      </c>
      <c r="S14" s="16">
        <f>Table11[[#This Row],['#Planted]]*Table11[[#This Row],[Canada Allocation %]]*Table11[[#This Row],[2024 Inventory Survival%-master]]</f>
        <v>0</v>
      </c>
      <c r="T14" s="16">
        <f>Table11[[#This Row],['#Planted]]*Table11[[#This Row],[Canada Allocation %]]*Table11[[#This Row],[2024 Estimated Survival%]]</f>
        <v>0</v>
      </c>
      <c r="U14" s="7">
        <f>Table11[[#This Row],[ETP Year]]</f>
        <v>2015</v>
      </c>
      <c r="V14" s="7">
        <f>Table11[[#This Row],[Planting Year]]</f>
        <v>2016</v>
      </c>
      <c r="W14" s="8">
        <f>Table11[[#This Row],[Survival% as of 12/31/23]]</f>
        <v>0</v>
      </c>
      <c r="X14" s="7">
        <f>Table11[[#This Row],[ETP'#s]]</f>
        <v>1</v>
      </c>
    </row>
    <row r="15" spans="1:24" x14ac:dyDescent="0.25">
      <c r="A15">
        <f>Table11[[#This Row],[Farmer'#]]</f>
        <v>10012</v>
      </c>
      <c r="B15" t="str">
        <f>Table11[[#This Row],[Representative]]</f>
        <v>Wayne Owen</v>
      </c>
      <c r="C15" t="str">
        <f>Table11[[#This Row],[Contract Name]]</f>
        <v>Todd H Owen</v>
      </c>
      <c r="D15" t="str">
        <f>Table11[[#This Row],[Status]]</f>
        <v>Active</v>
      </c>
      <c r="E15" t="str">
        <f>Table11[[#This Row],[Contract Code]]</f>
        <v>US0014</v>
      </c>
      <c r="F15" s="16">
        <f>Table11[[#This Row],['#TreesContract]]</f>
        <v>660</v>
      </c>
      <c r="G15" s="16">
        <f>Table11[[#This Row],['#Planted]]</f>
        <v>660</v>
      </c>
      <c r="H15" s="16">
        <f>Table11[[#This Row],['#TreesContract]]*Table11[[#This Row],[Canada Allocation %]]</f>
        <v>660</v>
      </c>
      <c r="I15" s="16">
        <f>Table11[[#This Row],['#Planted]]*Table11[[#This Row],[Canada Allocation %]]</f>
        <v>660</v>
      </c>
      <c r="J15" s="16">
        <f>Table11[[#This Row],[Contract Amendment]]*Table11[[#This Row],[Canada Allocation %]]</f>
        <v>0</v>
      </c>
      <c r="K15" s="16">
        <f>Table11[[#This Row],['#Trees as of 12/31/23]]*Table11[[#This Row],[Canada Allocation %]]</f>
        <v>660</v>
      </c>
      <c r="L15" s="16">
        <f>Table11[[#This Row],['#Replace 24]]*Table11[[#This Row],[Canada Allocation %]]</f>
        <v>0</v>
      </c>
      <c r="M15" s="16"/>
      <c r="N15" s="16">
        <f>(Table11[[#This Row],[2024 '#Trees Inventory + Estimate]]*Table11[[#This Row],[Canada Allocation %]])-SUM(Table378[[#This Row],['# Trees as of 12/31/23]:[New Trees/Planted in 2024]])</f>
        <v>0</v>
      </c>
      <c r="O15" s="16">
        <f>SUM(Table378[[#This Row],['# Trees as of 12/31/23]:[2024 Tree Losses]])</f>
        <v>660</v>
      </c>
      <c r="P15" s="16">
        <f>SUM(Table378[[#This Row],[Total Trees as of 12/31/24]]-Table378[[#This Row],['# Trees as of 12/31/23]])</f>
        <v>0</v>
      </c>
      <c r="Q15" s="16">
        <f>Table11[[#This Row],['#Total Replacements]]*Table11[[#This Row],[Canada Allocation %]]</f>
        <v>950</v>
      </c>
      <c r="R15" s="16">
        <f>IF(Table378[[#This Row],['#Survival based on Inventory]]=0,Table378['#Survival based on Last Year Estimate],Table378['#Survival based on Inventory])</f>
        <v>660</v>
      </c>
      <c r="S15" s="16">
        <f>Table11[[#This Row],['#Planted]]*Table11[[#This Row],[Canada Allocation %]]*Table11[[#This Row],[2024 Inventory Survival%-master]]</f>
        <v>0</v>
      </c>
      <c r="T15" s="16">
        <f>Table11[[#This Row],['#Planted]]*Table11[[#This Row],[Canada Allocation %]]*Table11[[#This Row],[2024 Estimated Survival%]]</f>
        <v>660</v>
      </c>
      <c r="U15" s="7">
        <f>Table11[[#This Row],[ETP Year]]</f>
        <v>2015</v>
      </c>
      <c r="V15" s="7">
        <f>Table11[[#This Row],[Planting Year]]</f>
        <v>2016</v>
      </c>
      <c r="W15" s="8">
        <f>Table11[[#This Row],[Survival% as of 12/31/23]]</f>
        <v>1</v>
      </c>
      <c r="X15" s="7">
        <f>Table11[[#This Row],[ETP'#s]]</f>
        <v>1</v>
      </c>
    </row>
    <row r="16" spans="1:24" x14ac:dyDescent="0.25">
      <c r="A16">
        <f>Table11[[#This Row],[Farmer'#]]</f>
        <v>20001</v>
      </c>
      <c r="B16" t="str">
        <f>Table11[[#This Row],[Representative]]</f>
        <v>Cecilia Sanders</v>
      </c>
      <c r="C16" t="str">
        <f>Table11[[#This Row],[Contract Name]]</f>
        <v>Cecilia Castillo Umaña</v>
      </c>
      <c r="D16" t="str">
        <f>Table11[[#This Row],[Status]]</f>
        <v>Out of Program</v>
      </c>
      <c r="E16" t="str">
        <f>Table11[[#This Row],[Contract Code]]</f>
        <v>CR0001</v>
      </c>
      <c r="F16" s="16">
        <f>Table11[[#This Row],['#TreesContract]]</f>
        <v>1000</v>
      </c>
      <c r="G16" s="16">
        <f>Table11[[#This Row],['#Planted]]</f>
        <v>1000</v>
      </c>
      <c r="H16" s="16">
        <f>Table11[[#This Row],['#TreesContract]]*Table11[[#This Row],[Canada Allocation %]]</f>
        <v>1000</v>
      </c>
      <c r="I16" s="16">
        <f>Table11[[#This Row],['#Planted]]*Table11[[#This Row],[Canada Allocation %]]</f>
        <v>1000</v>
      </c>
      <c r="J16" s="16">
        <f>Table11[[#This Row],[Contract Amendment]]*Table11[[#This Row],[Canada Allocation %]]</f>
        <v>0</v>
      </c>
      <c r="K16" s="16">
        <f>Table11[[#This Row],['#Trees as of 12/31/23]]*Table11[[#This Row],[Canada Allocation %]]</f>
        <v>0</v>
      </c>
      <c r="L16" s="16">
        <f>Table11[[#This Row],['#Replace 24]]*Table11[[#This Row],[Canada Allocation %]]</f>
        <v>0</v>
      </c>
      <c r="M16" s="16"/>
      <c r="N16" s="16">
        <f>(Table11[[#This Row],[2024 '#Trees Inventory + Estimate]]*Table11[[#This Row],[Canada Allocation %]])-SUM(Table378[[#This Row],['# Trees as of 12/31/23]:[New Trees/Planted in 2024]])</f>
        <v>0</v>
      </c>
      <c r="O16" s="16">
        <f>SUM(Table378[[#This Row],['# Trees as of 12/31/23]:[2024 Tree Losses]])</f>
        <v>0</v>
      </c>
      <c r="P16" s="16">
        <f>SUM(Table378[[#This Row],[Total Trees as of 12/31/24]]-Table378[[#This Row],['# Trees as of 12/31/23]])</f>
        <v>0</v>
      </c>
      <c r="Q16" s="16">
        <f>Table11[[#This Row],['#Total Replacements]]*Table11[[#This Row],[Canada Allocation %]]</f>
        <v>0</v>
      </c>
      <c r="R16" s="16">
        <f>IF(Table378[[#This Row],['#Survival based on Inventory]]=0,Table378['#Survival based on Last Year Estimate],Table378['#Survival based on Inventory])</f>
        <v>0</v>
      </c>
      <c r="S16" s="16">
        <f>Table11[[#This Row],['#Planted]]*Table11[[#This Row],[Canada Allocation %]]*Table11[[#This Row],[2024 Inventory Survival%-master]]</f>
        <v>0</v>
      </c>
      <c r="T16" s="16">
        <f>Table11[[#This Row],['#Planted]]*Table11[[#This Row],[Canada Allocation %]]*Table11[[#This Row],[2024 Estimated Survival%]]</f>
        <v>0</v>
      </c>
      <c r="U16" s="7">
        <f>Table11[[#This Row],[ETP Year]]</f>
        <v>2015</v>
      </c>
      <c r="V16" s="7">
        <f>Table11[[#This Row],[Planting Year]]</f>
        <v>2016</v>
      </c>
      <c r="W16" s="8">
        <f>Table11[[#This Row],[Survival% as of 12/31/23]]</f>
        <v>0</v>
      </c>
      <c r="X16" s="7">
        <f>Table11[[#This Row],[ETP'#s]]</f>
        <v>1</v>
      </c>
    </row>
    <row r="17" spans="1:24" x14ac:dyDescent="0.25">
      <c r="A17">
        <f>Table11[[#This Row],[Farmer'#]]</f>
        <v>20002</v>
      </c>
      <c r="B17" t="str">
        <f>Table11[[#This Row],[Representative]]</f>
        <v>Coopedota</v>
      </c>
      <c r="C17" t="str">
        <f>Table11[[#This Row],[Contract Name]]</f>
        <v>Coopedota</v>
      </c>
      <c r="D17" t="str">
        <f>Table11[[#This Row],[Status]]</f>
        <v>Out of Program</v>
      </c>
      <c r="E17" t="str">
        <f>Table11[[#This Row],[Contract Code]]</f>
        <v>CR0002</v>
      </c>
      <c r="F17" s="16">
        <f>Table11[[#This Row],['#TreesContract]]</f>
        <v>100</v>
      </c>
      <c r="G17" s="16">
        <f>Table11[[#This Row],['#Planted]]</f>
        <v>100</v>
      </c>
      <c r="H17" s="16">
        <f>Table11[[#This Row],['#TreesContract]]*Table11[[#This Row],[Canada Allocation %]]</f>
        <v>100</v>
      </c>
      <c r="I17" s="16">
        <f>Table11[[#This Row],['#Planted]]*Table11[[#This Row],[Canada Allocation %]]</f>
        <v>100</v>
      </c>
      <c r="J17" s="16">
        <f>Table11[[#This Row],[Contract Amendment]]*Table11[[#This Row],[Canada Allocation %]]</f>
        <v>0</v>
      </c>
      <c r="K17" s="16">
        <f>Table11[[#This Row],['#Trees as of 12/31/23]]*Table11[[#This Row],[Canada Allocation %]]</f>
        <v>0</v>
      </c>
      <c r="L17" s="16">
        <f>Table11[[#This Row],['#Replace 24]]*Table11[[#This Row],[Canada Allocation %]]</f>
        <v>0</v>
      </c>
      <c r="M17" s="16"/>
      <c r="N17" s="16">
        <f>(Table11[[#This Row],[2024 '#Trees Inventory + Estimate]]*Table11[[#This Row],[Canada Allocation %]])-SUM(Table378[[#This Row],['# Trees as of 12/31/23]:[New Trees/Planted in 2024]])</f>
        <v>0</v>
      </c>
      <c r="O17" s="16">
        <f>SUM(Table378[[#This Row],['# Trees as of 12/31/23]:[2024 Tree Losses]])</f>
        <v>0</v>
      </c>
      <c r="P17" s="16">
        <f>SUM(Table378[[#This Row],[Total Trees as of 12/31/24]]-Table378[[#This Row],['# Trees as of 12/31/23]])</f>
        <v>0</v>
      </c>
      <c r="Q17" s="16">
        <f>Table11[[#This Row],['#Total Replacements]]*Table11[[#This Row],[Canada Allocation %]]</f>
        <v>0</v>
      </c>
      <c r="R17" s="16">
        <f>IF(Table378[[#This Row],['#Survival based on Inventory]]=0,Table378['#Survival based on Last Year Estimate],Table378['#Survival based on Inventory])</f>
        <v>0</v>
      </c>
      <c r="S17" s="16">
        <f>Table11[[#This Row],['#Planted]]*Table11[[#This Row],[Canada Allocation %]]*Table11[[#This Row],[2024 Inventory Survival%-master]]</f>
        <v>0</v>
      </c>
      <c r="T17" s="16">
        <f>Table11[[#This Row],['#Planted]]*Table11[[#This Row],[Canada Allocation %]]*Table11[[#This Row],[2024 Estimated Survival%]]</f>
        <v>0</v>
      </c>
      <c r="U17" s="7">
        <f>Table11[[#This Row],[ETP Year]]</f>
        <v>2015</v>
      </c>
      <c r="V17" s="7">
        <f>Table11[[#This Row],[Planting Year]]</f>
        <v>2016</v>
      </c>
      <c r="W17" s="8">
        <f>Table11[[#This Row],[Survival% as of 12/31/23]]</f>
        <v>0</v>
      </c>
      <c r="X17" s="7">
        <f>Table11[[#This Row],[ETP'#s]]</f>
        <v>1</v>
      </c>
    </row>
    <row r="18" spans="1:24" x14ac:dyDescent="0.25">
      <c r="A18">
        <f>Table11[[#This Row],[Farmer'#]]</f>
        <v>20003</v>
      </c>
      <c r="B18" t="str">
        <f>Table11[[#This Row],[Representative]]</f>
        <v xml:space="preserve">Erasmo Aguilera </v>
      </c>
      <c r="C18" t="str">
        <f>Table11[[#This Row],[Contract Name]]</f>
        <v>Agricola Los Robles de Naranjo S.A</v>
      </c>
      <c r="D18" t="str">
        <f>Table11[[#This Row],[Status]]</f>
        <v>Out of Program</v>
      </c>
      <c r="E18" t="str">
        <f>Table11[[#This Row],[Contract Code]]</f>
        <v>CR0003</v>
      </c>
      <c r="F18" s="16">
        <f>Table11[[#This Row],['#TreesContract]]</f>
        <v>1750</v>
      </c>
      <c r="G18" s="16">
        <f>Table11[[#This Row],['#Planted]]</f>
        <v>1750</v>
      </c>
      <c r="H18" s="16">
        <f>Table11[[#This Row],['#TreesContract]]*Table11[[#This Row],[Canada Allocation %]]</f>
        <v>1750</v>
      </c>
      <c r="I18" s="16">
        <f>Table11[[#This Row],['#Planted]]*Table11[[#This Row],[Canada Allocation %]]</f>
        <v>1750</v>
      </c>
      <c r="J18" s="16">
        <f>Table11[[#This Row],[Contract Amendment]]*Table11[[#This Row],[Canada Allocation %]]</f>
        <v>0</v>
      </c>
      <c r="K18" s="16">
        <f>Table11[[#This Row],['#Trees as of 12/31/23]]*Table11[[#This Row],[Canada Allocation %]]</f>
        <v>0</v>
      </c>
      <c r="L18" s="16">
        <f>Table11[[#This Row],['#Replace 24]]*Table11[[#This Row],[Canada Allocation %]]</f>
        <v>0</v>
      </c>
      <c r="M18" s="16"/>
      <c r="N18" s="16">
        <f>(Table11[[#This Row],[2024 '#Trees Inventory + Estimate]]*Table11[[#This Row],[Canada Allocation %]])-SUM(Table378[[#This Row],['# Trees as of 12/31/23]:[New Trees/Planted in 2024]])</f>
        <v>0</v>
      </c>
      <c r="O18" s="16">
        <f>SUM(Table378[[#This Row],['# Trees as of 12/31/23]:[2024 Tree Losses]])</f>
        <v>0</v>
      </c>
      <c r="P18" s="16">
        <f>SUM(Table378[[#This Row],[Total Trees as of 12/31/24]]-Table378[[#This Row],['# Trees as of 12/31/23]])</f>
        <v>0</v>
      </c>
      <c r="Q18" s="16">
        <f>Table11[[#This Row],['#Total Replacements]]*Table11[[#This Row],[Canada Allocation %]]</f>
        <v>0</v>
      </c>
      <c r="R18" s="16">
        <f>IF(Table378[[#This Row],['#Survival based on Inventory]]=0,Table378['#Survival based on Last Year Estimate],Table378['#Survival based on Inventory])</f>
        <v>0</v>
      </c>
      <c r="S18" s="16">
        <f>Table11[[#This Row],['#Planted]]*Table11[[#This Row],[Canada Allocation %]]*Table11[[#This Row],[2024 Inventory Survival%-master]]</f>
        <v>0</v>
      </c>
      <c r="T18" s="16">
        <f>Table11[[#This Row],['#Planted]]*Table11[[#This Row],[Canada Allocation %]]*Table11[[#This Row],[2024 Estimated Survival%]]</f>
        <v>0</v>
      </c>
      <c r="U18" s="7">
        <f>Table11[[#This Row],[ETP Year]]</f>
        <v>2015</v>
      </c>
      <c r="V18" s="7">
        <f>Table11[[#This Row],[Planting Year]]</f>
        <v>2016</v>
      </c>
      <c r="W18" s="8">
        <f>Table11[[#This Row],[Survival% as of 12/31/23]]</f>
        <v>0</v>
      </c>
      <c r="X18" s="7">
        <f>Table11[[#This Row],[ETP'#s]]</f>
        <v>1</v>
      </c>
    </row>
    <row r="19" spans="1:24" x14ac:dyDescent="0.25">
      <c r="A19">
        <f>Table11[[#This Row],[Farmer'#]]</f>
        <v>20004</v>
      </c>
      <c r="B19" t="str">
        <f>Table11[[#This Row],[Representative]]</f>
        <v xml:space="preserve">Esteban Chacon </v>
      </c>
      <c r="C19" t="str">
        <f>Table11[[#This Row],[Contract Name]]</f>
        <v>Fernando Esteban Chacon</v>
      </c>
      <c r="D19" t="str">
        <f>Table11[[#This Row],[Status]]</f>
        <v>Out of Program</v>
      </c>
      <c r="E19" t="str">
        <f>Table11[[#This Row],[Contract Code]]</f>
        <v>CR0004</v>
      </c>
      <c r="F19" s="16">
        <f>Table11[[#This Row],['#TreesContract]]</f>
        <v>1000</v>
      </c>
      <c r="G19" s="16">
        <f>Table11[[#This Row],['#Planted]]</f>
        <v>1000</v>
      </c>
      <c r="H19" s="16">
        <f>Table11[[#This Row],['#TreesContract]]*Table11[[#This Row],[Canada Allocation %]]</f>
        <v>1000</v>
      </c>
      <c r="I19" s="16">
        <f>Table11[[#This Row],['#Planted]]*Table11[[#This Row],[Canada Allocation %]]</f>
        <v>1000</v>
      </c>
      <c r="J19" s="16">
        <f>Table11[[#This Row],[Contract Amendment]]*Table11[[#This Row],[Canada Allocation %]]</f>
        <v>0</v>
      </c>
      <c r="K19" s="16">
        <f>Table11[[#This Row],['#Trees as of 12/31/23]]*Table11[[#This Row],[Canada Allocation %]]</f>
        <v>0</v>
      </c>
      <c r="L19" s="16">
        <f>Table11[[#This Row],['#Replace 24]]*Table11[[#This Row],[Canada Allocation %]]</f>
        <v>0</v>
      </c>
      <c r="M19" s="16"/>
      <c r="N19" s="16">
        <f>(Table11[[#This Row],[2024 '#Trees Inventory + Estimate]]*Table11[[#This Row],[Canada Allocation %]])-SUM(Table378[[#This Row],['# Trees as of 12/31/23]:[New Trees/Planted in 2024]])</f>
        <v>0</v>
      </c>
      <c r="O19" s="16">
        <f>SUM(Table378[[#This Row],['# Trees as of 12/31/23]:[2024 Tree Losses]])</f>
        <v>0</v>
      </c>
      <c r="P19" s="16">
        <f>SUM(Table378[[#This Row],[Total Trees as of 12/31/24]]-Table378[[#This Row],['# Trees as of 12/31/23]])</f>
        <v>0</v>
      </c>
      <c r="Q19" s="16">
        <f>Table11[[#This Row],['#Total Replacements]]*Table11[[#This Row],[Canada Allocation %]]</f>
        <v>0</v>
      </c>
      <c r="R19" s="16">
        <f>IF(Table378[[#This Row],['#Survival based on Inventory]]=0,Table378['#Survival based on Last Year Estimate],Table378['#Survival based on Inventory])</f>
        <v>0</v>
      </c>
      <c r="S19" s="16">
        <f>Table11[[#This Row],['#Planted]]*Table11[[#This Row],[Canada Allocation %]]*Table11[[#This Row],[2024 Inventory Survival%-master]]</f>
        <v>0</v>
      </c>
      <c r="T19" s="16">
        <f>Table11[[#This Row],['#Planted]]*Table11[[#This Row],[Canada Allocation %]]*Table11[[#This Row],[2024 Estimated Survival%]]</f>
        <v>0</v>
      </c>
      <c r="U19" s="7">
        <f>Table11[[#This Row],[ETP Year]]</f>
        <v>2015</v>
      </c>
      <c r="V19" s="7">
        <f>Table11[[#This Row],[Planting Year]]</f>
        <v>2016</v>
      </c>
      <c r="W19" s="8">
        <f>Table11[[#This Row],[Survival% as of 12/31/23]]</f>
        <v>0</v>
      </c>
      <c r="X19" s="7">
        <f>Table11[[#This Row],[ETP'#s]]</f>
        <v>1</v>
      </c>
    </row>
    <row r="20" spans="1:24" x14ac:dyDescent="0.25">
      <c r="A20">
        <f>Table11[[#This Row],[Farmer'#]]</f>
        <v>20005</v>
      </c>
      <c r="B20" t="str">
        <f>Table11[[#This Row],[Representative]]</f>
        <v>Juan Luis Chaves</v>
      </c>
      <c r="C20" t="str">
        <f>Table11[[#This Row],[Contract Name]]</f>
        <v xml:space="preserve">ASESORIA DE EMPRESAS TONAL S A, </v>
      </c>
      <c r="D20" t="str">
        <f>Table11[[#This Row],[Status]]</f>
        <v>Out of Program</v>
      </c>
      <c r="E20" t="str">
        <f>Table11[[#This Row],[Contract Code]]</f>
        <v>CR0005</v>
      </c>
      <c r="F20" s="16">
        <f>Table11[[#This Row],['#TreesContract]]</f>
        <v>500</v>
      </c>
      <c r="G20" s="16">
        <f>Table11[[#This Row],['#Planted]]</f>
        <v>500</v>
      </c>
      <c r="H20" s="16">
        <f>Table11[[#This Row],['#TreesContract]]*Table11[[#This Row],[Canada Allocation %]]</f>
        <v>500</v>
      </c>
      <c r="I20" s="16">
        <f>Table11[[#This Row],['#Planted]]*Table11[[#This Row],[Canada Allocation %]]</f>
        <v>500</v>
      </c>
      <c r="J20" s="16">
        <f>Table11[[#This Row],[Contract Amendment]]*Table11[[#This Row],[Canada Allocation %]]</f>
        <v>0</v>
      </c>
      <c r="K20" s="16">
        <f>Table11[[#This Row],['#Trees as of 12/31/23]]*Table11[[#This Row],[Canada Allocation %]]</f>
        <v>0</v>
      </c>
      <c r="L20" s="16">
        <f>Table11[[#This Row],['#Replace 24]]*Table11[[#This Row],[Canada Allocation %]]</f>
        <v>0</v>
      </c>
      <c r="M20" s="16"/>
      <c r="N20" s="16">
        <f>(Table11[[#This Row],[2024 '#Trees Inventory + Estimate]]*Table11[[#This Row],[Canada Allocation %]])-SUM(Table378[[#This Row],['# Trees as of 12/31/23]:[New Trees/Planted in 2024]])</f>
        <v>0</v>
      </c>
      <c r="O20" s="16">
        <f>SUM(Table378[[#This Row],['# Trees as of 12/31/23]:[2024 Tree Losses]])</f>
        <v>0</v>
      </c>
      <c r="P20" s="16">
        <f>SUM(Table378[[#This Row],[Total Trees as of 12/31/24]]-Table378[[#This Row],['# Trees as of 12/31/23]])</f>
        <v>0</v>
      </c>
      <c r="Q20" s="16">
        <f>Table11[[#This Row],['#Total Replacements]]*Table11[[#This Row],[Canada Allocation %]]</f>
        <v>0</v>
      </c>
      <c r="R20" s="16">
        <f>IF(Table378[[#This Row],['#Survival based on Inventory]]=0,Table378['#Survival based on Last Year Estimate],Table378['#Survival based on Inventory])</f>
        <v>0</v>
      </c>
      <c r="S20" s="16">
        <f>Table11[[#This Row],['#Planted]]*Table11[[#This Row],[Canada Allocation %]]*Table11[[#This Row],[2024 Inventory Survival%-master]]</f>
        <v>0</v>
      </c>
      <c r="T20" s="16">
        <f>Table11[[#This Row],['#Planted]]*Table11[[#This Row],[Canada Allocation %]]*Table11[[#This Row],[2024 Estimated Survival%]]</f>
        <v>0</v>
      </c>
      <c r="U20" s="7">
        <f>Table11[[#This Row],[ETP Year]]</f>
        <v>2015</v>
      </c>
      <c r="V20" s="7">
        <f>Table11[[#This Row],[Planting Year]]</f>
        <v>2016</v>
      </c>
      <c r="W20" s="8">
        <f>Table11[[#This Row],[Survival% as of 12/31/23]]</f>
        <v>0</v>
      </c>
      <c r="X20" s="7">
        <f>Table11[[#This Row],[ETP'#s]]</f>
        <v>1</v>
      </c>
    </row>
    <row r="21" spans="1:24" x14ac:dyDescent="0.25">
      <c r="A21">
        <f>Table11[[#This Row],[Farmer'#]]</f>
        <v>20006</v>
      </c>
      <c r="B21" t="str">
        <f>Table11[[#This Row],[Representative]]</f>
        <v>Minor Montero</v>
      </c>
      <c r="C21" t="str">
        <f>Table11[[#This Row],[Contract Name]]</f>
        <v>Jose Joaquin Montero Calderon</v>
      </c>
      <c r="D21" t="str">
        <f>Table11[[#This Row],[Status]]</f>
        <v>Out of Program</v>
      </c>
      <c r="E21" t="str">
        <f>Table11[[#This Row],[Contract Code]]</f>
        <v>CR0006</v>
      </c>
      <c r="F21" s="16">
        <f>Table11[[#This Row],['#TreesContract]]</f>
        <v>500</v>
      </c>
      <c r="G21" s="16">
        <f>Table11[[#This Row],['#Planted]]</f>
        <v>500</v>
      </c>
      <c r="H21" s="16">
        <f>Table11[[#This Row],['#TreesContract]]*Table11[[#This Row],[Canada Allocation %]]</f>
        <v>500</v>
      </c>
      <c r="I21" s="16">
        <f>Table11[[#This Row],['#Planted]]*Table11[[#This Row],[Canada Allocation %]]</f>
        <v>500</v>
      </c>
      <c r="J21" s="16">
        <f>Table11[[#This Row],[Contract Amendment]]*Table11[[#This Row],[Canada Allocation %]]</f>
        <v>0</v>
      </c>
      <c r="K21" s="16">
        <f>Table11[[#This Row],['#Trees as of 12/31/23]]*Table11[[#This Row],[Canada Allocation %]]</f>
        <v>0</v>
      </c>
      <c r="L21" s="16">
        <f>Table11[[#This Row],['#Replace 24]]*Table11[[#This Row],[Canada Allocation %]]</f>
        <v>0</v>
      </c>
      <c r="M21" s="16"/>
      <c r="N21" s="16">
        <f>(Table11[[#This Row],[2024 '#Trees Inventory + Estimate]]*Table11[[#This Row],[Canada Allocation %]])-SUM(Table378[[#This Row],['# Trees as of 12/31/23]:[New Trees/Planted in 2024]])</f>
        <v>0</v>
      </c>
      <c r="O21" s="16">
        <f>SUM(Table378[[#This Row],['# Trees as of 12/31/23]:[2024 Tree Losses]])</f>
        <v>0</v>
      </c>
      <c r="P21" s="16">
        <f>SUM(Table378[[#This Row],[Total Trees as of 12/31/24]]-Table378[[#This Row],['# Trees as of 12/31/23]])</f>
        <v>0</v>
      </c>
      <c r="Q21" s="16">
        <f>Table11[[#This Row],['#Total Replacements]]*Table11[[#This Row],[Canada Allocation %]]</f>
        <v>0</v>
      </c>
      <c r="R21" s="16">
        <f>IF(Table378[[#This Row],['#Survival based on Inventory]]=0,Table378['#Survival based on Last Year Estimate],Table378['#Survival based on Inventory])</f>
        <v>0</v>
      </c>
      <c r="S21" s="16">
        <f>Table11[[#This Row],['#Planted]]*Table11[[#This Row],[Canada Allocation %]]*Table11[[#This Row],[2024 Inventory Survival%-master]]</f>
        <v>0</v>
      </c>
      <c r="T21" s="16">
        <f>Table11[[#This Row],['#Planted]]*Table11[[#This Row],[Canada Allocation %]]*Table11[[#This Row],[2024 Estimated Survival%]]</f>
        <v>0</v>
      </c>
      <c r="U21" s="7">
        <f>Table11[[#This Row],[ETP Year]]</f>
        <v>2015</v>
      </c>
      <c r="V21" s="7">
        <f>Table11[[#This Row],[Planting Year]]</f>
        <v>2016</v>
      </c>
      <c r="W21" s="8">
        <f>Table11[[#This Row],[Survival% as of 12/31/23]]</f>
        <v>0</v>
      </c>
      <c r="X21" s="7">
        <f>Table11[[#This Row],[ETP'#s]]</f>
        <v>1</v>
      </c>
    </row>
    <row r="22" spans="1:24" x14ac:dyDescent="0.25">
      <c r="A22">
        <f>Table11[[#This Row],[Farmer'#]]</f>
        <v>20007</v>
      </c>
      <c r="B22" t="str">
        <f>Table11[[#This Row],[Representative]]</f>
        <v>William Guiterrez</v>
      </c>
      <c r="C22" t="str">
        <f>Table11[[#This Row],[Contract Name]]</f>
        <v>Segrufor Segundo Grupo Forestal, S.A</v>
      </c>
      <c r="D22" t="str">
        <f>Table11[[#This Row],[Status]]</f>
        <v>Out of Program</v>
      </c>
      <c r="E22" t="str">
        <f>Table11[[#This Row],[Contract Code]]</f>
        <v>CR0007</v>
      </c>
      <c r="F22" s="16">
        <f>Table11[[#This Row],['#TreesContract]]</f>
        <v>400</v>
      </c>
      <c r="G22" s="16">
        <f>Table11[[#This Row],['#Planted]]</f>
        <v>400</v>
      </c>
      <c r="H22" s="16">
        <f>Table11[[#This Row],['#TreesContract]]*Table11[[#This Row],[Canada Allocation %]]</f>
        <v>400</v>
      </c>
      <c r="I22" s="16">
        <f>Table11[[#This Row],['#Planted]]*Table11[[#This Row],[Canada Allocation %]]</f>
        <v>400</v>
      </c>
      <c r="J22" s="16">
        <f>Table11[[#This Row],[Contract Amendment]]*Table11[[#This Row],[Canada Allocation %]]</f>
        <v>0</v>
      </c>
      <c r="K22" s="16">
        <f>Table11[[#This Row],['#Trees as of 12/31/23]]*Table11[[#This Row],[Canada Allocation %]]</f>
        <v>0</v>
      </c>
      <c r="L22" s="16">
        <f>Table11[[#This Row],['#Replace 24]]*Table11[[#This Row],[Canada Allocation %]]</f>
        <v>0</v>
      </c>
      <c r="M22" s="16"/>
      <c r="N22" s="16">
        <f>(Table11[[#This Row],[2024 '#Trees Inventory + Estimate]]*Table11[[#This Row],[Canada Allocation %]])-SUM(Table378[[#This Row],['# Trees as of 12/31/23]:[New Trees/Planted in 2024]])</f>
        <v>0</v>
      </c>
      <c r="O22" s="16">
        <f>SUM(Table378[[#This Row],['# Trees as of 12/31/23]:[2024 Tree Losses]])</f>
        <v>0</v>
      </c>
      <c r="P22" s="16">
        <f>SUM(Table378[[#This Row],[Total Trees as of 12/31/24]]-Table378[[#This Row],['# Trees as of 12/31/23]])</f>
        <v>0</v>
      </c>
      <c r="Q22" s="16">
        <f>Table11[[#This Row],['#Total Replacements]]*Table11[[#This Row],[Canada Allocation %]]</f>
        <v>62</v>
      </c>
      <c r="R22" s="16">
        <f>IF(Table378[[#This Row],['#Survival based on Inventory]]=0,Table378['#Survival based on Last Year Estimate],Table378['#Survival based on Inventory])</f>
        <v>0</v>
      </c>
      <c r="S22" s="16">
        <f>Table11[[#This Row],['#Planted]]*Table11[[#This Row],[Canada Allocation %]]*Table11[[#This Row],[2024 Inventory Survival%-master]]</f>
        <v>0</v>
      </c>
      <c r="T22" s="16">
        <f>Table11[[#This Row],['#Planted]]*Table11[[#This Row],[Canada Allocation %]]*Table11[[#This Row],[2024 Estimated Survival%]]</f>
        <v>0</v>
      </c>
      <c r="U22" s="7">
        <f>Table11[[#This Row],[ETP Year]]</f>
        <v>2015</v>
      </c>
      <c r="V22" s="7">
        <f>Table11[[#This Row],[Planting Year]]</f>
        <v>2016</v>
      </c>
      <c r="W22" s="8">
        <f>Table11[[#This Row],[Survival% as of 12/31/23]]</f>
        <v>0</v>
      </c>
      <c r="X22" s="7">
        <f>Table11[[#This Row],[ETP'#s]]</f>
        <v>1</v>
      </c>
    </row>
    <row r="23" spans="1:24" x14ac:dyDescent="0.25">
      <c r="A23">
        <f>Table11[[#This Row],[Farmer'#]]</f>
        <v>20073</v>
      </c>
      <c r="B23" t="str">
        <f>Table11[[#This Row],[Representative]]</f>
        <v>Dennis Cordoba</v>
      </c>
      <c r="C23" t="str">
        <f>Table11[[#This Row],[Contract Name]]</f>
        <v>Dennis Cordoba</v>
      </c>
      <c r="D23" t="str">
        <f>Table11[[#This Row],[Status]]</f>
        <v>Out of Program</v>
      </c>
      <c r="E23" t="str">
        <f>Table11[[#This Row],[Contract Code]]</f>
        <v>CR0079</v>
      </c>
      <c r="F23" s="16">
        <f>Table11[[#This Row],['#TreesContract]]</f>
        <v>275</v>
      </c>
      <c r="G23" s="16">
        <f>Table11[[#This Row],['#Planted]]</f>
        <v>275</v>
      </c>
      <c r="H23" s="16">
        <f>Table11[[#This Row],['#TreesContract]]*Table11[[#This Row],[Canada Allocation %]]</f>
        <v>275</v>
      </c>
      <c r="I23" s="16">
        <f>Table11[[#This Row],['#Planted]]*Table11[[#This Row],[Canada Allocation %]]</f>
        <v>275</v>
      </c>
      <c r="J23" s="16">
        <f>Table11[[#This Row],[Contract Amendment]]*Table11[[#This Row],[Canada Allocation %]]</f>
        <v>0</v>
      </c>
      <c r="K23" s="16">
        <f>Table11[[#This Row],['#Trees as of 12/31/23]]*Table11[[#This Row],[Canada Allocation %]]</f>
        <v>0</v>
      </c>
      <c r="L23" s="16">
        <f>Table11[[#This Row],['#Replace 24]]*Table11[[#This Row],[Canada Allocation %]]</f>
        <v>0</v>
      </c>
      <c r="M23" s="16"/>
      <c r="N23" s="16">
        <f>(Table11[[#This Row],[2024 '#Trees Inventory + Estimate]]*Table11[[#This Row],[Canada Allocation %]])-SUM(Table378[[#This Row],['# Trees as of 12/31/23]:[New Trees/Planted in 2024]])</f>
        <v>0</v>
      </c>
      <c r="O23" s="16">
        <f>SUM(Table378[[#This Row],['# Trees as of 12/31/23]:[2024 Tree Losses]])</f>
        <v>0</v>
      </c>
      <c r="P23" s="16">
        <f>SUM(Table378[[#This Row],[Total Trees as of 12/31/24]]-Table378[[#This Row],['# Trees as of 12/31/23]])</f>
        <v>0</v>
      </c>
      <c r="Q23" s="16">
        <f>Table11[[#This Row],['#Total Replacements]]*Table11[[#This Row],[Canada Allocation %]]</f>
        <v>0</v>
      </c>
      <c r="R23" s="16">
        <f>IF(Table378[[#This Row],['#Survival based on Inventory]]=0,Table378['#Survival based on Last Year Estimate],Table378['#Survival based on Inventory])</f>
        <v>0</v>
      </c>
      <c r="S23" s="16">
        <f>Table11[[#This Row],['#Planted]]*Table11[[#This Row],[Canada Allocation %]]*Table11[[#This Row],[2024 Inventory Survival%-master]]</f>
        <v>0</v>
      </c>
      <c r="T23" s="16">
        <f>Table11[[#This Row],['#Planted]]*Table11[[#This Row],[Canada Allocation %]]*Table11[[#This Row],[2024 Estimated Survival%]]</f>
        <v>0</v>
      </c>
      <c r="U23" s="7">
        <f>Table11[[#This Row],[ETP Year]]</f>
        <v>2015</v>
      </c>
      <c r="V23" s="7">
        <f>Table11[[#This Row],[Planting Year]]</f>
        <v>2016</v>
      </c>
      <c r="W23" s="8">
        <f>Table11[[#This Row],[Survival% as of 12/31/23]]</f>
        <v>0</v>
      </c>
      <c r="X23" s="7">
        <f>Table11[[#This Row],[ETP'#s]]</f>
        <v>1</v>
      </c>
    </row>
    <row r="24" spans="1:24" x14ac:dyDescent="0.25">
      <c r="A24">
        <f>Table11[[#This Row],[Farmer'#]]</f>
        <v>20085</v>
      </c>
      <c r="B24" t="str">
        <f>Table11[[#This Row],[Representative]]</f>
        <v>Roberto Solis</v>
      </c>
      <c r="C24" t="str">
        <f>Table11[[#This Row],[Contract Name]]</f>
        <v>Orsom Proyect S.A</v>
      </c>
      <c r="D24" t="str">
        <f>Table11[[#This Row],[Status]]</f>
        <v>Out of Program</v>
      </c>
      <c r="E24" t="str">
        <f>Table11[[#This Row],[Contract Code]]</f>
        <v>CR0093</v>
      </c>
      <c r="F24" s="16">
        <f>Table11[[#This Row],['#TreesContract]]</f>
        <v>250</v>
      </c>
      <c r="G24" s="16">
        <f>Table11[[#This Row],['#Planted]]</f>
        <v>250</v>
      </c>
      <c r="H24" s="16">
        <f>Table11[[#This Row],['#TreesContract]]*Table11[[#This Row],[Canada Allocation %]]</f>
        <v>250</v>
      </c>
      <c r="I24" s="16">
        <f>Table11[[#This Row],['#Planted]]*Table11[[#This Row],[Canada Allocation %]]</f>
        <v>250</v>
      </c>
      <c r="J24" s="16">
        <f>Table11[[#This Row],[Contract Amendment]]*Table11[[#This Row],[Canada Allocation %]]</f>
        <v>0</v>
      </c>
      <c r="K24" s="16">
        <f>Table11[[#This Row],['#Trees as of 12/31/23]]*Table11[[#This Row],[Canada Allocation %]]</f>
        <v>0</v>
      </c>
      <c r="L24" s="16">
        <f>Table11[[#This Row],['#Replace 24]]*Table11[[#This Row],[Canada Allocation %]]</f>
        <v>0</v>
      </c>
      <c r="M24" s="16"/>
      <c r="N24" s="16">
        <f>(Table11[[#This Row],[2024 '#Trees Inventory + Estimate]]*Table11[[#This Row],[Canada Allocation %]])-SUM(Table378[[#This Row],['# Trees as of 12/31/23]:[New Trees/Planted in 2024]])</f>
        <v>0</v>
      </c>
      <c r="O24" s="16">
        <f>SUM(Table378[[#This Row],['# Trees as of 12/31/23]:[2024 Tree Losses]])</f>
        <v>0</v>
      </c>
      <c r="P24" s="16">
        <f>SUM(Table378[[#This Row],[Total Trees as of 12/31/24]]-Table378[[#This Row],['# Trees as of 12/31/23]])</f>
        <v>0</v>
      </c>
      <c r="Q24" s="16">
        <f>Table11[[#This Row],['#Total Replacements]]*Table11[[#This Row],[Canada Allocation %]]</f>
        <v>0</v>
      </c>
      <c r="R24" s="16">
        <f>IF(Table378[[#This Row],['#Survival based on Inventory]]=0,Table378['#Survival based on Last Year Estimate],Table378['#Survival based on Inventory])</f>
        <v>0</v>
      </c>
      <c r="S24" s="16">
        <f>Table11[[#This Row],['#Planted]]*Table11[[#This Row],[Canada Allocation %]]*Table11[[#This Row],[2024 Inventory Survival%-master]]</f>
        <v>0</v>
      </c>
      <c r="T24" s="16">
        <f>Table11[[#This Row],['#Planted]]*Table11[[#This Row],[Canada Allocation %]]*Table11[[#This Row],[2024 Estimated Survival%]]</f>
        <v>0</v>
      </c>
      <c r="U24" s="7">
        <f>Table11[[#This Row],[ETP Year]]</f>
        <v>2015</v>
      </c>
      <c r="V24" s="7">
        <f>Table11[[#This Row],[Planting Year]]</f>
        <v>2016</v>
      </c>
      <c r="W24" s="8">
        <f>Table11[[#This Row],[Survival% as of 12/31/23]]</f>
        <v>0</v>
      </c>
      <c r="X24" s="7">
        <f>Table11[[#This Row],[ETP'#s]]</f>
        <v>1</v>
      </c>
    </row>
    <row r="25" spans="1:24" x14ac:dyDescent="0.25">
      <c r="A25">
        <f>Table11[[#This Row],[Farmer'#]]</f>
        <v>20086</v>
      </c>
      <c r="B25" t="str">
        <f>Table11[[#This Row],[Representative]]</f>
        <v>Mauro Solis</v>
      </c>
      <c r="C25" t="str">
        <f>Table11[[#This Row],[Contract Name]]</f>
        <v>Carlos Roberto Solis</v>
      </c>
      <c r="D25" t="str">
        <f>Table11[[#This Row],[Status]]</f>
        <v>Out of Program</v>
      </c>
      <c r="E25" t="str">
        <f>Table11[[#This Row],[Contract Code]]</f>
        <v>CR0094</v>
      </c>
      <c r="F25" s="16">
        <f>Table11[[#This Row],['#TreesContract]]</f>
        <v>900</v>
      </c>
      <c r="G25" s="16">
        <f>Table11[[#This Row],['#Planted]]</f>
        <v>900</v>
      </c>
      <c r="H25" s="16">
        <f>Table11[[#This Row],['#TreesContract]]*Table11[[#This Row],[Canada Allocation %]]</f>
        <v>900</v>
      </c>
      <c r="I25" s="16">
        <f>Table11[[#This Row],['#Planted]]*Table11[[#This Row],[Canada Allocation %]]</f>
        <v>900</v>
      </c>
      <c r="J25" s="16">
        <f>Table11[[#This Row],[Contract Amendment]]*Table11[[#This Row],[Canada Allocation %]]</f>
        <v>0</v>
      </c>
      <c r="K25" s="16">
        <f>Table11[[#This Row],['#Trees as of 12/31/23]]*Table11[[#This Row],[Canada Allocation %]]</f>
        <v>0</v>
      </c>
      <c r="L25" s="16">
        <f>Table11[[#This Row],['#Replace 24]]*Table11[[#This Row],[Canada Allocation %]]</f>
        <v>0</v>
      </c>
      <c r="M25" s="16"/>
      <c r="N25" s="16">
        <f>(Table11[[#This Row],[2024 '#Trees Inventory + Estimate]]*Table11[[#This Row],[Canada Allocation %]])-SUM(Table378[[#This Row],['# Trees as of 12/31/23]:[New Trees/Planted in 2024]])</f>
        <v>0</v>
      </c>
      <c r="O25" s="16">
        <f>SUM(Table378[[#This Row],['# Trees as of 12/31/23]:[2024 Tree Losses]])</f>
        <v>0</v>
      </c>
      <c r="P25" s="16">
        <f>SUM(Table378[[#This Row],[Total Trees as of 12/31/24]]-Table378[[#This Row],['# Trees as of 12/31/23]])</f>
        <v>0</v>
      </c>
      <c r="Q25" s="16">
        <f>Table11[[#This Row],['#Total Replacements]]*Table11[[#This Row],[Canada Allocation %]]</f>
        <v>0</v>
      </c>
      <c r="R25" s="16">
        <f>IF(Table378[[#This Row],['#Survival based on Inventory]]=0,Table378['#Survival based on Last Year Estimate],Table378['#Survival based on Inventory])</f>
        <v>0</v>
      </c>
      <c r="S25" s="16">
        <f>Table11[[#This Row],['#Planted]]*Table11[[#This Row],[Canada Allocation %]]*Table11[[#This Row],[2024 Inventory Survival%-master]]</f>
        <v>0</v>
      </c>
      <c r="T25" s="16">
        <f>Table11[[#This Row],['#Planted]]*Table11[[#This Row],[Canada Allocation %]]*Table11[[#This Row],[2024 Estimated Survival%]]</f>
        <v>0</v>
      </c>
      <c r="U25" s="7">
        <f>Table11[[#This Row],[ETP Year]]</f>
        <v>2015</v>
      </c>
      <c r="V25" s="7">
        <f>Table11[[#This Row],[Planting Year]]</f>
        <v>2016</v>
      </c>
      <c r="W25" s="8">
        <f>Table11[[#This Row],[Survival% as of 12/31/23]]</f>
        <v>0</v>
      </c>
      <c r="X25" s="7">
        <f>Table11[[#This Row],[ETP'#s]]</f>
        <v>1</v>
      </c>
    </row>
    <row r="26" spans="1:24" x14ac:dyDescent="0.25">
      <c r="A26">
        <f>Table11[[#This Row],[Farmer'#]]</f>
        <v>20087</v>
      </c>
      <c r="B26" t="str">
        <f>Table11[[#This Row],[Representative]]</f>
        <v>Mario Rodriguez</v>
      </c>
      <c r="C26" t="str">
        <f>Table11[[#This Row],[Contract Name]]</f>
        <v>Coopronaranjo R.L</v>
      </c>
      <c r="D26" t="str">
        <f>Table11[[#This Row],[Status]]</f>
        <v>Out of Program</v>
      </c>
      <c r="E26" t="str">
        <f>Table11[[#This Row],[Contract Code]]</f>
        <v>CR0095</v>
      </c>
      <c r="F26" s="16">
        <f>Table11[[#This Row],['#TreesContract]]</f>
        <v>1000</v>
      </c>
      <c r="G26" s="16">
        <f>Table11[[#This Row],['#Planted]]</f>
        <v>1000</v>
      </c>
      <c r="H26" s="16">
        <f>Table11[[#This Row],['#TreesContract]]*Table11[[#This Row],[Canada Allocation %]]</f>
        <v>1000</v>
      </c>
      <c r="I26" s="16">
        <f>Table11[[#This Row],['#Planted]]*Table11[[#This Row],[Canada Allocation %]]</f>
        <v>1000</v>
      </c>
      <c r="J26" s="16">
        <f>Table11[[#This Row],[Contract Amendment]]*Table11[[#This Row],[Canada Allocation %]]</f>
        <v>0</v>
      </c>
      <c r="K26" s="16">
        <f>Table11[[#This Row],['#Trees as of 12/31/23]]*Table11[[#This Row],[Canada Allocation %]]</f>
        <v>0</v>
      </c>
      <c r="L26" s="16">
        <f>Table11[[#This Row],['#Replace 24]]*Table11[[#This Row],[Canada Allocation %]]</f>
        <v>0</v>
      </c>
      <c r="M26" s="16"/>
      <c r="N26" s="16">
        <f>(Table11[[#This Row],[2024 '#Trees Inventory + Estimate]]*Table11[[#This Row],[Canada Allocation %]])-SUM(Table378[[#This Row],['# Trees as of 12/31/23]:[New Trees/Planted in 2024]])</f>
        <v>0</v>
      </c>
      <c r="O26" s="16">
        <f>SUM(Table378[[#This Row],['# Trees as of 12/31/23]:[2024 Tree Losses]])</f>
        <v>0</v>
      </c>
      <c r="P26" s="16">
        <f>SUM(Table378[[#This Row],[Total Trees as of 12/31/24]]-Table378[[#This Row],['# Trees as of 12/31/23]])</f>
        <v>0</v>
      </c>
      <c r="Q26" s="16">
        <f>Table11[[#This Row],['#Total Replacements]]*Table11[[#This Row],[Canada Allocation %]]</f>
        <v>0</v>
      </c>
      <c r="R26" s="16">
        <f>IF(Table378[[#This Row],['#Survival based on Inventory]]=0,Table378['#Survival based on Last Year Estimate],Table378['#Survival based on Inventory])</f>
        <v>0</v>
      </c>
      <c r="S26" s="16">
        <f>Table11[[#This Row],['#Planted]]*Table11[[#This Row],[Canada Allocation %]]*Table11[[#This Row],[2024 Inventory Survival%-master]]</f>
        <v>0</v>
      </c>
      <c r="T26" s="16">
        <f>Table11[[#This Row],['#Planted]]*Table11[[#This Row],[Canada Allocation %]]*Table11[[#This Row],[2024 Estimated Survival%]]</f>
        <v>0</v>
      </c>
      <c r="U26" s="7">
        <f>Table11[[#This Row],[ETP Year]]</f>
        <v>2015</v>
      </c>
      <c r="V26" s="7">
        <f>Table11[[#This Row],[Planting Year]]</f>
        <v>2016</v>
      </c>
      <c r="W26" s="8">
        <f>Table11[[#This Row],[Survival% as of 12/31/23]]</f>
        <v>0</v>
      </c>
      <c r="X26" s="7">
        <f>Table11[[#This Row],[ETP'#s]]</f>
        <v>1</v>
      </c>
    </row>
    <row r="27" spans="1:24" x14ac:dyDescent="0.25">
      <c r="A27">
        <f>Table11[[#This Row],[Farmer'#]]</f>
        <v>20088</v>
      </c>
      <c r="B27" t="str">
        <f>Table11[[#This Row],[Representative]]</f>
        <v>Daniel Ureña</v>
      </c>
      <c r="C27" t="str">
        <f>Table11[[#This Row],[Contract Name]]</f>
        <v>Daniel Ureña</v>
      </c>
      <c r="D27" t="str">
        <f>Table11[[#This Row],[Status]]</f>
        <v>Out of Program</v>
      </c>
      <c r="E27" t="str">
        <f>Table11[[#This Row],[Contract Code]]</f>
        <v>CR0096</v>
      </c>
      <c r="F27" s="16">
        <f>Table11[[#This Row],['#TreesContract]]</f>
        <v>250</v>
      </c>
      <c r="G27" s="16">
        <f>Table11[[#This Row],['#Planted]]</f>
        <v>250</v>
      </c>
      <c r="H27" s="16">
        <f>Table11[[#This Row],['#TreesContract]]*Table11[[#This Row],[Canada Allocation %]]</f>
        <v>250</v>
      </c>
      <c r="I27" s="16">
        <f>Table11[[#This Row],['#Planted]]*Table11[[#This Row],[Canada Allocation %]]</f>
        <v>250</v>
      </c>
      <c r="J27" s="16">
        <f>Table11[[#This Row],[Contract Amendment]]*Table11[[#This Row],[Canada Allocation %]]</f>
        <v>0</v>
      </c>
      <c r="K27" s="16">
        <f>Table11[[#This Row],['#Trees as of 12/31/23]]*Table11[[#This Row],[Canada Allocation %]]</f>
        <v>0</v>
      </c>
      <c r="L27" s="16">
        <f>Table11[[#This Row],['#Replace 24]]*Table11[[#This Row],[Canada Allocation %]]</f>
        <v>0</v>
      </c>
      <c r="M27" s="16"/>
      <c r="N27" s="16">
        <f>(Table11[[#This Row],[2024 '#Trees Inventory + Estimate]]*Table11[[#This Row],[Canada Allocation %]])-SUM(Table378[[#This Row],['# Trees as of 12/31/23]:[New Trees/Planted in 2024]])</f>
        <v>0</v>
      </c>
      <c r="O27" s="16">
        <f>SUM(Table378[[#This Row],['# Trees as of 12/31/23]:[2024 Tree Losses]])</f>
        <v>0</v>
      </c>
      <c r="P27" s="16">
        <f>SUM(Table378[[#This Row],[Total Trees as of 12/31/24]]-Table378[[#This Row],['# Trees as of 12/31/23]])</f>
        <v>0</v>
      </c>
      <c r="Q27" s="16">
        <f>Table11[[#This Row],['#Total Replacements]]*Table11[[#This Row],[Canada Allocation %]]</f>
        <v>0</v>
      </c>
      <c r="R27" s="16">
        <f>IF(Table378[[#This Row],['#Survival based on Inventory]]=0,Table378['#Survival based on Last Year Estimate],Table378['#Survival based on Inventory])</f>
        <v>0</v>
      </c>
      <c r="S27" s="16">
        <f>Table11[[#This Row],['#Planted]]*Table11[[#This Row],[Canada Allocation %]]*Table11[[#This Row],[2024 Inventory Survival%-master]]</f>
        <v>0</v>
      </c>
      <c r="T27" s="16">
        <f>Table11[[#This Row],['#Planted]]*Table11[[#This Row],[Canada Allocation %]]*Table11[[#This Row],[2024 Estimated Survival%]]</f>
        <v>0</v>
      </c>
      <c r="U27" s="7">
        <f>Table11[[#This Row],[ETP Year]]</f>
        <v>2015</v>
      </c>
      <c r="V27" s="7">
        <f>Table11[[#This Row],[Planting Year]]</f>
        <v>2016</v>
      </c>
      <c r="W27" s="8">
        <f>Table11[[#This Row],[Survival% as of 12/31/23]]</f>
        <v>0</v>
      </c>
      <c r="X27" s="7">
        <f>Table11[[#This Row],[ETP'#s]]</f>
        <v>1</v>
      </c>
    </row>
    <row r="28" spans="1:24" x14ac:dyDescent="0.25">
      <c r="A28">
        <f>Table11[[#This Row],[Farmer'#]]</f>
        <v>10013</v>
      </c>
      <c r="B28" t="str">
        <f>Table11[[#This Row],[Representative]]</f>
        <v>Elvire Dembia</v>
      </c>
      <c r="C28" t="str">
        <f>Table11[[#This Row],[Contract Name]]</f>
        <v>Elvire Frank Dembia</v>
      </c>
      <c r="D28" t="str">
        <f>Table11[[#This Row],[Status]]</f>
        <v>Out of Program</v>
      </c>
      <c r="E28" t="str">
        <f>Table11[[#This Row],[Contract Code]]</f>
        <v>US0015</v>
      </c>
      <c r="F28" s="16">
        <f>Table11[[#This Row],['#TreesContract]]</f>
        <v>2200</v>
      </c>
      <c r="G28" s="16">
        <f>Table11[[#This Row],['#Planted]]</f>
        <v>2200</v>
      </c>
      <c r="H28" s="16">
        <f>Table11[[#This Row],['#TreesContract]]*Table11[[#This Row],[Canada Allocation %]]</f>
        <v>1672</v>
      </c>
      <c r="I28" s="16">
        <f>Table11[[#This Row],['#Planted]]*Table11[[#This Row],[Canada Allocation %]]</f>
        <v>1672</v>
      </c>
      <c r="J28" s="16">
        <f>Table11[[#This Row],[Contract Amendment]]*Table11[[#This Row],[Canada Allocation %]]</f>
        <v>0</v>
      </c>
      <c r="K28" s="16">
        <f>Table11[[#This Row],['#Trees as of 12/31/23]]*Table11[[#This Row],[Canada Allocation %]]</f>
        <v>0</v>
      </c>
      <c r="L28" s="16">
        <f>Table11[[#This Row],['#Replace 24]]*Table11[[#This Row],[Canada Allocation %]]</f>
        <v>0</v>
      </c>
      <c r="M28" s="16"/>
      <c r="N28" s="16">
        <f>(Table11[[#This Row],[2024 '#Trees Inventory + Estimate]]*Table11[[#This Row],[Canada Allocation %]])-SUM(Table378[[#This Row],['# Trees as of 12/31/23]:[New Trees/Planted in 2024]])</f>
        <v>0</v>
      </c>
      <c r="O28" s="16">
        <f>SUM(Table378[[#This Row],['# Trees as of 12/31/23]:[2024 Tree Losses]])</f>
        <v>0</v>
      </c>
      <c r="P28" s="16">
        <f>SUM(Table378[[#This Row],[Total Trees as of 12/31/24]]-Table378[[#This Row],['# Trees as of 12/31/23]])</f>
        <v>0</v>
      </c>
      <c r="Q28" s="16">
        <f>Table11[[#This Row],['#Total Replacements]]*Table11[[#This Row],[Canada Allocation %]]</f>
        <v>0</v>
      </c>
      <c r="R28" s="16">
        <f>IF(Table378[[#This Row],['#Survival based on Inventory]]=0,Table378['#Survival based on Last Year Estimate],Table378['#Survival based on Inventory])</f>
        <v>0</v>
      </c>
      <c r="S28" s="16">
        <f>Table11[[#This Row],['#Planted]]*Table11[[#This Row],[Canada Allocation %]]*Table11[[#This Row],[2024 Inventory Survival%-master]]</f>
        <v>0</v>
      </c>
      <c r="T28" s="16">
        <f>Table11[[#This Row],['#Planted]]*Table11[[#This Row],[Canada Allocation %]]*Table11[[#This Row],[2024 Estimated Survival%]]</f>
        <v>0</v>
      </c>
      <c r="U28" s="7">
        <f>Table11[[#This Row],[ETP Year]]</f>
        <v>2016</v>
      </c>
      <c r="V28" s="7">
        <f>Table11[[#This Row],[Planting Year]]</f>
        <v>2017</v>
      </c>
      <c r="W28" s="8">
        <f>Table11[[#This Row],[Survival% as of 12/31/23]]</f>
        <v>0</v>
      </c>
      <c r="X28" s="7">
        <f>Table11[[#This Row],[ETP'#s]]</f>
        <v>1</v>
      </c>
    </row>
    <row r="29" spans="1:24" x14ac:dyDescent="0.25">
      <c r="A29">
        <f>Table11[[#This Row],[Farmer'#]]</f>
        <v>10014</v>
      </c>
      <c r="B29" t="str">
        <f>Table11[[#This Row],[Representative]]</f>
        <v>Juan Zermeno</v>
      </c>
      <c r="C29" t="str">
        <f>Table11[[#This Row],[Contract Name]]</f>
        <v>Juan Zermeno</v>
      </c>
      <c r="D29" t="str">
        <f>Table11[[#This Row],[Status]]</f>
        <v>Out of Program</v>
      </c>
      <c r="E29" t="str">
        <f>Table11[[#This Row],[Contract Code]]</f>
        <v>US0016</v>
      </c>
      <c r="F29" s="16">
        <f>Table11[[#This Row],['#TreesContract]]</f>
        <v>2200</v>
      </c>
      <c r="G29" s="16">
        <f>Table11[[#This Row],['#Planted]]</f>
        <v>2200</v>
      </c>
      <c r="H29" s="16">
        <f>Table11[[#This Row],['#TreesContract]]*Table11[[#This Row],[Canada Allocation %]]</f>
        <v>1672</v>
      </c>
      <c r="I29" s="16">
        <f>Table11[[#This Row],['#Planted]]*Table11[[#This Row],[Canada Allocation %]]</f>
        <v>1672</v>
      </c>
      <c r="J29" s="16">
        <f>Table11[[#This Row],[Contract Amendment]]*Table11[[#This Row],[Canada Allocation %]]</f>
        <v>0</v>
      </c>
      <c r="K29" s="16">
        <f>Table11[[#This Row],['#Trees as of 12/31/23]]*Table11[[#This Row],[Canada Allocation %]]</f>
        <v>0</v>
      </c>
      <c r="L29" s="16">
        <f>Table11[[#This Row],['#Replace 24]]*Table11[[#This Row],[Canada Allocation %]]</f>
        <v>0</v>
      </c>
      <c r="M29" s="16"/>
      <c r="N29" s="16">
        <f>(Table11[[#This Row],[2024 '#Trees Inventory + Estimate]]*Table11[[#This Row],[Canada Allocation %]])-SUM(Table378[[#This Row],['# Trees as of 12/31/23]:[New Trees/Planted in 2024]])</f>
        <v>0</v>
      </c>
      <c r="O29" s="16">
        <f>SUM(Table378[[#This Row],['# Trees as of 12/31/23]:[2024 Tree Losses]])</f>
        <v>0</v>
      </c>
      <c r="P29" s="16">
        <f>SUM(Table378[[#This Row],[Total Trees as of 12/31/24]]-Table378[[#This Row],['# Trees as of 12/31/23]])</f>
        <v>0</v>
      </c>
      <c r="Q29" s="16">
        <f>Table11[[#This Row],['#Total Replacements]]*Table11[[#This Row],[Canada Allocation %]]</f>
        <v>22.8</v>
      </c>
      <c r="R29" s="16">
        <f>IF(Table378[[#This Row],['#Survival based on Inventory]]=0,Table378['#Survival based on Last Year Estimate],Table378['#Survival based on Inventory])</f>
        <v>0</v>
      </c>
      <c r="S29" s="16">
        <f>Table11[[#This Row],['#Planted]]*Table11[[#This Row],[Canada Allocation %]]*Table11[[#This Row],[2024 Inventory Survival%-master]]</f>
        <v>0</v>
      </c>
      <c r="T29" s="16">
        <f>Table11[[#This Row],['#Planted]]*Table11[[#This Row],[Canada Allocation %]]*Table11[[#This Row],[2024 Estimated Survival%]]</f>
        <v>0</v>
      </c>
      <c r="U29" s="7">
        <f>Table11[[#This Row],[ETP Year]]</f>
        <v>2016</v>
      </c>
      <c r="V29" s="7">
        <f>Table11[[#This Row],[Planting Year]]</f>
        <v>2017</v>
      </c>
      <c r="W29" s="8">
        <f>Table11[[#This Row],[Survival% as of 12/31/23]]</f>
        <v>0</v>
      </c>
      <c r="X29" s="7">
        <f>Table11[[#This Row],[ETP'#s]]</f>
        <v>1</v>
      </c>
    </row>
    <row r="30" spans="1:24" x14ac:dyDescent="0.25">
      <c r="A30">
        <f>Table11[[#This Row],[Farmer'#]]</f>
        <v>10015</v>
      </c>
      <c r="B30" t="str">
        <f>Table11[[#This Row],[Representative]]</f>
        <v>Larry Wilcoxen</v>
      </c>
      <c r="C30" t="str">
        <f>Table11[[#This Row],[Contract Name]]</f>
        <v>Larry Wilcoxen</v>
      </c>
      <c r="D30" t="str">
        <f>Table11[[#This Row],[Status]]</f>
        <v>Out of Program</v>
      </c>
      <c r="E30" t="str">
        <f>Table11[[#This Row],[Contract Code]]</f>
        <v>US0017</v>
      </c>
      <c r="F30" s="16">
        <f>Table11[[#This Row],['#TreesContract]]</f>
        <v>550</v>
      </c>
      <c r="G30" s="16">
        <f>Table11[[#This Row],['#Planted]]</f>
        <v>550</v>
      </c>
      <c r="H30" s="16">
        <f>Table11[[#This Row],['#TreesContract]]*Table11[[#This Row],[Canada Allocation %]]</f>
        <v>418</v>
      </c>
      <c r="I30" s="16">
        <f>Table11[[#This Row],['#Planted]]*Table11[[#This Row],[Canada Allocation %]]</f>
        <v>418</v>
      </c>
      <c r="J30" s="16">
        <f>Table11[[#This Row],[Contract Amendment]]*Table11[[#This Row],[Canada Allocation %]]</f>
        <v>0</v>
      </c>
      <c r="K30" s="16">
        <f>Table11[[#This Row],['#Trees as of 12/31/23]]*Table11[[#This Row],[Canada Allocation %]]</f>
        <v>0</v>
      </c>
      <c r="L30" s="16">
        <f>Table11[[#This Row],['#Replace 24]]*Table11[[#This Row],[Canada Allocation %]]</f>
        <v>0</v>
      </c>
      <c r="M30" s="16"/>
      <c r="N30" s="16">
        <f>(Table11[[#This Row],[2024 '#Trees Inventory + Estimate]]*Table11[[#This Row],[Canada Allocation %]])-SUM(Table378[[#This Row],['# Trees as of 12/31/23]:[New Trees/Planted in 2024]])</f>
        <v>0</v>
      </c>
      <c r="O30" s="16">
        <f>SUM(Table378[[#This Row],['# Trees as of 12/31/23]:[2024 Tree Losses]])</f>
        <v>0</v>
      </c>
      <c r="P30" s="16">
        <f>SUM(Table378[[#This Row],[Total Trees as of 12/31/24]]-Table378[[#This Row],['# Trees as of 12/31/23]])</f>
        <v>0</v>
      </c>
      <c r="Q30" s="16">
        <f>Table11[[#This Row],['#Total Replacements]]*Table11[[#This Row],[Canada Allocation %]]</f>
        <v>22.8</v>
      </c>
      <c r="R30" s="16">
        <f>IF(Table378[[#This Row],['#Survival based on Inventory]]=0,Table378['#Survival based on Last Year Estimate],Table378['#Survival based on Inventory])</f>
        <v>0</v>
      </c>
      <c r="S30" s="16">
        <f>Table11[[#This Row],['#Planted]]*Table11[[#This Row],[Canada Allocation %]]*Table11[[#This Row],[2024 Inventory Survival%-master]]</f>
        <v>0</v>
      </c>
      <c r="T30" s="16">
        <f>Table11[[#This Row],['#Planted]]*Table11[[#This Row],[Canada Allocation %]]*Table11[[#This Row],[2024 Estimated Survival%]]</f>
        <v>0</v>
      </c>
      <c r="U30" s="7">
        <f>Table11[[#This Row],[ETP Year]]</f>
        <v>2016</v>
      </c>
      <c r="V30" s="7">
        <f>Table11[[#This Row],[Planting Year]]</f>
        <v>2017</v>
      </c>
      <c r="W30" s="8">
        <f>Table11[[#This Row],[Survival% as of 12/31/23]]</f>
        <v>0</v>
      </c>
      <c r="X30" s="7">
        <f>Table11[[#This Row],[ETP'#s]]</f>
        <v>1</v>
      </c>
    </row>
    <row r="31" spans="1:24" x14ac:dyDescent="0.25">
      <c r="A31">
        <f>Table11[[#This Row],[Farmer'#]]</f>
        <v>10016</v>
      </c>
      <c r="B31" t="str">
        <f>Table11[[#This Row],[Representative]]</f>
        <v>Marlene Lewis</v>
      </c>
      <c r="C31" t="str">
        <f>Table11[[#This Row],[Contract Name]]</f>
        <v>Lewauta Landholdings Inc</v>
      </c>
      <c r="D31" t="str">
        <f>Table11[[#This Row],[Status]]</f>
        <v>Out of Program</v>
      </c>
      <c r="E31" t="str">
        <f>Table11[[#This Row],[Contract Code]]</f>
        <v>US0018</v>
      </c>
      <c r="F31" s="16">
        <f>Table11[[#This Row],['#TreesContract]]</f>
        <v>951</v>
      </c>
      <c r="G31" s="16">
        <f>Table11[[#This Row],['#Planted]]</f>
        <v>951</v>
      </c>
      <c r="H31" s="16">
        <f>Table11[[#This Row],['#TreesContract]]*Table11[[#This Row],[Canada Allocation %]]</f>
        <v>722.99999999999966</v>
      </c>
      <c r="I31" s="16">
        <f>Table11[[#This Row],['#Planted]]*Table11[[#This Row],[Canada Allocation %]]</f>
        <v>722.99999999999966</v>
      </c>
      <c r="J31" s="16">
        <f>Table11[[#This Row],[Contract Amendment]]*Table11[[#This Row],[Canada Allocation %]]</f>
        <v>0</v>
      </c>
      <c r="K31" s="16">
        <f>Table11[[#This Row],['#Trees as of 12/31/23]]*Table11[[#This Row],[Canada Allocation %]]</f>
        <v>388.45397543609931</v>
      </c>
      <c r="L31" s="16">
        <f>Table11[[#This Row],['#Replace 24]]*Table11[[#This Row],[Canada Allocation %]]</f>
        <v>0</v>
      </c>
      <c r="M31" s="16"/>
      <c r="N31" s="16">
        <f>(Table11[[#This Row],[2024 '#Trees Inventory + Estimate]]*Table11[[#This Row],[Canada Allocation %]])-SUM(Table378[[#This Row],['# Trees as of 12/31/23]:[New Trees/Planted in 2024]])</f>
        <v>-388.45397543609931</v>
      </c>
      <c r="O31" s="16">
        <f>SUM(Table378[[#This Row],['# Trees as of 12/31/23]:[2024 Tree Losses]])</f>
        <v>0</v>
      </c>
      <c r="P31" s="16">
        <f>SUM(Table378[[#This Row],[Total Trees as of 12/31/24]]-Table378[[#This Row],['# Trees as of 12/31/23]])</f>
        <v>-388.45397543609931</v>
      </c>
      <c r="Q31" s="16">
        <f>Table11[[#This Row],['#Total Replacements]]*Table11[[#This Row],[Canada Allocation %]]</f>
        <v>30.41009463722396</v>
      </c>
      <c r="R31" s="16">
        <f>IF(Table378[[#This Row],['#Survival based on Inventory]]=0,Table378['#Survival based on Last Year Estimate],Table378['#Survival based on Inventory])</f>
        <v>0</v>
      </c>
      <c r="S31" s="16">
        <f>Table11[[#This Row],['#Planted]]*Table11[[#This Row],[Canada Allocation %]]*Table11[[#This Row],[2024 Inventory Survival%-master]]</f>
        <v>0</v>
      </c>
      <c r="T31" s="16">
        <f>Table11[[#This Row],['#Planted]]*Table11[[#This Row],[Canada Allocation %]]*Table11[[#This Row],[2024 Estimated Survival%]]</f>
        <v>0</v>
      </c>
      <c r="U31" s="7">
        <f>Table11[[#This Row],[ETP Year]]</f>
        <v>2016</v>
      </c>
      <c r="V31" s="7">
        <f>Table11[[#This Row],[Planting Year]]</f>
        <v>2017</v>
      </c>
      <c r="W31" s="8">
        <f>Table11[[#This Row],[Survival% as of 12/31/23]]</f>
        <v>0.537280740575518</v>
      </c>
      <c r="X31" s="7">
        <f>Table11[[#This Row],[ETP'#s]]</f>
        <v>1</v>
      </c>
    </row>
    <row r="32" spans="1:24" x14ac:dyDescent="0.25">
      <c r="A32">
        <f>Table11[[#This Row],[Farmer'#]]</f>
        <v>10017</v>
      </c>
      <c r="B32" t="str">
        <f>Table11[[#This Row],[Representative]]</f>
        <v>Paul Hartz</v>
      </c>
      <c r="C32" t="str">
        <f>Table11[[#This Row],[Contract Name]]</f>
        <v>Paul Hartz</v>
      </c>
      <c r="D32" t="str">
        <f>Table11[[#This Row],[Status]]</f>
        <v>Out of Program</v>
      </c>
      <c r="E32" t="str">
        <f>Table11[[#This Row],[Contract Code]]</f>
        <v>US0019</v>
      </c>
      <c r="F32" s="16">
        <f>Table11[[#This Row],['#TreesContract]]</f>
        <v>2200</v>
      </c>
      <c r="G32" s="16">
        <f>Table11[[#This Row],['#Planted]]</f>
        <v>2200</v>
      </c>
      <c r="H32" s="16">
        <f>Table11[[#This Row],['#TreesContract]]*Table11[[#This Row],[Canada Allocation %]]</f>
        <v>1672</v>
      </c>
      <c r="I32" s="16">
        <f>Table11[[#This Row],['#Planted]]*Table11[[#This Row],[Canada Allocation %]]</f>
        <v>1672</v>
      </c>
      <c r="J32" s="16">
        <f>Table11[[#This Row],[Contract Amendment]]*Table11[[#This Row],[Canada Allocation %]]</f>
        <v>0</v>
      </c>
      <c r="K32" s="16">
        <f>Table11[[#This Row],['#Trees as of 12/31/23]]*Table11[[#This Row],[Canada Allocation %]]</f>
        <v>0</v>
      </c>
      <c r="L32" s="16">
        <f>Table11[[#This Row],['#Replace 24]]*Table11[[#This Row],[Canada Allocation %]]</f>
        <v>0</v>
      </c>
      <c r="M32" s="16"/>
      <c r="N32" s="16">
        <f>(Table11[[#This Row],[2024 '#Trees Inventory + Estimate]]*Table11[[#This Row],[Canada Allocation %]])-SUM(Table378[[#This Row],['# Trees as of 12/31/23]:[New Trees/Planted in 2024]])</f>
        <v>0</v>
      </c>
      <c r="O32" s="16">
        <f>SUM(Table378[[#This Row],['# Trees as of 12/31/23]:[2024 Tree Losses]])</f>
        <v>0</v>
      </c>
      <c r="P32" s="16">
        <f>SUM(Table378[[#This Row],[Total Trees as of 12/31/24]]-Table378[[#This Row],['# Trees as of 12/31/23]])</f>
        <v>0</v>
      </c>
      <c r="Q32" s="16">
        <f>Table11[[#This Row],['#Total Replacements]]*Table11[[#This Row],[Canada Allocation %]]</f>
        <v>0</v>
      </c>
      <c r="R32" s="16">
        <f>IF(Table378[[#This Row],['#Survival based on Inventory]]=0,Table378['#Survival based on Last Year Estimate],Table378['#Survival based on Inventory])</f>
        <v>0</v>
      </c>
      <c r="S32" s="16">
        <f>Table11[[#This Row],['#Planted]]*Table11[[#This Row],[Canada Allocation %]]*Table11[[#This Row],[2024 Inventory Survival%-master]]</f>
        <v>0</v>
      </c>
      <c r="T32" s="16">
        <f>Table11[[#This Row],['#Planted]]*Table11[[#This Row],[Canada Allocation %]]*Table11[[#This Row],[2024 Estimated Survival%]]</f>
        <v>0</v>
      </c>
      <c r="U32" s="7">
        <f>Table11[[#This Row],[ETP Year]]</f>
        <v>2016</v>
      </c>
      <c r="V32" s="7">
        <f>Table11[[#This Row],[Planting Year]]</f>
        <v>2017</v>
      </c>
      <c r="W32" s="8">
        <f>Table11[[#This Row],[Survival% as of 12/31/23]]</f>
        <v>0</v>
      </c>
      <c r="X32" s="7">
        <f>Table11[[#This Row],[ETP'#s]]</f>
        <v>1</v>
      </c>
    </row>
    <row r="33" spans="1:24" x14ac:dyDescent="0.25">
      <c r="A33">
        <f>Table11[[#This Row],[Farmer'#]]</f>
        <v>10018</v>
      </c>
      <c r="B33" t="str">
        <f>Table11[[#This Row],[Representative]]</f>
        <v>Richard Cumberland</v>
      </c>
      <c r="C33" t="str">
        <f>Table11[[#This Row],[Contract Name]]</f>
        <v>Richard Cumberland</v>
      </c>
      <c r="D33" t="str">
        <f>Table11[[#This Row],[Status]]</f>
        <v>Out of Program</v>
      </c>
      <c r="E33" t="str">
        <f>Table11[[#This Row],[Contract Code]]</f>
        <v>US0020</v>
      </c>
      <c r="F33" s="16">
        <f>Table11[[#This Row],['#TreesContract]]</f>
        <v>200</v>
      </c>
      <c r="G33" s="16">
        <f>Table11[[#This Row],['#Planted]]</f>
        <v>200</v>
      </c>
      <c r="H33" s="16">
        <f>Table11[[#This Row],['#TreesContract]]*Table11[[#This Row],[Canada Allocation %]]</f>
        <v>152</v>
      </c>
      <c r="I33" s="16">
        <f>Table11[[#This Row],['#Planted]]*Table11[[#This Row],[Canada Allocation %]]</f>
        <v>152</v>
      </c>
      <c r="J33" s="16">
        <f>Table11[[#This Row],[Contract Amendment]]*Table11[[#This Row],[Canada Allocation %]]</f>
        <v>0</v>
      </c>
      <c r="K33" s="16">
        <f>Table11[[#This Row],['#Trees as of 12/31/23]]*Table11[[#This Row],[Canada Allocation %]]</f>
        <v>0</v>
      </c>
      <c r="L33" s="16">
        <f>Table11[[#This Row],['#Replace 24]]*Table11[[#This Row],[Canada Allocation %]]</f>
        <v>0</v>
      </c>
      <c r="M33" s="16"/>
      <c r="N33" s="16">
        <f>(Table11[[#This Row],[2024 '#Trees Inventory + Estimate]]*Table11[[#This Row],[Canada Allocation %]])-SUM(Table378[[#This Row],['# Trees as of 12/31/23]:[New Trees/Planted in 2024]])</f>
        <v>0</v>
      </c>
      <c r="O33" s="16">
        <f>SUM(Table378[[#This Row],['# Trees as of 12/31/23]:[2024 Tree Losses]])</f>
        <v>0</v>
      </c>
      <c r="P33" s="16">
        <f>SUM(Table378[[#This Row],[Total Trees as of 12/31/24]]-Table378[[#This Row],['# Trees as of 12/31/23]])</f>
        <v>0</v>
      </c>
      <c r="Q33" s="16">
        <f>Table11[[#This Row],['#Total Replacements]]*Table11[[#This Row],[Canada Allocation %]]</f>
        <v>0</v>
      </c>
      <c r="R33" s="16">
        <f>IF(Table378[[#This Row],['#Survival based on Inventory]]=0,Table378['#Survival based on Last Year Estimate],Table378['#Survival based on Inventory])</f>
        <v>0</v>
      </c>
      <c r="S33" s="16">
        <f>Table11[[#This Row],['#Planted]]*Table11[[#This Row],[Canada Allocation %]]*Table11[[#This Row],[2024 Inventory Survival%-master]]</f>
        <v>0</v>
      </c>
      <c r="T33" s="16">
        <f>Table11[[#This Row],['#Planted]]*Table11[[#This Row],[Canada Allocation %]]*Table11[[#This Row],[2024 Estimated Survival%]]</f>
        <v>0</v>
      </c>
      <c r="U33" s="7">
        <f>Table11[[#This Row],[ETP Year]]</f>
        <v>2016</v>
      </c>
      <c r="V33" s="7">
        <f>Table11[[#This Row],[Planting Year]]</f>
        <v>2017</v>
      </c>
      <c r="W33" s="8">
        <f>Table11[[#This Row],[Survival% as of 12/31/23]]</f>
        <v>0</v>
      </c>
      <c r="X33" s="7">
        <f>Table11[[#This Row],[ETP'#s]]</f>
        <v>1</v>
      </c>
    </row>
    <row r="34" spans="1:24" x14ac:dyDescent="0.25">
      <c r="A34">
        <f>Table11[[#This Row],[Farmer'#]]</f>
        <v>20005</v>
      </c>
      <c r="B34" t="str">
        <f>Table11[[#This Row],[Representative]]</f>
        <v>Juan Luis  Chaves</v>
      </c>
      <c r="C34" t="str">
        <f>Table11[[#This Row],[Contract Name]]</f>
        <v xml:space="preserve">ASESORIA DE EMPRESAS TONAL S A, </v>
      </c>
      <c r="D34" t="str">
        <f>Table11[[#This Row],[Status]]</f>
        <v>Out of Program</v>
      </c>
      <c r="E34" t="str">
        <f>Table11[[#This Row],[Contract Code]]</f>
        <v>CR0015</v>
      </c>
      <c r="F34" s="16">
        <f>Table11[[#This Row],['#TreesContract]]</f>
        <v>1000</v>
      </c>
      <c r="G34" s="16">
        <f>Table11[[#This Row],['#Planted]]</f>
        <v>1000</v>
      </c>
      <c r="H34" s="16">
        <f>Table11[[#This Row],['#TreesContract]]*Table11[[#This Row],[Canada Allocation %]]</f>
        <v>760</v>
      </c>
      <c r="I34" s="16">
        <f>Table11[[#This Row],['#Planted]]*Table11[[#This Row],[Canada Allocation %]]</f>
        <v>760</v>
      </c>
      <c r="J34" s="16">
        <f>Table11[[#This Row],[Contract Amendment]]*Table11[[#This Row],[Canada Allocation %]]</f>
        <v>0</v>
      </c>
      <c r="K34" s="16">
        <f>Table11[[#This Row],['#Trees as of 12/31/23]]*Table11[[#This Row],[Canada Allocation %]]</f>
        <v>0</v>
      </c>
      <c r="L34" s="16">
        <f>Table11[[#This Row],['#Replace 24]]*Table11[[#This Row],[Canada Allocation %]]</f>
        <v>0</v>
      </c>
      <c r="M34" s="16"/>
      <c r="N34" s="16">
        <f>(Table11[[#This Row],[2024 '#Trees Inventory + Estimate]]*Table11[[#This Row],[Canada Allocation %]])-SUM(Table378[[#This Row],['# Trees as of 12/31/23]:[New Trees/Planted in 2024]])</f>
        <v>0</v>
      </c>
      <c r="O34" s="16">
        <f>SUM(Table378[[#This Row],['# Trees as of 12/31/23]:[2024 Tree Losses]])</f>
        <v>0</v>
      </c>
      <c r="P34" s="16">
        <f>SUM(Table378[[#This Row],[Total Trees as of 12/31/24]]-Table378[[#This Row],['# Trees as of 12/31/23]])</f>
        <v>0</v>
      </c>
      <c r="Q34" s="16">
        <f>Table11[[#This Row],['#Total Replacements]]*Table11[[#This Row],[Canada Allocation %]]</f>
        <v>0</v>
      </c>
      <c r="R34" s="16">
        <f>IF(Table378[[#This Row],['#Survival based on Inventory]]=0,Table378['#Survival based on Last Year Estimate],Table378['#Survival based on Inventory])</f>
        <v>0</v>
      </c>
      <c r="S34" s="16">
        <f>Table11[[#This Row],['#Planted]]*Table11[[#This Row],[Canada Allocation %]]*Table11[[#This Row],[2024 Inventory Survival%-master]]</f>
        <v>0</v>
      </c>
      <c r="T34" s="16">
        <f>Table11[[#This Row],['#Planted]]*Table11[[#This Row],[Canada Allocation %]]*Table11[[#This Row],[2024 Estimated Survival%]]</f>
        <v>0</v>
      </c>
      <c r="U34" s="7">
        <f>Table11[[#This Row],[ETP Year]]</f>
        <v>2016</v>
      </c>
      <c r="V34" s="7">
        <f>Table11[[#This Row],[Planting Year]]</f>
        <v>2017</v>
      </c>
      <c r="W34" s="8">
        <f>Table11[[#This Row],[Survival% as of 12/31/23]]</f>
        <v>0</v>
      </c>
      <c r="X34" s="7">
        <f>Table11[[#This Row],[ETP'#s]]</f>
        <v>1</v>
      </c>
    </row>
    <row r="35" spans="1:24" x14ac:dyDescent="0.25">
      <c r="A35">
        <f>Table11[[#This Row],[Farmer'#]]</f>
        <v>20008</v>
      </c>
      <c r="B35" t="str">
        <f>Table11[[#This Row],[Representative]]</f>
        <v>Carlos Navarro</v>
      </c>
      <c r="C35" t="str">
        <f>Table11[[#This Row],[Contract Name]]</f>
        <v>Carlos Navarro</v>
      </c>
      <c r="D35" t="str">
        <f>Table11[[#This Row],[Status]]</f>
        <v>Out of Program</v>
      </c>
      <c r="E35" t="str">
        <f>Table11[[#This Row],[Contract Code]]</f>
        <v>CR0008</v>
      </c>
      <c r="F35" s="16">
        <f>Table11[[#This Row],['#TreesContract]]</f>
        <v>1200</v>
      </c>
      <c r="G35" s="16">
        <f>Table11[[#This Row],['#Planted]]</f>
        <v>1200</v>
      </c>
      <c r="H35" s="16">
        <f>Table11[[#This Row],['#TreesContract]]*Table11[[#This Row],[Canada Allocation %]]</f>
        <v>912</v>
      </c>
      <c r="I35" s="16">
        <f>Table11[[#This Row],['#Planted]]*Table11[[#This Row],[Canada Allocation %]]</f>
        <v>912</v>
      </c>
      <c r="J35" s="16">
        <f>Table11[[#This Row],[Contract Amendment]]*Table11[[#This Row],[Canada Allocation %]]</f>
        <v>0</v>
      </c>
      <c r="K35" s="16">
        <f>Table11[[#This Row],['#Trees as of 12/31/23]]*Table11[[#This Row],[Canada Allocation %]]</f>
        <v>0</v>
      </c>
      <c r="L35" s="16">
        <f>Table11[[#This Row],['#Replace 24]]*Table11[[#This Row],[Canada Allocation %]]</f>
        <v>0</v>
      </c>
      <c r="M35" s="16"/>
      <c r="N35" s="16">
        <f>(Table11[[#This Row],[2024 '#Trees Inventory + Estimate]]*Table11[[#This Row],[Canada Allocation %]])-SUM(Table378[[#This Row],['# Trees as of 12/31/23]:[New Trees/Planted in 2024]])</f>
        <v>0</v>
      </c>
      <c r="O35" s="16">
        <f>SUM(Table378[[#This Row],['# Trees as of 12/31/23]:[2024 Tree Losses]])</f>
        <v>0</v>
      </c>
      <c r="P35" s="16">
        <f>SUM(Table378[[#This Row],[Total Trees as of 12/31/24]]-Table378[[#This Row],['# Trees as of 12/31/23]])</f>
        <v>0</v>
      </c>
      <c r="Q35" s="16">
        <f>Table11[[#This Row],['#Total Replacements]]*Table11[[#This Row],[Canada Allocation %]]</f>
        <v>0</v>
      </c>
      <c r="R35" s="16">
        <f>IF(Table378[[#This Row],['#Survival based on Inventory]]=0,Table378['#Survival based on Last Year Estimate],Table378['#Survival based on Inventory])</f>
        <v>0</v>
      </c>
      <c r="S35" s="16">
        <f>Table11[[#This Row],['#Planted]]*Table11[[#This Row],[Canada Allocation %]]*Table11[[#This Row],[2024 Inventory Survival%-master]]</f>
        <v>0</v>
      </c>
      <c r="T35" s="16">
        <f>Table11[[#This Row],['#Planted]]*Table11[[#This Row],[Canada Allocation %]]*Table11[[#This Row],[2024 Estimated Survival%]]</f>
        <v>0</v>
      </c>
      <c r="U35" s="7">
        <f>Table11[[#This Row],[ETP Year]]</f>
        <v>2016</v>
      </c>
      <c r="V35" s="7">
        <f>Table11[[#This Row],[Planting Year]]</f>
        <v>2017</v>
      </c>
      <c r="W35" s="8">
        <f>Table11[[#This Row],[Survival% as of 12/31/23]]</f>
        <v>0</v>
      </c>
      <c r="X35" s="7">
        <f>Table11[[#This Row],[ETP'#s]]</f>
        <v>1</v>
      </c>
    </row>
    <row r="36" spans="1:24" x14ac:dyDescent="0.25">
      <c r="A36">
        <f>Table11[[#This Row],[Farmer'#]]</f>
        <v>20009</v>
      </c>
      <c r="B36" t="str">
        <f>Table11[[#This Row],[Representative]]</f>
        <v>David Gutierrez</v>
      </c>
      <c r="C36" t="str">
        <f>Table11[[#This Row],[Contract Name]]</f>
        <v>Edgar Gutierrez</v>
      </c>
      <c r="D36" t="str">
        <f>Table11[[#This Row],[Status]]</f>
        <v>Out of Program</v>
      </c>
      <c r="E36" t="str">
        <f>Table11[[#This Row],[Contract Code]]</f>
        <v>CR0009</v>
      </c>
      <c r="F36" s="16">
        <f>Table11[[#This Row],['#TreesContract]]</f>
        <v>500</v>
      </c>
      <c r="G36" s="16">
        <f>Table11[[#This Row],['#Planted]]</f>
        <v>500</v>
      </c>
      <c r="H36" s="16">
        <f>Table11[[#This Row],['#TreesContract]]*Table11[[#This Row],[Canada Allocation %]]</f>
        <v>380</v>
      </c>
      <c r="I36" s="16">
        <f>Table11[[#This Row],['#Planted]]*Table11[[#This Row],[Canada Allocation %]]</f>
        <v>380</v>
      </c>
      <c r="J36" s="16">
        <f>Table11[[#This Row],[Contract Amendment]]*Table11[[#This Row],[Canada Allocation %]]</f>
        <v>0</v>
      </c>
      <c r="K36" s="16">
        <f>Table11[[#This Row],['#Trees as of 12/31/23]]*Table11[[#This Row],[Canada Allocation %]]</f>
        <v>0</v>
      </c>
      <c r="L36" s="16">
        <f>Table11[[#This Row],['#Replace 24]]*Table11[[#This Row],[Canada Allocation %]]</f>
        <v>0</v>
      </c>
      <c r="M36" s="16"/>
      <c r="N36" s="16">
        <f>(Table11[[#This Row],[2024 '#Trees Inventory + Estimate]]*Table11[[#This Row],[Canada Allocation %]])-SUM(Table378[[#This Row],['# Trees as of 12/31/23]:[New Trees/Planted in 2024]])</f>
        <v>0</v>
      </c>
      <c r="O36" s="16">
        <f>SUM(Table378[[#This Row],['# Trees as of 12/31/23]:[2024 Tree Losses]])</f>
        <v>0</v>
      </c>
      <c r="P36" s="16">
        <f>SUM(Table378[[#This Row],[Total Trees as of 12/31/24]]-Table378[[#This Row],['# Trees as of 12/31/23]])</f>
        <v>0</v>
      </c>
      <c r="Q36" s="16">
        <f>Table11[[#This Row],['#Total Replacements]]*Table11[[#This Row],[Canada Allocation %]]</f>
        <v>0</v>
      </c>
      <c r="R36" s="16">
        <f>IF(Table378[[#This Row],['#Survival based on Inventory]]=0,Table378['#Survival based on Last Year Estimate],Table378['#Survival based on Inventory])</f>
        <v>0</v>
      </c>
      <c r="S36" s="16">
        <f>Table11[[#This Row],['#Planted]]*Table11[[#This Row],[Canada Allocation %]]*Table11[[#This Row],[2024 Inventory Survival%-master]]</f>
        <v>0</v>
      </c>
      <c r="T36" s="16">
        <f>Table11[[#This Row],['#Planted]]*Table11[[#This Row],[Canada Allocation %]]*Table11[[#This Row],[2024 Estimated Survival%]]</f>
        <v>0</v>
      </c>
      <c r="U36" s="7">
        <f>Table11[[#This Row],[ETP Year]]</f>
        <v>2016</v>
      </c>
      <c r="V36" s="7">
        <f>Table11[[#This Row],[Planting Year]]</f>
        <v>2017</v>
      </c>
      <c r="W36" s="8">
        <f>Table11[[#This Row],[Survival% as of 12/31/23]]</f>
        <v>0</v>
      </c>
      <c r="X36" s="7">
        <f>Table11[[#This Row],[ETP'#s]]</f>
        <v>1</v>
      </c>
    </row>
    <row r="37" spans="1:24" x14ac:dyDescent="0.25">
      <c r="A37">
        <f>Table11[[#This Row],[Farmer'#]]</f>
        <v>20010</v>
      </c>
      <c r="B37" t="str">
        <f>Table11[[#This Row],[Representative]]</f>
        <v>Edgar Ureña</v>
      </c>
      <c r="C37" t="str">
        <f>Table11[[#This Row],[Contract Name]]</f>
        <v>Edgar Ureña</v>
      </c>
      <c r="D37" t="str">
        <f>Table11[[#This Row],[Status]]</f>
        <v>Out of Program</v>
      </c>
      <c r="E37" t="str">
        <f>Table11[[#This Row],[Contract Code]]</f>
        <v>CR0010</v>
      </c>
      <c r="F37" s="16">
        <f>Table11[[#This Row],['#TreesContract]]</f>
        <v>500</v>
      </c>
      <c r="G37" s="16">
        <f>Table11[[#This Row],['#Planted]]</f>
        <v>500</v>
      </c>
      <c r="H37" s="16">
        <f>Table11[[#This Row],['#TreesContract]]*Table11[[#This Row],[Canada Allocation %]]</f>
        <v>380</v>
      </c>
      <c r="I37" s="16">
        <f>Table11[[#This Row],['#Planted]]*Table11[[#This Row],[Canada Allocation %]]</f>
        <v>380</v>
      </c>
      <c r="J37" s="16">
        <f>Table11[[#This Row],[Contract Amendment]]*Table11[[#This Row],[Canada Allocation %]]</f>
        <v>0</v>
      </c>
      <c r="K37" s="16">
        <f>Table11[[#This Row],['#Trees as of 12/31/23]]*Table11[[#This Row],[Canada Allocation %]]</f>
        <v>0</v>
      </c>
      <c r="L37" s="16">
        <f>Table11[[#This Row],['#Replace 24]]*Table11[[#This Row],[Canada Allocation %]]</f>
        <v>0</v>
      </c>
      <c r="M37" s="16"/>
      <c r="N37" s="16">
        <f>(Table11[[#This Row],[2024 '#Trees Inventory + Estimate]]*Table11[[#This Row],[Canada Allocation %]])-SUM(Table378[[#This Row],['# Trees as of 12/31/23]:[New Trees/Planted in 2024]])</f>
        <v>0</v>
      </c>
      <c r="O37" s="16">
        <f>SUM(Table378[[#This Row],['# Trees as of 12/31/23]:[2024 Tree Losses]])</f>
        <v>0</v>
      </c>
      <c r="P37" s="16">
        <f>SUM(Table378[[#This Row],[Total Trees as of 12/31/24]]-Table378[[#This Row],['# Trees as of 12/31/23]])</f>
        <v>0</v>
      </c>
      <c r="Q37" s="16">
        <f>Table11[[#This Row],['#Total Replacements]]*Table11[[#This Row],[Canada Allocation %]]</f>
        <v>0</v>
      </c>
      <c r="R37" s="16">
        <f>IF(Table378[[#This Row],['#Survival based on Inventory]]=0,Table378['#Survival based on Last Year Estimate],Table378['#Survival based on Inventory])</f>
        <v>0</v>
      </c>
      <c r="S37" s="16">
        <f>Table11[[#This Row],['#Planted]]*Table11[[#This Row],[Canada Allocation %]]*Table11[[#This Row],[2024 Inventory Survival%-master]]</f>
        <v>0</v>
      </c>
      <c r="T37" s="16">
        <f>Table11[[#This Row],['#Planted]]*Table11[[#This Row],[Canada Allocation %]]*Table11[[#This Row],[2024 Estimated Survival%]]</f>
        <v>0</v>
      </c>
      <c r="U37" s="7">
        <f>Table11[[#This Row],[ETP Year]]</f>
        <v>2016</v>
      </c>
      <c r="V37" s="7">
        <f>Table11[[#This Row],[Planting Year]]</f>
        <v>2017</v>
      </c>
      <c r="W37" s="8">
        <f>Table11[[#This Row],[Survival% as of 12/31/23]]</f>
        <v>0</v>
      </c>
      <c r="X37" s="7">
        <f>Table11[[#This Row],[ETP'#s]]</f>
        <v>1</v>
      </c>
    </row>
    <row r="38" spans="1:24" x14ac:dyDescent="0.25">
      <c r="A38">
        <f>Table11[[#This Row],[Farmer'#]]</f>
        <v>20011</v>
      </c>
      <c r="B38" t="str">
        <f>Table11[[#This Row],[Representative]]</f>
        <v>Fernando Altmann</v>
      </c>
      <c r="C38" t="str">
        <f>Table11[[#This Row],[Contract Name]]</f>
        <v>Fernando Altmann</v>
      </c>
      <c r="D38" t="str">
        <f>Table11[[#This Row],[Status]]</f>
        <v>Out of Program</v>
      </c>
      <c r="E38" t="str">
        <f>Table11[[#This Row],[Contract Code]]</f>
        <v>CR0011</v>
      </c>
      <c r="F38" s="16">
        <f>Table11[[#This Row],['#TreesContract]]</f>
        <v>13000</v>
      </c>
      <c r="G38" s="16">
        <f>Table11[[#This Row],['#Planted]]</f>
        <v>13000</v>
      </c>
      <c r="H38" s="16">
        <f>Table11[[#This Row],['#TreesContract]]*Table11[[#This Row],[Canada Allocation %]]</f>
        <v>9880</v>
      </c>
      <c r="I38" s="16">
        <f>Table11[[#This Row],['#Planted]]*Table11[[#This Row],[Canada Allocation %]]</f>
        <v>9880</v>
      </c>
      <c r="J38" s="16">
        <f>Table11[[#This Row],[Contract Amendment]]*Table11[[#This Row],[Canada Allocation %]]</f>
        <v>0</v>
      </c>
      <c r="K38" s="16">
        <f>Table11[[#This Row],['#Trees as of 12/31/23]]*Table11[[#This Row],[Canada Allocation %]]</f>
        <v>0</v>
      </c>
      <c r="L38" s="16">
        <f>Table11[[#This Row],['#Replace 24]]*Table11[[#This Row],[Canada Allocation %]]</f>
        <v>0</v>
      </c>
      <c r="M38" s="16"/>
      <c r="N38" s="16">
        <f>(Table11[[#This Row],[2024 '#Trees Inventory + Estimate]]*Table11[[#This Row],[Canada Allocation %]])-SUM(Table378[[#This Row],['# Trees as of 12/31/23]:[New Trees/Planted in 2024]])</f>
        <v>0</v>
      </c>
      <c r="O38" s="16">
        <f>SUM(Table378[[#This Row],['# Trees as of 12/31/23]:[2024 Tree Losses]])</f>
        <v>0</v>
      </c>
      <c r="P38" s="16">
        <f>SUM(Table378[[#This Row],[Total Trees as of 12/31/24]]-Table378[[#This Row],['# Trees as of 12/31/23]])</f>
        <v>0</v>
      </c>
      <c r="Q38" s="16">
        <f>Table11[[#This Row],['#Total Replacements]]*Table11[[#This Row],[Canada Allocation %]]</f>
        <v>0</v>
      </c>
      <c r="R38" s="16">
        <f>IF(Table378[[#This Row],['#Survival based on Inventory]]=0,Table378['#Survival based on Last Year Estimate],Table378['#Survival based on Inventory])</f>
        <v>0</v>
      </c>
      <c r="S38" s="16">
        <f>Table11[[#This Row],['#Planted]]*Table11[[#This Row],[Canada Allocation %]]*Table11[[#This Row],[2024 Inventory Survival%-master]]</f>
        <v>0</v>
      </c>
      <c r="T38" s="16">
        <f>Table11[[#This Row],['#Planted]]*Table11[[#This Row],[Canada Allocation %]]*Table11[[#This Row],[2024 Estimated Survival%]]</f>
        <v>0</v>
      </c>
      <c r="U38" s="7">
        <f>Table11[[#This Row],[ETP Year]]</f>
        <v>2016</v>
      </c>
      <c r="V38" s="7">
        <f>Table11[[#This Row],[Planting Year]]</f>
        <v>2017</v>
      </c>
      <c r="W38" s="8">
        <f>Table11[[#This Row],[Survival% as of 12/31/23]]</f>
        <v>0</v>
      </c>
      <c r="X38" s="7">
        <f>Table11[[#This Row],[ETP'#s]]</f>
        <v>1</v>
      </c>
    </row>
    <row r="39" spans="1:24" x14ac:dyDescent="0.25">
      <c r="A39">
        <f>Table11[[#This Row],[Farmer'#]]</f>
        <v>20012</v>
      </c>
      <c r="B39" t="str">
        <f>Table11[[#This Row],[Representative]]</f>
        <v>Francisco Mena</v>
      </c>
      <c r="C39" t="str">
        <f>Table11[[#This Row],[Contract Name]]</f>
        <v>Sumava de Lourdes, R.L</v>
      </c>
      <c r="D39" t="str">
        <f>Table11[[#This Row],[Status]]</f>
        <v>Out of Program</v>
      </c>
      <c r="E39" t="str">
        <f>Table11[[#This Row],[Contract Code]]</f>
        <v>CR0012</v>
      </c>
      <c r="F39" s="16">
        <f>Table11[[#This Row],['#TreesContract]]</f>
        <v>2000</v>
      </c>
      <c r="G39" s="16">
        <f>Table11[[#This Row],['#Planted]]</f>
        <v>2000</v>
      </c>
      <c r="H39" s="16">
        <f>Table11[[#This Row],['#TreesContract]]*Table11[[#This Row],[Canada Allocation %]]</f>
        <v>1520</v>
      </c>
      <c r="I39" s="16">
        <f>Table11[[#This Row],['#Planted]]*Table11[[#This Row],[Canada Allocation %]]</f>
        <v>1520</v>
      </c>
      <c r="J39" s="16">
        <f>Table11[[#This Row],[Contract Amendment]]*Table11[[#This Row],[Canada Allocation %]]</f>
        <v>0</v>
      </c>
      <c r="K39" s="16">
        <f>Table11[[#This Row],['#Trees as of 12/31/23]]*Table11[[#This Row],[Canada Allocation %]]</f>
        <v>0</v>
      </c>
      <c r="L39" s="16">
        <f>Table11[[#This Row],['#Replace 24]]*Table11[[#This Row],[Canada Allocation %]]</f>
        <v>0</v>
      </c>
      <c r="M39" s="16"/>
      <c r="N39" s="16">
        <f>(Table11[[#This Row],[2024 '#Trees Inventory + Estimate]]*Table11[[#This Row],[Canada Allocation %]])-SUM(Table378[[#This Row],['# Trees as of 12/31/23]:[New Trees/Planted in 2024]])</f>
        <v>0</v>
      </c>
      <c r="O39" s="16">
        <f>SUM(Table378[[#This Row],['# Trees as of 12/31/23]:[2024 Tree Losses]])</f>
        <v>0</v>
      </c>
      <c r="P39" s="16">
        <f>SUM(Table378[[#This Row],[Total Trees as of 12/31/24]]-Table378[[#This Row],['# Trees as of 12/31/23]])</f>
        <v>0</v>
      </c>
      <c r="Q39" s="16">
        <f>Table11[[#This Row],['#Total Replacements]]*Table11[[#This Row],[Canada Allocation %]]</f>
        <v>0</v>
      </c>
      <c r="R39" s="16">
        <f>IF(Table378[[#This Row],['#Survival based on Inventory]]=0,Table378['#Survival based on Last Year Estimate],Table378['#Survival based on Inventory])</f>
        <v>0</v>
      </c>
      <c r="S39" s="16">
        <f>Table11[[#This Row],['#Planted]]*Table11[[#This Row],[Canada Allocation %]]*Table11[[#This Row],[2024 Inventory Survival%-master]]</f>
        <v>0</v>
      </c>
      <c r="T39" s="16">
        <f>Table11[[#This Row],['#Planted]]*Table11[[#This Row],[Canada Allocation %]]*Table11[[#This Row],[2024 Estimated Survival%]]</f>
        <v>0</v>
      </c>
      <c r="U39" s="7">
        <f>Table11[[#This Row],[ETP Year]]</f>
        <v>2016</v>
      </c>
      <c r="V39" s="7">
        <f>Table11[[#This Row],[Planting Year]]</f>
        <v>2017</v>
      </c>
      <c r="W39" s="8">
        <f>Table11[[#This Row],[Survival% as of 12/31/23]]</f>
        <v>0</v>
      </c>
      <c r="X39" s="7">
        <f>Table11[[#This Row],[ETP'#s]]</f>
        <v>1</v>
      </c>
    </row>
    <row r="40" spans="1:24" x14ac:dyDescent="0.25">
      <c r="A40">
        <f>Table11[[#This Row],[Farmer'#]]</f>
        <v>20013</v>
      </c>
      <c r="B40" t="str">
        <f>Table11[[#This Row],[Representative]]</f>
        <v>Herberth Chacon</v>
      </c>
      <c r="C40" t="str">
        <f>Table11[[#This Row],[Contract Name]]</f>
        <v>Herberth Chacon</v>
      </c>
      <c r="D40" t="str">
        <f>Table11[[#This Row],[Status]]</f>
        <v>RFT</v>
      </c>
      <c r="E40" t="str">
        <f>Table11[[#This Row],[Contract Code]]</f>
        <v>CR0013</v>
      </c>
      <c r="F40" s="16">
        <f>Table11[[#This Row],['#TreesContract]]</f>
        <v>1000</v>
      </c>
      <c r="G40" s="16">
        <f>Table11[[#This Row],['#Planted]]</f>
        <v>1000</v>
      </c>
      <c r="H40" s="16">
        <f>Table11[[#This Row],['#TreesContract]]*Table11[[#This Row],[Canada Allocation %]]</f>
        <v>760</v>
      </c>
      <c r="I40" s="16">
        <f>Table11[[#This Row],['#Planted]]*Table11[[#This Row],[Canada Allocation %]]</f>
        <v>760</v>
      </c>
      <c r="J40" s="16">
        <f>Table11[[#This Row],[Contract Amendment]]*Table11[[#This Row],[Canada Allocation %]]</f>
        <v>0</v>
      </c>
      <c r="K40" s="16">
        <f>Table11[[#This Row],['#Trees as of 12/31/23]]*Table11[[#This Row],[Canada Allocation %]]</f>
        <v>661.2</v>
      </c>
      <c r="L40" s="16">
        <f>Table11[[#This Row],['#Replace 24]]*Table11[[#This Row],[Canada Allocation %]]</f>
        <v>0</v>
      </c>
      <c r="M40" s="16"/>
      <c r="N40" s="16">
        <f>(Table11[[#This Row],[2024 '#Trees Inventory + Estimate]]*Table11[[#This Row],[Canada Allocation %]])-SUM(Table378[[#This Row],['# Trees as of 12/31/23]:[New Trees/Planted in 2024]])</f>
        <v>0</v>
      </c>
      <c r="O40" s="16">
        <f>SUM(Table378[[#This Row],['# Trees as of 12/31/23]:[2024 Tree Losses]])</f>
        <v>661.2</v>
      </c>
      <c r="P40" s="16">
        <f>SUM(Table378[[#This Row],[Total Trees as of 12/31/24]]-Table378[[#This Row],['# Trees as of 12/31/23]])</f>
        <v>0</v>
      </c>
      <c r="Q40" s="16">
        <f>Table11[[#This Row],['#Total Replacements]]*Table11[[#This Row],[Canada Allocation %]]</f>
        <v>570</v>
      </c>
      <c r="R40" s="16">
        <f>IF(Table378[[#This Row],['#Survival based on Inventory]]=0,Table378['#Survival based on Last Year Estimate],Table378['#Survival based on Inventory])</f>
        <v>661.2</v>
      </c>
      <c r="S40" s="16">
        <f>Table11[[#This Row],['#Planted]]*Table11[[#This Row],[Canada Allocation %]]*Table11[[#This Row],[2024 Inventory Survival%-master]]</f>
        <v>0</v>
      </c>
      <c r="T40" s="16">
        <f>Table11[[#This Row],['#Planted]]*Table11[[#This Row],[Canada Allocation %]]*Table11[[#This Row],[2024 Estimated Survival%]]</f>
        <v>661.2</v>
      </c>
      <c r="U40" s="7">
        <f>Table11[[#This Row],[ETP Year]]</f>
        <v>2016</v>
      </c>
      <c r="V40" s="7">
        <f>Table11[[#This Row],[Planting Year]]</f>
        <v>2017</v>
      </c>
      <c r="W40" s="8">
        <f>Table11[[#This Row],[Survival% as of 12/31/23]]</f>
        <v>0.87</v>
      </c>
      <c r="X40" s="7">
        <f>Table11[[#This Row],[ETP'#s]]</f>
        <v>1</v>
      </c>
    </row>
    <row r="41" spans="1:24" x14ac:dyDescent="0.25">
      <c r="A41">
        <f>Table11[[#This Row],[Farmer'#]]</f>
        <v>20015</v>
      </c>
      <c r="B41" t="str">
        <f>Table11[[#This Row],[Representative]]</f>
        <v>Krzysztof Adamski</v>
      </c>
      <c r="C41" t="str">
        <f>Table11[[#This Row],[Contract Name]]</f>
        <v>Krzysztof Adamski</v>
      </c>
      <c r="D41" t="str">
        <f>Table11[[#This Row],[Status]]</f>
        <v>Out of Program</v>
      </c>
      <c r="E41" t="str">
        <f>Table11[[#This Row],[Contract Code]]</f>
        <v>CR0016</v>
      </c>
      <c r="F41" s="16">
        <f>Table11[[#This Row],['#TreesContract]]</f>
        <v>600</v>
      </c>
      <c r="G41" s="16">
        <f>Table11[[#This Row],['#Planted]]</f>
        <v>600</v>
      </c>
      <c r="H41" s="16">
        <f>Table11[[#This Row],['#TreesContract]]*Table11[[#This Row],[Canada Allocation %]]</f>
        <v>456</v>
      </c>
      <c r="I41" s="16">
        <f>Table11[[#This Row],['#Planted]]*Table11[[#This Row],[Canada Allocation %]]</f>
        <v>456</v>
      </c>
      <c r="J41" s="16">
        <f>Table11[[#This Row],[Contract Amendment]]*Table11[[#This Row],[Canada Allocation %]]</f>
        <v>0</v>
      </c>
      <c r="K41" s="16">
        <f>Table11[[#This Row],['#Trees as of 12/31/23]]*Table11[[#This Row],[Canada Allocation %]]</f>
        <v>0</v>
      </c>
      <c r="L41" s="16">
        <f>Table11[[#This Row],['#Replace 24]]*Table11[[#This Row],[Canada Allocation %]]</f>
        <v>0</v>
      </c>
      <c r="M41" s="16"/>
      <c r="N41" s="16">
        <f>(Table11[[#This Row],[2024 '#Trees Inventory + Estimate]]*Table11[[#This Row],[Canada Allocation %]])-SUM(Table378[[#This Row],['# Trees as of 12/31/23]:[New Trees/Planted in 2024]])</f>
        <v>0</v>
      </c>
      <c r="O41" s="16">
        <f>SUM(Table378[[#This Row],['# Trees as of 12/31/23]:[2024 Tree Losses]])</f>
        <v>0</v>
      </c>
      <c r="P41" s="16">
        <f>SUM(Table378[[#This Row],[Total Trees as of 12/31/24]]-Table378[[#This Row],['# Trees as of 12/31/23]])</f>
        <v>0</v>
      </c>
      <c r="Q41" s="16">
        <f>Table11[[#This Row],['#Total Replacements]]*Table11[[#This Row],[Canada Allocation %]]</f>
        <v>0</v>
      </c>
      <c r="R41" s="16">
        <f>IF(Table378[[#This Row],['#Survival based on Inventory]]=0,Table378['#Survival based on Last Year Estimate],Table378['#Survival based on Inventory])</f>
        <v>0</v>
      </c>
      <c r="S41" s="16">
        <f>Table11[[#This Row],['#Planted]]*Table11[[#This Row],[Canada Allocation %]]*Table11[[#This Row],[2024 Inventory Survival%-master]]</f>
        <v>0</v>
      </c>
      <c r="T41" s="16">
        <f>Table11[[#This Row],['#Planted]]*Table11[[#This Row],[Canada Allocation %]]*Table11[[#This Row],[2024 Estimated Survival%]]</f>
        <v>0</v>
      </c>
      <c r="U41" s="7">
        <f>Table11[[#This Row],[ETP Year]]</f>
        <v>2016</v>
      </c>
      <c r="V41" s="7">
        <f>Table11[[#This Row],[Planting Year]]</f>
        <v>2017</v>
      </c>
      <c r="W41" s="8">
        <f>Table11[[#This Row],[Survival% as of 12/31/23]]</f>
        <v>0</v>
      </c>
      <c r="X41" s="7">
        <f>Table11[[#This Row],[ETP'#s]]</f>
        <v>1</v>
      </c>
    </row>
    <row r="42" spans="1:24" x14ac:dyDescent="0.25">
      <c r="A42">
        <f>Table11[[#This Row],[Farmer'#]]</f>
        <v>20016</v>
      </c>
      <c r="B42" t="str">
        <f>Table11[[#This Row],[Representative]]</f>
        <v>Manuel Rojas</v>
      </c>
      <c r="C42" t="str">
        <f>Table11[[#This Row],[Contract Name]]</f>
        <v xml:space="preserve">Rojas y Pacheco S.R.L, </v>
      </c>
      <c r="D42" t="str">
        <f>Table11[[#This Row],[Status]]</f>
        <v>Out of Program</v>
      </c>
      <c r="E42" t="str">
        <f>Table11[[#This Row],[Contract Code]]</f>
        <v>CR0017</v>
      </c>
      <c r="F42" s="16">
        <f>Table11[[#This Row],['#TreesContract]]</f>
        <v>1000</v>
      </c>
      <c r="G42" s="16">
        <f>Table11[[#This Row],['#Planted]]</f>
        <v>1000</v>
      </c>
      <c r="H42" s="16">
        <f>Table11[[#This Row],['#TreesContract]]*Table11[[#This Row],[Canada Allocation %]]</f>
        <v>760</v>
      </c>
      <c r="I42" s="16">
        <f>Table11[[#This Row],['#Planted]]*Table11[[#This Row],[Canada Allocation %]]</f>
        <v>760</v>
      </c>
      <c r="J42" s="16">
        <f>Table11[[#This Row],[Contract Amendment]]*Table11[[#This Row],[Canada Allocation %]]</f>
        <v>0</v>
      </c>
      <c r="K42" s="16">
        <f>Table11[[#This Row],['#Trees as of 12/31/23]]*Table11[[#This Row],[Canada Allocation %]]</f>
        <v>0</v>
      </c>
      <c r="L42" s="16">
        <f>Table11[[#This Row],['#Replace 24]]*Table11[[#This Row],[Canada Allocation %]]</f>
        <v>0</v>
      </c>
      <c r="M42" s="16"/>
      <c r="N42" s="16">
        <f>(Table11[[#This Row],[2024 '#Trees Inventory + Estimate]]*Table11[[#This Row],[Canada Allocation %]])-SUM(Table378[[#This Row],['# Trees as of 12/31/23]:[New Trees/Planted in 2024]])</f>
        <v>0</v>
      </c>
      <c r="O42" s="16">
        <f>SUM(Table378[[#This Row],['# Trees as of 12/31/23]:[2024 Tree Losses]])</f>
        <v>0</v>
      </c>
      <c r="P42" s="16">
        <f>SUM(Table378[[#This Row],[Total Trees as of 12/31/24]]-Table378[[#This Row],['# Trees as of 12/31/23]])</f>
        <v>0</v>
      </c>
      <c r="Q42" s="16">
        <f>Table11[[#This Row],['#Total Replacements]]*Table11[[#This Row],[Canada Allocation %]]</f>
        <v>0</v>
      </c>
      <c r="R42" s="16">
        <f>IF(Table378[[#This Row],['#Survival based on Inventory]]=0,Table378['#Survival based on Last Year Estimate],Table378['#Survival based on Inventory])</f>
        <v>0</v>
      </c>
      <c r="S42" s="16">
        <f>Table11[[#This Row],['#Planted]]*Table11[[#This Row],[Canada Allocation %]]*Table11[[#This Row],[2024 Inventory Survival%-master]]</f>
        <v>0</v>
      </c>
      <c r="T42" s="16">
        <f>Table11[[#This Row],['#Planted]]*Table11[[#This Row],[Canada Allocation %]]*Table11[[#This Row],[2024 Estimated Survival%]]</f>
        <v>0</v>
      </c>
      <c r="U42" s="7">
        <f>Table11[[#This Row],[ETP Year]]</f>
        <v>2016</v>
      </c>
      <c r="V42" s="7">
        <f>Table11[[#This Row],[Planting Year]]</f>
        <v>2017</v>
      </c>
      <c r="W42" s="8">
        <f>Table11[[#This Row],[Survival% as of 12/31/23]]</f>
        <v>0</v>
      </c>
      <c r="X42" s="7">
        <f>Table11[[#This Row],[ETP'#s]]</f>
        <v>1</v>
      </c>
    </row>
    <row r="43" spans="1:24" x14ac:dyDescent="0.25">
      <c r="A43">
        <f>Table11[[#This Row],[Farmer'#]]</f>
        <v>20017</v>
      </c>
      <c r="B43" t="str">
        <f>Table11[[#This Row],[Representative]]</f>
        <v>Martin Gutierrez</v>
      </c>
      <c r="C43" t="str">
        <f>Table11[[#This Row],[Contract Name]]</f>
        <v>Martin Gutierrez</v>
      </c>
      <c r="D43" t="str">
        <f>Table11[[#This Row],[Status]]</f>
        <v>Out of Program</v>
      </c>
      <c r="E43" t="str">
        <f>Table11[[#This Row],[Contract Code]]</f>
        <v>CR0018</v>
      </c>
      <c r="F43" s="16">
        <f>Table11[[#This Row],['#TreesContract]]</f>
        <v>250</v>
      </c>
      <c r="G43" s="16">
        <f>Table11[[#This Row],['#Planted]]</f>
        <v>250</v>
      </c>
      <c r="H43" s="16">
        <f>Table11[[#This Row],['#TreesContract]]*Table11[[#This Row],[Canada Allocation %]]</f>
        <v>190</v>
      </c>
      <c r="I43" s="16">
        <f>Table11[[#This Row],['#Planted]]*Table11[[#This Row],[Canada Allocation %]]</f>
        <v>190</v>
      </c>
      <c r="J43" s="16">
        <f>Table11[[#This Row],[Contract Amendment]]*Table11[[#This Row],[Canada Allocation %]]</f>
        <v>0</v>
      </c>
      <c r="K43" s="16">
        <f>Table11[[#This Row],['#Trees as of 12/31/23]]*Table11[[#This Row],[Canada Allocation %]]</f>
        <v>0</v>
      </c>
      <c r="L43" s="16">
        <f>Table11[[#This Row],['#Replace 24]]*Table11[[#This Row],[Canada Allocation %]]</f>
        <v>0</v>
      </c>
      <c r="M43" s="16"/>
      <c r="N43" s="16">
        <f>(Table11[[#This Row],[2024 '#Trees Inventory + Estimate]]*Table11[[#This Row],[Canada Allocation %]])-SUM(Table378[[#This Row],['# Trees as of 12/31/23]:[New Trees/Planted in 2024]])</f>
        <v>0</v>
      </c>
      <c r="O43" s="16">
        <f>SUM(Table378[[#This Row],['# Trees as of 12/31/23]:[2024 Tree Losses]])</f>
        <v>0</v>
      </c>
      <c r="P43" s="16">
        <f>SUM(Table378[[#This Row],[Total Trees as of 12/31/24]]-Table378[[#This Row],['# Trees as of 12/31/23]])</f>
        <v>0</v>
      </c>
      <c r="Q43" s="16">
        <f>Table11[[#This Row],['#Total Replacements]]*Table11[[#This Row],[Canada Allocation %]]</f>
        <v>0</v>
      </c>
      <c r="R43" s="16">
        <f>IF(Table378[[#This Row],['#Survival based on Inventory]]=0,Table378['#Survival based on Last Year Estimate],Table378['#Survival based on Inventory])</f>
        <v>0</v>
      </c>
      <c r="S43" s="16">
        <f>Table11[[#This Row],['#Planted]]*Table11[[#This Row],[Canada Allocation %]]*Table11[[#This Row],[2024 Inventory Survival%-master]]</f>
        <v>0</v>
      </c>
      <c r="T43" s="16">
        <f>Table11[[#This Row],['#Planted]]*Table11[[#This Row],[Canada Allocation %]]*Table11[[#This Row],[2024 Estimated Survival%]]</f>
        <v>0</v>
      </c>
      <c r="U43" s="7">
        <f>Table11[[#This Row],[ETP Year]]</f>
        <v>2016</v>
      </c>
      <c r="V43" s="7">
        <f>Table11[[#This Row],[Planting Year]]</f>
        <v>2017</v>
      </c>
      <c r="W43" s="8">
        <f>Table11[[#This Row],[Survival% as of 12/31/23]]</f>
        <v>0</v>
      </c>
      <c r="X43" s="7">
        <f>Table11[[#This Row],[ETP'#s]]</f>
        <v>1</v>
      </c>
    </row>
    <row r="44" spans="1:24" x14ac:dyDescent="0.25">
      <c r="A44">
        <f>Table11[[#This Row],[Farmer'#]]</f>
        <v>20018</v>
      </c>
      <c r="B44" t="str">
        <f>Table11[[#This Row],[Representative]]</f>
        <v>Miguel Angel Cabezas</v>
      </c>
      <c r="C44" t="str">
        <f>Table11[[#This Row],[Contract Name]]</f>
        <v>Miriam Mora Salazar</v>
      </c>
      <c r="D44" t="str">
        <f>Table11[[#This Row],[Status]]</f>
        <v>Out of Program</v>
      </c>
      <c r="E44" t="str">
        <f>Table11[[#This Row],[Contract Code]]</f>
        <v>CR0019</v>
      </c>
      <c r="F44" s="16">
        <f>Table11[[#This Row],['#TreesContract]]</f>
        <v>500</v>
      </c>
      <c r="G44" s="16">
        <f>Table11[[#This Row],['#Planted]]</f>
        <v>500</v>
      </c>
      <c r="H44" s="16">
        <f>Table11[[#This Row],['#TreesContract]]*Table11[[#This Row],[Canada Allocation %]]</f>
        <v>380</v>
      </c>
      <c r="I44" s="16">
        <f>Table11[[#This Row],['#Planted]]*Table11[[#This Row],[Canada Allocation %]]</f>
        <v>380</v>
      </c>
      <c r="J44" s="16">
        <f>Table11[[#This Row],[Contract Amendment]]*Table11[[#This Row],[Canada Allocation %]]</f>
        <v>0</v>
      </c>
      <c r="K44" s="16">
        <f>Table11[[#This Row],['#Trees as of 12/31/23]]*Table11[[#This Row],[Canada Allocation %]]</f>
        <v>0</v>
      </c>
      <c r="L44" s="16">
        <f>Table11[[#This Row],['#Replace 24]]*Table11[[#This Row],[Canada Allocation %]]</f>
        <v>0</v>
      </c>
      <c r="M44" s="16"/>
      <c r="N44" s="16">
        <f>(Table11[[#This Row],[2024 '#Trees Inventory + Estimate]]*Table11[[#This Row],[Canada Allocation %]])-SUM(Table378[[#This Row],['# Trees as of 12/31/23]:[New Trees/Planted in 2024]])</f>
        <v>0</v>
      </c>
      <c r="O44" s="16">
        <f>SUM(Table378[[#This Row],['# Trees as of 12/31/23]:[2024 Tree Losses]])</f>
        <v>0</v>
      </c>
      <c r="P44" s="16">
        <f>SUM(Table378[[#This Row],[Total Trees as of 12/31/24]]-Table378[[#This Row],['# Trees as of 12/31/23]])</f>
        <v>0</v>
      </c>
      <c r="Q44" s="16">
        <f>Table11[[#This Row],['#Total Replacements]]*Table11[[#This Row],[Canada Allocation %]]</f>
        <v>0</v>
      </c>
      <c r="R44" s="16">
        <f>IF(Table378[[#This Row],['#Survival based on Inventory]]=0,Table378['#Survival based on Last Year Estimate],Table378['#Survival based on Inventory])</f>
        <v>0</v>
      </c>
      <c r="S44" s="16">
        <f>Table11[[#This Row],['#Planted]]*Table11[[#This Row],[Canada Allocation %]]*Table11[[#This Row],[2024 Inventory Survival%-master]]</f>
        <v>0</v>
      </c>
      <c r="T44" s="16">
        <f>Table11[[#This Row],['#Planted]]*Table11[[#This Row],[Canada Allocation %]]*Table11[[#This Row],[2024 Estimated Survival%]]</f>
        <v>0</v>
      </c>
      <c r="U44" s="7">
        <f>Table11[[#This Row],[ETP Year]]</f>
        <v>2016</v>
      </c>
      <c r="V44" s="7">
        <f>Table11[[#This Row],[Planting Year]]</f>
        <v>2017</v>
      </c>
      <c r="W44" s="8">
        <f>Table11[[#This Row],[Survival% as of 12/31/23]]</f>
        <v>0</v>
      </c>
      <c r="X44" s="7">
        <f>Table11[[#This Row],[ETP'#s]]</f>
        <v>1</v>
      </c>
    </row>
    <row r="45" spans="1:24" x14ac:dyDescent="0.25">
      <c r="A45">
        <f>Table11[[#This Row],[Farmer'#]]</f>
        <v>20019</v>
      </c>
      <c r="B45" t="str">
        <f>Table11[[#This Row],[Representative]]</f>
        <v xml:space="preserve">Fernando Chacon </v>
      </c>
      <c r="C45" t="str">
        <f>Table11[[#This Row],[Contract Name]]</f>
        <v xml:space="preserve">Esteban Fernando Chacon </v>
      </c>
      <c r="D45" t="str">
        <f>Table11[[#This Row],[Status]]</f>
        <v>Out of Program</v>
      </c>
      <c r="E45" t="str">
        <f>Table11[[#This Row],[Contract Code]]</f>
        <v>CR0020</v>
      </c>
      <c r="F45" s="16">
        <f>Table11[[#This Row],['#TreesContract]]</f>
        <v>300</v>
      </c>
      <c r="G45" s="16">
        <f>Table11[[#This Row],['#Planted]]</f>
        <v>300</v>
      </c>
      <c r="H45" s="16">
        <f>Table11[[#This Row],['#TreesContract]]*Table11[[#This Row],[Canada Allocation %]]</f>
        <v>228</v>
      </c>
      <c r="I45" s="16">
        <f>Table11[[#This Row],['#Planted]]*Table11[[#This Row],[Canada Allocation %]]</f>
        <v>228</v>
      </c>
      <c r="J45" s="16">
        <f>Table11[[#This Row],[Contract Amendment]]*Table11[[#This Row],[Canada Allocation %]]</f>
        <v>0</v>
      </c>
      <c r="K45" s="16">
        <f>Table11[[#This Row],['#Trees as of 12/31/23]]*Table11[[#This Row],[Canada Allocation %]]</f>
        <v>0</v>
      </c>
      <c r="L45" s="16">
        <f>Table11[[#This Row],['#Replace 24]]*Table11[[#This Row],[Canada Allocation %]]</f>
        <v>0</v>
      </c>
      <c r="M45" s="16"/>
      <c r="N45" s="16">
        <f>(Table11[[#This Row],[2024 '#Trees Inventory + Estimate]]*Table11[[#This Row],[Canada Allocation %]])-SUM(Table378[[#This Row],['# Trees as of 12/31/23]:[New Trees/Planted in 2024]])</f>
        <v>0</v>
      </c>
      <c r="O45" s="16">
        <f>SUM(Table378[[#This Row],['# Trees as of 12/31/23]:[2024 Tree Losses]])</f>
        <v>0</v>
      </c>
      <c r="P45" s="16">
        <f>SUM(Table378[[#This Row],[Total Trees as of 12/31/24]]-Table378[[#This Row],['# Trees as of 12/31/23]])</f>
        <v>0</v>
      </c>
      <c r="Q45" s="16">
        <f>Table11[[#This Row],['#Total Replacements]]*Table11[[#This Row],[Canada Allocation %]]</f>
        <v>0</v>
      </c>
      <c r="R45" s="16">
        <f>IF(Table378[[#This Row],['#Survival based on Inventory]]=0,Table378['#Survival based on Last Year Estimate],Table378['#Survival based on Inventory])</f>
        <v>0</v>
      </c>
      <c r="S45" s="16">
        <f>Table11[[#This Row],['#Planted]]*Table11[[#This Row],[Canada Allocation %]]*Table11[[#This Row],[2024 Inventory Survival%-master]]</f>
        <v>0</v>
      </c>
      <c r="T45" s="16">
        <f>Table11[[#This Row],['#Planted]]*Table11[[#This Row],[Canada Allocation %]]*Table11[[#This Row],[2024 Estimated Survival%]]</f>
        <v>0</v>
      </c>
      <c r="U45" s="7">
        <f>Table11[[#This Row],[ETP Year]]</f>
        <v>2016</v>
      </c>
      <c r="V45" s="7">
        <f>Table11[[#This Row],[Planting Year]]</f>
        <v>2017</v>
      </c>
      <c r="W45" s="8">
        <f>Table11[[#This Row],[Survival% as of 12/31/23]]</f>
        <v>0</v>
      </c>
      <c r="X45" s="7">
        <f>Table11[[#This Row],[ETP'#s]]</f>
        <v>1</v>
      </c>
    </row>
    <row r="46" spans="1:24" x14ac:dyDescent="0.25">
      <c r="A46">
        <f>Table11[[#This Row],[Farmer'#]]</f>
        <v>20020</v>
      </c>
      <c r="B46" t="str">
        <f>Table11[[#This Row],[Representative]]</f>
        <v>Oscar Viquez</v>
      </c>
      <c r="C46" t="str">
        <f>Table11[[#This Row],[Contract Name]]</f>
        <v>Oscar Viquez,María Isabel Quesada Víquez, Eraida Quesada Víquez, Estelia Quesada Víquez</v>
      </c>
      <c r="D46" t="str">
        <f>Table11[[#This Row],[Status]]</f>
        <v>Out of Program</v>
      </c>
      <c r="E46" t="str">
        <f>Table11[[#This Row],[Contract Code]]</f>
        <v>CR0021</v>
      </c>
      <c r="F46" s="16">
        <f>Table11[[#This Row],['#TreesContract]]</f>
        <v>1000</v>
      </c>
      <c r="G46" s="16">
        <f>Table11[[#This Row],['#Planted]]</f>
        <v>1000</v>
      </c>
      <c r="H46" s="16">
        <f>Table11[[#This Row],['#TreesContract]]*Table11[[#This Row],[Canada Allocation %]]</f>
        <v>760</v>
      </c>
      <c r="I46" s="16">
        <f>Table11[[#This Row],['#Planted]]*Table11[[#This Row],[Canada Allocation %]]</f>
        <v>760</v>
      </c>
      <c r="J46" s="16">
        <f>Table11[[#This Row],[Contract Amendment]]*Table11[[#This Row],[Canada Allocation %]]</f>
        <v>0</v>
      </c>
      <c r="K46" s="16">
        <f>Table11[[#This Row],['#Trees as of 12/31/23]]*Table11[[#This Row],[Canada Allocation %]]</f>
        <v>0</v>
      </c>
      <c r="L46" s="16">
        <f>Table11[[#This Row],['#Replace 24]]*Table11[[#This Row],[Canada Allocation %]]</f>
        <v>0</v>
      </c>
      <c r="M46" s="16"/>
      <c r="N46" s="16">
        <f>(Table11[[#This Row],[2024 '#Trees Inventory + Estimate]]*Table11[[#This Row],[Canada Allocation %]])-SUM(Table378[[#This Row],['# Trees as of 12/31/23]:[New Trees/Planted in 2024]])</f>
        <v>0</v>
      </c>
      <c r="O46" s="16">
        <f>SUM(Table378[[#This Row],['# Trees as of 12/31/23]:[2024 Tree Losses]])</f>
        <v>0</v>
      </c>
      <c r="P46" s="16">
        <f>SUM(Table378[[#This Row],[Total Trees as of 12/31/24]]-Table378[[#This Row],['# Trees as of 12/31/23]])</f>
        <v>0</v>
      </c>
      <c r="Q46" s="16">
        <f>Table11[[#This Row],['#Total Replacements]]*Table11[[#This Row],[Canada Allocation %]]</f>
        <v>0</v>
      </c>
      <c r="R46" s="16">
        <f>IF(Table378[[#This Row],['#Survival based on Inventory]]=0,Table378['#Survival based on Last Year Estimate],Table378['#Survival based on Inventory])</f>
        <v>0</v>
      </c>
      <c r="S46" s="16">
        <f>Table11[[#This Row],['#Planted]]*Table11[[#This Row],[Canada Allocation %]]*Table11[[#This Row],[2024 Inventory Survival%-master]]</f>
        <v>0</v>
      </c>
      <c r="T46" s="16">
        <f>Table11[[#This Row],['#Planted]]*Table11[[#This Row],[Canada Allocation %]]*Table11[[#This Row],[2024 Estimated Survival%]]</f>
        <v>0</v>
      </c>
      <c r="U46" s="7">
        <f>Table11[[#This Row],[ETP Year]]</f>
        <v>2016</v>
      </c>
      <c r="V46" s="7">
        <f>Table11[[#This Row],[Planting Year]]</f>
        <v>2017</v>
      </c>
      <c r="W46" s="8">
        <f>Table11[[#This Row],[Survival% as of 12/31/23]]</f>
        <v>0</v>
      </c>
      <c r="X46" s="7">
        <f>Table11[[#This Row],[ETP'#s]]</f>
        <v>1</v>
      </c>
    </row>
    <row r="47" spans="1:24" x14ac:dyDescent="0.25">
      <c r="A47">
        <f>Table11[[#This Row],[Farmer'#]]</f>
        <v>20021</v>
      </c>
      <c r="B47" t="str">
        <f>Table11[[#This Row],[Representative]]</f>
        <v>Susy Calderon</v>
      </c>
      <c r="C47" t="str">
        <f>Table11[[#This Row],[Contract Name]]</f>
        <v>Susy Calderon</v>
      </c>
      <c r="D47" t="str">
        <f>Table11[[#This Row],[Status]]</f>
        <v>Out of Program</v>
      </c>
      <c r="E47" t="str">
        <f>Table11[[#This Row],[Contract Code]]</f>
        <v>CR0022</v>
      </c>
      <c r="F47" s="16">
        <f>Table11[[#This Row],['#TreesContract]]</f>
        <v>250</v>
      </c>
      <c r="G47" s="16">
        <f>Table11[[#This Row],['#Planted]]</f>
        <v>250</v>
      </c>
      <c r="H47" s="16">
        <f>Table11[[#This Row],['#TreesContract]]*Table11[[#This Row],[Canada Allocation %]]</f>
        <v>190</v>
      </c>
      <c r="I47" s="16">
        <f>Table11[[#This Row],['#Planted]]*Table11[[#This Row],[Canada Allocation %]]</f>
        <v>190</v>
      </c>
      <c r="J47" s="16">
        <f>Table11[[#This Row],[Contract Amendment]]*Table11[[#This Row],[Canada Allocation %]]</f>
        <v>0</v>
      </c>
      <c r="K47" s="16">
        <f>Table11[[#This Row],['#Trees as of 12/31/23]]*Table11[[#This Row],[Canada Allocation %]]</f>
        <v>0</v>
      </c>
      <c r="L47" s="16">
        <f>Table11[[#This Row],['#Replace 24]]*Table11[[#This Row],[Canada Allocation %]]</f>
        <v>0</v>
      </c>
      <c r="M47" s="16"/>
      <c r="N47" s="16">
        <f>(Table11[[#This Row],[2024 '#Trees Inventory + Estimate]]*Table11[[#This Row],[Canada Allocation %]])-SUM(Table378[[#This Row],['# Trees as of 12/31/23]:[New Trees/Planted in 2024]])</f>
        <v>0</v>
      </c>
      <c r="O47" s="16">
        <f>SUM(Table378[[#This Row],['# Trees as of 12/31/23]:[2024 Tree Losses]])</f>
        <v>0</v>
      </c>
      <c r="P47" s="16">
        <f>SUM(Table378[[#This Row],[Total Trees as of 12/31/24]]-Table378[[#This Row],['# Trees as of 12/31/23]])</f>
        <v>0</v>
      </c>
      <c r="Q47" s="16">
        <f>Table11[[#This Row],['#Total Replacements]]*Table11[[#This Row],[Canada Allocation %]]</f>
        <v>0</v>
      </c>
      <c r="R47" s="16">
        <f>IF(Table378[[#This Row],['#Survival based on Inventory]]=0,Table378['#Survival based on Last Year Estimate],Table378['#Survival based on Inventory])</f>
        <v>0</v>
      </c>
      <c r="S47" s="16">
        <f>Table11[[#This Row],['#Planted]]*Table11[[#This Row],[Canada Allocation %]]*Table11[[#This Row],[2024 Inventory Survival%-master]]</f>
        <v>0</v>
      </c>
      <c r="T47" s="16">
        <f>Table11[[#This Row],['#Planted]]*Table11[[#This Row],[Canada Allocation %]]*Table11[[#This Row],[2024 Estimated Survival%]]</f>
        <v>0</v>
      </c>
      <c r="U47" s="7">
        <f>Table11[[#This Row],[ETP Year]]</f>
        <v>2016</v>
      </c>
      <c r="V47" s="7">
        <f>Table11[[#This Row],[Planting Year]]</f>
        <v>2017</v>
      </c>
      <c r="W47" s="8">
        <f>Table11[[#This Row],[Survival% as of 12/31/23]]</f>
        <v>0</v>
      </c>
      <c r="X47" s="7">
        <f>Table11[[#This Row],[ETP'#s]]</f>
        <v>1</v>
      </c>
    </row>
    <row r="48" spans="1:24" x14ac:dyDescent="0.25">
      <c r="A48">
        <f>Table11[[#This Row],[Farmer'#]]</f>
        <v>0</v>
      </c>
      <c r="B48" t="str">
        <f>Table11[[#This Row],[Representative]]</f>
        <v>Jorge Arrieta</v>
      </c>
      <c r="C48" t="str">
        <f>Table11[[#This Row],[Contract Name]]</f>
        <v>Olymar Santa Lucia</v>
      </c>
      <c r="D48" t="str">
        <f>Table11[[#This Row],[Status]]</f>
        <v>Out of Program</v>
      </c>
      <c r="E48" t="str">
        <f>Table11[[#This Row],[Contract Code]]</f>
        <v>CR0014</v>
      </c>
      <c r="F48" s="16">
        <f>Table11[[#This Row],['#TreesContract]]</f>
        <v>1000</v>
      </c>
      <c r="G48" s="16">
        <f>Table11[[#This Row],['#Planted]]</f>
        <v>1000</v>
      </c>
      <c r="H48" s="16">
        <f>Table11[[#This Row],['#TreesContract]]*Table11[[#This Row],[Canada Allocation %]]</f>
        <v>760</v>
      </c>
      <c r="I48" s="16">
        <f>Table11[[#This Row],['#Planted]]*Table11[[#This Row],[Canada Allocation %]]</f>
        <v>760</v>
      </c>
      <c r="J48" s="16">
        <f>Table11[[#This Row],[Contract Amendment]]*Table11[[#This Row],[Canada Allocation %]]</f>
        <v>0</v>
      </c>
      <c r="K48" s="16">
        <f>Table11[[#This Row],['#Trees as of 12/31/23]]*Table11[[#This Row],[Canada Allocation %]]</f>
        <v>0</v>
      </c>
      <c r="L48" s="16">
        <f>Table11[[#This Row],['#Replace 24]]*Table11[[#This Row],[Canada Allocation %]]</f>
        <v>0</v>
      </c>
      <c r="M48" s="16"/>
      <c r="N48" s="16">
        <f>(Table11[[#This Row],[2024 '#Trees Inventory + Estimate]]*Table11[[#This Row],[Canada Allocation %]])-SUM(Table378[[#This Row],['# Trees as of 12/31/23]:[New Trees/Planted in 2024]])</f>
        <v>0</v>
      </c>
      <c r="O48" s="16">
        <f>SUM(Table378[[#This Row],['# Trees as of 12/31/23]:[2024 Tree Losses]])</f>
        <v>0</v>
      </c>
      <c r="P48" s="16">
        <f>SUM(Table378[[#This Row],[Total Trees as of 12/31/24]]-Table378[[#This Row],['# Trees as of 12/31/23]])</f>
        <v>0</v>
      </c>
      <c r="Q48" s="16">
        <f>Table11[[#This Row],['#Total Replacements]]*Table11[[#This Row],[Canada Allocation %]]</f>
        <v>0</v>
      </c>
      <c r="R48" s="16">
        <f>IF(Table378[[#This Row],['#Survival based on Inventory]]=0,Table378['#Survival based on Last Year Estimate],Table378['#Survival based on Inventory])</f>
        <v>0</v>
      </c>
      <c r="S48" s="16">
        <f>Table11[[#This Row],['#Planted]]*Table11[[#This Row],[Canada Allocation %]]*Table11[[#This Row],[2024 Inventory Survival%-master]]</f>
        <v>0</v>
      </c>
      <c r="T48" s="16">
        <f>Table11[[#This Row],['#Planted]]*Table11[[#This Row],[Canada Allocation %]]*Table11[[#This Row],[2024 Estimated Survival%]]</f>
        <v>0</v>
      </c>
      <c r="U48" s="7">
        <f>Table11[[#This Row],[ETP Year]]</f>
        <v>2016</v>
      </c>
      <c r="V48" s="7">
        <f>Table11[[#This Row],[Planting Year]]</f>
        <v>2017</v>
      </c>
      <c r="W48" s="8">
        <f>Table11[[#This Row],[Survival% as of 12/31/23]]</f>
        <v>0</v>
      </c>
      <c r="X48" s="7">
        <f>Table11[[#This Row],[ETP'#s]]</f>
        <v>1</v>
      </c>
    </row>
    <row r="49" spans="1:24" x14ac:dyDescent="0.25">
      <c r="A49">
        <f>Table11[[#This Row],[Farmer'#]]</f>
        <v>10006</v>
      </c>
      <c r="B49" t="str">
        <f>Table11[[#This Row],[Representative]]</f>
        <v>Eugene Martens</v>
      </c>
      <c r="C49" t="str">
        <f>Table11[[#This Row],[Contract Name]]</f>
        <v>Eugene Martens</v>
      </c>
      <c r="D49" t="str">
        <f>Table11[[#This Row],[Status]]</f>
        <v>Active</v>
      </c>
      <c r="E49" t="str">
        <f>Table11[[#This Row],[Contract Code]]</f>
        <v>US0023</v>
      </c>
      <c r="F49" s="16">
        <f>Table11[[#This Row],['#TreesContract]]</f>
        <v>660</v>
      </c>
      <c r="G49" s="16">
        <f>Table11[[#This Row],['#Planted]]</f>
        <v>660</v>
      </c>
      <c r="H49" s="16">
        <f>Table11[[#This Row],['#TreesContract]]*Table11[[#This Row],[Canada Allocation %]]</f>
        <v>219.00000000000003</v>
      </c>
      <c r="I49" s="16">
        <f>Table11[[#This Row],['#Planted]]*Table11[[#This Row],[Canada Allocation %]]</f>
        <v>219.00000000000003</v>
      </c>
      <c r="J49" s="16">
        <f>Table11[[#This Row],[Contract Amendment]]*Table11[[#This Row],[Canada Allocation %]]</f>
        <v>0</v>
      </c>
      <c r="K49" s="16">
        <f>Table11[[#This Row],['#Trees as of 12/31/23]]*Table11[[#This Row],[Canada Allocation %]]</f>
        <v>167.13157894736841</v>
      </c>
      <c r="L49" s="16">
        <f>Table11[[#This Row],['#Replace 24]]*Table11[[#This Row],[Canada Allocation %]]</f>
        <v>0</v>
      </c>
      <c r="M49" s="16"/>
      <c r="N49" s="16">
        <f>(Table11[[#This Row],[2024 '#Trees Inventory + Estimate]]*Table11[[#This Row],[Canada Allocation %]])-SUM(Table378[[#This Row],['# Trees as of 12/31/23]:[New Trees/Planted in 2024]])</f>
        <v>0</v>
      </c>
      <c r="O49" s="16">
        <f>SUM(Table378[[#This Row],['# Trees as of 12/31/23]:[2024 Tree Losses]])</f>
        <v>167.13157894736841</v>
      </c>
      <c r="P49" s="16">
        <f>SUM(Table378[[#This Row],[Total Trees as of 12/31/24]]-Table378[[#This Row],['# Trees as of 12/31/23]])</f>
        <v>0</v>
      </c>
      <c r="Q49" s="16">
        <f>Table11[[#This Row],['#Total Replacements]]*Table11[[#This Row],[Canada Allocation %]]</f>
        <v>74.990909090909099</v>
      </c>
      <c r="R49" s="16">
        <f>IF(Table378[[#This Row],['#Survival based on Inventory]]=0,Table378['#Survival based on Last Year Estimate],Table378['#Survival based on Inventory])</f>
        <v>167.13157894736844</v>
      </c>
      <c r="S49" s="16">
        <f>Table11[[#This Row],['#Planted]]*Table11[[#This Row],[Canada Allocation %]]*Table11[[#This Row],[2024 Inventory Survival%-master]]</f>
        <v>0</v>
      </c>
      <c r="T49" s="16">
        <f>Table11[[#This Row],['#Planted]]*Table11[[#This Row],[Canada Allocation %]]*Table11[[#This Row],[2024 Estimated Survival%]]</f>
        <v>167.13157894736844</v>
      </c>
      <c r="U49" s="7">
        <f>Table11[[#This Row],[ETP Year]]</f>
        <v>2016</v>
      </c>
      <c r="V49" s="7">
        <f>Table11[[#This Row],[Planting Year]]</f>
        <v>2018</v>
      </c>
      <c r="W49" s="8">
        <f>Table11[[#This Row],[Survival% as of 12/31/23]]</f>
        <v>0.76315789473684204</v>
      </c>
      <c r="X49" s="7">
        <f>Table11[[#This Row],[ETP'#s]]</f>
        <v>1</v>
      </c>
    </row>
    <row r="50" spans="1:24" x14ac:dyDescent="0.25">
      <c r="A50">
        <f>Table11[[#This Row],[Farmer'#]]</f>
        <v>10016</v>
      </c>
      <c r="B50" t="str">
        <f>Table11[[#This Row],[Representative]]</f>
        <v>Marlene Lewis</v>
      </c>
      <c r="C50" t="str">
        <f>Table11[[#This Row],[Contract Name]]</f>
        <v>Lewauta Landholdings Inc</v>
      </c>
      <c r="D50" t="str">
        <f>Table11[[#This Row],[Status]]</f>
        <v>Out of Program</v>
      </c>
      <c r="E50" t="str">
        <f>Table11[[#This Row],[Contract Code]]</f>
        <v>US0027</v>
      </c>
      <c r="F50" s="16">
        <f>Table11[[#This Row],['#TreesContract]]</f>
        <v>425</v>
      </c>
      <c r="G50" s="16">
        <f>Table11[[#This Row],['#Planted]]</f>
        <v>425</v>
      </c>
      <c r="H50" s="16">
        <f>Table11[[#This Row],['#TreesContract]]*Table11[[#This Row],[Canada Allocation %]]</f>
        <v>141</v>
      </c>
      <c r="I50" s="16">
        <f>Table11[[#This Row],['#Planted]]*Table11[[#This Row],[Canada Allocation %]]</f>
        <v>141</v>
      </c>
      <c r="J50" s="16">
        <f>Table11[[#This Row],[Contract Amendment]]*Table11[[#This Row],[Canada Allocation %]]</f>
        <v>0</v>
      </c>
      <c r="K50" s="16">
        <f>Table11[[#This Row],['#Trees as of 12/31/23]]*Table11[[#This Row],[Canada Allocation %]]</f>
        <v>116.11764705882354</v>
      </c>
      <c r="L50" s="16">
        <f>Table11[[#This Row],['#Replace 24]]*Table11[[#This Row],[Canada Allocation %]]</f>
        <v>0</v>
      </c>
      <c r="M50" s="16"/>
      <c r="N50" s="16">
        <f>(Table11[[#This Row],[2024 '#Trees Inventory + Estimate]]*Table11[[#This Row],[Canada Allocation %]])-SUM(Table378[[#This Row],['# Trees as of 12/31/23]:[New Trees/Planted in 2024]])</f>
        <v>-116.11764705882354</v>
      </c>
      <c r="O50" s="16">
        <f>SUM(Table378[[#This Row],['# Trees as of 12/31/23]:[2024 Tree Losses]])</f>
        <v>0</v>
      </c>
      <c r="P50" s="16">
        <f>SUM(Table378[[#This Row],[Total Trees as of 12/31/24]]-Table378[[#This Row],['# Trees as of 12/31/23]])</f>
        <v>-116.11764705882354</v>
      </c>
      <c r="Q50" s="16">
        <f>Table11[[#This Row],['#Total Replacements]]*Table11[[#This Row],[Canada Allocation %]]</f>
        <v>66.352941176470594</v>
      </c>
      <c r="R50" s="16">
        <f>IF(Table378[[#This Row],['#Survival based on Inventory]]=0,Table378['#Survival based on Last Year Estimate],Table378['#Survival based on Inventory])</f>
        <v>0</v>
      </c>
      <c r="S50" s="16">
        <f>Table11[[#This Row],['#Planted]]*Table11[[#This Row],[Canada Allocation %]]*Table11[[#This Row],[2024 Inventory Survival%-master]]</f>
        <v>0</v>
      </c>
      <c r="T50" s="16">
        <f>Table11[[#This Row],['#Planted]]*Table11[[#This Row],[Canada Allocation %]]*Table11[[#This Row],[2024 Estimated Survival%]]</f>
        <v>0</v>
      </c>
      <c r="U50" s="7">
        <f>Table11[[#This Row],[ETP Year]]</f>
        <v>2016</v>
      </c>
      <c r="V50" s="7">
        <f>Table11[[#This Row],[Planting Year]]</f>
        <v>2018</v>
      </c>
      <c r="W50" s="8">
        <f>Table11[[#This Row],[Survival% as of 12/31/23]]</f>
        <v>0.82352941176470584</v>
      </c>
      <c r="X50" s="7">
        <f>Table11[[#This Row],[ETP'#s]]</f>
        <v>1</v>
      </c>
    </row>
    <row r="51" spans="1:24" x14ac:dyDescent="0.25">
      <c r="A51">
        <f>Table11[[#This Row],[Farmer'#]]</f>
        <v>10019</v>
      </c>
      <c r="B51" t="str">
        <f>Table11[[#This Row],[Representative]]</f>
        <v>Brandon Bailey</v>
      </c>
      <c r="C51" t="str">
        <f>Table11[[#This Row],[Contract Name]]</f>
        <v>Brandon Bailey</v>
      </c>
      <c r="D51" t="str">
        <f>Table11[[#This Row],[Status]]</f>
        <v>Out of Program</v>
      </c>
      <c r="E51" t="str">
        <f>Table11[[#This Row],[Contract Code]]</f>
        <v>US0021</v>
      </c>
      <c r="F51" s="16">
        <f>Table11[[#This Row],['#TreesContract]]</f>
        <v>2200</v>
      </c>
      <c r="G51" s="16">
        <f>Table11[[#This Row],['#Planted]]</f>
        <v>2200</v>
      </c>
      <c r="H51" s="16">
        <f>Table11[[#This Row],['#TreesContract]]*Table11[[#This Row],[Canada Allocation %]]</f>
        <v>730.00000000000011</v>
      </c>
      <c r="I51" s="16">
        <f>Table11[[#This Row],['#Planted]]*Table11[[#This Row],[Canada Allocation %]]</f>
        <v>730.00000000000011</v>
      </c>
      <c r="J51" s="16">
        <f>Table11[[#This Row],[Contract Amendment]]*Table11[[#This Row],[Canada Allocation %]]</f>
        <v>0</v>
      </c>
      <c r="K51" s="16">
        <f>Table11[[#This Row],['#Trees as of 12/31/23]]*Table11[[#This Row],[Canada Allocation %]]</f>
        <v>0</v>
      </c>
      <c r="L51" s="16">
        <f>Table11[[#This Row],['#Replace 24]]*Table11[[#This Row],[Canada Allocation %]]</f>
        <v>0</v>
      </c>
      <c r="M51" s="16"/>
      <c r="N51" s="16">
        <f>(Table11[[#This Row],[2024 '#Trees Inventory + Estimate]]*Table11[[#This Row],[Canada Allocation %]])-SUM(Table378[[#This Row],['# Trees as of 12/31/23]:[New Trees/Planted in 2024]])</f>
        <v>0</v>
      </c>
      <c r="O51" s="16">
        <f>SUM(Table378[[#This Row],['# Trees as of 12/31/23]:[2024 Tree Losses]])</f>
        <v>0</v>
      </c>
      <c r="P51" s="16">
        <f>SUM(Table378[[#This Row],[Total Trees as of 12/31/24]]-Table378[[#This Row],['# Trees as of 12/31/23]])</f>
        <v>0</v>
      </c>
      <c r="Q51" s="16">
        <f>Table11[[#This Row],['#Total Replacements]]*Table11[[#This Row],[Canada Allocation %]]</f>
        <v>0</v>
      </c>
      <c r="R51" s="16">
        <f>IF(Table378[[#This Row],['#Survival based on Inventory]]=0,Table378['#Survival based on Last Year Estimate],Table378['#Survival based on Inventory])</f>
        <v>0</v>
      </c>
      <c r="S51" s="16">
        <f>Table11[[#This Row],['#Planted]]*Table11[[#This Row],[Canada Allocation %]]*Table11[[#This Row],[2024 Inventory Survival%-master]]</f>
        <v>0</v>
      </c>
      <c r="T51" s="16">
        <f>Table11[[#This Row],['#Planted]]*Table11[[#This Row],[Canada Allocation %]]*Table11[[#This Row],[2024 Estimated Survival%]]</f>
        <v>0</v>
      </c>
      <c r="U51" s="7">
        <f>Table11[[#This Row],[ETP Year]]</f>
        <v>2016</v>
      </c>
      <c r="V51" s="7">
        <f>Table11[[#This Row],[Planting Year]]</f>
        <v>2018</v>
      </c>
      <c r="W51" s="8">
        <f>Table11[[#This Row],[Survival% as of 12/31/23]]</f>
        <v>0</v>
      </c>
      <c r="X51" s="7">
        <f>Table11[[#This Row],[ETP'#s]]</f>
        <v>1</v>
      </c>
    </row>
    <row r="52" spans="1:24" x14ac:dyDescent="0.25">
      <c r="A52">
        <f>Table11[[#This Row],[Farmer'#]]</f>
        <v>10020</v>
      </c>
      <c r="B52" t="str">
        <f>Table11[[#This Row],[Representative]]</f>
        <v>Daniel Byrd</v>
      </c>
      <c r="C52" t="str">
        <f>Table11[[#This Row],[Contract Name]]</f>
        <v>Daniel Bryd</v>
      </c>
      <c r="D52" t="str">
        <f>Table11[[#This Row],[Status]]</f>
        <v>Active</v>
      </c>
      <c r="E52" t="str">
        <f>Table11[[#This Row],[Contract Code]]</f>
        <v>US0022</v>
      </c>
      <c r="F52" s="16">
        <f>Table11[[#This Row],['#TreesContract]]</f>
        <v>2530</v>
      </c>
      <c r="G52" s="16">
        <f>Table11[[#This Row],['#Planted]]</f>
        <v>2530</v>
      </c>
      <c r="H52" s="16">
        <f>Table11[[#This Row],['#TreesContract]]*Table11[[#This Row],[Canada Allocation %]]</f>
        <v>840.00000000000011</v>
      </c>
      <c r="I52" s="16">
        <f>Table11[[#This Row],['#Planted]]*Table11[[#This Row],[Canada Allocation %]]</f>
        <v>840.00000000000011</v>
      </c>
      <c r="J52" s="16">
        <f>Table11[[#This Row],[Contract Amendment]]*Table11[[#This Row],[Canada Allocation %]]</f>
        <v>0</v>
      </c>
      <c r="K52" s="16">
        <f>Table11[[#This Row],['#Trees as of 12/31/23]]*Table11[[#This Row],[Canada Allocation %]]</f>
        <v>552.66727229996775</v>
      </c>
      <c r="L52" s="16">
        <f>Table11[[#This Row],['#Replace 24]]*Table11[[#This Row],[Canada Allocation %]]</f>
        <v>0</v>
      </c>
      <c r="M52" s="16"/>
      <c r="N52" s="16">
        <f>(Table11[[#This Row],[2024 '#Trees Inventory + Estimate]]*Table11[[#This Row],[Canada Allocation %]])-SUM(Table378[[#This Row],['# Trees as of 12/31/23]:[New Trees/Planted in 2024]])</f>
        <v>0</v>
      </c>
      <c r="O52" s="16">
        <f>SUM(Table378[[#This Row],['# Trees as of 12/31/23]:[2024 Tree Losses]])</f>
        <v>552.66727229996775</v>
      </c>
      <c r="P52" s="16">
        <f>SUM(Table378[[#This Row],[Total Trees as of 12/31/24]]-Table378[[#This Row],['# Trees as of 12/31/23]])</f>
        <v>0</v>
      </c>
      <c r="Q52" s="16">
        <f>Table11[[#This Row],['#Total Replacements]]*Table11[[#This Row],[Canada Allocation %]]</f>
        <v>87.984189723320171</v>
      </c>
      <c r="R52" s="16">
        <f>IF(Table378[[#This Row],['#Survival based on Inventory]]=0,Table378['#Survival based on Last Year Estimate],Table378['#Survival based on Inventory])</f>
        <v>552.66727229996786</v>
      </c>
      <c r="S52" s="16">
        <f>Table11[[#This Row],['#Planted]]*Table11[[#This Row],[Canada Allocation %]]*Table11[[#This Row],[2024 Inventory Survival%-master]]</f>
        <v>0</v>
      </c>
      <c r="T52" s="16">
        <f>Table11[[#This Row],['#Planted]]*Table11[[#This Row],[Canada Allocation %]]*Table11[[#This Row],[2024 Estimated Survival%]]</f>
        <v>552.66727229996786</v>
      </c>
      <c r="U52" s="7">
        <f>Table11[[#This Row],[ETP Year]]</f>
        <v>2016</v>
      </c>
      <c r="V52" s="7">
        <f>Table11[[#This Row],[Planting Year]]</f>
        <v>2018</v>
      </c>
      <c r="W52" s="8">
        <f>Table11[[#This Row],[Survival% as of 12/31/23]]</f>
        <v>0.65793722892853301</v>
      </c>
      <c r="X52" s="7">
        <f>Table11[[#This Row],[ETP'#s]]</f>
        <v>1</v>
      </c>
    </row>
    <row r="53" spans="1:24" x14ac:dyDescent="0.25">
      <c r="A53">
        <f>Table11[[#This Row],[Farmer'#]]</f>
        <v>10021</v>
      </c>
      <c r="B53" t="str">
        <f>Table11[[#This Row],[Representative]]</f>
        <v>Grover Plunkett</v>
      </c>
      <c r="C53" t="str">
        <f>Table11[[#This Row],[Contract Name]]</f>
        <v>Southern Innovative Investments LLC</v>
      </c>
      <c r="D53" t="str">
        <f>Table11[[#This Row],[Status]]</f>
        <v>Active</v>
      </c>
      <c r="E53" t="str">
        <f>Table11[[#This Row],[Contract Code]]</f>
        <v>US0024</v>
      </c>
      <c r="F53" s="16">
        <f>Table11[[#This Row],['#TreesContract]]</f>
        <v>2200</v>
      </c>
      <c r="G53" s="16">
        <f>Table11[[#This Row],['#Planted]]</f>
        <v>2200</v>
      </c>
      <c r="H53" s="16">
        <f>Table11[[#This Row],['#TreesContract]]*Table11[[#This Row],[Canada Allocation %]]</f>
        <v>730.00000000000011</v>
      </c>
      <c r="I53" s="16">
        <f>Table11[[#This Row],['#Planted]]*Table11[[#This Row],[Canada Allocation %]]</f>
        <v>730.00000000000011</v>
      </c>
      <c r="J53" s="16">
        <f>Table11[[#This Row],[Contract Amendment]]*Table11[[#This Row],[Canada Allocation %]]</f>
        <v>0</v>
      </c>
      <c r="K53" s="16">
        <f>Table11[[#This Row],['#Trees as of 12/31/23]]*Table11[[#This Row],[Canada Allocation %]]</f>
        <v>489.02912621359212</v>
      </c>
      <c r="L53" s="16">
        <f>Table11[[#This Row],['#Replace 24]]*Table11[[#This Row],[Canada Allocation %]]</f>
        <v>0</v>
      </c>
      <c r="M53" s="16"/>
      <c r="N53" s="16">
        <f>(Table11[[#This Row],[2024 '#Trees Inventory + Estimate]]*Table11[[#This Row],[Canada Allocation %]])-SUM(Table378[[#This Row],['# Trees as of 12/31/23]:[New Trees/Planted in 2024]])</f>
        <v>0</v>
      </c>
      <c r="O53" s="16">
        <f>SUM(Table378[[#This Row],['# Trees as of 12/31/23]:[2024 Tree Losses]])</f>
        <v>489.02912621359212</v>
      </c>
      <c r="P53" s="16">
        <f>SUM(Table378[[#This Row],[Total Trees as of 12/31/24]]-Table378[[#This Row],['# Trees as of 12/31/23]])</f>
        <v>0</v>
      </c>
      <c r="Q53" s="16">
        <f>Table11[[#This Row],['#Total Replacements]]*Table11[[#This Row],[Canada Allocation %]]</f>
        <v>0</v>
      </c>
      <c r="R53" s="16">
        <f>IF(Table378[[#This Row],['#Survival based on Inventory]]=0,Table378['#Survival based on Last Year Estimate],Table378['#Survival based on Inventory])</f>
        <v>489.02912621359218</v>
      </c>
      <c r="S53" s="16">
        <f>Table11[[#This Row],['#Planted]]*Table11[[#This Row],[Canada Allocation %]]*Table11[[#This Row],[2024 Inventory Survival%-master]]</f>
        <v>0</v>
      </c>
      <c r="T53" s="16">
        <f>Table11[[#This Row],['#Planted]]*Table11[[#This Row],[Canada Allocation %]]*Table11[[#This Row],[2024 Estimated Survival%]]</f>
        <v>489.02912621359218</v>
      </c>
      <c r="U53" s="7">
        <f>Table11[[#This Row],[ETP Year]]</f>
        <v>2016</v>
      </c>
      <c r="V53" s="7">
        <f>Table11[[#This Row],[Planting Year]]</f>
        <v>2018</v>
      </c>
      <c r="W53" s="8">
        <f>Table11[[#This Row],[Survival% as of 12/31/23]]</f>
        <v>0.66990291262135904</v>
      </c>
      <c r="X53" s="7">
        <f>Table11[[#This Row],[ETP'#s]]</f>
        <v>1</v>
      </c>
    </row>
    <row r="54" spans="1:24" x14ac:dyDescent="0.25">
      <c r="A54">
        <f>Table11[[#This Row],[Farmer'#]]</f>
        <v>10022</v>
      </c>
      <c r="B54" t="str">
        <f>Table11[[#This Row],[Representative]]</f>
        <v>Jacob Schwartz</v>
      </c>
      <c r="C54" t="str">
        <f>Table11[[#This Row],[Contract Name]]</f>
        <v>Jacob Schwartz</v>
      </c>
      <c r="D54" t="str">
        <f>Table11[[#This Row],[Status]]</f>
        <v>RFT</v>
      </c>
      <c r="E54" t="str">
        <f>Table11[[#This Row],[Contract Code]]</f>
        <v>US0025</v>
      </c>
      <c r="F54" s="16">
        <f>Table11[[#This Row],['#TreesContract]]</f>
        <v>1100</v>
      </c>
      <c r="G54" s="16">
        <f>Table11[[#This Row],['#Planted]]</f>
        <v>1100</v>
      </c>
      <c r="H54" s="16">
        <f>Table11[[#This Row],['#TreesContract]]*Table11[[#This Row],[Canada Allocation %]]</f>
        <v>365.00000000000006</v>
      </c>
      <c r="I54" s="16">
        <f>Table11[[#This Row],['#Planted]]*Table11[[#This Row],[Canada Allocation %]]</f>
        <v>365.00000000000006</v>
      </c>
      <c r="J54" s="16">
        <f>Table11[[#This Row],[Contract Amendment]]*Table11[[#This Row],[Canada Allocation %]]</f>
        <v>0</v>
      </c>
      <c r="K54" s="16">
        <f>Table11[[#This Row],['#Trees as of 12/31/23]]*Table11[[#This Row],[Canada Allocation %]]</f>
        <v>264.48753246753222</v>
      </c>
      <c r="L54" s="16">
        <f>Table11[[#This Row],['#Replace 24]]*Table11[[#This Row],[Canada Allocation %]]</f>
        <v>0</v>
      </c>
      <c r="M54" s="16"/>
      <c r="N54" s="16">
        <f>(Table11[[#This Row],[2024 '#Trees Inventory + Estimate]]*Table11[[#This Row],[Canada Allocation %]])-SUM(Table378[[#This Row],['# Trees as of 12/31/23]:[New Trees/Planted in 2024]])</f>
        <v>0</v>
      </c>
      <c r="O54" s="16">
        <f>SUM(Table378[[#This Row],['# Trees as of 12/31/23]:[2024 Tree Losses]])</f>
        <v>264.48753246753222</v>
      </c>
      <c r="P54" s="16">
        <f>SUM(Table378[[#This Row],[Total Trees as of 12/31/24]]-Table378[[#This Row],['# Trees as of 12/31/23]])</f>
        <v>0</v>
      </c>
      <c r="Q54" s="16">
        <f>Table11[[#This Row],['#Total Replacements]]*Table11[[#This Row],[Canada Allocation %]]</f>
        <v>94.9</v>
      </c>
      <c r="R54" s="16">
        <f>IF(Table378[[#This Row],['#Survival based on Inventory]]=0,Table378['#Survival based on Last Year Estimate],Table378['#Survival based on Inventory])</f>
        <v>264.48753246753228</v>
      </c>
      <c r="S54" s="16">
        <f>Table11[[#This Row],['#Planted]]*Table11[[#This Row],[Canada Allocation %]]*Table11[[#This Row],[2024 Inventory Survival%-master]]</f>
        <v>0</v>
      </c>
      <c r="T54" s="16">
        <f>Table11[[#This Row],['#Planted]]*Table11[[#This Row],[Canada Allocation %]]*Table11[[#This Row],[2024 Estimated Survival%]]</f>
        <v>264.48753246753228</v>
      </c>
      <c r="U54" s="7">
        <f>Table11[[#This Row],[ETP Year]]</f>
        <v>2016</v>
      </c>
      <c r="V54" s="7">
        <f>Table11[[#This Row],[Planting Year]]</f>
        <v>2018</v>
      </c>
      <c r="W54" s="8">
        <f>Table11[[#This Row],[Survival% as of 12/31/23]]</f>
        <v>0.72462337662337595</v>
      </c>
      <c r="X54" s="7">
        <f>Table11[[#This Row],[ETP'#s]]</f>
        <v>1</v>
      </c>
    </row>
    <row r="55" spans="1:24" x14ac:dyDescent="0.25">
      <c r="A55">
        <f>Table11[[#This Row],[Farmer'#]]</f>
        <v>10023</v>
      </c>
      <c r="B55" t="str">
        <f>Table11[[#This Row],[Representative]]</f>
        <v>John Cline</v>
      </c>
      <c r="C55" t="str">
        <f>Table11[[#This Row],[Contract Name]]</f>
        <v>John Cline</v>
      </c>
      <c r="D55" t="str">
        <f>Table11[[#This Row],[Status]]</f>
        <v>Out of Program</v>
      </c>
      <c r="E55" t="str">
        <f>Table11[[#This Row],[Contract Code]]</f>
        <v>US0026</v>
      </c>
      <c r="F55" s="16">
        <f>Table11[[#This Row],['#TreesContract]]</f>
        <v>550</v>
      </c>
      <c r="G55" s="16">
        <f>Table11[[#This Row],['#Planted]]</f>
        <v>550</v>
      </c>
      <c r="H55" s="16">
        <f>Table11[[#This Row],['#TreesContract]]*Table11[[#This Row],[Canada Allocation %]]</f>
        <v>198</v>
      </c>
      <c r="I55" s="16">
        <f>Table11[[#This Row],['#Planted]]*Table11[[#This Row],[Canada Allocation %]]</f>
        <v>198</v>
      </c>
      <c r="J55" s="16">
        <f>Table11[[#This Row],[Contract Amendment]]*Table11[[#This Row],[Canada Allocation %]]</f>
        <v>0</v>
      </c>
      <c r="K55" s="16">
        <f>Table11[[#This Row],['#Trees as of 12/31/23]]*Table11[[#This Row],[Canada Allocation %]]</f>
        <v>0</v>
      </c>
      <c r="L55" s="16">
        <f>Table11[[#This Row],['#Replace 24]]*Table11[[#This Row],[Canada Allocation %]]</f>
        <v>0</v>
      </c>
      <c r="M55" s="16"/>
      <c r="N55" s="16">
        <f>(Table11[[#This Row],[2024 '#Trees Inventory + Estimate]]*Table11[[#This Row],[Canada Allocation %]])-SUM(Table378[[#This Row],['# Trees as of 12/31/23]:[New Trees/Planted in 2024]])</f>
        <v>0</v>
      </c>
      <c r="O55" s="16">
        <f>SUM(Table378[[#This Row],['# Trees as of 12/31/23]:[2024 Tree Losses]])</f>
        <v>0</v>
      </c>
      <c r="P55" s="16">
        <f>SUM(Table378[[#This Row],[Total Trees as of 12/31/24]]-Table378[[#This Row],['# Trees as of 12/31/23]])</f>
        <v>0</v>
      </c>
      <c r="Q55" s="16">
        <f>Table11[[#This Row],['#Total Replacements]]*Table11[[#This Row],[Canada Allocation %]]</f>
        <v>0</v>
      </c>
      <c r="R55" s="16">
        <f>IF(Table378[[#This Row],['#Survival based on Inventory]]=0,Table378['#Survival based on Last Year Estimate],Table378['#Survival based on Inventory])</f>
        <v>0</v>
      </c>
      <c r="S55" s="16">
        <f>Table11[[#This Row],['#Planted]]*Table11[[#This Row],[Canada Allocation %]]*Table11[[#This Row],[2024 Inventory Survival%-master]]</f>
        <v>0</v>
      </c>
      <c r="T55" s="16">
        <f>Table11[[#This Row],['#Planted]]*Table11[[#This Row],[Canada Allocation %]]*Table11[[#This Row],[2024 Estimated Survival%]]</f>
        <v>0</v>
      </c>
      <c r="U55" s="7">
        <f>Table11[[#This Row],[ETP Year]]</f>
        <v>2018</v>
      </c>
      <c r="V55" s="7">
        <f>Table11[[#This Row],[Planting Year]]</f>
        <v>2018</v>
      </c>
      <c r="W55" s="8">
        <f>Table11[[#This Row],[Survival% as of 12/31/23]]</f>
        <v>0</v>
      </c>
      <c r="X55" s="7">
        <f>Table11[[#This Row],[ETP'#s]]</f>
        <v>1</v>
      </c>
    </row>
    <row r="56" spans="1:24" x14ac:dyDescent="0.25">
      <c r="A56">
        <f>Table11[[#This Row],[Farmer'#]]</f>
        <v>10024</v>
      </c>
      <c r="B56" t="str">
        <f>Table11[[#This Row],[Representative]]</f>
        <v>Matthew Knox</v>
      </c>
      <c r="C56" t="str">
        <f>Table11[[#This Row],[Contract Name]]</f>
        <v>Matthew Knox</v>
      </c>
      <c r="D56" t="str">
        <f>Table11[[#This Row],[Status]]</f>
        <v>Active</v>
      </c>
      <c r="E56" t="str">
        <f>Table11[[#This Row],[Contract Code]]</f>
        <v>US0028</v>
      </c>
      <c r="F56" s="16">
        <f>Table11[[#This Row],['#TreesContract]]</f>
        <v>550</v>
      </c>
      <c r="G56" s="16">
        <f>Table11[[#This Row],['#Planted]]</f>
        <v>550</v>
      </c>
      <c r="H56" s="16">
        <f>Table11[[#This Row],['#TreesContract]]*Table11[[#This Row],[Canada Allocation %]]</f>
        <v>183</v>
      </c>
      <c r="I56" s="16">
        <f>Table11[[#This Row],['#Planted]]*Table11[[#This Row],[Canada Allocation %]]</f>
        <v>183</v>
      </c>
      <c r="J56" s="16">
        <f>Table11[[#This Row],[Contract Amendment]]*Table11[[#This Row],[Canada Allocation %]]</f>
        <v>0</v>
      </c>
      <c r="K56" s="16">
        <f>Table11[[#This Row],['#Trees as of 12/31/23]]*Table11[[#This Row],[Canada Allocation %]]</f>
        <v>163.10869565217391</v>
      </c>
      <c r="L56" s="16">
        <f>Table11[[#This Row],['#Replace 24]]*Table11[[#This Row],[Canada Allocation %]]</f>
        <v>0</v>
      </c>
      <c r="M56" s="16"/>
      <c r="N56" s="16">
        <f>(Table11[[#This Row],[2024 '#Trees Inventory + Estimate]]*Table11[[#This Row],[Canada Allocation %]])-SUM(Table378[[#This Row],['# Trees as of 12/31/23]:[New Trees/Planted in 2024]])</f>
        <v>0</v>
      </c>
      <c r="O56" s="16">
        <f>SUM(Table378[[#This Row],['# Trees as of 12/31/23]:[2024 Tree Losses]])</f>
        <v>163.10869565217391</v>
      </c>
      <c r="P56" s="16">
        <f>SUM(Table378[[#This Row],[Total Trees as of 12/31/24]]-Table378[[#This Row],['# Trees as of 12/31/23]])</f>
        <v>0</v>
      </c>
      <c r="Q56" s="16">
        <f>Table11[[#This Row],['#Total Replacements]]*Table11[[#This Row],[Canada Allocation %]]</f>
        <v>0</v>
      </c>
      <c r="R56" s="16">
        <f>IF(Table378[[#This Row],['#Survival based on Inventory]]=0,Table378['#Survival based on Last Year Estimate],Table378['#Survival based on Inventory])</f>
        <v>163.10869565217394</v>
      </c>
      <c r="S56" s="16">
        <f>Table11[[#This Row],['#Planted]]*Table11[[#This Row],[Canada Allocation %]]*Table11[[#This Row],[2024 Inventory Survival%-master]]</f>
        <v>0</v>
      </c>
      <c r="T56" s="16">
        <f>Table11[[#This Row],['#Planted]]*Table11[[#This Row],[Canada Allocation %]]*Table11[[#This Row],[2024 Estimated Survival%]]</f>
        <v>163.10869565217394</v>
      </c>
      <c r="U56" s="7">
        <f>Table11[[#This Row],[ETP Year]]</f>
        <v>2016</v>
      </c>
      <c r="V56" s="7">
        <f>Table11[[#This Row],[Planting Year]]</f>
        <v>2018</v>
      </c>
      <c r="W56" s="8">
        <f>Table11[[#This Row],[Survival% as of 12/31/23]]</f>
        <v>0.89130434782608703</v>
      </c>
      <c r="X56" s="7">
        <f>Table11[[#This Row],[ETP'#s]]</f>
        <v>1</v>
      </c>
    </row>
    <row r="57" spans="1:24" x14ac:dyDescent="0.25">
      <c r="A57">
        <f>Table11[[#This Row],[Farmer'#]]</f>
        <v>10025</v>
      </c>
      <c r="B57" t="str">
        <f>Table11[[#This Row],[Representative]]</f>
        <v>Tracy Sturgeon</v>
      </c>
      <c r="C57" t="str">
        <f>Table11[[#This Row],[Contract Name]]</f>
        <v>Tracy Sturgeon</v>
      </c>
      <c r="D57" t="str">
        <f>Table11[[#This Row],[Status]]</f>
        <v>RFT</v>
      </c>
      <c r="E57" t="str">
        <f>Table11[[#This Row],[Contract Code]]</f>
        <v>US0029</v>
      </c>
      <c r="F57" s="16">
        <f>Table11[[#This Row],['#TreesContract]]</f>
        <v>1100</v>
      </c>
      <c r="G57" s="16">
        <f>Table11[[#This Row],['#Planted]]</f>
        <v>1100</v>
      </c>
      <c r="H57" s="16">
        <f>Table11[[#This Row],['#TreesContract]]*Table11[[#This Row],[Canada Allocation %]]</f>
        <v>365.00000000000006</v>
      </c>
      <c r="I57" s="16">
        <f>Table11[[#This Row],['#Planted]]*Table11[[#This Row],[Canada Allocation %]]</f>
        <v>365.00000000000006</v>
      </c>
      <c r="J57" s="16">
        <f>Table11[[#This Row],[Contract Amendment]]*Table11[[#This Row],[Canada Allocation %]]</f>
        <v>0</v>
      </c>
      <c r="K57" s="16">
        <f>Table11[[#This Row],['#Trees as of 12/31/23]]*Table11[[#This Row],[Canada Allocation %]]</f>
        <v>173.37500000000003</v>
      </c>
      <c r="L57" s="16">
        <f>Table11[[#This Row],['#Replace 24]]*Table11[[#This Row],[Canada Allocation %]]</f>
        <v>0</v>
      </c>
      <c r="M57" s="16"/>
      <c r="N57" s="16">
        <f>(Table11[[#This Row],[2024 '#Trees Inventory + Estimate]]*Table11[[#This Row],[Canada Allocation %]])-SUM(Table378[[#This Row],['# Trees as of 12/31/23]:[New Trees/Planted in 2024]])</f>
        <v>0</v>
      </c>
      <c r="O57" s="16">
        <f>SUM(Table378[[#This Row],['# Trees as of 12/31/23]:[2024 Tree Losses]])</f>
        <v>173.37500000000003</v>
      </c>
      <c r="P57" s="16">
        <f>SUM(Table378[[#This Row],[Total Trees as of 12/31/24]]-Table378[[#This Row],['# Trees as of 12/31/23]])</f>
        <v>0</v>
      </c>
      <c r="Q57" s="16">
        <f>Table11[[#This Row],['#Total Replacements]]*Table11[[#This Row],[Canada Allocation %]]</f>
        <v>235.59090909090912</v>
      </c>
      <c r="R57" s="16">
        <f>IF(Table378[[#This Row],['#Survival based on Inventory]]=0,Table378['#Survival based on Last Year Estimate],Table378['#Survival based on Inventory])</f>
        <v>173.37500000000003</v>
      </c>
      <c r="S57" s="16">
        <f>Table11[[#This Row],['#Planted]]*Table11[[#This Row],[Canada Allocation %]]*Table11[[#This Row],[2024 Inventory Survival%-master]]</f>
        <v>0</v>
      </c>
      <c r="T57" s="16">
        <f>Table11[[#This Row],['#Planted]]*Table11[[#This Row],[Canada Allocation %]]*Table11[[#This Row],[2024 Estimated Survival%]]</f>
        <v>173.37500000000003</v>
      </c>
      <c r="U57" s="7">
        <f>Table11[[#This Row],[ETP Year]]</f>
        <v>2016</v>
      </c>
      <c r="V57" s="7">
        <f>Table11[[#This Row],[Planting Year]]</f>
        <v>2018</v>
      </c>
      <c r="W57" s="8">
        <f>Table11[[#This Row],[Survival% as of 12/31/23]]</f>
        <v>0.47499999999999998</v>
      </c>
      <c r="X57" s="7">
        <f>Table11[[#This Row],[ETP'#s]]</f>
        <v>1</v>
      </c>
    </row>
    <row r="58" spans="1:24" x14ac:dyDescent="0.25">
      <c r="A58">
        <f>Table11[[#This Row],[Farmer'#]]</f>
        <v>10026</v>
      </c>
      <c r="B58" t="str">
        <f>Table11[[#This Row],[Representative]]</f>
        <v>Wayne Crotty</v>
      </c>
      <c r="C58" t="str">
        <f>Table11[[#This Row],[Contract Name]]</f>
        <v>Wayne Crotty</v>
      </c>
      <c r="D58" t="str">
        <f>Table11[[#This Row],[Status]]</f>
        <v>Active</v>
      </c>
      <c r="E58" t="str">
        <f>Table11[[#This Row],[Contract Code]]</f>
        <v>US0030</v>
      </c>
      <c r="F58" s="16">
        <f>Table11[[#This Row],['#TreesContract]]</f>
        <v>2530</v>
      </c>
      <c r="G58" s="16">
        <f>Table11[[#This Row],['#Planted]]</f>
        <v>2530</v>
      </c>
      <c r="H58" s="16">
        <f>Table11[[#This Row],['#TreesContract]]*Table11[[#This Row],[Canada Allocation %]]</f>
        <v>840.00000000000011</v>
      </c>
      <c r="I58" s="16">
        <f>Table11[[#This Row],['#Planted]]*Table11[[#This Row],[Canada Allocation %]]</f>
        <v>840.00000000000011</v>
      </c>
      <c r="J58" s="16">
        <f>Table11[[#This Row],[Contract Amendment]]*Table11[[#This Row],[Canada Allocation %]]</f>
        <v>0</v>
      </c>
      <c r="K58" s="16">
        <f>Table11[[#This Row],['#Trees as of 12/31/23]]*Table11[[#This Row],[Canada Allocation %]]</f>
        <v>774.53736243340813</v>
      </c>
      <c r="L58" s="16">
        <f>Table11[[#This Row],['#Replace 24]]*Table11[[#This Row],[Canada Allocation %]]</f>
        <v>0</v>
      </c>
      <c r="M58" s="16"/>
      <c r="N58" s="16">
        <f>(Table11[[#This Row],[2024 '#Trees Inventory + Estimate]]*Table11[[#This Row],[Canada Allocation %]])-SUM(Table378[[#This Row],['# Trees as of 12/31/23]:[New Trees/Planted in 2024]])</f>
        <v>0</v>
      </c>
      <c r="O58" s="16">
        <f>SUM(Table378[[#This Row],['# Trees as of 12/31/23]:[2024 Tree Losses]])</f>
        <v>774.53736243340813</v>
      </c>
      <c r="P58" s="16">
        <f>SUM(Table378[[#This Row],[Total Trees as of 12/31/24]]-Table378[[#This Row],['# Trees as of 12/31/23]])</f>
        <v>0</v>
      </c>
      <c r="Q58" s="16">
        <f>Table11[[#This Row],['#Total Replacements]]*Table11[[#This Row],[Canada Allocation %]]</f>
        <v>462.16600790513837</v>
      </c>
      <c r="R58" s="16">
        <f>IF(Table378[[#This Row],['#Survival based on Inventory]]=0,Table378['#Survival based on Last Year Estimate],Table378['#Survival based on Inventory])</f>
        <v>774.53736243340813</v>
      </c>
      <c r="S58" s="16">
        <f>Table11[[#This Row],['#Planted]]*Table11[[#This Row],[Canada Allocation %]]*Table11[[#This Row],[2024 Inventory Survival%-master]]</f>
        <v>0</v>
      </c>
      <c r="T58" s="16">
        <f>Table11[[#This Row],['#Planted]]*Table11[[#This Row],[Canada Allocation %]]*Table11[[#This Row],[2024 Estimated Survival%]]</f>
        <v>774.53736243340813</v>
      </c>
      <c r="U58" s="7">
        <f>Table11[[#This Row],[ETP Year]]</f>
        <v>2016</v>
      </c>
      <c r="V58" s="7">
        <f>Table11[[#This Row],[Planting Year]]</f>
        <v>2018</v>
      </c>
      <c r="W58" s="8">
        <f>Table11[[#This Row],[Survival% as of 12/31/23]]</f>
        <v>0.92206828861120005</v>
      </c>
      <c r="X58" s="7">
        <f>Table11[[#This Row],[ETP'#s]]</f>
        <v>1</v>
      </c>
    </row>
    <row r="59" spans="1:24" x14ac:dyDescent="0.25">
      <c r="A59">
        <f>Table11[[#This Row],[Farmer'#]]</f>
        <v>10027</v>
      </c>
      <c r="B59" t="str">
        <f>Table11[[#This Row],[Representative]]</f>
        <v>Wendell Lynn</v>
      </c>
      <c r="C59" t="str">
        <f>Table11[[#This Row],[Contract Name]]</f>
        <v>Wendell Lynn</v>
      </c>
      <c r="D59" t="str">
        <f>Table11[[#This Row],[Status]]</f>
        <v>Active</v>
      </c>
      <c r="E59" t="str">
        <f>Table11[[#This Row],[Contract Code]]</f>
        <v>US0031</v>
      </c>
      <c r="F59" s="16">
        <f>Table11[[#This Row],['#TreesContract]]</f>
        <v>550</v>
      </c>
      <c r="G59" s="16">
        <f>Table11[[#This Row],['#Planted]]</f>
        <v>550</v>
      </c>
      <c r="H59" s="16">
        <f>Table11[[#This Row],['#TreesContract]]*Table11[[#This Row],[Canada Allocation %]]</f>
        <v>183</v>
      </c>
      <c r="I59" s="16">
        <f>Table11[[#This Row],['#Planted]]*Table11[[#This Row],[Canada Allocation %]]</f>
        <v>183</v>
      </c>
      <c r="J59" s="16">
        <f>Table11[[#This Row],[Contract Amendment]]*Table11[[#This Row],[Canada Allocation %]]</f>
        <v>0</v>
      </c>
      <c r="K59" s="16">
        <f>Table11[[#This Row],['#Trees as of 12/31/23]]*Table11[[#This Row],[Canada Allocation %]]</f>
        <v>143.21739130434781</v>
      </c>
      <c r="L59" s="16">
        <f>Table11[[#This Row],['#Replace 24]]*Table11[[#This Row],[Canada Allocation %]]</f>
        <v>0</v>
      </c>
      <c r="M59" s="16"/>
      <c r="N59" s="16">
        <f>(Table11[[#This Row],[2024 '#Trees Inventory + Estimate]]*Table11[[#This Row],[Canada Allocation %]])-SUM(Table378[[#This Row],['# Trees as of 12/31/23]:[New Trees/Planted in 2024]])</f>
        <v>0</v>
      </c>
      <c r="O59" s="16">
        <f>SUM(Table378[[#This Row],['# Trees as of 12/31/23]:[2024 Tree Losses]])</f>
        <v>143.21739130434781</v>
      </c>
      <c r="P59" s="16">
        <f>SUM(Table378[[#This Row],[Total Trees as of 12/31/24]]-Table378[[#This Row],['# Trees as of 12/31/23]])</f>
        <v>0</v>
      </c>
      <c r="Q59" s="16">
        <f>Table11[[#This Row],['#Total Replacements]]*Table11[[#This Row],[Canada Allocation %]]</f>
        <v>66.545454545454547</v>
      </c>
      <c r="R59" s="16">
        <f>IF(Table378[[#This Row],['#Survival based on Inventory]]=0,Table378['#Survival based on Last Year Estimate],Table378['#Survival based on Inventory])</f>
        <v>143.21739130434784</v>
      </c>
      <c r="S59" s="16">
        <f>Table11[[#This Row],['#Planted]]*Table11[[#This Row],[Canada Allocation %]]*Table11[[#This Row],[2024 Inventory Survival%-master]]</f>
        <v>0</v>
      </c>
      <c r="T59" s="16">
        <f>Table11[[#This Row],['#Planted]]*Table11[[#This Row],[Canada Allocation %]]*Table11[[#This Row],[2024 Estimated Survival%]]</f>
        <v>143.21739130434784</v>
      </c>
      <c r="U59" s="7">
        <f>Table11[[#This Row],[ETP Year]]</f>
        <v>2016</v>
      </c>
      <c r="V59" s="7">
        <f>Table11[[#This Row],[Planting Year]]</f>
        <v>2018</v>
      </c>
      <c r="W59" s="8">
        <f>Table11[[#This Row],[Survival% as of 12/31/23]]</f>
        <v>0.78260869565217395</v>
      </c>
      <c r="X59" s="7">
        <f>Table11[[#This Row],[ETP'#s]]</f>
        <v>1</v>
      </c>
    </row>
    <row r="60" spans="1:24" x14ac:dyDescent="0.25">
      <c r="A60">
        <f>Table11[[#This Row],[Farmer'#]]</f>
        <v>10028</v>
      </c>
      <c r="B60" t="str">
        <f>Table11[[#This Row],[Representative]]</f>
        <v>Will Johnson</v>
      </c>
      <c r="C60" t="str">
        <f>Table11[[#This Row],[Contract Name]]</f>
        <v>Will and Amanda Johnson</v>
      </c>
      <c r="D60" t="str">
        <f>Table11[[#This Row],[Status]]</f>
        <v>Active</v>
      </c>
      <c r="E60" t="str">
        <f>Table11[[#This Row],[Contract Code]]</f>
        <v>US0032</v>
      </c>
      <c r="F60" s="16">
        <f>Table11[[#This Row],['#TreesContract]]</f>
        <v>1166</v>
      </c>
      <c r="G60" s="16">
        <f>Table11[[#This Row],['#Planted]]</f>
        <v>1166</v>
      </c>
      <c r="H60" s="16">
        <f>Table11[[#This Row],['#TreesContract]]*Table11[[#This Row],[Canada Allocation %]]</f>
        <v>386.87879999999996</v>
      </c>
      <c r="I60" s="16">
        <f>Table11[[#This Row],['#Planted]]*Table11[[#This Row],[Canada Allocation %]]</f>
        <v>386.87879999999996</v>
      </c>
      <c r="J60" s="16">
        <f>Table11[[#This Row],[Contract Amendment]]*Table11[[#This Row],[Canada Allocation %]]</f>
        <v>0</v>
      </c>
      <c r="K60" s="16">
        <f>Table11[[#This Row],['#Trees as of 12/31/23]]*Table11[[#This Row],[Canada Allocation %]]</f>
        <v>361.91887741935483</v>
      </c>
      <c r="L60" s="16">
        <f>Table11[[#This Row],['#Replace 24]]*Table11[[#This Row],[Canada Allocation %]]</f>
        <v>0</v>
      </c>
      <c r="M60" s="16"/>
      <c r="N60" s="16">
        <f>(Table11[[#This Row],[2024 '#Trees Inventory + Estimate]]*Table11[[#This Row],[Canada Allocation %]])-SUM(Table378[[#This Row],['# Trees as of 12/31/23]:[New Trees/Planted in 2024]])</f>
        <v>0</v>
      </c>
      <c r="O60" s="16">
        <f>SUM(Table378[[#This Row],['# Trees as of 12/31/23]:[2024 Tree Losses]])</f>
        <v>361.91887741935483</v>
      </c>
      <c r="P60" s="16">
        <f>SUM(Table378[[#This Row],[Total Trees as of 12/31/24]]-Table378[[#This Row],['# Trees as of 12/31/23]])</f>
        <v>0</v>
      </c>
      <c r="Q60" s="16">
        <f>Table11[[#This Row],['#Total Replacements]]*Table11[[#This Row],[Canada Allocation %]]</f>
        <v>0</v>
      </c>
      <c r="R60" s="16">
        <f>IF(Table378[[#This Row],['#Survival based on Inventory]]=0,Table378['#Survival based on Last Year Estimate],Table378['#Survival based on Inventory])</f>
        <v>361.91887741935483</v>
      </c>
      <c r="S60" s="16">
        <f>Table11[[#This Row],['#Planted]]*Table11[[#This Row],[Canada Allocation %]]*Table11[[#This Row],[2024 Inventory Survival%-master]]</f>
        <v>0</v>
      </c>
      <c r="T60" s="16">
        <f>Table11[[#This Row],['#Planted]]*Table11[[#This Row],[Canada Allocation %]]*Table11[[#This Row],[2024 Estimated Survival%]]</f>
        <v>361.91887741935483</v>
      </c>
      <c r="U60" s="7">
        <f>Table11[[#This Row],[ETP Year]]</f>
        <v>2016</v>
      </c>
      <c r="V60" s="7">
        <f>Table11[[#This Row],[Planting Year]]</f>
        <v>2018</v>
      </c>
      <c r="W60" s="8">
        <f>Table11[[#This Row],[Survival% as of 12/31/23]]</f>
        <v>0.93548387096774199</v>
      </c>
      <c r="X60" s="7">
        <f>Table11[[#This Row],[ETP'#s]]</f>
        <v>1</v>
      </c>
    </row>
    <row r="61" spans="1:24" x14ac:dyDescent="0.25">
      <c r="A61">
        <f>Table11[[#This Row],[Farmer'#]]</f>
        <v>20008</v>
      </c>
      <c r="B61" t="str">
        <f>Table11[[#This Row],[Representative]]</f>
        <v>Carlos Navarro</v>
      </c>
      <c r="C61" t="str">
        <f>Table11[[#This Row],[Contract Name]]</f>
        <v>Carlos Navarro</v>
      </c>
      <c r="D61" t="str">
        <f>Table11[[#This Row],[Status]]</f>
        <v>Out of Program</v>
      </c>
      <c r="E61" t="str">
        <f>Table11[[#This Row],[Contract Code]]</f>
        <v>CR0025</v>
      </c>
      <c r="F61" s="16">
        <f>Table11[[#This Row],['#TreesContract]]</f>
        <v>350</v>
      </c>
      <c r="G61" s="16">
        <f>Table11[[#This Row],['#Planted]]</f>
        <v>350</v>
      </c>
      <c r="H61" s="16">
        <f>Table11[[#This Row],['#TreesContract]]*Table11[[#This Row],[Canada Allocation %]]</f>
        <v>115.99999999999999</v>
      </c>
      <c r="I61" s="16">
        <f>Table11[[#This Row],['#Planted]]*Table11[[#This Row],[Canada Allocation %]]</f>
        <v>115.99999999999999</v>
      </c>
      <c r="J61" s="16">
        <f>Table11[[#This Row],[Contract Amendment]]*Table11[[#This Row],[Canada Allocation %]]</f>
        <v>0</v>
      </c>
      <c r="K61" s="16">
        <f>Table11[[#This Row],['#Trees as of 12/31/23]]*Table11[[#This Row],[Canada Allocation %]]</f>
        <v>0</v>
      </c>
      <c r="L61" s="16">
        <f>Table11[[#This Row],['#Replace 24]]*Table11[[#This Row],[Canada Allocation %]]</f>
        <v>0</v>
      </c>
      <c r="M61" s="16"/>
      <c r="N61" s="16">
        <f>(Table11[[#This Row],[2024 '#Trees Inventory + Estimate]]*Table11[[#This Row],[Canada Allocation %]])-SUM(Table378[[#This Row],['# Trees as of 12/31/23]:[New Trees/Planted in 2024]])</f>
        <v>0</v>
      </c>
      <c r="O61" s="16">
        <f>SUM(Table378[[#This Row],['# Trees as of 12/31/23]:[2024 Tree Losses]])</f>
        <v>0</v>
      </c>
      <c r="P61" s="16">
        <f>SUM(Table378[[#This Row],[Total Trees as of 12/31/24]]-Table378[[#This Row],['# Trees as of 12/31/23]])</f>
        <v>0</v>
      </c>
      <c r="Q61" s="16">
        <f>Table11[[#This Row],['#Total Replacements]]*Table11[[#This Row],[Canada Allocation %]]</f>
        <v>0</v>
      </c>
      <c r="R61" s="16">
        <f>IF(Table378[[#This Row],['#Survival based on Inventory]]=0,Table378['#Survival based on Last Year Estimate],Table378['#Survival based on Inventory])</f>
        <v>0</v>
      </c>
      <c r="S61" s="16">
        <f>Table11[[#This Row],['#Planted]]*Table11[[#This Row],[Canada Allocation %]]*Table11[[#This Row],[2024 Inventory Survival%-master]]</f>
        <v>0</v>
      </c>
      <c r="T61" s="16">
        <f>Table11[[#This Row],['#Planted]]*Table11[[#This Row],[Canada Allocation %]]*Table11[[#This Row],[2024 Estimated Survival%]]</f>
        <v>0</v>
      </c>
      <c r="U61" s="7">
        <f>Table11[[#This Row],[ETP Year]]</f>
        <v>2016</v>
      </c>
      <c r="V61" s="7">
        <f>Table11[[#This Row],[Planting Year]]</f>
        <v>2018</v>
      </c>
      <c r="W61" s="8">
        <f>Table11[[#This Row],[Survival% as of 12/31/23]]</f>
        <v>0</v>
      </c>
      <c r="X61" s="7">
        <f>Table11[[#This Row],[ETP'#s]]</f>
        <v>1</v>
      </c>
    </row>
    <row r="62" spans="1:24" x14ac:dyDescent="0.25">
      <c r="A62">
        <f>Table11[[#This Row],[Farmer'#]]</f>
        <v>20009</v>
      </c>
      <c r="B62" t="str">
        <f>Table11[[#This Row],[Representative]]</f>
        <v xml:space="preserve">David Guiterrez </v>
      </c>
      <c r="C62" t="str">
        <f>Table11[[#This Row],[Contract Name]]</f>
        <v>Edgar Gutierrez</v>
      </c>
      <c r="D62" t="str">
        <f>Table11[[#This Row],[Status]]</f>
        <v>Out of Program</v>
      </c>
      <c r="E62" t="str">
        <f>Table11[[#This Row],[Contract Code]]</f>
        <v>CR0026</v>
      </c>
      <c r="F62" s="16">
        <f>Table11[[#This Row],['#TreesContract]]</f>
        <v>500</v>
      </c>
      <c r="G62" s="16">
        <f>Table11[[#This Row],['#Planted]]</f>
        <v>500</v>
      </c>
      <c r="H62" s="16">
        <f>Table11[[#This Row],['#TreesContract]]*Table11[[#This Row],[Canada Allocation %]]</f>
        <v>166</v>
      </c>
      <c r="I62" s="16">
        <f>Table11[[#This Row],['#Planted]]*Table11[[#This Row],[Canada Allocation %]]</f>
        <v>166</v>
      </c>
      <c r="J62" s="16">
        <f>Table11[[#This Row],[Contract Amendment]]*Table11[[#This Row],[Canada Allocation %]]</f>
        <v>0</v>
      </c>
      <c r="K62" s="16">
        <f>Table11[[#This Row],['#Trees as of 12/31/23]]*Table11[[#This Row],[Canada Allocation %]]</f>
        <v>0</v>
      </c>
      <c r="L62" s="16">
        <f>Table11[[#This Row],['#Replace 24]]*Table11[[#This Row],[Canada Allocation %]]</f>
        <v>0</v>
      </c>
      <c r="M62" s="16"/>
      <c r="N62" s="16">
        <f>(Table11[[#This Row],[2024 '#Trees Inventory + Estimate]]*Table11[[#This Row],[Canada Allocation %]])-SUM(Table378[[#This Row],['# Trees as of 12/31/23]:[New Trees/Planted in 2024]])</f>
        <v>0</v>
      </c>
      <c r="O62" s="16">
        <f>SUM(Table378[[#This Row],['# Trees as of 12/31/23]:[2024 Tree Losses]])</f>
        <v>0</v>
      </c>
      <c r="P62" s="16">
        <f>SUM(Table378[[#This Row],[Total Trees as of 12/31/24]]-Table378[[#This Row],['# Trees as of 12/31/23]])</f>
        <v>0</v>
      </c>
      <c r="Q62" s="16">
        <f>Table11[[#This Row],['#Total Replacements]]*Table11[[#This Row],[Canada Allocation %]]</f>
        <v>0</v>
      </c>
      <c r="R62" s="16">
        <f>IF(Table378[[#This Row],['#Survival based on Inventory]]=0,Table378['#Survival based on Last Year Estimate],Table378['#Survival based on Inventory])</f>
        <v>0</v>
      </c>
      <c r="S62" s="16">
        <f>Table11[[#This Row],['#Planted]]*Table11[[#This Row],[Canada Allocation %]]*Table11[[#This Row],[2024 Inventory Survival%-master]]</f>
        <v>0</v>
      </c>
      <c r="T62" s="16">
        <f>Table11[[#This Row],['#Planted]]*Table11[[#This Row],[Canada Allocation %]]*Table11[[#This Row],[2024 Estimated Survival%]]</f>
        <v>0</v>
      </c>
      <c r="U62" s="7">
        <f>Table11[[#This Row],[ETP Year]]</f>
        <v>2016</v>
      </c>
      <c r="V62" s="7">
        <f>Table11[[#This Row],[Planting Year]]</f>
        <v>2018</v>
      </c>
      <c r="W62" s="8">
        <f>Table11[[#This Row],[Survival% as of 12/31/23]]</f>
        <v>0</v>
      </c>
      <c r="X62" s="7">
        <f>Table11[[#This Row],[ETP'#s]]</f>
        <v>1</v>
      </c>
    </row>
    <row r="63" spans="1:24" x14ac:dyDescent="0.25">
      <c r="A63">
        <f>Table11[[#This Row],[Farmer'#]]</f>
        <v>20020</v>
      </c>
      <c r="B63" t="str">
        <f>Table11[[#This Row],[Representative]]</f>
        <v xml:space="preserve">Oscar Viquez </v>
      </c>
      <c r="C63" t="str">
        <f>Table11[[#This Row],[Contract Name]]</f>
        <v>Oscar Viquez,María Isabel Quesada Víquez, Eraida Quesada Víquez, Estelia Quesada Víquez</v>
      </c>
      <c r="D63" t="str">
        <f>Table11[[#This Row],[Status]]</f>
        <v>Out of Program</v>
      </c>
      <c r="E63" t="str">
        <f>Table11[[#This Row],[Contract Code]]</f>
        <v>CR0031</v>
      </c>
      <c r="F63" s="16">
        <f>Table11[[#This Row],['#TreesContract]]</f>
        <v>1000</v>
      </c>
      <c r="G63" s="16">
        <f>Table11[[#This Row],['#Planted]]</f>
        <v>1000</v>
      </c>
      <c r="H63" s="16">
        <f>Table11[[#This Row],['#TreesContract]]*Table11[[#This Row],[Canada Allocation %]]</f>
        <v>332</v>
      </c>
      <c r="I63" s="16">
        <f>Table11[[#This Row],['#Planted]]*Table11[[#This Row],[Canada Allocation %]]</f>
        <v>332</v>
      </c>
      <c r="J63" s="16">
        <f>Table11[[#This Row],[Contract Amendment]]*Table11[[#This Row],[Canada Allocation %]]</f>
        <v>0</v>
      </c>
      <c r="K63" s="16">
        <f>Table11[[#This Row],['#Trees as of 12/31/23]]*Table11[[#This Row],[Canada Allocation %]]</f>
        <v>0</v>
      </c>
      <c r="L63" s="16">
        <f>Table11[[#This Row],['#Replace 24]]*Table11[[#This Row],[Canada Allocation %]]</f>
        <v>0</v>
      </c>
      <c r="M63" s="16"/>
      <c r="N63" s="16">
        <f>(Table11[[#This Row],[2024 '#Trees Inventory + Estimate]]*Table11[[#This Row],[Canada Allocation %]])-SUM(Table378[[#This Row],['# Trees as of 12/31/23]:[New Trees/Planted in 2024]])</f>
        <v>0</v>
      </c>
      <c r="O63" s="16">
        <f>SUM(Table378[[#This Row],['# Trees as of 12/31/23]:[2024 Tree Losses]])</f>
        <v>0</v>
      </c>
      <c r="P63" s="16">
        <f>SUM(Table378[[#This Row],[Total Trees as of 12/31/24]]-Table378[[#This Row],['# Trees as of 12/31/23]])</f>
        <v>0</v>
      </c>
      <c r="Q63" s="16">
        <f>Table11[[#This Row],['#Total Replacements]]*Table11[[#This Row],[Canada Allocation %]]</f>
        <v>0</v>
      </c>
      <c r="R63" s="16">
        <f>IF(Table378[[#This Row],['#Survival based on Inventory]]=0,Table378['#Survival based on Last Year Estimate],Table378['#Survival based on Inventory])</f>
        <v>0</v>
      </c>
      <c r="S63" s="16">
        <f>Table11[[#This Row],['#Planted]]*Table11[[#This Row],[Canada Allocation %]]*Table11[[#This Row],[2024 Inventory Survival%-master]]</f>
        <v>0</v>
      </c>
      <c r="T63" s="16">
        <f>Table11[[#This Row],['#Planted]]*Table11[[#This Row],[Canada Allocation %]]*Table11[[#This Row],[2024 Estimated Survival%]]</f>
        <v>0</v>
      </c>
      <c r="U63" s="7">
        <f>Table11[[#This Row],[ETP Year]]</f>
        <v>2016</v>
      </c>
      <c r="V63" s="7">
        <f>Table11[[#This Row],[Planting Year]]</f>
        <v>2018</v>
      </c>
      <c r="W63" s="8">
        <f>Table11[[#This Row],[Survival% as of 12/31/23]]</f>
        <v>0</v>
      </c>
      <c r="X63" s="7">
        <f>Table11[[#This Row],[ETP'#s]]</f>
        <v>1</v>
      </c>
    </row>
    <row r="64" spans="1:24" x14ac:dyDescent="0.25">
      <c r="A64">
        <f>Table11[[#This Row],[Farmer'#]]</f>
        <v>20022</v>
      </c>
      <c r="B64" t="str">
        <f>Table11[[#This Row],[Representative]]</f>
        <v>Carlos Hernandez</v>
      </c>
      <c r="C64" t="str">
        <f>Table11[[#This Row],[Contract Name]]</f>
        <v>Carlos Hernandez</v>
      </c>
      <c r="D64" t="str">
        <f>Table11[[#This Row],[Status]]</f>
        <v>Out of Program</v>
      </c>
      <c r="E64" t="str">
        <f>Table11[[#This Row],[Contract Code]]</f>
        <v>CR0023</v>
      </c>
      <c r="F64" s="16">
        <f>Table11[[#This Row],['#TreesContract]]</f>
        <v>750</v>
      </c>
      <c r="G64" s="16">
        <f>Table11[[#This Row],['#Planted]]</f>
        <v>750</v>
      </c>
      <c r="H64" s="16">
        <f>Table11[[#This Row],['#TreesContract]]*Table11[[#This Row],[Canada Allocation %]]</f>
        <v>249</v>
      </c>
      <c r="I64" s="16">
        <f>Table11[[#This Row],['#Planted]]*Table11[[#This Row],[Canada Allocation %]]</f>
        <v>249</v>
      </c>
      <c r="J64" s="16">
        <f>Table11[[#This Row],[Contract Amendment]]*Table11[[#This Row],[Canada Allocation %]]</f>
        <v>0</v>
      </c>
      <c r="K64" s="16">
        <f>Table11[[#This Row],['#Trees as of 12/31/23]]*Table11[[#This Row],[Canada Allocation %]]</f>
        <v>0</v>
      </c>
      <c r="L64" s="16">
        <f>Table11[[#This Row],['#Replace 24]]*Table11[[#This Row],[Canada Allocation %]]</f>
        <v>0</v>
      </c>
      <c r="M64" s="16"/>
      <c r="N64" s="16">
        <f>(Table11[[#This Row],[2024 '#Trees Inventory + Estimate]]*Table11[[#This Row],[Canada Allocation %]])-SUM(Table378[[#This Row],['# Trees as of 12/31/23]:[New Trees/Planted in 2024]])</f>
        <v>0</v>
      </c>
      <c r="O64" s="16">
        <f>SUM(Table378[[#This Row],['# Trees as of 12/31/23]:[2024 Tree Losses]])</f>
        <v>0</v>
      </c>
      <c r="P64" s="16">
        <f>SUM(Table378[[#This Row],[Total Trees as of 12/31/24]]-Table378[[#This Row],['# Trees as of 12/31/23]])</f>
        <v>0</v>
      </c>
      <c r="Q64" s="16">
        <f>Table11[[#This Row],['#Total Replacements]]*Table11[[#This Row],[Canada Allocation %]]</f>
        <v>16.600000000000001</v>
      </c>
      <c r="R64" s="16">
        <f>IF(Table378[[#This Row],['#Survival based on Inventory]]=0,Table378['#Survival based on Last Year Estimate],Table378['#Survival based on Inventory])</f>
        <v>0</v>
      </c>
      <c r="S64" s="16">
        <f>Table11[[#This Row],['#Planted]]*Table11[[#This Row],[Canada Allocation %]]*Table11[[#This Row],[2024 Inventory Survival%-master]]</f>
        <v>0</v>
      </c>
      <c r="T64" s="16">
        <f>Table11[[#This Row],['#Planted]]*Table11[[#This Row],[Canada Allocation %]]*Table11[[#This Row],[2024 Estimated Survival%]]</f>
        <v>0</v>
      </c>
      <c r="U64" s="7">
        <f>Table11[[#This Row],[ETP Year]]</f>
        <v>2016</v>
      </c>
      <c r="V64" s="7">
        <f>Table11[[#This Row],[Planting Year]]</f>
        <v>2018</v>
      </c>
      <c r="W64" s="8">
        <f>Table11[[#This Row],[Survival% as of 12/31/23]]</f>
        <v>0</v>
      </c>
      <c r="X64" s="7">
        <f>Table11[[#This Row],[ETP'#s]]</f>
        <v>1</v>
      </c>
    </row>
    <row r="65" spans="1:24" x14ac:dyDescent="0.25">
      <c r="A65">
        <f>Table11[[#This Row],[Farmer'#]]</f>
        <v>20023</v>
      </c>
      <c r="B65" t="str">
        <f>Table11[[#This Row],[Representative]]</f>
        <v>Carlos Montero</v>
      </c>
      <c r="C65" t="str">
        <f>Table11[[#This Row],[Contract Name]]</f>
        <v>Carlos Montero</v>
      </c>
      <c r="D65" t="str">
        <f>Table11[[#This Row],[Status]]</f>
        <v>Out of Program</v>
      </c>
      <c r="E65" t="str">
        <f>Table11[[#This Row],[Contract Code]]</f>
        <v>CR0024</v>
      </c>
      <c r="F65" s="16">
        <f>Table11[[#This Row],['#TreesContract]]</f>
        <v>2500</v>
      </c>
      <c r="G65" s="16">
        <f>Table11[[#This Row],['#Planted]]</f>
        <v>2500</v>
      </c>
      <c r="H65" s="16">
        <f>Table11[[#This Row],['#TreesContract]]*Table11[[#This Row],[Canada Allocation %]]</f>
        <v>830</v>
      </c>
      <c r="I65" s="16">
        <f>Table11[[#This Row],['#Planted]]*Table11[[#This Row],[Canada Allocation %]]</f>
        <v>830</v>
      </c>
      <c r="J65" s="16">
        <f>Table11[[#This Row],[Contract Amendment]]*Table11[[#This Row],[Canada Allocation %]]</f>
        <v>0</v>
      </c>
      <c r="K65" s="16">
        <f>Table11[[#This Row],['#Trees as of 12/31/23]]*Table11[[#This Row],[Canada Allocation %]]</f>
        <v>0</v>
      </c>
      <c r="L65" s="16">
        <f>Table11[[#This Row],['#Replace 24]]*Table11[[#This Row],[Canada Allocation %]]</f>
        <v>0</v>
      </c>
      <c r="M65" s="16"/>
      <c r="N65" s="16">
        <f>(Table11[[#This Row],[2024 '#Trees Inventory + Estimate]]*Table11[[#This Row],[Canada Allocation %]])-SUM(Table378[[#This Row],['# Trees as of 12/31/23]:[New Trees/Planted in 2024]])</f>
        <v>0</v>
      </c>
      <c r="O65" s="16">
        <f>SUM(Table378[[#This Row],['# Trees as of 12/31/23]:[2024 Tree Losses]])</f>
        <v>0</v>
      </c>
      <c r="P65" s="16">
        <f>SUM(Table378[[#This Row],[Total Trees as of 12/31/24]]-Table378[[#This Row],['# Trees as of 12/31/23]])</f>
        <v>0</v>
      </c>
      <c r="Q65" s="16">
        <f>Table11[[#This Row],['#Total Replacements]]*Table11[[#This Row],[Canada Allocation %]]</f>
        <v>0</v>
      </c>
      <c r="R65" s="16">
        <f>IF(Table378[[#This Row],['#Survival based on Inventory]]=0,Table378['#Survival based on Last Year Estimate],Table378['#Survival based on Inventory])</f>
        <v>0</v>
      </c>
      <c r="S65" s="16">
        <f>Table11[[#This Row],['#Planted]]*Table11[[#This Row],[Canada Allocation %]]*Table11[[#This Row],[2024 Inventory Survival%-master]]</f>
        <v>0</v>
      </c>
      <c r="T65" s="16">
        <f>Table11[[#This Row],['#Planted]]*Table11[[#This Row],[Canada Allocation %]]*Table11[[#This Row],[2024 Estimated Survival%]]</f>
        <v>0</v>
      </c>
      <c r="U65" s="7">
        <f>Table11[[#This Row],[ETP Year]]</f>
        <v>2016</v>
      </c>
      <c r="V65" s="7">
        <f>Table11[[#This Row],[Planting Year]]</f>
        <v>2018</v>
      </c>
      <c r="W65" s="8">
        <f>Table11[[#This Row],[Survival% as of 12/31/23]]</f>
        <v>0</v>
      </c>
      <c r="X65" s="7">
        <f>Table11[[#This Row],[ETP'#s]]</f>
        <v>1</v>
      </c>
    </row>
    <row r="66" spans="1:24" x14ac:dyDescent="0.25">
      <c r="A66">
        <f>Table11[[#This Row],[Farmer'#]]</f>
        <v>20024</v>
      </c>
      <c r="B66" t="str">
        <f>Table11[[#This Row],[Representative]]</f>
        <v>Eduardo Gurdian</v>
      </c>
      <c r="C66" t="str">
        <f>Table11[[#This Row],[Contract Name]]</f>
        <v>Eduardo Gurdian</v>
      </c>
      <c r="D66" t="str">
        <f>Table11[[#This Row],[Status]]</f>
        <v>Out of Program</v>
      </c>
      <c r="E66" t="str">
        <f>Table11[[#This Row],[Contract Code]]</f>
        <v>CR0027</v>
      </c>
      <c r="F66" s="16">
        <f>Table11[[#This Row],['#TreesContract]]</f>
        <v>500</v>
      </c>
      <c r="G66" s="16">
        <f>Table11[[#This Row],['#Planted]]</f>
        <v>500</v>
      </c>
      <c r="H66" s="16">
        <f>Table11[[#This Row],['#TreesContract]]*Table11[[#This Row],[Canada Allocation %]]</f>
        <v>166</v>
      </c>
      <c r="I66" s="16">
        <f>Table11[[#This Row],['#Planted]]*Table11[[#This Row],[Canada Allocation %]]</f>
        <v>166</v>
      </c>
      <c r="J66" s="16">
        <f>Table11[[#This Row],[Contract Amendment]]*Table11[[#This Row],[Canada Allocation %]]</f>
        <v>0</v>
      </c>
      <c r="K66" s="16">
        <f>Table11[[#This Row],['#Trees as of 12/31/23]]*Table11[[#This Row],[Canada Allocation %]]</f>
        <v>0</v>
      </c>
      <c r="L66" s="16">
        <f>Table11[[#This Row],['#Replace 24]]*Table11[[#This Row],[Canada Allocation %]]</f>
        <v>0</v>
      </c>
      <c r="M66" s="16"/>
      <c r="N66" s="16">
        <f>(Table11[[#This Row],[2024 '#Trees Inventory + Estimate]]*Table11[[#This Row],[Canada Allocation %]])-SUM(Table378[[#This Row],['# Trees as of 12/31/23]:[New Trees/Planted in 2024]])</f>
        <v>0</v>
      </c>
      <c r="O66" s="16">
        <f>SUM(Table378[[#This Row],['# Trees as of 12/31/23]:[2024 Tree Losses]])</f>
        <v>0</v>
      </c>
      <c r="P66" s="16">
        <f>SUM(Table378[[#This Row],[Total Trees as of 12/31/24]]-Table378[[#This Row],['# Trees as of 12/31/23]])</f>
        <v>0</v>
      </c>
      <c r="Q66" s="16">
        <f>Table11[[#This Row],['#Total Replacements]]*Table11[[#This Row],[Canada Allocation %]]</f>
        <v>0</v>
      </c>
      <c r="R66" s="16">
        <f>IF(Table378[[#This Row],['#Survival based on Inventory]]=0,Table378['#Survival based on Last Year Estimate],Table378['#Survival based on Inventory])</f>
        <v>0</v>
      </c>
      <c r="S66" s="16">
        <f>Table11[[#This Row],['#Planted]]*Table11[[#This Row],[Canada Allocation %]]*Table11[[#This Row],[2024 Inventory Survival%-master]]</f>
        <v>0</v>
      </c>
      <c r="T66" s="16">
        <f>Table11[[#This Row],['#Planted]]*Table11[[#This Row],[Canada Allocation %]]*Table11[[#This Row],[2024 Estimated Survival%]]</f>
        <v>0</v>
      </c>
      <c r="U66" s="7">
        <f>Table11[[#This Row],[ETP Year]]</f>
        <v>2016</v>
      </c>
      <c r="V66" s="7">
        <f>Table11[[#This Row],[Planting Year]]</f>
        <v>2018</v>
      </c>
      <c r="W66" s="8">
        <f>Table11[[#This Row],[Survival% as of 12/31/23]]</f>
        <v>0</v>
      </c>
      <c r="X66" s="7">
        <f>Table11[[#This Row],[ETP'#s]]</f>
        <v>1</v>
      </c>
    </row>
    <row r="67" spans="1:24" x14ac:dyDescent="0.25">
      <c r="A67">
        <f>Table11[[#This Row],[Farmer'#]]</f>
        <v>20025</v>
      </c>
      <c r="B67" t="str">
        <f>Table11[[#This Row],[Representative]]</f>
        <v>Edgardo Matamoros</v>
      </c>
      <c r="C67" t="str">
        <f>Table11[[#This Row],[Contract Name]]</f>
        <v>Juan Manuel Sanchez</v>
      </c>
      <c r="D67" t="str">
        <f>Table11[[#This Row],[Status]]</f>
        <v>Active</v>
      </c>
      <c r="E67" t="str">
        <f>Table11[[#This Row],[Contract Code]]</f>
        <v>CR0028</v>
      </c>
      <c r="F67" s="16">
        <f>Table11[[#This Row],['#TreesContract]]</f>
        <v>2000</v>
      </c>
      <c r="G67" s="16">
        <f>Table11[[#This Row],['#Planted]]</f>
        <v>2000</v>
      </c>
      <c r="H67" s="16">
        <f>Table11[[#This Row],['#TreesContract]]*Table11[[#This Row],[Canada Allocation %]]</f>
        <v>664</v>
      </c>
      <c r="I67" s="16">
        <f>Table11[[#This Row],['#Planted]]*Table11[[#This Row],[Canada Allocation %]]</f>
        <v>664</v>
      </c>
      <c r="J67" s="16">
        <f>Table11[[#This Row],[Contract Amendment]]*Table11[[#This Row],[Canada Allocation %]]</f>
        <v>0</v>
      </c>
      <c r="K67" s="16">
        <f>Table11[[#This Row],['#Trees as of 12/31/23]]*Table11[[#This Row],[Canada Allocation %]]</f>
        <v>371.84000000000003</v>
      </c>
      <c r="L67" s="16">
        <f>Table11[[#This Row],['#Replace 24]]*Table11[[#This Row],[Canada Allocation %]]</f>
        <v>0</v>
      </c>
      <c r="M67" s="16"/>
      <c r="N67" s="16">
        <f>(Table11[[#This Row],[2024 '#Trees Inventory + Estimate]]*Table11[[#This Row],[Canada Allocation %]])-SUM(Table378[[#This Row],['# Trees as of 12/31/23]:[New Trees/Planted in 2024]])</f>
        <v>0</v>
      </c>
      <c r="O67" s="16">
        <f>SUM(Table378[[#This Row],['# Trees as of 12/31/23]:[2024 Tree Losses]])</f>
        <v>371.84000000000003</v>
      </c>
      <c r="P67" s="16">
        <f>SUM(Table378[[#This Row],[Total Trees as of 12/31/24]]-Table378[[#This Row],['# Trees as of 12/31/23]])</f>
        <v>0</v>
      </c>
      <c r="Q67" s="16">
        <f>Table11[[#This Row],['#Total Replacements]]*Table11[[#This Row],[Canada Allocation %]]</f>
        <v>564.4</v>
      </c>
      <c r="R67" s="16">
        <f>IF(Table378[[#This Row],['#Survival based on Inventory]]=0,Table378['#Survival based on Last Year Estimate],Table378['#Survival based on Inventory])</f>
        <v>371.84000000000003</v>
      </c>
      <c r="S67" s="16">
        <f>Table11[[#This Row],['#Planted]]*Table11[[#This Row],[Canada Allocation %]]*Table11[[#This Row],[2024 Inventory Survival%-master]]</f>
        <v>0</v>
      </c>
      <c r="T67" s="16">
        <f>Table11[[#This Row],['#Planted]]*Table11[[#This Row],[Canada Allocation %]]*Table11[[#This Row],[2024 Estimated Survival%]]</f>
        <v>371.84000000000003</v>
      </c>
      <c r="U67" s="7">
        <f>Table11[[#This Row],[ETP Year]]</f>
        <v>2016</v>
      </c>
      <c r="V67" s="7">
        <f>Table11[[#This Row],[Planting Year]]</f>
        <v>2018</v>
      </c>
      <c r="W67" s="8">
        <f>Table11[[#This Row],[Survival% as of 12/31/23]]</f>
        <v>0.56000000000000005</v>
      </c>
      <c r="X67" s="7">
        <f>Table11[[#This Row],[ETP'#s]]</f>
        <v>1</v>
      </c>
    </row>
    <row r="68" spans="1:24" x14ac:dyDescent="0.25">
      <c r="A68">
        <f>Table11[[#This Row],[Farmer'#]]</f>
        <v>20026</v>
      </c>
      <c r="B68" t="str">
        <f>Table11[[#This Row],[Representative]]</f>
        <v>María Julia Ramirez</v>
      </c>
      <c r="C68" t="str">
        <f>Table11[[#This Row],[Contract Name]]</f>
        <v>María Julia Ramirez</v>
      </c>
      <c r="D68" t="str">
        <f>Table11[[#This Row],[Status]]</f>
        <v>Active</v>
      </c>
      <c r="E68" t="str">
        <f>Table11[[#This Row],[Contract Code]]</f>
        <v>CR0029</v>
      </c>
      <c r="F68" s="16">
        <f>Table11[[#This Row],['#TreesContract]]</f>
        <v>500</v>
      </c>
      <c r="G68" s="16">
        <f>Table11[[#This Row],['#Planted]]</f>
        <v>500</v>
      </c>
      <c r="H68" s="16">
        <f>Table11[[#This Row],['#TreesContract]]*Table11[[#This Row],[Canada Allocation %]]</f>
        <v>166</v>
      </c>
      <c r="I68" s="16">
        <f>Table11[[#This Row],['#Planted]]*Table11[[#This Row],[Canada Allocation %]]</f>
        <v>166</v>
      </c>
      <c r="J68" s="16">
        <f>Table11[[#This Row],[Contract Amendment]]*Table11[[#This Row],[Canada Allocation %]]</f>
        <v>0</v>
      </c>
      <c r="K68" s="16">
        <f>Table11[[#This Row],['#Trees as of 12/31/23]]*Table11[[#This Row],[Canada Allocation %]]</f>
        <v>99.600000000000009</v>
      </c>
      <c r="L68" s="16">
        <f>Table11[[#This Row],['#Replace 24]]*Table11[[#This Row],[Canada Allocation %]]</f>
        <v>0</v>
      </c>
      <c r="M68" s="16"/>
      <c r="N68" s="16">
        <f>(Table11[[#This Row],[2024 '#Trees Inventory + Estimate]]*Table11[[#This Row],[Canada Allocation %]])-SUM(Table378[[#This Row],['# Trees as of 12/31/23]:[New Trees/Planted in 2024]])</f>
        <v>0</v>
      </c>
      <c r="O68" s="16">
        <f>SUM(Table378[[#This Row],['# Trees as of 12/31/23]:[2024 Tree Losses]])</f>
        <v>99.600000000000009</v>
      </c>
      <c r="P68" s="16">
        <f>SUM(Table378[[#This Row],[Total Trees as of 12/31/24]]-Table378[[#This Row],['# Trees as of 12/31/23]])</f>
        <v>0</v>
      </c>
      <c r="Q68" s="16">
        <f>Table11[[#This Row],['#Total Replacements]]*Table11[[#This Row],[Canada Allocation %]]</f>
        <v>132.80000000000001</v>
      </c>
      <c r="R68" s="16">
        <f>IF(Table378[[#This Row],['#Survival based on Inventory]]=0,Table378['#Survival based on Last Year Estimate],Table378['#Survival based on Inventory])</f>
        <v>99.6</v>
      </c>
      <c r="S68" s="16">
        <f>Table11[[#This Row],['#Planted]]*Table11[[#This Row],[Canada Allocation %]]*Table11[[#This Row],[2024 Inventory Survival%-master]]</f>
        <v>0</v>
      </c>
      <c r="T68" s="16">
        <f>Table11[[#This Row],['#Planted]]*Table11[[#This Row],[Canada Allocation %]]*Table11[[#This Row],[2024 Estimated Survival%]]</f>
        <v>99.6</v>
      </c>
      <c r="U68" s="7">
        <f>Table11[[#This Row],[ETP Year]]</f>
        <v>2016</v>
      </c>
      <c r="V68" s="7">
        <f>Table11[[#This Row],[Planting Year]]</f>
        <v>2018</v>
      </c>
      <c r="W68" s="8">
        <f>Table11[[#This Row],[Survival% as of 12/31/23]]</f>
        <v>0.6</v>
      </c>
      <c r="X68" s="7">
        <f>Table11[[#This Row],[ETP'#s]]</f>
        <v>1</v>
      </c>
    </row>
    <row r="69" spans="1:24" x14ac:dyDescent="0.25">
      <c r="A69">
        <f>Table11[[#This Row],[Farmer'#]]</f>
        <v>20027</v>
      </c>
      <c r="B69" t="str">
        <f>Table11[[#This Row],[Representative]]</f>
        <v>Mayela Quesada</v>
      </c>
      <c r="C69" t="str">
        <f>Table11[[#This Row],[Contract Name]]</f>
        <v>Mayela Quesada</v>
      </c>
      <c r="D69" t="str">
        <f>Table11[[#This Row],[Status]]</f>
        <v>Active</v>
      </c>
      <c r="E69" t="str">
        <f>Table11[[#This Row],[Contract Code]]</f>
        <v>CR0030</v>
      </c>
      <c r="F69" s="16">
        <f>Table11[[#This Row],['#TreesContract]]</f>
        <v>1000</v>
      </c>
      <c r="G69" s="16">
        <f>Table11[[#This Row],['#Planted]]</f>
        <v>1000</v>
      </c>
      <c r="H69" s="16">
        <f>Table11[[#This Row],['#TreesContract]]*Table11[[#This Row],[Canada Allocation %]]</f>
        <v>332</v>
      </c>
      <c r="I69" s="16">
        <f>Table11[[#This Row],['#Planted]]*Table11[[#This Row],[Canada Allocation %]]</f>
        <v>332</v>
      </c>
      <c r="J69" s="16">
        <f>Table11[[#This Row],[Contract Amendment]]*Table11[[#This Row],[Canada Allocation %]]</f>
        <v>0</v>
      </c>
      <c r="K69" s="16">
        <f>Table11[[#This Row],['#Trees as of 12/31/23]]*Table11[[#This Row],[Canada Allocation %]]</f>
        <v>199.20000000000002</v>
      </c>
      <c r="L69" s="16">
        <f>Table11[[#This Row],['#Replace 24]]*Table11[[#This Row],[Canada Allocation %]]</f>
        <v>0</v>
      </c>
      <c r="M69" s="16"/>
      <c r="N69" s="16">
        <f>(Table11[[#This Row],[2024 '#Trees Inventory + Estimate]]*Table11[[#This Row],[Canada Allocation %]])-SUM(Table378[[#This Row],['# Trees as of 12/31/23]:[New Trees/Planted in 2024]])</f>
        <v>0</v>
      </c>
      <c r="O69" s="16">
        <f>SUM(Table378[[#This Row],['# Trees as of 12/31/23]:[2024 Tree Losses]])</f>
        <v>199.20000000000002</v>
      </c>
      <c r="P69" s="16">
        <f>SUM(Table378[[#This Row],[Total Trees as of 12/31/24]]-Table378[[#This Row],['# Trees as of 12/31/23]])</f>
        <v>0</v>
      </c>
      <c r="Q69" s="16">
        <f>Table11[[#This Row],['#Total Replacements]]*Table11[[#This Row],[Canada Allocation %]]</f>
        <v>312.08000000000004</v>
      </c>
      <c r="R69" s="16">
        <f>IF(Table378[[#This Row],['#Survival based on Inventory]]=0,Table378['#Survival based on Last Year Estimate],Table378['#Survival based on Inventory])</f>
        <v>199.2</v>
      </c>
      <c r="S69" s="16">
        <f>Table11[[#This Row],['#Planted]]*Table11[[#This Row],[Canada Allocation %]]*Table11[[#This Row],[2024 Inventory Survival%-master]]</f>
        <v>0</v>
      </c>
      <c r="T69" s="16">
        <f>Table11[[#This Row],['#Planted]]*Table11[[#This Row],[Canada Allocation %]]*Table11[[#This Row],[2024 Estimated Survival%]]</f>
        <v>199.2</v>
      </c>
      <c r="U69" s="7">
        <f>Table11[[#This Row],[ETP Year]]</f>
        <v>2016</v>
      </c>
      <c r="V69" s="7">
        <f>Table11[[#This Row],[Planting Year]]</f>
        <v>2018</v>
      </c>
      <c r="W69" s="8">
        <f>Table11[[#This Row],[Survival% as of 12/31/23]]</f>
        <v>0.6</v>
      </c>
      <c r="X69" s="7">
        <f>Table11[[#This Row],[ETP'#s]]</f>
        <v>1</v>
      </c>
    </row>
    <row r="70" spans="1:24" x14ac:dyDescent="0.25">
      <c r="A70">
        <f>Table11[[#This Row],[Farmer'#]]</f>
        <v>20028</v>
      </c>
      <c r="B70" t="str">
        <f>Table11[[#This Row],[Representative]]</f>
        <v>Rene Ceciliano</v>
      </c>
      <c r="C70" t="str">
        <f>Table11[[#This Row],[Contract Name]]</f>
        <v>Inversiones Los Alpinos S.A</v>
      </c>
      <c r="D70" t="str">
        <f>Table11[[#This Row],[Status]]</f>
        <v>Out of Program</v>
      </c>
      <c r="E70" t="str">
        <f>Table11[[#This Row],[Contract Code]]</f>
        <v>CR0032</v>
      </c>
      <c r="F70" s="16">
        <f>Table11[[#This Row],['#TreesContract]]</f>
        <v>1000</v>
      </c>
      <c r="G70" s="16">
        <f>Table11[[#This Row],['#Planted]]</f>
        <v>1000</v>
      </c>
      <c r="H70" s="16">
        <f>Table11[[#This Row],['#TreesContract]]*Table11[[#This Row],[Canada Allocation %]]</f>
        <v>332</v>
      </c>
      <c r="I70" s="16">
        <f>Table11[[#This Row],['#Planted]]*Table11[[#This Row],[Canada Allocation %]]</f>
        <v>332</v>
      </c>
      <c r="J70" s="16">
        <f>Table11[[#This Row],[Contract Amendment]]*Table11[[#This Row],[Canada Allocation %]]</f>
        <v>0</v>
      </c>
      <c r="K70" s="16">
        <f>Table11[[#This Row],['#Trees as of 12/31/23]]*Table11[[#This Row],[Canada Allocation %]]</f>
        <v>0</v>
      </c>
      <c r="L70" s="16">
        <f>Table11[[#This Row],['#Replace 24]]*Table11[[#This Row],[Canada Allocation %]]</f>
        <v>0</v>
      </c>
      <c r="M70" s="16"/>
      <c r="N70" s="16">
        <f>(Table11[[#This Row],[2024 '#Trees Inventory + Estimate]]*Table11[[#This Row],[Canada Allocation %]])-SUM(Table378[[#This Row],['# Trees as of 12/31/23]:[New Trees/Planted in 2024]])</f>
        <v>0</v>
      </c>
      <c r="O70" s="16">
        <f>SUM(Table378[[#This Row],['# Trees as of 12/31/23]:[2024 Tree Losses]])</f>
        <v>0</v>
      </c>
      <c r="P70" s="16">
        <f>SUM(Table378[[#This Row],[Total Trees as of 12/31/24]]-Table378[[#This Row],['# Trees as of 12/31/23]])</f>
        <v>0</v>
      </c>
      <c r="Q70" s="16">
        <f>Table11[[#This Row],['#Total Replacements]]*Table11[[#This Row],[Canada Allocation %]]</f>
        <v>166</v>
      </c>
      <c r="R70" s="16">
        <f>IF(Table378[[#This Row],['#Survival based on Inventory]]=0,Table378['#Survival based on Last Year Estimate],Table378['#Survival based on Inventory])</f>
        <v>0</v>
      </c>
      <c r="S70" s="16">
        <f>Table11[[#This Row],['#Planted]]*Table11[[#This Row],[Canada Allocation %]]*Table11[[#This Row],[2024 Inventory Survival%-master]]</f>
        <v>0</v>
      </c>
      <c r="T70" s="16">
        <f>Table11[[#This Row],['#Planted]]*Table11[[#This Row],[Canada Allocation %]]*Table11[[#This Row],[2024 Estimated Survival%]]</f>
        <v>0</v>
      </c>
      <c r="U70" s="7">
        <f>Table11[[#This Row],[ETP Year]]</f>
        <v>2016</v>
      </c>
      <c r="V70" s="7">
        <f>Table11[[#This Row],[Planting Year]]</f>
        <v>2018</v>
      </c>
      <c r="W70" s="8">
        <f>Table11[[#This Row],[Survival% as of 12/31/23]]</f>
        <v>0</v>
      </c>
      <c r="X70" s="7">
        <f>Table11[[#This Row],[ETP'#s]]</f>
        <v>1</v>
      </c>
    </row>
    <row r="71" spans="1:24" x14ac:dyDescent="0.25">
      <c r="A71">
        <f>Table11[[#This Row],[Farmer'#]]</f>
        <v>20029</v>
      </c>
      <c r="B71" t="str">
        <f>Table11[[#This Row],[Representative]]</f>
        <v>Ricardo Simpson</v>
      </c>
      <c r="C71" t="str">
        <f>Table11[[#This Row],[Contract Name]]</f>
        <v>Ricardo Simpson</v>
      </c>
      <c r="D71" t="str">
        <f>Table11[[#This Row],[Status]]</f>
        <v>Out of Program</v>
      </c>
      <c r="E71" t="str">
        <f>Table11[[#This Row],[Contract Code]]</f>
        <v>CR0033</v>
      </c>
      <c r="F71" s="16">
        <f>Table11[[#This Row],['#TreesContract]]</f>
        <v>1100</v>
      </c>
      <c r="G71" s="16">
        <f>Table11[[#This Row],['#Planted]]</f>
        <v>1100</v>
      </c>
      <c r="H71" s="16">
        <f>Table11[[#This Row],['#TreesContract]]*Table11[[#This Row],[Canada Allocation %]]</f>
        <v>365.00000000000006</v>
      </c>
      <c r="I71" s="16">
        <f>Table11[[#This Row],['#Planted]]*Table11[[#This Row],[Canada Allocation %]]</f>
        <v>365.00000000000006</v>
      </c>
      <c r="J71" s="16">
        <f>Table11[[#This Row],[Contract Amendment]]*Table11[[#This Row],[Canada Allocation %]]</f>
        <v>0</v>
      </c>
      <c r="K71" s="16">
        <f>Table11[[#This Row],['#Trees as of 12/31/23]]*Table11[[#This Row],[Canada Allocation %]]</f>
        <v>0</v>
      </c>
      <c r="L71" s="16">
        <f>Table11[[#This Row],['#Replace 24]]*Table11[[#This Row],[Canada Allocation %]]</f>
        <v>0</v>
      </c>
      <c r="M71" s="16"/>
      <c r="N71" s="16">
        <f>(Table11[[#This Row],[2024 '#Trees Inventory + Estimate]]*Table11[[#This Row],[Canada Allocation %]])-SUM(Table378[[#This Row],['# Trees as of 12/31/23]:[New Trees/Planted in 2024]])</f>
        <v>0</v>
      </c>
      <c r="O71" s="16">
        <f>SUM(Table378[[#This Row],['# Trees as of 12/31/23]:[2024 Tree Losses]])</f>
        <v>0</v>
      </c>
      <c r="P71" s="16">
        <f>SUM(Table378[[#This Row],[Total Trees as of 12/31/24]]-Table378[[#This Row],['# Trees as of 12/31/23]])</f>
        <v>0</v>
      </c>
      <c r="Q71" s="16">
        <f>Table11[[#This Row],['#Total Replacements]]*Table11[[#This Row],[Canada Allocation %]]</f>
        <v>99.545454545454547</v>
      </c>
      <c r="R71" s="16">
        <f>IF(Table378[[#This Row],['#Survival based on Inventory]]=0,Table378['#Survival based on Last Year Estimate],Table378['#Survival based on Inventory])</f>
        <v>0</v>
      </c>
      <c r="S71" s="16">
        <f>Table11[[#This Row],['#Planted]]*Table11[[#This Row],[Canada Allocation %]]*Table11[[#This Row],[2024 Inventory Survival%-master]]</f>
        <v>0</v>
      </c>
      <c r="T71" s="16">
        <f>Table11[[#This Row],['#Planted]]*Table11[[#This Row],[Canada Allocation %]]*Table11[[#This Row],[2024 Estimated Survival%]]</f>
        <v>0</v>
      </c>
      <c r="U71" s="7">
        <f>Table11[[#This Row],[ETP Year]]</f>
        <v>2016</v>
      </c>
      <c r="V71" s="7">
        <f>Table11[[#This Row],[Planting Year]]</f>
        <v>2018</v>
      </c>
      <c r="W71" s="8">
        <f>Table11[[#This Row],[Survival% as of 12/31/23]]</f>
        <v>0</v>
      </c>
      <c r="X71" s="7">
        <f>Table11[[#This Row],[ETP'#s]]</f>
        <v>1</v>
      </c>
    </row>
    <row r="72" spans="1:24" x14ac:dyDescent="0.25">
      <c r="A72">
        <f>Table11[[#This Row],[Farmer'#]]</f>
        <v>20030</v>
      </c>
      <c r="B72" t="str">
        <f>Table11[[#This Row],[Representative]]</f>
        <v>Richard Valverde</v>
      </c>
      <c r="C72" t="str">
        <f>Table11[[#This Row],[Contract Name]]</f>
        <v>Richard Valverde</v>
      </c>
      <c r="D72" t="str">
        <f>Table11[[#This Row],[Status]]</f>
        <v>Out of Program</v>
      </c>
      <c r="E72" t="str">
        <f>Table11[[#This Row],[Contract Code]]</f>
        <v>CR0034</v>
      </c>
      <c r="F72" s="16">
        <f>Table11[[#This Row],['#TreesContract]]</f>
        <v>1100</v>
      </c>
      <c r="G72" s="16">
        <f>Table11[[#This Row],['#Planted]]</f>
        <v>1100</v>
      </c>
      <c r="H72" s="16">
        <f>Table11[[#This Row],['#TreesContract]]*Table11[[#This Row],[Canada Allocation %]]</f>
        <v>363</v>
      </c>
      <c r="I72" s="16">
        <f>Table11[[#This Row],['#Planted]]*Table11[[#This Row],[Canada Allocation %]]</f>
        <v>363</v>
      </c>
      <c r="J72" s="16">
        <f>Table11[[#This Row],[Contract Amendment]]*Table11[[#This Row],[Canada Allocation %]]</f>
        <v>0</v>
      </c>
      <c r="K72" s="16">
        <f>Table11[[#This Row],['#Trees as of 12/31/23]]*Table11[[#This Row],[Canada Allocation %]]</f>
        <v>0</v>
      </c>
      <c r="L72" s="16">
        <f>Table11[[#This Row],['#Replace 24]]*Table11[[#This Row],[Canada Allocation %]]</f>
        <v>0</v>
      </c>
      <c r="M72" s="16"/>
      <c r="N72" s="16">
        <f>(Table11[[#This Row],[2024 '#Trees Inventory + Estimate]]*Table11[[#This Row],[Canada Allocation %]])-SUM(Table378[[#This Row],['# Trees as of 12/31/23]:[New Trees/Planted in 2024]])</f>
        <v>0</v>
      </c>
      <c r="O72" s="16">
        <f>SUM(Table378[[#This Row],['# Trees as of 12/31/23]:[2024 Tree Losses]])</f>
        <v>0</v>
      </c>
      <c r="P72" s="16">
        <f>SUM(Table378[[#This Row],[Total Trees as of 12/31/24]]-Table378[[#This Row],['# Trees as of 12/31/23]])</f>
        <v>0</v>
      </c>
      <c r="Q72" s="16">
        <f>Table11[[#This Row],['#Total Replacements]]*Table11[[#This Row],[Canada Allocation %]]</f>
        <v>0</v>
      </c>
      <c r="R72" s="16">
        <f>IF(Table378[[#This Row],['#Survival based on Inventory]]=0,Table378['#Survival based on Last Year Estimate],Table378['#Survival based on Inventory])</f>
        <v>0</v>
      </c>
      <c r="S72" s="16">
        <f>Table11[[#This Row],['#Planted]]*Table11[[#This Row],[Canada Allocation %]]*Table11[[#This Row],[2024 Inventory Survival%-master]]</f>
        <v>0</v>
      </c>
      <c r="T72" s="16">
        <f>Table11[[#This Row],['#Planted]]*Table11[[#This Row],[Canada Allocation %]]*Table11[[#This Row],[2024 Estimated Survival%]]</f>
        <v>0</v>
      </c>
      <c r="U72" s="7">
        <f>Table11[[#This Row],[ETP Year]]</f>
        <v>2016</v>
      </c>
      <c r="V72" s="7">
        <f>Table11[[#This Row],[Planting Year]]</f>
        <v>2018</v>
      </c>
      <c r="W72" s="8">
        <f>Table11[[#This Row],[Survival% as of 12/31/23]]</f>
        <v>0</v>
      </c>
      <c r="X72" s="7">
        <f>Table11[[#This Row],[ETP'#s]]</f>
        <v>1</v>
      </c>
    </row>
    <row r="73" spans="1:24" x14ac:dyDescent="0.25">
      <c r="A73">
        <f>Table11[[#This Row],[Farmer'#]]</f>
        <v>10021</v>
      </c>
      <c r="B73" t="str">
        <f>Table11[[#This Row],[Representative]]</f>
        <v>Grover Plunkett</v>
      </c>
      <c r="C73" t="str">
        <f>Table11[[#This Row],[Contract Name]]</f>
        <v>Southern Innovative Investments LLC</v>
      </c>
      <c r="D73" t="str">
        <f>Table11[[#This Row],[Status]]</f>
        <v>Active</v>
      </c>
      <c r="E73" t="str">
        <f>Table11[[#This Row],[Contract Code]]</f>
        <v>US0042</v>
      </c>
      <c r="F73" s="16">
        <f>Table11[[#This Row],['#TreesContract]]</f>
        <v>15620</v>
      </c>
      <c r="G73" s="16">
        <f>Table11[[#This Row],['#Planted]]</f>
        <v>15620</v>
      </c>
      <c r="H73" s="16">
        <f>Table11[[#This Row],['#TreesContract]]*Table11[[#This Row],[Canada Allocation %]]</f>
        <v>0</v>
      </c>
      <c r="I73" s="16">
        <f>Table11[[#This Row],['#Planted]]*Table11[[#This Row],[Canada Allocation %]]</f>
        <v>0</v>
      </c>
      <c r="J73" s="16">
        <f>Table11[[#This Row],[Contract Amendment]]*Table11[[#This Row],[Canada Allocation %]]</f>
        <v>0</v>
      </c>
      <c r="K73" s="16">
        <f>Table11[[#This Row],['#Trees as of 12/31/23]]*Table11[[#This Row],[Canada Allocation %]]</f>
        <v>0</v>
      </c>
      <c r="L73" s="16">
        <f>Table11[[#This Row],['#Replace 24]]*Table11[[#This Row],[Canada Allocation %]]</f>
        <v>0</v>
      </c>
      <c r="M73" s="16"/>
      <c r="N73" s="16">
        <f>(Table11[[#This Row],[2024 '#Trees Inventory + Estimate]]*Table11[[#This Row],[Canada Allocation %]])-SUM(Table378[[#This Row],['# Trees as of 12/31/23]:[New Trees/Planted in 2024]])</f>
        <v>0</v>
      </c>
      <c r="O73" s="16">
        <f>SUM(Table378[[#This Row],['# Trees as of 12/31/23]:[2024 Tree Losses]])</f>
        <v>0</v>
      </c>
      <c r="P73" s="16">
        <f>SUM(Table378[[#This Row],[Total Trees as of 12/31/24]]-Table378[[#This Row],['# Trees as of 12/31/23]])</f>
        <v>0</v>
      </c>
      <c r="Q73" s="16">
        <f>Table11[[#This Row],['#Total Replacements]]*Table11[[#This Row],[Canada Allocation %]]</f>
        <v>0</v>
      </c>
      <c r="R73" s="16">
        <f>IF(Table378[[#This Row],['#Survival based on Inventory]]=0,Table378['#Survival based on Last Year Estimate],Table378['#Survival based on Inventory])</f>
        <v>0</v>
      </c>
      <c r="S73" s="16">
        <f>Table11[[#This Row],['#Planted]]*Table11[[#This Row],[Canada Allocation %]]*Table11[[#This Row],[2024 Inventory Survival%-master]]</f>
        <v>0</v>
      </c>
      <c r="T73" s="16">
        <f>Table11[[#This Row],['#Planted]]*Table11[[#This Row],[Canada Allocation %]]*Table11[[#This Row],[2024 Estimated Survival%]]</f>
        <v>0</v>
      </c>
      <c r="U73" s="7">
        <f>Table11[[#This Row],[ETP Year]]</f>
        <v>2017</v>
      </c>
      <c r="V73" s="7">
        <f>Table11[[#This Row],[Planting Year]]</f>
        <v>2019</v>
      </c>
      <c r="W73" s="8">
        <f>Table11[[#This Row],[Survival% as of 12/31/23]]</f>
        <v>0.4152352481607674</v>
      </c>
      <c r="X73" s="7">
        <f>Table11[[#This Row],[ETP'#s]]</f>
        <v>1</v>
      </c>
    </row>
    <row r="74" spans="1:24" x14ac:dyDescent="0.25">
      <c r="A74">
        <f>Table11[[#This Row],[Farmer'#]]</f>
        <v>10029</v>
      </c>
      <c r="B74" t="str">
        <f>Table11[[#This Row],[Representative]]</f>
        <v>Alfie Kelly</v>
      </c>
      <c r="C74" t="str">
        <f>Table11[[#This Row],[Contract Name]]</f>
        <v>Alfie Kelly</v>
      </c>
      <c r="D74" t="str">
        <f>Table11[[#This Row],[Status]]</f>
        <v>Out of Program</v>
      </c>
      <c r="E74" t="str">
        <f>Table11[[#This Row],[Contract Code]]</f>
        <v>US0033</v>
      </c>
      <c r="F74" s="16">
        <f>Table11[[#This Row],['#TreesContract]]</f>
        <v>4400</v>
      </c>
      <c r="G74" s="16">
        <f>Table11[[#This Row],['#Planted]]</f>
        <v>4400</v>
      </c>
      <c r="H74" s="16">
        <f>Table11[[#This Row],['#TreesContract]]*Table11[[#This Row],[Canada Allocation %]]</f>
        <v>1584</v>
      </c>
      <c r="I74" s="16">
        <f>Table11[[#This Row],['#Planted]]*Table11[[#This Row],[Canada Allocation %]]</f>
        <v>1584</v>
      </c>
      <c r="J74" s="16">
        <f>Table11[[#This Row],[Contract Amendment]]*Table11[[#This Row],[Canada Allocation %]]</f>
        <v>0</v>
      </c>
      <c r="K74" s="16">
        <f>Table11[[#This Row],['#Trees as of 12/31/23]]*Table11[[#This Row],[Canada Allocation %]]</f>
        <v>0</v>
      </c>
      <c r="L74" s="16">
        <f>Table11[[#This Row],['#Replace 24]]*Table11[[#This Row],[Canada Allocation %]]</f>
        <v>0</v>
      </c>
      <c r="M74" s="16"/>
      <c r="N74" s="16">
        <f>(Table11[[#This Row],[2024 '#Trees Inventory + Estimate]]*Table11[[#This Row],[Canada Allocation %]])-SUM(Table378[[#This Row],['# Trees as of 12/31/23]:[New Trees/Planted in 2024]])</f>
        <v>0</v>
      </c>
      <c r="O74" s="16">
        <f>SUM(Table378[[#This Row],['# Trees as of 12/31/23]:[2024 Tree Losses]])</f>
        <v>0</v>
      </c>
      <c r="P74" s="16">
        <f>SUM(Table378[[#This Row],[Total Trees as of 12/31/24]]-Table378[[#This Row],['# Trees as of 12/31/23]])</f>
        <v>0</v>
      </c>
      <c r="Q74" s="16">
        <f>Table11[[#This Row],['#Total Replacements]]*Table11[[#This Row],[Canada Allocation %]]</f>
        <v>792</v>
      </c>
      <c r="R74" s="16">
        <f>IF(Table378[[#This Row],['#Survival based on Inventory]]=0,Table378['#Survival based on Last Year Estimate],Table378['#Survival based on Inventory])</f>
        <v>0</v>
      </c>
      <c r="S74" s="16">
        <f>Table11[[#This Row],['#Planted]]*Table11[[#This Row],[Canada Allocation %]]*Table11[[#This Row],[2024 Inventory Survival%-master]]</f>
        <v>0</v>
      </c>
      <c r="T74" s="16">
        <f>Table11[[#This Row],['#Planted]]*Table11[[#This Row],[Canada Allocation %]]*Table11[[#This Row],[2024 Estimated Survival%]]</f>
        <v>0</v>
      </c>
      <c r="U74" s="7">
        <f>Table11[[#This Row],[ETP Year]]</f>
        <v>2018</v>
      </c>
      <c r="V74" s="7">
        <f>Table11[[#This Row],[Planting Year]]</f>
        <v>2019</v>
      </c>
      <c r="W74" s="8">
        <f>Table11[[#This Row],[Survival% as of 12/31/23]]</f>
        <v>0</v>
      </c>
      <c r="X74" s="7">
        <f>Table11[[#This Row],[ETP'#s]]</f>
        <v>1</v>
      </c>
    </row>
    <row r="75" spans="1:24" x14ac:dyDescent="0.25">
      <c r="A75">
        <f>Table11[[#This Row],[Farmer'#]]</f>
        <v>10030</v>
      </c>
      <c r="B75" t="str">
        <f>Table11[[#This Row],[Representative]]</f>
        <v>Billy Whittaker</v>
      </c>
      <c r="C75" t="str">
        <f>Table11[[#This Row],[Contract Name]]</f>
        <v>Billy Whittaker</v>
      </c>
      <c r="D75" t="str">
        <f>Table11[[#This Row],[Status]]</f>
        <v>Active</v>
      </c>
      <c r="E75" t="str">
        <f>Table11[[#This Row],[Contract Code]]</f>
        <v>US0034</v>
      </c>
      <c r="F75" s="16">
        <f>Table11[[#This Row],['#TreesContract]]</f>
        <v>1100</v>
      </c>
      <c r="G75" s="16">
        <f>Table11[[#This Row],['#Planted]]</f>
        <v>1100</v>
      </c>
      <c r="H75" s="16">
        <f>Table11[[#This Row],['#TreesContract]]*Table11[[#This Row],[Canada Allocation %]]</f>
        <v>396</v>
      </c>
      <c r="I75" s="16">
        <f>Table11[[#This Row],['#Planted]]*Table11[[#This Row],[Canada Allocation %]]</f>
        <v>396</v>
      </c>
      <c r="J75" s="16">
        <f>Table11[[#This Row],[Contract Amendment]]*Table11[[#This Row],[Canada Allocation %]]</f>
        <v>0</v>
      </c>
      <c r="K75" s="16">
        <f>Table11[[#This Row],['#Trees as of 12/31/23]]*Table11[[#This Row],[Canada Allocation %]]</f>
        <v>378.20160000000004</v>
      </c>
      <c r="L75" s="16">
        <f>Table11[[#This Row],['#Replace 24]]*Table11[[#This Row],[Canada Allocation %]]</f>
        <v>0</v>
      </c>
      <c r="M75" s="16"/>
      <c r="N75" s="16">
        <f>(Table11[[#This Row],[2024 '#Trees Inventory + Estimate]]*Table11[[#This Row],[Canada Allocation %]])-SUM(Table378[[#This Row],['# Trees as of 12/31/23]:[New Trees/Planted in 2024]])</f>
        <v>0</v>
      </c>
      <c r="O75" s="16">
        <f>SUM(Table378[[#This Row],['# Trees as of 12/31/23]:[2024 Tree Losses]])</f>
        <v>378.20160000000004</v>
      </c>
      <c r="P75" s="16">
        <f>SUM(Table378[[#This Row],[Total Trees as of 12/31/24]]-Table378[[#This Row],['# Trees as of 12/31/23]])</f>
        <v>0</v>
      </c>
      <c r="Q75" s="16">
        <f>Table11[[#This Row],['#Total Replacements]]*Table11[[#This Row],[Canada Allocation %]]</f>
        <v>624.6</v>
      </c>
      <c r="R75" s="16">
        <f>IF(Table378[[#This Row],['#Survival based on Inventory]]=0,Table378['#Survival based on Last Year Estimate],Table378['#Survival based on Inventory])</f>
        <v>378.20160000000004</v>
      </c>
      <c r="S75" s="16">
        <f>Table11[[#This Row],['#Planted]]*Table11[[#This Row],[Canada Allocation %]]*Table11[[#This Row],[2024 Inventory Survival%-master]]</f>
        <v>0</v>
      </c>
      <c r="T75" s="16">
        <f>Table11[[#This Row],['#Planted]]*Table11[[#This Row],[Canada Allocation %]]*Table11[[#This Row],[2024 Estimated Survival%]]</f>
        <v>378.20160000000004</v>
      </c>
      <c r="U75" s="7">
        <f>Table11[[#This Row],[ETP Year]]</f>
        <v>2018</v>
      </c>
      <c r="V75" s="7">
        <f>Table11[[#This Row],[Planting Year]]</f>
        <v>2019</v>
      </c>
      <c r="W75" s="8">
        <f>Table11[[#This Row],[Survival% as of 12/31/23]]</f>
        <v>0.9550545454545456</v>
      </c>
      <c r="X75" s="7">
        <f>Table11[[#This Row],[ETP'#s]]</f>
        <v>1</v>
      </c>
    </row>
    <row r="76" spans="1:24" x14ac:dyDescent="0.25">
      <c r="A76">
        <f>Table11[[#This Row],[Farmer'#]]</f>
        <v>10030</v>
      </c>
      <c r="B76" t="str">
        <f>Table11[[#This Row],[Representative]]</f>
        <v>Billy Whittaker</v>
      </c>
      <c r="C76" t="str">
        <f>Table11[[#This Row],[Contract Name]]</f>
        <v>Billy Whittaker and Joyce P Earnest</v>
      </c>
      <c r="D76" t="str">
        <f>Table11[[#This Row],[Status]]</f>
        <v>Active</v>
      </c>
      <c r="E76" t="str">
        <f>Table11[[#This Row],[Contract Code]]</f>
        <v>US0035</v>
      </c>
      <c r="F76" s="16">
        <f>Table11[[#This Row],['#TreesContract]]</f>
        <v>460</v>
      </c>
      <c r="G76" s="16">
        <f>Table11[[#This Row],['#Planted]]</f>
        <v>460</v>
      </c>
      <c r="H76" s="16">
        <f>Table11[[#This Row],['#TreesContract]]*Table11[[#This Row],[Canada Allocation %]]</f>
        <v>165.6</v>
      </c>
      <c r="I76" s="16">
        <f>Table11[[#This Row],['#Planted]]*Table11[[#This Row],[Canada Allocation %]]</f>
        <v>165.6</v>
      </c>
      <c r="J76" s="16">
        <f>Table11[[#This Row],[Contract Amendment]]*Table11[[#This Row],[Canada Allocation %]]</f>
        <v>0</v>
      </c>
      <c r="K76" s="16">
        <f>Table11[[#This Row],['#Trees as of 12/31/23]]*Table11[[#This Row],[Canada Allocation %]]</f>
        <v>25.200000000000003</v>
      </c>
      <c r="L76" s="16">
        <f>Table11[[#This Row],['#Replace 24]]*Table11[[#This Row],[Canada Allocation %]]</f>
        <v>0</v>
      </c>
      <c r="M76" s="16"/>
      <c r="N76" s="16">
        <f>(Table11[[#This Row],[2024 '#Trees Inventory + Estimate]]*Table11[[#This Row],[Canada Allocation %]])-SUM(Table378[[#This Row],['# Trees as of 12/31/23]:[New Trees/Planted in 2024]])</f>
        <v>0</v>
      </c>
      <c r="O76" s="16">
        <f>SUM(Table378[[#This Row],['# Trees as of 12/31/23]:[2024 Tree Losses]])</f>
        <v>25.200000000000003</v>
      </c>
      <c r="P76" s="16">
        <f>SUM(Table378[[#This Row],[Total Trees as of 12/31/24]]-Table378[[#This Row],['# Trees as of 12/31/23]])</f>
        <v>0</v>
      </c>
      <c r="Q76" s="16">
        <f>Table11[[#This Row],['#Total Replacements]]*Table11[[#This Row],[Canada Allocation %]]</f>
        <v>132.84</v>
      </c>
      <c r="R76" s="16">
        <f>IF(Table378[[#This Row],['#Survival based on Inventory]]=0,Table378['#Survival based on Last Year Estimate],Table378['#Survival based on Inventory])</f>
        <v>25.200000000000006</v>
      </c>
      <c r="S76" s="16">
        <f>Table11[[#This Row],['#Planted]]*Table11[[#This Row],[Canada Allocation %]]*Table11[[#This Row],[2024 Inventory Survival%-master]]</f>
        <v>0</v>
      </c>
      <c r="T76" s="16">
        <f>Table11[[#This Row],['#Planted]]*Table11[[#This Row],[Canada Allocation %]]*Table11[[#This Row],[2024 Estimated Survival%]]</f>
        <v>25.200000000000006</v>
      </c>
      <c r="U76" s="7">
        <f>Table11[[#This Row],[ETP Year]]</f>
        <v>2018</v>
      </c>
      <c r="V76" s="7">
        <f>Table11[[#This Row],[Planting Year]]</f>
        <v>2019</v>
      </c>
      <c r="W76" s="8">
        <f>Table11[[#This Row],[Survival% as of 12/31/23]]</f>
        <v>0.1521739130434783</v>
      </c>
      <c r="X76" s="7">
        <f>Table11[[#This Row],[ETP'#s]]</f>
        <v>1</v>
      </c>
    </row>
    <row r="77" spans="1:24" x14ac:dyDescent="0.25">
      <c r="A77">
        <f>Table11[[#This Row],[Farmer'#]]</f>
        <v>10030</v>
      </c>
      <c r="B77" t="str">
        <f>Table11[[#This Row],[Representative]]</f>
        <v>Billy Whittaker</v>
      </c>
      <c r="C77" t="str">
        <f>Table11[[#This Row],[Contract Name]]</f>
        <v>Two Rivers Timbers LLC</v>
      </c>
      <c r="D77" t="str">
        <f>Table11[[#This Row],[Status]]</f>
        <v>Out of Program</v>
      </c>
      <c r="E77" t="str">
        <f>Table11[[#This Row],[Contract Code]]</f>
        <v>US0036</v>
      </c>
      <c r="F77" s="16">
        <f>Table11[[#This Row],['#TreesContract]]</f>
        <v>1300</v>
      </c>
      <c r="G77" s="16">
        <f>Table11[[#This Row],['#Planted]]</f>
        <v>1300</v>
      </c>
      <c r="H77" s="16">
        <f>Table11[[#This Row],['#TreesContract]]*Table11[[#This Row],[Canada Allocation %]]</f>
        <v>468</v>
      </c>
      <c r="I77" s="16">
        <f>Table11[[#This Row],['#Planted]]*Table11[[#This Row],[Canada Allocation %]]</f>
        <v>468</v>
      </c>
      <c r="J77" s="16">
        <f>Table11[[#This Row],[Contract Amendment]]*Table11[[#This Row],[Canada Allocation %]]</f>
        <v>0</v>
      </c>
      <c r="K77" s="16">
        <f>Table11[[#This Row],['#Trees as of 12/31/23]]*Table11[[#This Row],[Canada Allocation %]]</f>
        <v>0</v>
      </c>
      <c r="L77" s="16">
        <f>Table11[[#This Row],['#Replace 24]]*Table11[[#This Row],[Canada Allocation %]]</f>
        <v>0</v>
      </c>
      <c r="M77" s="16"/>
      <c r="N77" s="16">
        <f>(Table11[[#This Row],[2024 '#Trees Inventory + Estimate]]*Table11[[#This Row],[Canada Allocation %]])-SUM(Table378[[#This Row],['# Trees as of 12/31/23]:[New Trees/Planted in 2024]])</f>
        <v>0</v>
      </c>
      <c r="O77" s="16">
        <f>SUM(Table378[[#This Row],['# Trees as of 12/31/23]:[2024 Tree Losses]])</f>
        <v>0</v>
      </c>
      <c r="P77" s="16">
        <f>SUM(Table378[[#This Row],[Total Trees as of 12/31/24]]-Table378[[#This Row],['# Trees as of 12/31/23]])</f>
        <v>0</v>
      </c>
      <c r="Q77" s="16">
        <f>Table11[[#This Row],['#Total Replacements]]*Table11[[#This Row],[Canada Allocation %]]</f>
        <v>0</v>
      </c>
      <c r="R77" s="16">
        <f>IF(Table378[[#This Row],['#Survival based on Inventory]]=0,Table378['#Survival based on Last Year Estimate],Table378['#Survival based on Inventory])</f>
        <v>0</v>
      </c>
      <c r="S77" s="16">
        <f>Table11[[#This Row],['#Planted]]*Table11[[#This Row],[Canada Allocation %]]*Table11[[#This Row],[2024 Inventory Survival%-master]]</f>
        <v>0</v>
      </c>
      <c r="T77" s="16">
        <f>Table11[[#This Row],['#Planted]]*Table11[[#This Row],[Canada Allocation %]]*Table11[[#This Row],[2024 Estimated Survival%]]</f>
        <v>0</v>
      </c>
      <c r="U77" s="7">
        <f>Table11[[#This Row],[ETP Year]]</f>
        <v>2018</v>
      </c>
      <c r="V77" s="7">
        <f>Table11[[#This Row],[Planting Year]]</f>
        <v>2019</v>
      </c>
      <c r="W77" s="8">
        <f>Table11[[#This Row],[Survival% as of 12/31/23]]</f>
        <v>0</v>
      </c>
      <c r="X77" s="7">
        <f>Table11[[#This Row],[ETP'#s]]</f>
        <v>1</v>
      </c>
    </row>
    <row r="78" spans="1:24" x14ac:dyDescent="0.25">
      <c r="A78">
        <f>Table11[[#This Row],[Farmer'#]]</f>
        <v>10031</v>
      </c>
      <c r="B78" t="str">
        <f>Table11[[#This Row],[Representative]]</f>
        <v>Cheryl Meserole</v>
      </c>
      <c r="C78" t="str">
        <f>Table11[[#This Row],[Contract Name]]</f>
        <v>Cheryl Meserole</v>
      </c>
      <c r="D78" t="str">
        <f>Table11[[#This Row],[Status]]</f>
        <v>Active</v>
      </c>
      <c r="E78" t="str">
        <f>Table11[[#This Row],[Contract Code]]</f>
        <v>US0037</v>
      </c>
      <c r="F78" s="16">
        <f>Table11[[#This Row],['#TreesContract]]</f>
        <v>550</v>
      </c>
      <c r="G78" s="16">
        <f>Table11[[#This Row],['#Planted]]</f>
        <v>550</v>
      </c>
      <c r="H78" s="16">
        <f>Table11[[#This Row],['#TreesContract]]*Table11[[#This Row],[Canada Allocation %]]</f>
        <v>198</v>
      </c>
      <c r="I78" s="16">
        <f>Table11[[#This Row],['#Planted]]*Table11[[#This Row],[Canada Allocation %]]</f>
        <v>198</v>
      </c>
      <c r="J78" s="16">
        <f>Table11[[#This Row],[Contract Amendment]]*Table11[[#This Row],[Canada Allocation %]]</f>
        <v>0</v>
      </c>
      <c r="K78" s="16">
        <f>Table11[[#This Row],['#Trees as of 12/31/23]]*Table11[[#This Row],[Canada Allocation %]]</f>
        <v>194.83199999999997</v>
      </c>
      <c r="L78" s="16">
        <f>Table11[[#This Row],['#Replace 24]]*Table11[[#This Row],[Canada Allocation %]]</f>
        <v>0</v>
      </c>
      <c r="M78" s="16"/>
      <c r="N78" s="16">
        <f>(Table11[[#This Row],[2024 '#Trees Inventory + Estimate]]*Table11[[#This Row],[Canada Allocation %]])-SUM(Table378[[#This Row],['# Trees as of 12/31/23]:[New Trees/Planted in 2024]])</f>
        <v>0</v>
      </c>
      <c r="O78" s="16">
        <f>SUM(Table378[[#This Row],['# Trees as of 12/31/23]:[2024 Tree Losses]])</f>
        <v>194.83199999999997</v>
      </c>
      <c r="P78" s="16">
        <f>SUM(Table378[[#This Row],[Total Trees as of 12/31/24]]-Table378[[#This Row],['# Trees as of 12/31/23]])</f>
        <v>0</v>
      </c>
      <c r="Q78" s="16">
        <f>Table11[[#This Row],['#Total Replacements]]*Table11[[#This Row],[Canada Allocation %]]</f>
        <v>221.4</v>
      </c>
      <c r="R78" s="16">
        <f>IF(Table378[[#This Row],['#Survival based on Inventory]]=0,Table378['#Survival based on Last Year Estimate],Table378['#Survival based on Inventory])</f>
        <v>194.83199999999997</v>
      </c>
      <c r="S78" s="16">
        <f>Table11[[#This Row],['#Planted]]*Table11[[#This Row],[Canada Allocation %]]*Table11[[#This Row],[2024 Inventory Survival%-master]]</f>
        <v>0</v>
      </c>
      <c r="T78" s="16">
        <f>Table11[[#This Row],['#Planted]]*Table11[[#This Row],[Canada Allocation %]]*Table11[[#This Row],[2024 Estimated Survival%]]</f>
        <v>194.83199999999997</v>
      </c>
      <c r="U78" s="7">
        <f>Table11[[#This Row],[ETP Year]]</f>
        <v>2018</v>
      </c>
      <c r="V78" s="7">
        <f>Table11[[#This Row],[Planting Year]]</f>
        <v>2019</v>
      </c>
      <c r="W78" s="8">
        <f>Table11[[#This Row],[Survival% as of 12/31/23]]</f>
        <v>0.98399999999999987</v>
      </c>
      <c r="X78" s="7">
        <f>Table11[[#This Row],[ETP'#s]]</f>
        <v>1</v>
      </c>
    </row>
    <row r="79" spans="1:24" x14ac:dyDescent="0.25">
      <c r="A79">
        <f>Table11[[#This Row],[Farmer'#]]</f>
        <v>10032</v>
      </c>
      <c r="B79" t="str">
        <f>Table11[[#This Row],[Representative]]</f>
        <v>Dan McClure</v>
      </c>
      <c r="C79" t="str">
        <f>Table11[[#This Row],[Contract Name]]</f>
        <v>The Langdon Group WW LLC</v>
      </c>
      <c r="D79" t="str">
        <f>Table11[[#This Row],[Status]]</f>
        <v>Active</v>
      </c>
      <c r="E79" t="str">
        <f>Table11[[#This Row],[Contract Code]]</f>
        <v>US0038</v>
      </c>
      <c r="F79" s="16">
        <f>Table11[[#This Row],['#TreesContract]]</f>
        <v>3400</v>
      </c>
      <c r="G79" s="16">
        <f>Table11[[#This Row],['#Planted]]</f>
        <v>3400</v>
      </c>
      <c r="H79" s="16">
        <f>Table11[[#This Row],['#TreesContract]]*Table11[[#This Row],[Canada Allocation %]]</f>
        <v>1224</v>
      </c>
      <c r="I79" s="16">
        <f>Table11[[#This Row],['#Planted]]*Table11[[#This Row],[Canada Allocation %]]</f>
        <v>1224</v>
      </c>
      <c r="J79" s="16">
        <f>Table11[[#This Row],[Contract Amendment]]*Table11[[#This Row],[Canada Allocation %]]</f>
        <v>0</v>
      </c>
      <c r="K79" s="16">
        <f>Table11[[#This Row],['#Trees as of 12/31/23]]*Table11[[#This Row],[Canada Allocation %]]</f>
        <v>765</v>
      </c>
      <c r="L79" s="16">
        <f>Table11[[#This Row],['#Replace 24]]*Table11[[#This Row],[Canada Allocation %]]</f>
        <v>0</v>
      </c>
      <c r="M79" s="16"/>
      <c r="N79" s="16">
        <f>(Table11[[#This Row],[2024 '#Trees Inventory + Estimate]]*Table11[[#This Row],[Canada Allocation %]])-SUM(Table378[[#This Row],['# Trees as of 12/31/23]:[New Trees/Planted in 2024]])</f>
        <v>0</v>
      </c>
      <c r="O79" s="16">
        <f>SUM(Table378[[#This Row],['# Trees as of 12/31/23]:[2024 Tree Losses]])</f>
        <v>765</v>
      </c>
      <c r="P79" s="16">
        <f>SUM(Table378[[#This Row],[Total Trees as of 12/31/24]]-Table378[[#This Row],['# Trees as of 12/31/23]])</f>
        <v>0</v>
      </c>
      <c r="Q79" s="16">
        <f>Table11[[#This Row],['#Total Replacements]]*Table11[[#This Row],[Canada Allocation %]]</f>
        <v>1285.9199999999998</v>
      </c>
      <c r="R79" s="16">
        <f>IF(Table378[[#This Row],['#Survival based on Inventory]]=0,Table378['#Survival based on Last Year Estimate],Table378['#Survival based on Inventory])</f>
        <v>765</v>
      </c>
      <c r="S79" s="16">
        <f>Table11[[#This Row],['#Planted]]*Table11[[#This Row],[Canada Allocation %]]*Table11[[#This Row],[2024 Inventory Survival%-master]]</f>
        <v>0</v>
      </c>
      <c r="T79" s="16">
        <f>Table11[[#This Row],['#Planted]]*Table11[[#This Row],[Canada Allocation %]]*Table11[[#This Row],[2024 Estimated Survival%]]</f>
        <v>765</v>
      </c>
      <c r="U79" s="7">
        <f>Table11[[#This Row],[ETP Year]]</f>
        <v>2018</v>
      </c>
      <c r="V79" s="7">
        <f>Table11[[#This Row],[Planting Year]]</f>
        <v>2019</v>
      </c>
      <c r="W79" s="8">
        <f>Table11[[#This Row],[Survival% as of 12/31/23]]</f>
        <v>0.625</v>
      </c>
      <c r="X79" s="7">
        <f>Table11[[#This Row],[ETP'#s]]</f>
        <v>1</v>
      </c>
    </row>
    <row r="80" spans="1:24" x14ac:dyDescent="0.25">
      <c r="A80">
        <f>Table11[[#This Row],[Farmer'#]]</f>
        <v>10033</v>
      </c>
      <c r="B80" t="str">
        <f>Table11[[#This Row],[Representative]]</f>
        <v>David Chang</v>
      </c>
      <c r="C80" t="str">
        <f>Table11[[#This Row],[Contract Name]]</f>
        <v>David Chang</v>
      </c>
      <c r="D80" t="str">
        <f>Table11[[#This Row],[Status]]</f>
        <v>Active</v>
      </c>
      <c r="E80" t="str">
        <f>Table11[[#This Row],[Contract Code]]</f>
        <v>US0039</v>
      </c>
      <c r="F80" s="16">
        <f>Table11[[#This Row],['#TreesContract]]</f>
        <v>1100</v>
      </c>
      <c r="G80" s="16">
        <f>Table11[[#This Row],['#Planted]]</f>
        <v>1100</v>
      </c>
      <c r="H80" s="16">
        <f>Table11[[#This Row],['#TreesContract]]*Table11[[#This Row],[Canada Allocation %]]</f>
        <v>396</v>
      </c>
      <c r="I80" s="16">
        <f>Table11[[#This Row],['#Planted]]*Table11[[#This Row],[Canada Allocation %]]</f>
        <v>396</v>
      </c>
      <c r="J80" s="16">
        <f>Table11[[#This Row],[Contract Amendment]]*Table11[[#This Row],[Canada Allocation %]]</f>
        <v>0</v>
      </c>
      <c r="K80" s="16">
        <f>Table11[[#This Row],['#Trees as of 12/31/23]]*Table11[[#This Row],[Canada Allocation %]]</f>
        <v>380.92763076923075</v>
      </c>
      <c r="L80" s="16">
        <f>Table11[[#This Row],['#Replace 24]]*Table11[[#This Row],[Canada Allocation %]]</f>
        <v>0</v>
      </c>
      <c r="M80" s="16"/>
      <c r="N80" s="16">
        <f>(Table11[[#This Row],[2024 '#Trees Inventory + Estimate]]*Table11[[#This Row],[Canada Allocation %]])-SUM(Table378[[#This Row],['# Trees as of 12/31/23]:[New Trees/Planted in 2024]])</f>
        <v>0</v>
      </c>
      <c r="O80" s="16">
        <f>SUM(Table378[[#This Row],['# Trees as of 12/31/23]:[2024 Tree Losses]])</f>
        <v>380.92763076923075</v>
      </c>
      <c r="P80" s="16">
        <f>SUM(Table378[[#This Row],[Total Trees as of 12/31/24]]-Table378[[#This Row],['# Trees as of 12/31/23]])</f>
        <v>0</v>
      </c>
      <c r="Q80" s="16">
        <f>Table11[[#This Row],['#Total Replacements]]*Table11[[#This Row],[Canada Allocation %]]</f>
        <v>57.599999999999994</v>
      </c>
      <c r="R80" s="16">
        <f>IF(Table378[[#This Row],['#Survival based on Inventory]]=0,Table378['#Survival based on Last Year Estimate],Table378['#Survival based on Inventory])</f>
        <v>380.92763076923075</v>
      </c>
      <c r="S80" s="16">
        <f>Table11[[#This Row],['#Planted]]*Table11[[#This Row],[Canada Allocation %]]*Table11[[#This Row],[2024 Inventory Survival%-master]]</f>
        <v>0</v>
      </c>
      <c r="T80" s="16">
        <f>Table11[[#This Row],['#Planted]]*Table11[[#This Row],[Canada Allocation %]]*Table11[[#This Row],[2024 Estimated Survival%]]</f>
        <v>380.92763076923075</v>
      </c>
      <c r="U80" s="7">
        <f>Table11[[#This Row],[ETP Year]]</f>
        <v>2018</v>
      </c>
      <c r="V80" s="7">
        <f>Table11[[#This Row],[Planting Year]]</f>
        <v>2019</v>
      </c>
      <c r="W80" s="8">
        <f>Table11[[#This Row],[Survival% as of 12/31/23]]</f>
        <v>0.96193846153846152</v>
      </c>
      <c r="X80" s="7">
        <f>Table11[[#This Row],[ETP'#s]]</f>
        <v>1</v>
      </c>
    </row>
    <row r="81" spans="1:24" x14ac:dyDescent="0.25">
      <c r="A81">
        <f>Table11[[#This Row],[Farmer'#]]</f>
        <v>10034</v>
      </c>
      <c r="B81" t="str">
        <f>Table11[[#This Row],[Representative]]</f>
        <v>David Peterson</v>
      </c>
      <c r="C81" t="str">
        <f>Table11[[#This Row],[Contract Name]]</f>
        <v>David Peterson</v>
      </c>
      <c r="D81" t="str">
        <f>Table11[[#This Row],[Status]]</f>
        <v>Active</v>
      </c>
      <c r="E81" t="str">
        <f>Table11[[#This Row],[Contract Code]]</f>
        <v>US0040</v>
      </c>
      <c r="F81" s="16">
        <f>Table11[[#This Row],['#TreesContract]]</f>
        <v>1320</v>
      </c>
      <c r="G81" s="16">
        <f>Table11[[#This Row],['#Planted]]</f>
        <v>1320</v>
      </c>
      <c r="H81" s="16">
        <f>Table11[[#This Row],['#TreesContract]]*Table11[[#This Row],[Canada Allocation %]]</f>
        <v>475</v>
      </c>
      <c r="I81" s="16">
        <f>Table11[[#This Row],['#Planted]]*Table11[[#This Row],[Canada Allocation %]]</f>
        <v>475</v>
      </c>
      <c r="J81" s="16">
        <f>Table11[[#This Row],[Contract Amendment]]*Table11[[#This Row],[Canada Allocation %]]</f>
        <v>0</v>
      </c>
      <c r="K81" s="16">
        <f>Table11[[#This Row],['#Trees as of 12/31/23]]*Table11[[#This Row],[Canada Allocation %]]</f>
        <v>444.13648722676504</v>
      </c>
      <c r="L81" s="16">
        <f>Table11[[#This Row],['#Replace 24]]*Table11[[#This Row],[Canada Allocation %]]</f>
        <v>0</v>
      </c>
      <c r="M81" s="16"/>
      <c r="N81" s="16">
        <f>(Table11[[#This Row],[2024 '#Trees Inventory + Estimate]]*Table11[[#This Row],[Canada Allocation %]])-SUM(Table378[[#This Row],['# Trees as of 12/31/23]:[New Trees/Planted in 2024]])</f>
        <v>0</v>
      </c>
      <c r="O81" s="16">
        <f>SUM(Table378[[#This Row],['# Trees as of 12/31/23]:[2024 Tree Losses]])</f>
        <v>444.13648722676504</v>
      </c>
      <c r="P81" s="16">
        <f>SUM(Table378[[#This Row],[Total Trees as of 12/31/24]]-Table378[[#This Row],['# Trees as of 12/31/23]])</f>
        <v>0</v>
      </c>
      <c r="Q81" s="16">
        <f>Table11[[#This Row],['#Total Replacements]]*Table11[[#This Row],[Canada Allocation %]]</f>
        <v>0</v>
      </c>
      <c r="R81" s="16">
        <f>IF(Table378[[#This Row],['#Survival based on Inventory]]=0,Table378['#Survival based on Last Year Estimate],Table378['#Survival based on Inventory])</f>
        <v>444.13648722676504</v>
      </c>
      <c r="S81" s="16">
        <f>Table11[[#This Row],['#Planted]]*Table11[[#This Row],[Canada Allocation %]]*Table11[[#This Row],[2024 Inventory Survival%-master]]</f>
        <v>0</v>
      </c>
      <c r="T81" s="16">
        <f>Table11[[#This Row],['#Planted]]*Table11[[#This Row],[Canada Allocation %]]*Table11[[#This Row],[2024 Estimated Survival%]]</f>
        <v>444.13648722676504</v>
      </c>
      <c r="U81" s="7">
        <f>Table11[[#This Row],[ETP Year]]</f>
        <v>2018</v>
      </c>
      <c r="V81" s="7">
        <f>Table11[[#This Row],[Planting Year]]</f>
        <v>2019</v>
      </c>
      <c r="W81" s="8">
        <f>Table11[[#This Row],[Survival% as of 12/31/23]]</f>
        <v>0.93502418363529483</v>
      </c>
      <c r="X81" s="7">
        <f>Table11[[#This Row],[ETP'#s]]</f>
        <v>1</v>
      </c>
    </row>
    <row r="82" spans="1:24" x14ac:dyDescent="0.25">
      <c r="A82">
        <f>Table11[[#This Row],[Farmer'#]]</f>
        <v>10035</v>
      </c>
      <c r="B82" t="str">
        <f>Table11[[#This Row],[Representative]]</f>
        <v>Derek Bass</v>
      </c>
      <c r="C82" t="str">
        <f>Table11[[#This Row],[Contract Name]]</f>
        <v>Derek Bass</v>
      </c>
      <c r="D82" t="str">
        <f>Table11[[#This Row],[Status]]</f>
        <v>Active</v>
      </c>
      <c r="E82" t="str">
        <f>Table11[[#This Row],[Contract Code]]</f>
        <v>US0041</v>
      </c>
      <c r="F82" s="16">
        <f>Table11[[#This Row],['#TreesContract]]</f>
        <v>1100</v>
      </c>
      <c r="G82" s="16">
        <f>Table11[[#This Row],['#Planted]]</f>
        <v>1100</v>
      </c>
      <c r="H82" s="16">
        <f>Table11[[#This Row],['#TreesContract]]*Table11[[#This Row],[Canada Allocation %]]</f>
        <v>396</v>
      </c>
      <c r="I82" s="16">
        <f>Table11[[#This Row],['#Planted]]*Table11[[#This Row],[Canada Allocation %]]</f>
        <v>396</v>
      </c>
      <c r="J82" s="16">
        <f>Table11[[#This Row],[Contract Amendment]]*Table11[[#This Row],[Canada Allocation %]]</f>
        <v>0</v>
      </c>
      <c r="K82" s="16">
        <f>Table11[[#This Row],['#Trees as of 12/31/23]]*Table11[[#This Row],[Canada Allocation %]]</f>
        <v>313.1218618181818</v>
      </c>
      <c r="L82" s="16">
        <f>Table11[[#This Row],['#Replace 24]]*Table11[[#This Row],[Canada Allocation %]]</f>
        <v>0</v>
      </c>
      <c r="M82" s="16"/>
      <c r="N82" s="16">
        <f>(Table11[[#This Row],[2024 '#Trees Inventory + Estimate]]*Table11[[#This Row],[Canada Allocation %]])-SUM(Table378[[#This Row],['# Trees as of 12/31/23]:[New Trees/Planted in 2024]])</f>
        <v>0</v>
      </c>
      <c r="O82" s="16">
        <f>SUM(Table378[[#This Row],['# Trees as of 12/31/23]:[2024 Tree Losses]])</f>
        <v>313.1218618181818</v>
      </c>
      <c r="P82" s="16">
        <f>SUM(Table378[[#This Row],[Total Trees as of 12/31/24]]-Table378[[#This Row],['# Trees as of 12/31/23]])</f>
        <v>0</v>
      </c>
      <c r="Q82" s="16">
        <f>Table11[[#This Row],['#Total Replacements]]*Table11[[#This Row],[Canada Allocation %]]</f>
        <v>193.32</v>
      </c>
      <c r="R82" s="16">
        <f>IF(Table378[[#This Row],['#Survival based on Inventory]]=0,Table378['#Survival based on Last Year Estimate],Table378['#Survival based on Inventory])</f>
        <v>313.12186181818186</v>
      </c>
      <c r="S82" s="16">
        <f>Table11[[#This Row],['#Planted]]*Table11[[#This Row],[Canada Allocation %]]*Table11[[#This Row],[2024 Inventory Survival%-master]]</f>
        <v>0</v>
      </c>
      <c r="T82" s="16">
        <f>Table11[[#This Row],['#Planted]]*Table11[[#This Row],[Canada Allocation %]]*Table11[[#This Row],[2024 Estimated Survival%]]</f>
        <v>313.12186181818186</v>
      </c>
      <c r="U82" s="7">
        <f>Table11[[#This Row],[ETP Year]]</f>
        <v>2018</v>
      </c>
      <c r="V82" s="7">
        <f>Table11[[#This Row],[Planting Year]]</f>
        <v>2019</v>
      </c>
      <c r="W82" s="8">
        <f>Table11[[#This Row],[Survival% as of 12/31/23]]</f>
        <v>0.79071177226813594</v>
      </c>
      <c r="X82" s="7">
        <f>Table11[[#This Row],[ETP'#s]]</f>
        <v>1</v>
      </c>
    </row>
    <row r="83" spans="1:24" x14ac:dyDescent="0.25">
      <c r="A83">
        <f>Table11[[#This Row],[Farmer'#]]</f>
        <v>10036</v>
      </c>
      <c r="B83" t="str">
        <f>Table11[[#This Row],[Representative]]</f>
        <v>Jason Humphries</v>
      </c>
      <c r="C83" t="str">
        <f>Table11[[#This Row],[Contract Name]]</f>
        <v>Jason Humphries</v>
      </c>
      <c r="D83" t="str">
        <f>Table11[[#This Row],[Status]]</f>
        <v>Active</v>
      </c>
      <c r="E83" t="str">
        <f>Table11[[#This Row],[Contract Code]]</f>
        <v>US0043</v>
      </c>
      <c r="F83" s="16">
        <f>Table11[[#This Row],['#TreesContract]]</f>
        <v>3170</v>
      </c>
      <c r="G83" s="16">
        <f>Table11[[#This Row],['#Planted]]</f>
        <v>3170</v>
      </c>
      <c r="H83" s="16">
        <f>Table11[[#This Row],['#TreesContract]]*Table11[[#This Row],[Canada Allocation %]]</f>
        <v>1141</v>
      </c>
      <c r="I83" s="16">
        <f>Table11[[#This Row],['#Planted]]*Table11[[#This Row],[Canada Allocation %]]</f>
        <v>1141</v>
      </c>
      <c r="J83" s="16">
        <f>Table11[[#This Row],[Contract Amendment]]*Table11[[#This Row],[Canada Allocation %]]</f>
        <v>0</v>
      </c>
      <c r="K83" s="16">
        <f>Table11[[#This Row],['#Trees as of 12/31/23]]*Table11[[#This Row],[Canada Allocation %]]</f>
        <v>1117.2110663910948</v>
      </c>
      <c r="L83" s="16">
        <f>Table11[[#This Row],['#Replace 24]]*Table11[[#This Row],[Canada Allocation %]]</f>
        <v>0</v>
      </c>
      <c r="M83" s="16"/>
      <c r="N83" s="16">
        <f>(Table11[[#This Row],[2024 '#Trees Inventory + Estimate]]*Table11[[#This Row],[Canada Allocation %]])-SUM(Table378[[#This Row],['# Trees as of 12/31/23]:[New Trees/Planted in 2024]])</f>
        <v>0</v>
      </c>
      <c r="O83" s="16">
        <f>SUM(Table378[[#This Row],['# Trees as of 12/31/23]:[2024 Tree Losses]])</f>
        <v>1117.2110663910948</v>
      </c>
      <c r="P83" s="16">
        <f>SUM(Table378[[#This Row],[Total Trees as of 12/31/24]]-Table378[[#This Row],['# Trees as of 12/31/23]])</f>
        <v>0</v>
      </c>
      <c r="Q83" s="16">
        <f>Table11[[#This Row],['#Total Replacements]]*Table11[[#This Row],[Canada Allocation %]]</f>
        <v>89.98422712933754</v>
      </c>
      <c r="R83" s="16">
        <f>IF(Table378[[#This Row],['#Survival based on Inventory]]=0,Table378['#Survival based on Last Year Estimate],Table378['#Survival based on Inventory])</f>
        <v>1117.2110663910946</v>
      </c>
      <c r="S83" s="16">
        <f>Table11[[#This Row],['#Planted]]*Table11[[#This Row],[Canada Allocation %]]*Table11[[#This Row],[2024 Inventory Survival%-master]]</f>
        <v>0</v>
      </c>
      <c r="T83" s="16">
        <f>Table11[[#This Row],['#Planted]]*Table11[[#This Row],[Canada Allocation %]]*Table11[[#This Row],[2024 Estimated Survival%]]</f>
        <v>1117.2110663910946</v>
      </c>
      <c r="U83" s="7">
        <f>Table11[[#This Row],[ETP Year]]</f>
        <v>2018</v>
      </c>
      <c r="V83" s="7">
        <f>Table11[[#This Row],[Planting Year]]</f>
        <v>2019</v>
      </c>
      <c r="W83" s="8">
        <f>Table11[[#This Row],[Survival% as of 12/31/23]]</f>
        <v>0.97915080314732228</v>
      </c>
      <c r="X83" s="7">
        <f>Table11[[#This Row],[ETP'#s]]</f>
        <v>1</v>
      </c>
    </row>
    <row r="84" spans="1:24" x14ac:dyDescent="0.25">
      <c r="A84">
        <f>Table11[[#This Row],[Farmer'#]]</f>
        <v>10037</v>
      </c>
      <c r="B84" t="str">
        <f>Table11[[#This Row],[Representative]]</f>
        <v>Jimmy Aplin</v>
      </c>
      <c r="C84" t="str">
        <f>Table11[[#This Row],[Contract Name]]</f>
        <v>Jimmy Aplin</v>
      </c>
      <c r="D84" t="str">
        <f>Table11[[#This Row],[Status]]</f>
        <v>Out of Program</v>
      </c>
      <c r="E84" t="str">
        <f>Table11[[#This Row],[Contract Code]]</f>
        <v>US0044</v>
      </c>
      <c r="F84" s="16">
        <f>Table11[[#This Row],['#TreesContract]]</f>
        <v>1100</v>
      </c>
      <c r="G84" s="16">
        <f>Table11[[#This Row],['#Planted]]</f>
        <v>1100</v>
      </c>
      <c r="H84" s="16">
        <f>Table11[[#This Row],['#TreesContract]]*Table11[[#This Row],[Canada Allocation %]]</f>
        <v>396</v>
      </c>
      <c r="I84" s="16">
        <f>Table11[[#This Row],['#Planted]]*Table11[[#This Row],[Canada Allocation %]]</f>
        <v>396</v>
      </c>
      <c r="J84" s="16">
        <f>Table11[[#This Row],[Contract Amendment]]*Table11[[#This Row],[Canada Allocation %]]</f>
        <v>0</v>
      </c>
      <c r="K84" s="16">
        <f>Table11[[#This Row],['#Trees as of 12/31/23]]*Table11[[#This Row],[Canada Allocation %]]</f>
        <v>0</v>
      </c>
      <c r="L84" s="16">
        <f>Table11[[#This Row],['#Replace 24]]*Table11[[#This Row],[Canada Allocation %]]</f>
        <v>0</v>
      </c>
      <c r="M84" s="16"/>
      <c r="N84" s="16">
        <f>(Table11[[#This Row],[2024 '#Trees Inventory + Estimate]]*Table11[[#This Row],[Canada Allocation %]])-SUM(Table378[[#This Row],['# Trees as of 12/31/23]:[New Trees/Planted in 2024]])</f>
        <v>0</v>
      </c>
      <c r="O84" s="16">
        <f>SUM(Table378[[#This Row],['# Trees as of 12/31/23]:[2024 Tree Losses]])</f>
        <v>0</v>
      </c>
      <c r="P84" s="16">
        <f>SUM(Table378[[#This Row],[Total Trees as of 12/31/24]]-Table378[[#This Row],['# Trees as of 12/31/23]])</f>
        <v>0</v>
      </c>
      <c r="Q84" s="16">
        <f>Table11[[#This Row],['#Total Replacements]]*Table11[[#This Row],[Canada Allocation %]]</f>
        <v>396</v>
      </c>
      <c r="R84" s="16">
        <f>IF(Table378[[#This Row],['#Survival based on Inventory]]=0,Table378['#Survival based on Last Year Estimate],Table378['#Survival based on Inventory])</f>
        <v>0</v>
      </c>
      <c r="S84" s="16">
        <f>Table11[[#This Row],['#Planted]]*Table11[[#This Row],[Canada Allocation %]]*Table11[[#This Row],[2024 Inventory Survival%-master]]</f>
        <v>0</v>
      </c>
      <c r="T84" s="16">
        <f>Table11[[#This Row],['#Planted]]*Table11[[#This Row],[Canada Allocation %]]*Table11[[#This Row],[2024 Estimated Survival%]]</f>
        <v>0</v>
      </c>
      <c r="U84" s="7">
        <f>Table11[[#This Row],[ETP Year]]</f>
        <v>2018</v>
      </c>
      <c r="V84" s="7">
        <f>Table11[[#This Row],[Planting Year]]</f>
        <v>2019</v>
      </c>
      <c r="W84" s="8">
        <f>Table11[[#This Row],[Survival% as of 12/31/23]]</f>
        <v>0</v>
      </c>
      <c r="X84" s="7">
        <f>Table11[[#This Row],[ETP'#s]]</f>
        <v>1</v>
      </c>
    </row>
    <row r="85" spans="1:24" x14ac:dyDescent="0.25">
      <c r="A85">
        <f>Table11[[#This Row],[Farmer'#]]</f>
        <v>10038</v>
      </c>
      <c r="B85" t="str">
        <f>Table11[[#This Row],[Representative]]</f>
        <v>Michael Masengil</v>
      </c>
      <c r="C85" t="str">
        <f>Table11[[#This Row],[Contract Name]]</f>
        <v>Michael Masengil</v>
      </c>
      <c r="D85" t="str">
        <f>Table11[[#This Row],[Status]]</f>
        <v>Active</v>
      </c>
      <c r="E85" t="str">
        <f>Table11[[#This Row],[Contract Code]]</f>
        <v>US0045</v>
      </c>
      <c r="F85" s="16">
        <f>Table11[[#This Row],['#TreesContract]]</f>
        <v>1100</v>
      </c>
      <c r="G85" s="16">
        <f>Table11[[#This Row],['#Planted]]</f>
        <v>1100</v>
      </c>
      <c r="H85" s="16">
        <f>Table11[[#This Row],['#TreesContract]]*Table11[[#This Row],[Canada Allocation %]]</f>
        <v>396</v>
      </c>
      <c r="I85" s="16">
        <f>Table11[[#This Row],['#Planted]]*Table11[[#This Row],[Canada Allocation %]]</f>
        <v>396</v>
      </c>
      <c r="J85" s="16">
        <f>Table11[[#This Row],[Contract Amendment]]*Table11[[#This Row],[Canada Allocation %]]</f>
        <v>0</v>
      </c>
      <c r="K85" s="16">
        <f>Table11[[#This Row],['#Trees as of 12/31/23]]*Table11[[#This Row],[Canada Allocation %]]</f>
        <v>335.5665288461538</v>
      </c>
      <c r="L85" s="16">
        <f>Table11[[#This Row],['#Replace 24]]*Table11[[#This Row],[Canada Allocation %]]</f>
        <v>0</v>
      </c>
      <c r="M85" s="16"/>
      <c r="N85" s="16">
        <f>(Table11[[#This Row],[2024 '#Trees Inventory + Estimate]]*Table11[[#This Row],[Canada Allocation %]])-SUM(Table378[[#This Row],['# Trees as of 12/31/23]:[New Trees/Planted in 2024]])</f>
        <v>0</v>
      </c>
      <c r="O85" s="16">
        <f>SUM(Table378[[#This Row],['# Trees as of 12/31/23]:[2024 Tree Losses]])</f>
        <v>335.5665288461538</v>
      </c>
      <c r="P85" s="16">
        <f>SUM(Table378[[#This Row],[Total Trees as of 12/31/24]]-Table378[[#This Row],['# Trees as of 12/31/23]])</f>
        <v>0</v>
      </c>
      <c r="Q85" s="16">
        <f>Table11[[#This Row],['#Total Replacements]]*Table11[[#This Row],[Canada Allocation %]]</f>
        <v>319.32</v>
      </c>
      <c r="R85" s="16">
        <f>IF(Table378[[#This Row],['#Survival based on Inventory]]=0,Table378['#Survival based on Last Year Estimate],Table378['#Survival based on Inventory])</f>
        <v>335.5665288461538</v>
      </c>
      <c r="S85" s="16">
        <f>Table11[[#This Row],['#Planted]]*Table11[[#This Row],[Canada Allocation %]]*Table11[[#This Row],[2024 Inventory Survival%-master]]</f>
        <v>0</v>
      </c>
      <c r="T85" s="16">
        <f>Table11[[#This Row],['#Planted]]*Table11[[#This Row],[Canada Allocation %]]*Table11[[#This Row],[2024 Estimated Survival%]]</f>
        <v>335.5665288461538</v>
      </c>
      <c r="U85" s="7">
        <f>Table11[[#This Row],[ETP Year]]</f>
        <v>2018</v>
      </c>
      <c r="V85" s="7">
        <f>Table11[[#This Row],[Planting Year]]</f>
        <v>2019</v>
      </c>
      <c r="W85" s="8">
        <f>Table11[[#This Row],[Survival% as of 12/31/23]]</f>
        <v>0.84739022435897426</v>
      </c>
      <c r="X85" s="7">
        <f>Table11[[#This Row],[ETP'#s]]</f>
        <v>1</v>
      </c>
    </row>
    <row r="86" spans="1:24" x14ac:dyDescent="0.25">
      <c r="A86">
        <f>Table11[[#This Row],[Farmer'#]]</f>
        <v>10039</v>
      </c>
      <c r="B86" t="str">
        <f>Table11[[#This Row],[Representative]]</f>
        <v>Ricky and Darcy Dollar</v>
      </c>
      <c r="C86" t="str">
        <f>Table11[[#This Row],[Contract Name]]</f>
        <v>Ricky and/or Darcy Dollar</v>
      </c>
      <c r="D86" t="str">
        <f>Table11[[#This Row],[Status]]</f>
        <v>Out of Program</v>
      </c>
      <c r="E86" t="str">
        <f>Table11[[#This Row],[Contract Code]]</f>
        <v>US0046</v>
      </c>
      <c r="F86" s="16">
        <f>Table11[[#This Row],['#TreesContract]]</f>
        <v>1100</v>
      </c>
      <c r="G86" s="16">
        <f>Table11[[#This Row],['#Planted]]</f>
        <v>1100</v>
      </c>
      <c r="H86" s="16">
        <f>Table11[[#This Row],['#TreesContract]]*Table11[[#This Row],[Canada Allocation %]]</f>
        <v>396</v>
      </c>
      <c r="I86" s="16">
        <f>Table11[[#This Row],['#Planted]]*Table11[[#This Row],[Canada Allocation %]]</f>
        <v>396</v>
      </c>
      <c r="J86" s="16">
        <f>Table11[[#This Row],[Contract Amendment]]*Table11[[#This Row],[Canada Allocation %]]</f>
        <v>0</v>
      </c>
      <c r="K86" s="16">
        <f>Table11[[#This Row],['#Trees as of 12/31/23]]*Table11[[#This Row],[Canada Allocation %]]</f>
        <v>172.889999964</v>
      </c>
      <c r="L86" s="16">
        <f>Table11[[#This Row],['#Replace 24]]*Table11[[#This Row],[Canada Allocation %]]</f>
        <v>0</v>
      </c>
      <c r="M86" s="16"/>
      <c r="N86" s="16">
        <f>(Table11[[#This Row],[2024 '#Trees Inventory + Estimate]]*Table11[[#This Row],[Canada Allocation %]])-SUM(Table378[[#This Row],['# Trees as of 12/31/23]:[New Trees/Planted in 2024]])</f>
        <v>-172.889999964</v>
      </c>
      <c r="O86" s="16">
        <f>SUM(Table378[[#This Row],['# Trees as of 12/31/23]:[2024 Tree Losses]])</f>
        <v>0</v>
      </c>
      <c r="P86" s="16">
        <f>SUM(Table378[[#This Row],[Total Trees as of 12/31/24]]-Table378[[#This Row],['# Trees as of 12/31/23]])</f>
        <v>-172.889999964</v>
      </c>
      <c r="Q86" s="16">
        <f>Table11[[#This Row],['#Total Replacements]]*Table11[[#This Row],[Canada Allocation %]]</f>
        <v>440.64</v>
      </c>
      <c r="R86" s="16">
        <f>IF(Table378[[#This Row],['#Survival based on Inventory]]=0,Table378['#Survival based on Last Year Estimate],Table378['#Survival based on Inventory])</f>
        <v>0</v>
      </c>
      <c r="S86" s="16">
        <f>Table11[[#This Row],['#Planted]]*Table11[[#This Row],[Canada Allocation %]]*Table11[[#This Row],[2024 Inventory Survival%-master]]</f>
        <v>0</v>
      </c>
      <c r="T86" s="16">
        <f>Table11[[#This Row],['#Planted]]*Table11[[#This Row],[Canada Allocation %]]*Table11[[#This Row],[2024 Estimated Survival%]]</f>
        <v>0</v>
      </c>
      <c r="U86" s="7">
        <f>Table11[[#This Row],[ETP Year]]</f>
        <v>2018</v>
      </c>
      <c r="V86" s="7">
        <f>Table11[[#This Row],[Planting Year]]</f>
        <v>2019</v>
      </c>
      <c r="W86" s="8">
        <f>Table11[[#This Row],[Survival% as of 12/31/23]]</f>
        <v>0.43659090909090909</v>
      </c>
      <c r="X86" s="7">
        <f>Table11[[#This Row],[ETP'#s]]</f>
        <v>1</v>
      </c>
    </row>
    <row r="87" spans="1:24" x14ac:dyDescent="0.25">
      <c r="A87">
        <f>Table11[[#This Row],[Farmer'#]]</f>
        <v>10040</v>
      </c>
      <c r="B87" t="str">
        <f>Table11[[#This Row],[Representative]]</f>
        <v>Scott Willis</v>
      </c>
      <c r="C87" t="str">
        <f>Table11[[#This Row],[Contract Name]]</f>
        <v>Scott Willis</v>
      </c>
      <c r="D87" t="str">
        <f>Table11[[#This Row],[Status]]</f>
        <v>Active</v>
      </c>
      <c r="E87" t="str">
        <f>Table11[[#This Row],[Contract Code]]</f>
        <v>US0047</v>
      </c>
      <c r="F87" s="16">
        <f>Table11[[#This Row],['#TreesContract]]</f>
        <v>1100</v>
      </c>
      <c r="G87" s="16">
        <f>Table11[[#This Row],['#Planted]]</f>
        <v>1100</v>
      </c>
      <c r="H87" s="16">
        <f>Table11[[#This Row],['#TreesContract]]*Table11[[#This Row],[Canada Allocation %]]</f>
        <v>396</v>
      </c>
      <c r="I87" s="16">
        <f>Table11[[#This Row],['#Planted]]*Table11[[#This Row],[Canada Allocation %]]</f>
        <v>396</v>
      </c>
      <c r="J87" s="16">
        <f>Table11[[#This Row],[Contract Amendment]]*Table11[[#This Row],[Canada Allocation %]]</f>
        <v>0</v>
      </c>
      <c r="K87" s="16">
        <f>Table11[[#This Row],['#Trees as of 12/31/23]]*Table11[[#This Row],[Canada Allocation %]]</f>
        <v>386.08457142857145</v>
      </c>
      <c r="L87" s="16">
        <f>Table11[[#This Row],['#Replace 24]]*Table11[[#This Row],[Canada Allocation %]]</f>
        <v>0</v>
      </c>
      <c r="M87" s="16"/>
      <c r="N87" s="16">
        <f>(Table11[[#This Row],[2024 '#Trees Inventory + Estimate]]*Table11[[#This Row],[Canada Allocation %]])-SUM(Table378[[#This Row],['# Trees as of 12/31/23]:[New Trees/Planted in 2024]])</f>
        <v>0</v>
      </c>
      <c r="O87" s="16">
        <f>SUM(Table378[[#This Row],['# Trees as of 12/31/23]:[2024 Tree Losses]])</f>
        <v>386.08457142857145</v>
      </c>
      <c r="P87" s="16">
        <f>SUM(Table378[[#This Row],[Total Trees as of 12/31/24]]-Table378[[#This Row],['# Trees as of 12/31/23]])</f>
        <v>0</v>
      </c>
      <c r="Q87" s="16">
        <f>Table11[[#This Row],['#Total Replacements]]*Table11[[#This Row],[Canada Allocation %]]</f>
        <v>51.839999999999996</v>
      </c>
      <c r="R87" s="16">
        <f>IF(Table378[[#This Row],['#Survival based on Inventory]]=0,Table378['#Survival based on Last Year Estimate],Table378['#Survival based on Inventory])</f>
        <v>386.08457142857151</v>
      </c>
      <c r="S87" s="16">
        <f>Table11[[#This Row],['#Planted]]*Table11[[#This Row],[Canada Allocation %]]*Table11[[#This Row],[2024 Inventory Survival%-master]]</f>
        <v>0</v>
      </c>
      <c r="T87" s="16">
        <f>Table11[[#This Row],['#Planted]]*Table11[[#This Row],[Canada Allocation %]]*Table11[[#This Row],[2024 Estimated Survival%]]</f>
        <v>386.08457142857151</v>
      </c>
      <c r="U87" s="7">
        <f>Table11[[#This Row],[ETP Year]]</f>
        <v>2018</v>
      </c>
      <c r="V87" s="7">
        <f>Table11[[#This Row],[Planting Year]]</f>
        <v>2019</v>
      </c>
      <c r="W87" s="8">
        <f>Table11[[#This Row],[Survival% as of 12/31/23]]</f>
        <v>0.97496103896103914</v>
      </c>
      <c r="X87" s="7">
        <f>Table11[[#This Row],[ETP'#s]]</f>
        <v>1</v>
      </c>
    </row>
    <row r="88" spans="1:24" x14ac:dyDescent="0.25">
      <c r="A88">
        <f>Table11[[#This Row],[Farmer'#]]</f>
        <v>10041</v>
      </c>
      <c r="B88" t="str">
        <f>Table11[[#This Row],[Representative]]</f>
        <v>Shawn Harrison</v>
      </c>
      <c r="C88" t="str">
        <f>Table11[[#This Row],[Contract Name]]</f>
        <v>Shawn Harrison</v>
      </c>
      <c r="D88" t="str">
        <f>Table11[[#This Row],[Status]]</f>
        <v>Out of Program</v>
      </c>
      <c r="E88" t="str">
        <f>Table11[[#This Row],[Contract Code]]</f>
        <v>US0048</v>
      </c>
      <c r="F88" s="16">
        <f>Table11[[#This Row],['#TreesContract]]</f>
        <v>1100</v>
      </c>
      <c r="G88" s="16">
        <f>Table11[[#This Row],['#Planted]]</f>
        <v>1100</v>
      </c>
      <c r="H88" s="16">
        <f>Table11[[#This Row],['#TreesContract]]*Table11[[#This Row],[Canada Allocation %]]</f>
        <v>396</v>
      </c>
      <c r="I88" s="16">
        <f>Table11[[#This Row],['#Planted]]*Table11[[#This Row],[Canada Allocation %]]</f>
        <v>396</v>
      </c>
      <c r="J88" s="16">
        <f>Table11[[#This Row],[Contract Amendment]]*Table11[[#This Row],[Canada Allocation %]]</f>
        <v>0</v>
      </c>
      <c r="K88" s="16">
        <f>Table11[[#This Row],['#Trees as of 12/31/23]]*Table11[[#This Row],[Canada Allocation %]]</f>
        <v>0</v>
      </c>
      <c r="L88" s="16">
        <f>Table11[[#This Row],['#Replace 24]]*Table11[[#This Row],[Canada Allocation %]]</f>
        <v>0</v>
      </c>
      <c r="M88" s="16"/>
      <c r="N88" s="16">
        <f>(Table11[[#This Row],[2024 '#Trees Inventory + Estimate]]*Table11[[#This Row],[Canada Allocation %]])-SUM(Table378[[#This Row],['# Trees as of 12/31/23]:[New Trees/Planted in 2024]])</f>
        <v>0</v>
      </c>
      <c r="O88" s="16">
        <f>SUM(Table378[[#This Row],['# Trees as of 12/31/23]:[2024 Tree Losses]])</f>
        <v>0</v>
      </c>
      <c r="P88" s="16">
        <f>SUM(Table378[[#This Row],[Total Trees as of 12/31/24]]-Table378[[#This Row],['# Trees as of 12/31/23]])</f>
        <v>0</v>
      </c>
      <c r="Q88" s="16">
        <f>Table11[[#This Row],['#Total Replacements]]*Table11[[#This Row],[Canada Allocation %]]</f>
        <v>23.04</v>
      </c>
      <c r="R88" s="16">
        <f>IF(Table378[[#This Row],['#Survival based on Inventory]]=0,Table378['#Survival based on Last Year Estimate],Table378['#Survival based on Inventory])</f>
        <v>0</v>
      </c>
      <c r="S88" s="16">
        <f>Table11[[#This Row],['#Planted]]*Table11[[#This Row],[Canada Allocation %]]*Table11[[#This Row],[2024 Inventory Survival%-master]]</f>
        <v>0</v>
      </c>
      <c r="T88" s="16">
        <f>Table11[[#This Row],['#Planted]]*Table11[[#This Row],[Canada Allocation %]]*Table11[[#This Row],[2024 Estimated Survival%]]</f>
        <v>0</v>
      </c>
      <c r="U88" s="7">
        <f>Table11[[#This Row],[ETP Year]]</f>
        <v>2018</v>
      </c>
      <c r="V88" s="7">
        <f>Table11[[#This Row],[Planting Year]]</f>
        <v>2019</v>
      </c>
      <c r="W88" s="8">
        <f>Table11[[#This Row],[Survival% as of 12/31/23]]</f>
        <v>0</v>
      </c>
      <c r="X88" s="7">
        <f>Table11[[#This Row],[ETP'#s]]</f>
        <v>1</v>
      </c>
    </row>
    <row r="89" spans="1:24" x14ac:dyDescent="0.25">
      <c r="A89">
        <f>Table11[[#This Row],[Farmer'#]]</f>
        <v>10042</v>
      </c>
      <c r="B89" t="str">
        <f>Table11[[#This Row],[Representative]]</f>
        <v>Steven Whittaker</v>
      </c>
      <c r="C89" t="str">
        <f>Table11[[#This Row],[Contract Name]]</f>
        <v>Steven Whittaker</v>
      </c>
      <c r="D89" t="str">
        <f>Table11[[#This Row],[Status]]</f>
        <v>Active</v>
      </c>
      <c r="E89" t="str">
        <f>Table11[[#This Row],[Contract Code]]</f>
        <v>US0049</v>
      </c>
      <c r="F89" s="16">
        <f>Table11[[#This Row],['#TreesContract]]</f>
        <v>880</v>
      </c>
      <c r="G89" s="16">
        <f>Table11[[#This Row],['#Planted]]</f>
        <v>880</v>
      </c>
      <c r="H89" s="16">
        <f>Table11[[#This Row],['#TreesContract]]*Table11[[#This Row],[Canada Allocation %]]</f>
        <v>316.8</v>
      </c>
      <c r="I89" s="16">
        <f>Table11[[#This Row],['#Planted]]*Table11[[#This Row],[Canada Allocation %]]</f>
        <v>316.8</v>
      </c>
      <c r="J89" s="16">
        <f>Table11[[#This Row],[Contract Amendment]]*Table11[[#This Row],[Canada Allocation %]]</f>
        <v>0</v>
      </c>
      <c r="K89" s="16">
        <f>Table11[[#This Row],['#Trees as of 12/31/23]]*Table11[[#This Row],[Canada Allocation %]]</f>
        <v>316.8</v>
      </c>
      <c r="L89" s="16">
        <f>Table11[[#This Row],['#Replace 24]]*Table11[[#This Row],[Canada Allocation %]]</f>
        <v>0</v>
      </c>
      <c r="M89" s="16"/>
      <c r="N89" s="16">
        <f>(Table11[[#This Row],[2024 '#Trees Inventory + Estimate]]*Table11[[#This Row],[Canada Allocation %]])-SUM(Table378[[#This Row],['# Trees as of 12/31/23]:[New Trees/Planted in 2024]])</f>
        <v>0</v>
      </c>
      <c r="O89" s="16">
        <f>SUM(Table378[[#This Row],['# Trees as of 12/31/23]:[2024 Tree Losses]])</f>
        <v>316.8</v>
      </c>
      <c r="P89" s="16">
        <f>SUM(Table378[[#This Row],[Total Trees as of 12/31/24]]-Table378[[#This Row],['# Trees as of 12/31/23]])</f>
        <v>0</v>
      </c>
      <c r="Q89" s="16">
        <f>Table11[[#This Row],['#Total Replacements]]*Table11[[#This Row],[Canada Allocation %]]</f>
        <v>115.56</v>
      </c>
      <c r="R89" s="16">
        <f>IF(Table378[[#This Row],['#Survival based on Inventory]]=0,Table378['#Survival based on Last Year Estimate],Table378['#Survival based on Inventory])</f>
        <v>316.8</v>
      </c>
      <c r="S89" s="16">
        <f>Table11[[#This Row],['#Planted]]*Table11[[#This Row],[Canada Allocation %]]*Table11[[#This Row],[2024 Inventory Survival%-master]]</f>
        <v>0</v>
      </c>
      <c r="T89" s="16">
        <f>Table11[[#This Row],['#Planted]]*Table11[[#This Row],[Canada Allocation %]]*Table11[[#This Row],[2024 Estimated Survival%]]</f>
        <v>316.8</v>
      </c>
      <c r="U89" s="7">
        <f>Table11[[#This Row],[ETP Year]]</f>
        <v>2018</v>
      </c>
      <c r="V89" s="7">
        <f>Table11[[#This Row],[Planting Year]]</f>
        <v>2019</v>
      </c>
      <c r="W89" s="8">
        <f>Table11[[#This Row],[Survival% as of 12/31/23]]</f>
        <v>1</v>
      </c>
      <c r="X89" s="7">
        <f>Table11[[#This Row],[ETP'#s]]</f>
        <v>1</v>
      </c>
    </row>
    <row r="90" spans="1:24" x14ac:dyDescent="0.25">
      <c r="A90">
        <f>Table11[[#This Row],[Farmer'#]]</f>
        <v>10043</v>
      </c>
      <c r="B90" t="str">
        <f>Table11[[#This Row],[Representative]]</f>
        <v>Teddy Meeks</v>
      </c>
      <c r="C90" t="str">
        <f>Table11[[#This Row],[Contract Name]]</f>
        <v>Teddy Meeks</v>
      </c>
      <c r="D90" t="str">
        <f>Table11[[#This Row],[Status]]</f>
        <v>RFT</v>
      </c>
      <c r="E90" t="str">
        <f>Table11[[#This Row],[Contract Code]]</f>
        <v>US0050</v>
      </c>
      <c r="F90" s="16">
        <f>Table11[[#This Row],['#TreesContract]]</f>
        <v>1100</v>
      </c>
      <c r="G90" s="16">
        <f>Table11[[#This Row],['#Planted]]</f>
        <v>1100</v>
      </c>
      <c r="H90" s="16">
        <f>Table11[[#This Row],['#TreesContract]]*Table11[[#This Row],[Canada Allocation %]]</f>
        <v>396</v>
      </c>
      <c r="I90" s="16">
        <f>Table11[[#This Row],['#Planted]]*Table11[[#This Row],[Canada Allocation %]]</f>
        <v>396</v>
      </c>
      <c r="J90" s="16">
        <f>Table11[[#This Row],[Contract Amendment]]*Table11[[#This Row],[Canada Allocation %]]</f>
        <v>0</v>
      </c>
      <c r="K90" s="16">
        <f>Table11[[#This Row],['#Trees as of 12/31/23]]*Table11[[#This Row],[Canada Allocation %]]</f>
        <v>0</v>
      </c>
      <c r="L90" s="16">
        <f>Table11[[#This Row],['#Replace 24]]*Table11[[#This Row],[Canada Allocation %]]</f>
        <v>0</v>
      </c>
      <c r="M90" s="16"/>
      <c r="N90" s="16">
        <f>(Table11[[#This Row],[2024 '#Trees Inventory + Estimate]]*Table11[[#This Row],[Canada Allocation %]])-SUM(Table378[[#This Row],['# Trees as of 12/31/23]:[New Trees/Planted in 2024]])</f>
        <v>0</v>
      </c>
      <c r="O90" s="16">
        <f>SUM(Table378[[#This Row],['# Trees as of 12/31/23]:[2024 Tree Losses]])</f>
        <v>0</v>
      </c>
      <c r="P90" s="16">
        <f>SUM(Table378[[#This Row],[Total Trees as of 12/31/24]]-Table378[[#This Row],['# Trees as of 12/31/23]])</f>
        <v>0</v>
      </c>
      <c r="Q90" s="16">
        <f>Table11[[#This Row],['#Total Replacements]]*Table11[[#This Row],[Canada Allocation %]]</f>
        <v>317.52</v>
      </c>
      <c r="R90" s="16">
        <f>IF(Table378[[#This Row],['#Survival based on Inventory]]=0,Table378['#Survival based on Last Year Estimate],Table378['#Survival based on Inventory])</f>
        <v>0</v>
      </c>
      <c r="S90" s="16">
        <f>Table11[[#This Row],['#Planted]]*Table11[[#This Row],[Canada Allocation %]]*Table11[[#This Row],[2024 Inventory Survival%-master]]</f>
        <v>0</v>
      </c>
      <c r="T90" s="16">
        <f>Table11[[#This Row],['#Planted]]*Table11[[#This Row],[Canada Allocation %]]*Table11[[#This Row],[2024 Estimated Survival%]]</f>
        <v>0</v>
      </c>
      <c r="U90" s="7">
        <f>Table11[[#This Row],[ETP Year]]</f>
        <v>2018</v>
      </c>
      <c r="V90" s="7">
        <f>Table11[[#This Row],[Planting Year]]</f>
        <v>2019</v>
      </c>
      <c r="W90" s="8">
        <f>Table11[[#This Row],[Survival% as of 12/31/23]]</f>
        <v>0</v>
      </c>
      <c r="X90" s="7">
        <f>Table11[[#This Row],[ETP'#s]]</f>
        <v>1</v>
      </c>
    </row>
    <row r="91" spans="1:24" x14ac:dyDescent="0.25">
      <c r="A91">
        <f>Table11[[#This Row],[Farmer'#]]</f>
        <v>10044</v>
      </c>
      <c r="B91" t="str">
        <f>Table11[[#This Row],[Representative]]</f>
        <v>Wayne Moseley</v>
      </c>
      <c r="C91" t="str">
        <f>Table11[[#This Row],[Contract Name]]</f>
        <v>Wayne Moseley</v>
      </c>
      <c r="D91" t="str">
        <f>Table11[[#This Row],[Status]]</f>
        <v>Active</v>
      </c>
      <c r="E91" t="str">
        <f>Table11[[#This Row],[Contract Code]]</f>
        <v>US0051</v>
      </c>
      <c r="F91" s="16">
        <f>Table11[[#This Row],['#TreesContract]]</f>
        <v>1100</v>
      </c>
      <c r="G91" s="16">
        <f>Table11[[#This Row],['#Planted]]</f>
        <v>1100</v>
      </c>
      <c r="H91" s="16">
        <f>Table11[[#This Row],['#TreesContract]]*Table11[[#This Row],[Canada Allocation %]]</f>
        <v>396</v>
      </c>
      <c r="I91" s="16">
        <f>Table11[[#This Row],['#Planted]]*Table11[[#This Row],[Canada Allocation %]]</f>
        <v>396</v>
      </c>
      <c r="J91" s="16">
        <f>Table11[[#This Row],[Contract Amendment]]*Table11[[#This Row],[Canada Allocation %]]</f>
        <v>0</v>
      </c>
      <c r="K91" s="16">
        <f>Table11[[#This Row],['#Trees as of 12/31/23]]*Table11[[#This Row],[Canada Allocation %]]</f>
        <v>139.31999999999996</v>
      </c>
      <c r="L91" s="16">
        <f>Table11[[#This Row],['#Replace 24]]*Table11[[#This Row],[Canada Allocation %]]</f>
        <v>0</v>
      </c>
      <c r="M91" s="16"/>
      <c r="N91" s="16">
        <f>(Table11[[#This Row],[2024 '#Trees Inventory + Estimate]]*Table11[[#This Row],[Canada Allocation %]])-SUM(Table378[[#This Row],['# Trees as of 12/31/23]:[New Trees/Planted in 2024]])</f>
        <v>0</v>
      </c>
      <c r="O91" s="16">
        <f>SUM(Table378[[#This Row],['# Trees as of 12/31/23]:[2024 Tree Losses]])</f>
        <v>139.31999999999996</v>
      </c>
      <c r="P91" s="16">
        <f>SUM(Table378[[#This Row],[Total Trees as of 12/31/24]]-Table378[[#This Row],['# Trees as of 12/31/23]])</f>
        <v>0</v>
      </c>
      <c r="Q91" s="16">
        <f>Table11[[#This Row],['#Total Replacements]]*Table11[[#This Row],[Canada Allocation %]]</f>
        <v>259.2</v>
      </c>
      <c r="R91" s="16">
        <f>IF(Table378[[#This Row],['#Survival based on Inventory]]=0,Table378['#Survival based on Last Year Estimate],Table378['#Survival based on Inventory])</f>
        <v>139.31999999999996</v>
      </c>
      <c r="S91" s="16">
        <f>Table11[[#This Row],['#Planted]]*Table11[[#This Row],[Canada Allocation %]]*Table11[[#This Row],[2024 Inventory Survival%-master]]</f>
        <v>0</v>
      </c>
      <c r="T91" s="16">
        <f>Table11[[#This Row],['#Planted]]*Table11[[#This Row],[Canada Allocation %]]*Table11[[#This Row],[2024 Estimated Survival%]]</f>
        <v>139.31999999999996</v>
      </c>
      <c r="U91" s="7">
        <f>Table11[[#This Row],[ETP Year]]</f>
        <v>2018</v>
      </c>
      <c r="V91" s="7">
        <f>Table11[[#This Row],[Planting Year]]</f>
        <v>2019</v>
      </c>
      <c r="W91" s="8">
        <f>Table11[[#This Row],[Survival% as of 12/31/23]]</f>
        <v>0.35181818181818175</v>
      </c>
      <c r="X91" s="7">
        <f>Table11[[#This Row],[ETP'#s]]</f>
        <v>1</v>
      </c>
    </row>
    <row r="92" spans="1:24" x14ac:dyDescent="0.25">
      <c r="A92">
        <f>Table11[[#This Row],[Farmer'#]]</f>
        <v>20009</v>
      </c>
      <c r="B92" t="str">
        <f>Table11[[#This Row],[Representative]]</f>
        <v>David Gutierrez</v>
      </c>
      <c r="C92" t="str">
        <f>Table11[[#This Row],[Contract Name]]</f>
        <v>Edgar Gutierrez</v>
      </c>
      <c r="D92" t="str">
        <f>Table11[[#This Row],[Status]]</f>
        <v>Out of Program</v>
      </c>
      <c r="E92" t="str">
        <f>Table11[[#This Row],[Contract Code]]</f>
        <v>CR0085</v>
      </c>
      <c r="F92" s="16">
        <f>Table11[[#This Row],['#TreesContract]]</f>
        <v>285</v>
      </c>
      <c r="G92" s="16">
        <f>Table11[[#This Row],['#Planted]]</f>
        <v>285</v>
      </c>
      <c r="H92" s="16">
        <f>Table11[[#This Row],['#TreesContract]]*Table11[[#This Row],[Canada Allocation %]]</f>
        <v>102.6</v>
      </c>
      <c r="I92" s="16">
        <f>Table11[[#This Row],['#Planted]]*Table11[[#This Row],[Canada Allocation %]]</f>
        <v>102.6</v>
      </c>
      <c r="J92" s="16">
        <f>Table11[[#This Row],[Contract Amendment]]*Table11[[#This Row],[Canada Allocation %]]</f>
        <v>0</v>
      </c>
      <c r="K92" s="16">
        <f>Table11[[#This Row],['#Trees as of 12/31/23]]*Table11[[#This Row],[Canada Allocation %]]</f>
        <v>0</v>
      </c>
      <c r="L92" s="16">
        <f>Table11[[#This Row],['#Replace 24]]*Table11[[#This Row],[Canada Allocation %]]</f>
        <v>0</v>
      </c>
      <c r="M92" s="16"/>
      <c r="N92" s="16">
        <f>(Table11[[#This Row],[2024 '#Trees Inventory + Estimate]]*Table11[[#This Row],[Canada Allocation %]])-SUM(Table378[[#This Row],['# Trees as of 12/31/23]:[New Trees/Planted in 2024]])</f>
        <v>0</v>
      </c>
      <c r="O92" s="16">
        <f>SUM(Table378[[#This Row],['# Trees as of 12/31/23]:[2024 Tree Losses]])</f>
        <v>0</v>
      </c>
      <c r="P92" s="16">
        <f>SUM(Table378[[#This Row],[Total Trees as of 12/31/24]]-Table378[[#This Row],['# Trees as of 12/31/23]])</f>
        <v>0</v>
      </c>
      <c r="Q92" s="16">
        <f>Table11[[#This Row],['#Total Replacements]]*Table11[[#This Row],[Canada Allocation %]]</f>
        <v>0</v>
      </c>
      <c r="R92" s="16">
        <f>IF(Table378[[#This Row],['#Survival based on Inventory]]=0,Table378['#Survival based on Last Year Estimate],Table378['#Survival based on Inventory])</f>
        <v>0</v>
      </c>
      <c r="S92" s="16">
        <f>Table11[[#This Row],['#Planted]]*Table11[[#This Row],[Canada Allocation %]]*Table11[[#This Row],[2024 Inventory Survival%-master]]</f>
        <v>0</v>
      </c>
      <c r="T92" s="16">
        <f>Table11[[#This Row],['#Planted]]*Table11[[#This Row],[Canada Allocation %]]*Table11[[#This Row],[2024 Estimated Survival%]]</f>
        <v>0</v>
      </c>
      <c r="U92" s="7">
        <f>Table11[[#This Row],[ETP Year]]</f>
        <v>2018</v>
      </c>
      <c r="V92" s="7">
        <f>Table11[[#This Row],[Planting Year]]</f>
        <v>2019</v>
      </c>
      <c r="W92" s="8">
        <f>Table11[[#This Row],[Survival% as of 12/31/23]]</f>
        <v>0</v>
      </c>
      <c r="X92" s="7">
        <f>Table11[[#This Row],[ETP'#s]]</f>
        <v>1</v>
      </c>
    </row>
    <row r="93" spans="1:24" x14ac:dyDescent="0.25">
      <c r="A93">
        <f>Table11[[#This Row],[Farmer'#]]</f>
        <v>20023</v>
      </c>
      <c r="B93" t="str">
        <f>Table11[[#This Row],[Representative]]</f>
        <v>Carlos Montero</v>
      </c>
      <c r="C93" t="str">
        <f>Table11[[#This Row],[Contract Name]]</f>
        <v>Carlos Montero</v>
      </c>
      <c r="D93" t="str">
        <f>Table11[[#This Row],[Status]]</f>
        <v>RFT</v>
      </c>
      <c r="E93" t="str">
        <f>Table11[[#This Row],[Contract Code]]</f>
        <v>CR0083</v>
      </c>
      <c r="F93" s="16">
        <f>Table11[[#This Row],['#TreesContract]]</f>
        <v>4000</v>
      </c>
      <c r="G93" s="16">
        <f>Table11[[#This Row],['#Planted]]</f>
        <v>4000</v>
      </c>
      <c r="H93" s="16">
        <f>Table11[[#This Row],['#TreesContract]]*Table11[[#This Row],[Canada Allocation %]]</f>
        <v>1440</v>
      </c>
      <c r="I93" s="16">
        <f>Table11[[#This Row],['#Planted]]*Table11[[#This Row],[Canada Allocation %]]</f>
        <v>1440</v>
      </c>
      <c r="J93" s="16">
        <f>Table11[[#This Row],[Contract Amendment]]*Table11[[#This Row],[Canada Allocation %]]</f>
        <v>0</v>
      </c>
      <c r="K93" s="16">
        <f>Table11[[#This Row],['#Trees as of 12/31/23]]*Table11[[#This Row],[Canada Allocation %]]</f>
        <v>0</v>
      </c>
      <c r="L93" s="16">
        <f>Table11[[#This Row],['#Replace 24]]*Table11[[#This Row],[Canada Allocation %]]</f>
        <v>0</v>
      </c>
      <c r="M93" s="16"/>
      <c r="N93" s="16">
        <f>(Table11[[#This Row],[2024 '#Trees Inventory + Estimate]]*Table11[[#This Row],[Canada Allocation %]])-SUM(Table378[[#This Row],['# Trees as of 12/31/23]:[New Trees/Planted in 2024]])</f>
        <v>0</v>
      </c>
      <c r="O93" s="16">
        <f>SUM(Table378[[#This Row],['# Trees as of 12/31/23]:[2024 Tree Losses]])</f>
        <v>0</v>
      </c>
      <c r="P93" s="16">
        <f>SUM(Table378[[#This Row],[Total Trees as of 12/31/24]]-Table378[[#This Row],['# Trees as of 12/31/23]])</f>
        <v>0</v>
      </c>
      <c r="Q93" s="16">
        <f>Table11[[#This Row],['#Total Replacements]]*Table11[[#This Row],[Canada Allocation %]]</f>
        <v>0</v>
      </c>
      <c r="R93" s="16">
        <f>IF(Table378[[#This Row],['#Survival based on Inventory]]=0,Table378['#Survival based on Last Year Estimate],Table378['#Survival based on Inventory])</f>
        <v>0</v>
      </c>
      <c r="S93" s="16">
        <f>Table11[[#This Row],['#Planted]]*Table11[[#This Row],[Canada Allocation %]]*Table11[[#This Row],[2024 Inventory Survival%-master]]</f>
        <v>0</v>
      </c>
      <c r="T93" s="16">
        <f>Table11[[#This Row],['#Planted]]*Table11[[#This Row],[Canada Allocation %]]*Table11[[#This Row],[2024 Estimated Survival%]]</f>
        <v>0</v>
      </c>
      <c r="U93" s="7">
        <f>Table11[[#This Row],[ETP Year]]</f>
        <v>2018</v>
      </c>
      <c r="V93" s="7">
        <f>Table11[[#This Row],[Planting Year]]</f>
        <v>2019</v>
      </c>
      <c r="W93" s="8">
        <f>Table11[[#This Row],[Survival% as of 12/31/23]]</f>
        <v>0</v>
      </c>
      <c r="X93" s="7">
        <f>Table11[[#This Row],[ETP'#s]]</f>
        <v>1</v>
      </c>
    </row>
    <row r="94" spans="1:24" x14ac:dyDescent="0.25">
      <c r="A94">
        <f>Table11[[#This Row],[Farmer'#]]</f>
        <v>20074</v>
      </c>
      <c r="B94" t="str">
        <f>Table11[[#This Row],[Representative]]</f>
        <v>Carlos Batalla</v>
      </c>
      <c r="C94" t="str">
        <f>Table11[[#This Row],[Contract Name]]</f>
        <v>Carlos Batalla</v>
      </c>
      <c r="D94" t="str">
        <f>Table11[[#This Row],[Status]]</f>
        <v>Out of Program</v>
      </c>
      <c r="E94" t="str">
        <f>Table11[[#This Row],[Contract Code]]</f>
        <v>CR0080</v>
      </c>
      <c r="F94" s="16">
        <f>Table11[[#This Row],['#TreesContract]]</f>
        <v>500</v>
      </c>
      <c r="G94" s="16">
        <f>Table11[[#This Row],['#Planted]]</f>
        <v>500</v>
      </c>
      <c r="H94" s="16">
        <f>Table11[[#This Row],['#TreesContract]]*Table11[[#This Row],[Canada Allocation %]]</f>
        <v>180</v>
      </c>
      <c r="I94" s="16">
        <f>Table11[[#This Row],['#Planted]]*Table11[[#This Row],[Canada Allocation %]]</f>
        <v>180</v>
      </c>
      <c r="J94" s="16">
        <f>Table11[[#This Row],[Contract Amendment]]*Table11[[#This Row],[Canada Allocation %]]</f>
        <v>0</v>
      </c>
      <c r="K94" s="16">
        <f>Table11[[#This Row],['#Trees as of 12/31/23]]*Table11[[#This Row],[Canada Allocation %]]</f>
        <v>0</v>
      </c>
      <c r="L94" s="16">
        <f>Table11[[#This Row],['#Replace 24]]*Table11[[#This Row],[Canada Allocation %]]</f>
        <v>0</v>
      </c>
      <c r="M94" s="16"/>
      <c r="N94" s="16">
        <f>(Table11[[#This Row],[2024 '#Trees Inventory + Estimate]]*Table11[[#This Row],[Canada Allocation %]])-SUM(Table378[[#This Row],['# Trees as of 12/31/23]:[New Trees/Planted in 2024]])</f>
        <v>0</v>
      </c>
      <c r="O94" s="16">
        <f>SUM(Table378[[#This Row],['# Trees as of 12/31/23]:[2024 Tree Losses]])</f>
        <v>0</v>
      </c>
      <c r="P94" s="16">
        <f>SUM(Table378[[#This Row],[Total Trees as of 12/31/24]]-Table378[[#This Row],['# Trees as of 12/31/23]])</f>
        <v>0</v>
      </c>
      <c r="Q94" s="16">
        <f>Table11[[#This Row],['#Total Replacements]]*Table11[[#This Row],[Canada Allocation %]]</f>
        <v>0</v>
      </c>
      <c r="R94" s="16">
        <f>IF(Table378[[#This Row],['#Survival based on Inventory]]=0,Table378['#Survival based on Last Year Estimate],Table378['#Survival based on Inventory])</f>
        <v>0</v>
      </c>
      <c r="S94" s="16">
        <f>Table11[[#This Row],['#Planted]]*Table11[[#This Row],[Canada Allocation %]]*Table11[[#This Row],[2024 Inventory Survival%-master]]</f>
        <v>0</v>
      </c>
      <c r="T94" s="16">
        <f>Table11[[#This Row],['#Planted]]*Table11[[#This Row],[Canada Allocation %]]*Table11[[#This Row],[2024 Estimated Survival%]]</f>
        <v>0</v>
      </c>
      <c r="U94" s="7">
        <f>Table11[[#This Row],[ETP Year]]</f>
        <v>2018</v>
      </c>
      <c r="V94" s="7">
        <f>Table11[[#This Row],[Planting Year]]</f>
        <v>2019</v>
      </c>
      <c r="W94" s="8">
        <f>Table11[[#This Row],[Survival% as of 12/31/23]]</f>
        <v>0</v>
      </c>
      <c r="X94" s="7">
        <f>Table11[[#This Row],[ETP'#s]]</f>
        <v>1</v>
      </c>
    </row>
    <row r="95" spans="1:24" x14ac:dyDescent="0.25">
      <c r="A95">
        <f>Table11[[#This Row],[Farmer'#]]</f>
        <v>20075</v>
      </c>
      <c r="B95" t="str">
        <f>Table11[[#This Row],[Representative]]</f>
        <v>Carlos Castro Solano</v>
      </c>
      <c r="C95" t="str">
        <f>Table11[[#This Row],[Contract Name]]</f>
        <v>Corporacion Lummal S.A</v>
      </c>
      <c r="D95" t="str">
        <f>Table11[[#This Row],[Status]]</f>
        <v>RFT</v>
      </c>
      <c r="E95" t="str">
        <f>Table11[[#This Row],[Contract Code]]</f>
        <v>CR0081</v>
      </c>
      <c r="F95" s="16">
        <f>Table11[[#This Row],['#TreesContract]]</f>
        <v>4000</v>
      </c>
      <c r="G95" s="16">
        <f>Table11[[#This Row],['#Planted]]</f>
        <v>4000</v>
      </c>
      <c r="H95" s="16">
        <f>Table11[[#This Row],['#TreesContract]]*Table11[[#This Row],[Canada Allocation %]]</f>
        <v>1440</v>
      </c>
      <c r="I95" s="16">
        <f>Table11[[#This Row],['#Planted]]*Table11[[#This Row],[Canada Allocation %]]</f>
        <v>1440</v>
      </c>
      <c r="J95" s="16">
        <f>Table11[[#This Row],[Contract Amendment]]*Table11[[#This Row],[Canada Allocation %]]</f>
        <v>0</v>
      </c>
      <c r="K95" s="16">
        <f>Table11[[#This Row],['#Trees as of 12/31/23]]*Table11[[#This Row],[Canada Allocation %]]</f>
        <v>561.6</v>
      </c>
      <c r="L95" s="16">
        <f>Table11[[#This Row],['#Replace 24]]*Table11[[#This Row],[Canada Allocation %]]</f>
        <v>0</v>
      </c>
      <c r="M95" s="16"/>
      <c r="N95" s="16">
        <f>(Table11[[#This Row],[2024 '#Trees Inventory + Estimate]]*Table11[[#This Row],[Canada Allocation %]])-SUM(Table378[[#This Row],['# Trees as of 12/31/23]:[New Trees/Planted in 2024]])</f>
        <v>0</v>
      </c>
      <c r="O95" s="16">
        <f>SUM(Table378[[#This Row],['# Trees as of 12/31/23]:[2024 Tree Losses]])</f>
        <v>561.6</v>
      </c>
      <c r="P95" s="16">
        <f>SUM(Table378[[#This Row],[Total Trees as of 12/31/24]]-Table378[[#This Row],['# Trees as of 12/31/23]])</f>
        <v>0</v>
      </c>
      <c r="Q95" s="16">
        <f>Table11[[#This Row],['#Total Replacements]]*Table11[[#This Row],[Canada Allocation %]]</f>
        <v>405</v>
      </c>
      <c r="R95" s="16">
        <f>IF(Table378[[#This Row],['#Survival based on Inventory]]=0,Table378['#Survival based on Last Year Estimate],Table378['#Survival based on Inventory])</f>
        <v>561.6</v>
      </c>
      <c r="S95" s="16">
        <f>Table11[[#This Row],['#Planted]]*Table11[[#This Row],[Canada Allocation %]]*Table11[[#This Row],[2024 Inventory Survival%-master]]</f>
        <v>0</v>
      </c>
      <c r="T95" s="16">
        <f>Table11[[#This Row],['#Planted]]*Table11[[#This Row],[Canada Allocation %]]*Table11[[#This Row],[2024 Estimated Survival%]]</f>
        <v>561.6</v>
      </c>
      <c r="U95" s="7">
        <f>Table11[[#This Row],[ETP Year]]</f>
        <v>2018</v>
      </c>
      <c r="V95" s="7">
        <f>Table11[[#This Row],[Planting Year]]</f>
        <v>2019</v>
      </c>
      <c r="W95" s="8">
        <f>Table11[[#This Row],[Survival% as of 12/31/23]]</f>
        <v>0.39</v>
      </c>
      <c r="X95" s="7">
        <f>Table11[[#This Row],[ETP'#s]]</f>
        <v>1</v>
      </c>
    </row>
    <row r="96" spans="1:24" x14ac:dyDescent="0.25">
      <c r="A96">
        <f>Table11[[#This Row],[Farmer'#]]</f>
        <v>20076</v>
      </c>
      <c r="B96" t="str">
        <f>Table11[[#This Row],[Representative]]</f>
        <v>Gustavo Arias</v>
      </c>
      <c r="C96" t="str">
        <f>Table11[[#This Row],[Contract Name]]</f>
        <v>Carlos Luis Arias</v>
      </c>
      <c r="D96" t="str">
        <f>Table11[[#This Row],[Status]]</f>
        <v>RFT</v>
      </c>
      <c r="E96" t="str">
        <f>Table11[[#This Row],[Contract Code]]</f>
        <v>CR0082</v>
      </c>
      <c r="F96" s="16">
        <f>Table11[[#This Row],['#TreesContract]]</f>
        <v>1000</v>
      </c>
      <c r="G96" s="16">
        <f>Table11[[#This Row],['#Planted]]</f>
        <v>1000</v>
      </c>
      <c r="H96" s="16">
        <f>Table11[[#This Row],['#TreesContract]]*Table11[[#This Row],[Canada Allocation %]]</f>
        <v>360</v>
      </c>
      <c r="I96" s="16">
        <f>Table11[[#This Row],['#Planted]]*Table11[[#This Row],[Canada Allocation %]]</f>
        <v>360</v>
      </c>
      <c r="J96" s="16">
        <f>Table11[[#This Row],[Contract Amendment]]*Table11[[#This Row],[Canada Allocation %]]</f>
        <v>0</v>
      </c>
      <c r="K96" s="16">
        <f>Table11[[#This Row],['#Trees as of 12/31/23]]*Table11[[#This Row],[Canada Allocation %]]</f>
        <v>222.71559375000001</v>
      </c>
      <c r="L96" s="16">
        <f>Table11[[#This Row],['#Replace 24]]*Table11[[#This Row],[Canada Allocation %]]</f>
        <v>0</v>
      </c>
      <c r="M96" s="16"/>
      <c r="N96" s="16">
        <f>(Table11[[#This Row],[2024 '#Trees Inventory + Estimate]]*Table11[[#This Row],[Canada Allocation %]])-SUM(Table378[[#This Row],['# Trees as of 12/31/23]:[New Trees/Planted in 2024]])</f>
        <v>0</v>
      </c>
      <c r="O96" s="16">
        <f>SUM(Table378[[#This Row],['# Trees as of 12/31/23]:[2024 Tree Losses]])</f>
        <v>222.71559375000001</v>
      </c>
      <c r="P96" s="16">
        <f>SUM(Table378[[#This Row],[Total Trees as of 12/31/24]]-Table378[[#This Row],['# Trees as of 12/31/23]])</f>
        <v>0</v>
      </c>
      <c r="Q96" s="16">
        <f>Table11[[#This Row],['#Total Replacements]]*Table11[[#This Row],[Canada Allocation %]]</f>
        <v>235.79999999999998</v>
      </c>
      <c r="R96" s="16">
        <f>IF(Table378[[#This Row],['#Survival based on Inventory]]=0,Table378['#Survival based on Last Year Estimate],Table378['#Survival based on Inventory])</f>
        <v>222.71559375000004</v>
      </c>
      <c r="S96" s="16">
        <f>Table11[[#This Row],['#Planted]]*Table11[[#This Row],[Canada Allocation %]]*Table11[[#This Row],[2024 Inventory Survival%-master]]</f>
        <v>0</v>
      </c>
      <c r="T96" s="16">
        <f>Table11[[#This Row],['#Planted]]*Table11[[#This Row],[Canada Allocation %]]*Table11[[#This Row],[2024 Estimated Survival%]]</f>
        <v>222.71559375000004</v>
      </c>
      <c r="U96" s="7">
        <f>Table11[[#This Row],[ETP Year]]</f>
        <v>2018</v>
      </c>
      <c r="V96" s="7">
        <f>Table11[[#This Row],[Planting Year]]</f>
        <v>2019</v>
      </c>
      <c r="W96" s="8">
        <f>Table11[[#This Row],[Survival% as of 12/31/23]]</f>
        <v>0.6186544270833334</v>
      </c>
      <c r="X96" s="7">
        <f>Table11[[#This Row],[ETP'#s]]</f>
        <v>1</v>
      </c>
    </row>
    <row r="97" spans="1:24" x14ac:dyDescent="0.25">
      <c r="A97">
        <f>Table11[[#This Row],[Farmer'#]]</f>
        <v>20077</v>
      </c>
      <c r="B97" t="str">
        <f>Table11[[#This Row],[Representative]]</f>
        <v>Carmelita Soto</v>
      </c>
      <c r="C97" t="str">
        <f>Table11[[#This Row],[Contract Name]]</f>
        <v>Carmelita Soto</v>
      </c>
      <c r="D97" t="str">
        <f>Table11[[#This Row],[Status]]</f>
        <v>Out of Program</v>
      </c>
      <c r="E97" t="str">
        <f>Table11[[#This Row],[Contract Code]]</f>
        <v>CR0084</v>
      </c>
      <c r="F97" s="16">
        <f>Table11[[#This Row],['#TreesContract]]</f>
        <v>1000</v>
      </c>
      <c r="G97" s="16">
        <f>Table11[[#This Row],['#Planted]]</f>
        <v>1000</v>
      </c>
      <c r="H97" s="16">
        <f>Table11[[#This Row],['#TreesContract]]*Table11[[#This Row],[Canada Allocation %]]</f>
        <v>360</v>
      </c>
      <c r="I97" s="16">
        <f>Table11[[#This Row],['#Planted]]*Table11[[#This Row],[Canada Allocation %]]</f>
        <v>360</v>
      </c>
      <c r="J97" s="16">
        <f>Table11[[#This Row],[Contract Amendment]]*Table11[[#This Row],[Canada Allocation %]]</f>
        <v>0</v>
      </c>
      <c r="K97" s="16">
        <f>Table11[[#This Row],['#Trees as of 12/31/23]]*Table11[[#This Row],[Canada Allocation %]]</f>
        <v>360</v>
      </c>
      <c r="L97" s="16">
        <f>Table11[[#This Row],['#Replace 24]]*Table11[[#This Row],[Canada Allocation %]]</f>
        <v>0</v>
      </c>
      <c r="M97" s="16"/>
      <c r="N97" s="16">
        <f>(Table11[[#This Row],[2024 '#Trees Inventory + Estimate]]*Table11[[#This Row],[Canada Allocation %]])-SUM(Table378[[#This Row],['# Trees as of 12/31/23]:[New Trees/Planted in 2024]])</f>
        <v>-360</v>
      </c>
      <c r="O97" s="16">
        <f>SUM(Table378[[#This Row],['# Trees as of 12/31/23]:[2024 Tree Losses]])</f>
        <v>0</v>
      </c>
      <c r="P97" s="16">
        <f>SUM(Table378[[#This Row],[Total Trees as of 12/31/24]]-Table378[[#This Row],['# Trees as of 12/31/23]])</f>
        <v>-360</v>
      </c>
      <c r="Q97" s="16">
        <f>Table11[[#This Row],['#Total Replacements]]*Table11[[#This Row],[Canada Allocation %]]</f>
        <v>414</v>
      </c>
      <c r="R97" s="16">
        <f>IF(Table378[[#This Row],['#Survival based on Inventory]]=0,Table378['#Survival based on Last Year Estimate],Table378['#Survival based on Inventory])</f>
        <v>0</v>
      </c>
      <c r="S97" s="16">
        <f>Table11[[#This Row],['#Planted]]*Table11[[#This Row],[Canada Allocation %]]*Table11[[#This Row],[2024 Inventory Survival%-master]]</f>
        <v>0</v>
      </c>
      <c r="T97" s="16">
        <f>Table11[[#This Row],['#Planted]]*Table11[[#This Row],[Canada Allocation %]]*Table11[[#This Row],[2024 Estimated Survival%]]</f>
        <v>0</v>
      </c>
      <c r="U97" s="7">
        <f>Table11[[#This Row],[ETP Year]]</f>
        <v>2018</v>
      </c>
      <c r="V97" s="7">
        <f>Table11[[#This Row],[Planting Year]]</f>
        <v>2019</v>
      </c>
      <c r="W97" s="8">
        <f>Table11[[#This Row],[Survival% as of 12/31/23]]</f>
        <v>1</v>
      </c>
      <c r="X97" s="7">
        <f>Table11[[#This Row],[ETP'#s]]</f>
        <v>1</v>
      </c>
    </row>
    <row r="98" spans="1:24" x14ac:dyDescent="0.25">
      <c r="A98">
        <f>Table11[[#This Row],[Farmer'#]]</f>
        <v>20078</v>
      </c>
      <c r="B98" t="str">
        <f>Table11[[#This Row],[Representative]]</f>
        <v>Agner Chinchlla</v>
      </c>
      <c r="C98" t="str">
        <f>Table11[[#This Row],[Contract Name]]</f>
        <v xml:space="preserve">Edgar Chinchilla Quesada </v>
      </c>
      <c r="D98" t="str">
        <f>Table11[[#This Row],[Status]]</f>
        <v>Out of Program</v>
      </c>
      <c r="E98" t="str">
        <f>Table11[[#This Row],[Contract Code]]</f>
        <v>CR0086</v>
      </c>
      <c r="F98" s="16">
        <f>Table11[[#This Row],['#TreesContract]]</f>
        <v>1700</v>
      </c>
      <c r="G98" s="16">
        <f>Table11[[#This Row],['#Planted]]</f>
        <v>1700</v>
      </c>
      <c r="H98" s="16">
        <f>Table11[[#This Row],['#TreesContract]]*Table11[[#This Row],[Canada Allocation %]]</f>
        <v>612</v>
      </c>
      <c r="I98" s="16">
        <f>Table11[[#This Row],['#Planted]]*Table11[[#This Row],[Canada Allocation %]]</f>
        <v>612</v>
      </c>
      <c r="J98" s="16">
        <f>Table11[[#This Row],[Contract Amendment]]*Table11[[#This Row],[Canada Allocation %]]</f>
        <v>0</v>
      </c>
      <c r="K98" s="16">
        <f>Table11[[#This Row],['#Trees as of 12/31/23]]*Table11[[#This Row],[Canada Allocation %]]</f>
        <v>612</v>
      </c>
      <c r="L98" s="16">
        <f>Table11[[#This Row],['#Replace 24]]*Table11[[#This Row],[Canada Allocation %]]</f>
        <v>0</v>
      </c>
      <c r="M98" s="16"/>
      <c r="N98" s="16">
        <f>(Table11[[#This Row],[2024 '#Trees Inventory + Estimate]]*Table11[[#This Row],[Canada Allocation %]])-SUM(Table378[[#This Row],['# Trees as of 12/31/23]:[New Trees/Planted in 2024]])</f>
        <v>-612</v>
      </c>
      <c r="O98" s="16">
        <f>SUM(Table378[[#This Row],['# Trees as of 12/31/23]:[2024 Tree Losses]])</f>
        <v>0</v>
      </c>
      <c r="P98" s="16">
        <f>SUM(Table378[[#This Row],[Total Trees as of 12/31/24]]-Table378[[#This Row],['# Trees as of 12/31/23]])</f>
        <v>-612</v>
      </c>
      <c r="Q98" s="16">
        <f>Table11[[#This Row],['#Total Replacements]]*Table11[[#This Row],[Canada Allocation %]]</f>
        <v>441</v>
      </c>
      <c r="R98" s="16">
        <f>IF(Table378[[#This Row],['#Survival based on Inventory]]=0,Table378['#Survival based on Last Year Estimate],Table378['#Survival based on Inventory])</f>
        <v>0</v>
      </c>
      <c r="S98" s="16">
        <f>Table11[[#This Row],['#Planted]]*Table11[[#This Row],[Canada Allocation %]]*Table11[[#This Row],[2024 Inventory Survival%-master]]</f>
        <v>0</v>
      </c>
      <c r="T98" s="16">
        <f>Table11[[#This Row],['#Planted]]*Table11[[#This Row],[Canada Allocation %]]*Table11[[#This Row],[2024 Estimated Survival%]]</f>
        <v>0</v>
      </c>
      <c r="U98" s="7">
        <f>Table11[[#This Row],[ETP Year]]</f>
        <v>2018</v>
      </c>
      <c r="V98" s="7">
        <f>Table11[[#This Row],[Planting Year]]</f>
        <v>2019</v>
      </c>
      <c r="W98" s="8">
        <f>Table11[[#This Row],[Survival% as of 12/31/23]]</f>
        <v>1</v>
      </c>
      <c r="X98" s="7">
        <f>Table11[[#This Row],[ETP'#s]]</f>
        <v>1</v>
      </c>
    </row>
    <row r="99" spans="1:24" x14ac:dyDescent="0.25">
      <c r="A99">
        <f>Table11[[#This Row],[Farmer'#]]</f>
        <v>20079</v>
      </c>
      <c r="B99" t="str">
        <f>Table11[[#This Row],[Representative]]</f>
        <v>Francisco Flores</v>
      </c>
      <c r="C99" t="str">
        <f>Table11[[#This Row],[Contract Name]]</f>
        <v>Beneficio La Guaria S.A</v>
      </c>
      <c r="D99" t="str">
        <f>Table11[[#This Row],[Status]]</f>
        <v>RFT</v>
      </c>
      <c r="E99" t="str">
        <f>Table11[[#This Row],[Contract Code]]</f>
        <v>CR0087</v>
      </c>
      <c r="F99" s="16">
        <f>Table11[[#This Row],['#TreesContract]]</f>
        <v>4500</v>
      </c>
      <c r="G99" s="16">
        <f>Table11[[#This Row],['#Planted]]</f>
        <v>4500</v>
      </c>
      <c r="H99" s="16">
        <f>Table11[[#This Row],['#TreesContract]]*Table11[[#This Row],[Canada Allocation %]]</f>
        <v>1620</v>
      </c>
      <c r="I99" s="16">
        <f>Table11[[#This Row],['#Planted]]*Table11[[#This Row],[Canada Allocation %]]</f>
        <v>1620</v>
      </c>
      <c r="J99" s="16">
        <f>Table11[[#This Row],[Contract Amendment]]*Table11[[#This Row],[Canada Allocation %]]</f>
        <v>0</v>
      </c>
      <c r="K99" s="16">
        <f>Table11[[#This Row],['#Trees as of 12/31/23]]*Table11[[#This Row],[Canada Allocation %]]</f>
        <v>975.36919999999998</v>
      </c>
      <c r="L99" s="16">
        <f>Table11[[#This Row],['#Replace 24]]*Table11[[#This Row],[Canada Allocation %]]</f>
        <v>0</v>
      </c>
      <c r="M99" s="16"/>
      <c r="N99" s="16">
        <f>(Table11[[#This Row],[2024 '#Trees Inventory + Estimate]]*Table11[[#This Row],[Canada Allocation %]])-SUM(Table378[[#This Row],['# Trees as of 12/31/23]:[New Trees/Planted in 2024]])</f>
        <v>0</v>
      </c>
      <c r="O99" s="16">
        <f>SUM(Table378[[#This Row],['# Trees as of 12/31/23]:[2024 Tree Losses]])</f>
        <v>975.36919999999998</v>
      </c>
      <c r="P99" s="16">
        <f>SUM(Table378[[#This Row],[Total Trees as of 12/31/24]]-Table378[[#This Row],['# Trees as of 12/31/23]])</f>
        <v>0</v>
      </c>
      <c r="Q99" s="16">
        <f>Table11[[#This Row],['#Total Replacements]]*Table11[[#This Row],[Canada Allocation %]]</f>
        <v>540</v>
      </c>
      <c r="R99" s="16">
        <f>IF(Table378[[#This Row],['#Survival based on Inventory]]=0,Table378['#Survival based on Last Year Estimate],Table378['#Survival based on Inventory])</f>
        <v>975.36920000000009</v>
      </c>
      <c r="S99" s="16">
        <f>Table11[[#This Row],['#Planted]]*Table11[[#This Row],[Canada Allocation %]]*Table11[[#This Row],[2024 Inventory Survival%-master]]</f>
        <v>0</v>
      </c>
      <c r="T99" s="16">
        <f>Table11[[#This Row],['#Planted]]*Table11[[#This Row],[Canada Allocation %]]*Table11[[#This Row],[2024 Estimated Survival%]]</f>
        <v>975.36920000000009</v>
      </c>
      <c r="U99" s="7">
        <f>Table11[[#This Row],[ETP Year]]</f>
        <v>2018</v>
      </c>
      <c r="V99" s="7">
        <f>Table11[[#This Row],[Planting Year]]</f>
        <v>2019</v>
      </c>
      <c r="W99" s="8">
        <f>Table11[[#This Row],[Survival% as of 12/31/23]]</f>
        <v>0.60207975308641981</v>
      </c>
      <c r="X99" s="7">
        <f>Table11[[#This Row],[ETP'#s]]</f>
        <v>1</v>
      </c>
    </row>
    <row r="100" spans="1:24" x14ac:dyDescent="0.25">
      <c r="A100">
        <f>Table11[[#This Row],[Farmer'#]]</f>
        <v>20080</v>
      </c>
      <c r="B100" t="str">
        <f>Table11[[#This Row],[Representative]]</f>
        <v>Leonardo Cordero</v>
      </c>
      <c r="C100" t="str">
        <f>Table11[[#This Row],[Contract Name]]</f>
        <v>Greivin Cordero</v>
      </c>
      <c r="D100" t="str">
        <f>Table11[[#This Row],[Status]]</f>
        <v>RFT</v>
      </c>
      <c r="E100" t="str">
        <f>Table11[[#This Row],[Contract Code]]</f>
        <v>CR0088</v>
      </c>
      <c r="F100" s="16">
        <f>Table11[[#This Row],['#TreesContract]]</f>
        <v>1000</v>
      </c>
      <c r="G100" s="16">
        <f>Table11[[#This Row],['#Planted]]</f>
        <v>1000</v>
      </c>
      <c r="H100" s="16">
        <f>Table11[[#This Row],['#TreesContract]]*Table11[[#This Row],[Canada Allocation %]]</f>
        <v>360</v>
      </c>
      <c r="I100" s="16">
        <f>Table11[[#This Row],['#Planted]]*Table11[[#This Row],[Canada Allocation %]]</f>
        <v>360</v>
      </c>
      <c r="J100" s="16">
        <f>Table11[[#This Row],[Contract Amendment]]*Table11[[#This Row],[Canada Allocation %]]</f>
        <v>0</v>
      </c>
      <c r="K100" s="16">
        <f>Table11[[#This Row],['#Trees as of 12/31/23]]*Table11[[#This Row],[Canada Allocation %]]</f>
        <v>324</v>
      </c>
      <c r="L100" s="16">
        <f>Table11[[#This Row],['#Replace 24]]*Table11[[#This Row],[Canada Allocation %]]</f>
        <v>0</v>
      </c>
      <c r="M100" s="16"/>
      <c r="N100" s="16">
        <f>(Table11[[#This Row],[2024 '#Trees Inventory + Estimate]]*Table11[[#This Row],[Canada Allocation %]])-SUM(Table378[[#This Row],['# Trees as of 12/31/23]:[New Trees/Planted in 2024]])</f>
        <v>0</v>
      </c>
      <c r="O100" s="16">
        <f>SUM(Table378[[#This Row],['# Trees as of 12/31/23]:[2024 Tree Losses]])</f>
        <v>324</v>
      </c>
      <c r="P100" s="16">
        <f>SUM(Table378[[#This Row],[Total Trees as of 12/31/24]]-Table378[[#This Row],['# Trees as of 12/31/23]])</f>
        <v>0</v>
      </c>
      <c r="Q100" s="16">
        <f>Table11[[#This Row],['#Total Replacements]]*Table11[[#This Row],[Canada Allocation %]]</f>
        <v>144</v>
      </c>
      <c r="R100" s="16">
        <f>IF(Table378[[#This Row],['#Survival based on Inventory]]=0,Table378['#Survival based on Last Year Estimate],Table378['#Survival based on Inventory])</f>
        <v>324</v>
      </c>
      <c r="S100" s="16">
        <f>Table11[[#This Row],['#Planted]]*Table11[[#This Row],[Canada Allocation %]]*Table11[[#This Row],[2024 Inventory Survival%-master]]</f>
        <v>0</v>
      </c>
      <c r="T100" s="16">
        <f>Table11[[#This Row],['#Planted]]*Table11[[#This Row],[Canada Allocation %]]*Table11[[#This Row],[2024 Estimated Survival%]]</f>
        <v>324</v>
      </c>
      <c r="U100" s="7">
        <f>Table11[[#This Row],[ETP Year]]</f>
        <v>2018</v>
      </c>
      <c r="V100" s="7">
        <f>Table11[[#This Row],[Planting Year]]</f>
        <v>2019</v>
      </c>
      <c r="W100" s="8">
        <f>Table11[[#This Row],[Survival% as of 12/31/23]]</f>
        <v>0.9</v>
      </c>
      <c r="X100" s="7">
        <f>Table11[[#This Row],[ETP'#s]]</f>
        <v>1</v>
      </c>
    </row>
    <row r="101" spans="1:24" x14ac:dyDescent="0.25">
      <c r="A101">
        <f>Table11[[#This Row],[Farmer'#]]</f>
        <v>20081</v>
      </c>
      <c r="B101" t="str">
        <f>Table11[[#This Row],[Representative]]</f>
        <v>Miguel Corrales Venegas</v>
      </c>
      <c r="C101" t="str">
        <f>Table11[[#This Row],[Contract Name]]</f>
        <v>Miguel Corrales Venegas</v>
      </c>
      <c r="D101" t="str">
        <f>Table11[[#This Row],[Status]]</f>
        <v>Active</v>
      </c>
      <c r="E101" t="str">
        <f>Table11[[#This Row],[Contract Code]]</f>
        <v>CR0089</v>
      </c>
      <c r="F101" s="16">
        <f>Table11[[#This Row],['#TreesContract]]</f>
        <v>2000</v>
      </c>
      <c r="G101" s="16">
        <f>Table11[[#This Row],['#Planted]]</f>
        <v>2000</v>
      </c>
      <c r="H101" s="16">
        <f>Table11[[#This Row],['#TreesContract]]*Table11[[#This Row],[Canada Allocation %]]</f>
        <v>720</v>
      </c>
      <c r="I101" s="16">
        <f>Table11[[#This Row],['#Planted]]*Table11[[#This Row],[Canada Allocation %]]</f>
        <v>720</v>
      </c>
      <c r="J101" s="16">
        <f>Table11[[#This Row],[Contract Amendment]]*Table11[[#This Row],[Canada Allocation %]]</f>
        <v>0</v>
      </c>
      <c r="K101" s="16">
        <f>Table11[[#This Row],['#Trees as of 12/31/23]]*Table11[[#This Row],[Canada Allocation %]]</f>
        <v>507.83727591036404</v>
      </c>
      <c r="L101" s="16">
        <f>Table11[[#This Row],['#Replace 24]]*Table11[[#This Row],[Canada Allocation %]]</f>
        <v>0</v>
      </c>
      <c r="M101" s="16"/>
      <c r="N101" s="16">
        <f>(Table11[[#This Row],[2024 '#Trees Inventory + Estimate]]*Table11[[#This Row],[Canada Allocation %]])-SUM(Table378[[#This Row],['# Trees as of 12/31/23]:[New Trees/Planted in 2024]])</f>
        <v>0</v>
      </c>
      <c r="O101" s="16">
        <f>SUM(Table378[[#This Row],['# Trees as of 12/31/23]:[2024 Tree Losses]])</f>
        <v>507.83727591036404</v>
      </c>
      <c r="P101" s="16">
        <f>SUM(Table378[[#This Row],[Total Trees as of 12/31/24]]-Table378[[#This Row],['# Trees as of 12/31/23]])</f>
        <v>0</v>
      </c>
      <c r="Q101" s="16">
        <f>Table11[[#This Row],['#Total Replacements]]*Table11[[#This Row],[Canada Allocation %]]</f>
        <v>205.2</v>
      </c>
      <c r="R101" s="16">
        <f>IF(Table378[[#This Row],['#Survival based on Inventory]]=0,Table378['#Survival based on Last Year Estimate],Table378['#Survival based on Inventory])</f>
        <v>507.8372759103641</v>
      </c>
      <c r="S101" s="16">
        <f>Table11[[#This Row],['#Planted]]*Table11[[#This Row],[Canada Allocation %]]*Table11[[#This Row],[2024 Inventory Survival%-master]]</f>
        <v>0</v>
      </c>
      <c r="T101" s="16">
        <f>Table11[[#This Row],['#Planted]]*Table11[[#This Row],[Canada Allocation %]]*Table11[[#This Row],[2024 Estimated Survival%]]</f>
        <v>507.8372759103641</v>
      </c>
      <c r="U101" s="7">
        <f>Table11[[#This Row],[ETP Year]]</f>
        <v>2018</v>
      </c>
      <c r="V101" s="7">
        <f>Table11[[#This Row],[Planting Year]]</f>
        <v>2019</v>
      </c>
      <c r="W101" s="8">
        <f>Table11[[#This Row],[Survival% as of 12/31/23]]</f>
        <v>0.70532954987550567</v>
      </c>
      <c r="X101" s="7">
        <f>Table11[[#This Row],[ETP'#s]]</f>
        <v>1</v>
      </c>
    </row>
    <row r="102" spans="1:24" x14ac:dyDescent="0.25">
      <c r="A102">
        <f>Table11[[#This Row],[Farmer'#]]</f>
        <v>20082</v>
      </c>
      <c r="B102" t="str">
        <f>Table11[[#This Row],[Representative]]</f>
        <v>Omar Cascante</v>
      </c>
      <c r="C102" t="str">
        <f>Table11[[#This Row],[Contract Name]]</f>
        <v>Omar Cascante</v>
      </c>
      <c r="D102" t="str">
        <f>Table11[[#This Row],[Status]]</f>
        <v>Out of Program</v>
      </c>
      <c r="E102" t="str">
        <f>Table11[[#This Row],[Contract Code]]</f>
        <v>CR0090</v>
      </c>
      <c r="F102" s="16">
        <f>Table11[[#This Row],['#TreesContract]]</f>
        <v>1800</v>
      </c>
      <c r="G102" s="16">
        <f>Table11[[#This Row],['#Planted]]</f>
        <v>1800</v>
      </c>
      <c r="H102" s="16">
        <f>Table11[[#This Row],['#TreesContract]]*Table11[[#This Row],[Canada Allocation %]]</f>
        <v>648</v>
      </c>
      <c r="I102" s="16">
        <f>Table11[[#This Row],['#Planted]]*Table11[[#This Row],[Canada Allocation %]]</f>
        <v>648</v>
      </c>
      <c r="J102" s="16">
        <f>Table11[[#This Row],[Contract Amendment]]*Table11[[#This Row],[Canada Allocation %]]</f>
        <v>0</v>
      </c>
      <c r="K102" s="16">
        <f>Table11[[#This Row],['#Trees as of 12/31/23]]*Table11[[#This Row],[Canada Allocation %]]</f>
        <v>0</v>
      </c>
      <c r="L102" s="16">
        <f>Table11[[#This Row],['#Replace 24]]*Table11[[#This Row],[Canada Allocation %]]</f>
        <v>0</v>
      </c>
      <c r="M102" s="16"/>
      <c r="N102" s="16">
        <f>(Table11[[#This Row],[2024 '#Trees Inventory + Estimate]]*Table11[[#This Row],[Canada Allocation %]])-SUM(Table378[[#This Row],['# Trees as of 12/31/23]:[New Trees/Planted in 2024]])</f>
        <v>0</v>
      </c>
      <c r="O102" s="16">
        <f>SUM(Table378[[#This Row],['# Trees as of 12/31/23]:[2024 Tree Losses]])</f>
        <v>0</v>
      </c>
      <c r="P102" s="16">
        <f>SUM(Table378[[#This Row],[Total Trees as of 12/31/24]]-Table378[[#This Row],['# Trees as of 12/31/23]])</f>
        <v>0</v>
      </c>
      <c r="Q102" s="16">
        <f>Table11[[#This Row],['#Total Replacements]]*Table11[[#This Row],[Canada Allocation %]]</f>
        <v>0</v>
      </c>
      <c r="R102" s="16">
        <f>IF(Table378[[#This Row],['#Survival based on Inventory]]=0,Table378['#Survival based on Last Year Estimate],Table378['#Survival based on Inventory])</f>
        <v>0</v>
      </c>
      <c r="S102" s="16">
        <f>Table11[[#This Row],['#Planted]]*Table11[[#This Row],[Canada Allocation %]]*Table11[[#This Row],[2024 Inventory Survival%-master]]</f>
        <v>0</v>
      </c>
      <c r="T102" s="16">
        <f>Table11[[#This Row],['#Planted]]*Table11[[#This Row],[Canada Allocation %]]*Table11[[#This Row],[2024 Estimated Survival%]]</f>
        <v>0</v>
      </c>
      <c r="U102" s="7">
        <f>Table11[[#This Row],[ETP Year]]</f>
        <v>2018</v>
      </c>
      <c r="V102" s="7">
        <f>Table11[[#This Row],[Planting Year]]</f>
        <v>2019</v>
      </c>
      <c r="W102" s="8">
        <f>Table11[[#This Row],[Survival% as of 12/31/23]]</f>
        <v>0</v>
      </c>
      <c r="X102" s="7">
        <f>Table11[[#This Row],[ETP'#s]]</f>
        <v>1</v>
      </c>
    </row>
    <row r="103" spans="1:24" x14ac:dyDescent="0.25">
      <c r="A103">
        <f>Table11[[#This Row],[Farmer'#]]</f>
        <v>20083</v>
      </c>
      <c r="B103" t="str">
        <f>Table11[[#This Row],[Representative]]</f>
        <v>William Mora</v>
      </c>
      <c r="C103" t="str">
        <f>Table11[[#This Row],[Contract Name]]</f>
        <v>William Mora</v>
      </c>
      <c r="D103" t="str">
        <f>Table11[[#This Row],[Status]]</f>
        <v>Out of Program</v>
      </c>
      <c r="E103" t="str">
        <f>Table11[[#This Row],[Contract Code]]</f>
        <v>CR0091</v>
      </c>
      <c r="F103" s="16">
        <f>Table11[[#This Row],['#TreesContract]]</f>
        <v>1000</v>
      </c>
      <c r="G103" s="16">
        <f>Table11[[#This Row],['#Planted]]</f>
        <v>1000</v>
      </c>
      <c r="H103" s="16">
        <f>Table11[[#This Row],['#TreesContract]]*Table11[[#This Row],[Canada Allocation %]]</f>
        <v>360</v>
      </c>
      <c r="I103" s="16">
        <f>Table11[[#This Row],['#Planted]]*Table11[[#This Row],[Canada Allocation %]]</f>
        <v>360</v>
      </c>
      <c r="J103" s="16">
        <f>Table11[[#This Row],[Contract Amendment]]*Table11[[#This Row],[Canada Allocation %]]</f>
        <v>0</v>
      </c>
      <c r="K103" s="16">
        <f>Table11[[#This Row],['#Trees as of 12/31/23]]*Table11[[#This Row],[Canada Allocation %]]</f>
        <v>0</v>
      </c>
      <c r="L103" s="16">
        <f>Table11[[#This Row],['#Replace 24]]*Table11[[#This Row],[Canada Allocation %]]</f>
        <v>0</v>
      </c>
      <c r="M103" s="16"/>
      <c r="N103" s="16">
        <f>(Table11[[#This Row],[2024 '#Trees Inventory + Estimate]]*Table11[[#This Row],[Canada Allocation %]])-SUM(Table378[[#This Row],['# Trees as of 12/31/23]:[New Trees/Planted in 2024]])</f>
        <v>0</v>
      </c>
      <c r="O103" s="16">
        <f>SUM(Table378[[#This Row],['# Trees as of 12/31/23]:[2024 Tree Losses]])</f>
        <v>0</v>
      </c>
      <c r="P103" s="16">
        <f>SUM(Table378[[#This Row],[Total Trees as of 12/31/24]]-Table378[[#This Row],['# Trees as of 12/31/23]])</f>
        <v>0</v>
      </c>
      <c r="Q103" s="16">
        <f>Table11[[#This Row],['#Total Replacements]]*Table11[[#This Row],[Canada Allocation %]]</f>
        <v>0</v>
      </c>
      <c r="R103" s="16">
        <f>IF(Table378[[#This Row],['#Survival based on Inventory]]=0,Table378['#Survival based on Last Year Estimate],Table378['#Survival based on Inventory])</f>
        <v>0</v>
      </c>
      <c r="S103" s="16">
        <f>Table11[[#This Row],['#Planted]]*Table11[[#This Row],[Canada Allocation %]]*Table11[[#This Row],[2024 Inventory Survival%-master]]</f>
        <v>0</v>
      </c>
      <c r="T103" s="16">
        <f>Table11[[#This Row],['#Planted]]*Table11[[#This Row],[Canada Allocation %]]*Table11[[#This Row],[2024 Estimated Survival%]]</f>
        <v>0</v>
      </c>
      <c r="U103" s="7">
        <f>Table11[[#This Row],[ETP Year]]</f>
        <v>2018</v>
      </c>
      <c r="V103" s="7">
        <f>Table11[[#This Row],[Planting Year]]</f>
        <v>2019</v>
      </c>
      <c r="W103" s="8">
        <f>Table11[[#This Row],[Survival% as of 12/31/23]]</f>
        <v>0</v>
      </c>
      <c r="X103" s="7">
        <f>Table11[[#This Row],[ETP'#s]]</f>
        <v>1</v>
      </c>
    </row>
    <row r="104" spans="1:24" x14ac:dyDescent="0.25">
      <c r="A104">
        <f>Table11[[#This Row],[Farmer'#]]</f>
        <v>30001</v>
      </c>
      <c r="B104" t="str">
        <f>Table11[[#This Row],[Representative]]</f>
        <v xml:space="preserve">José Scheel </v>
      </c>
      <c r="C104" t="str">
        <f>Table11[[#This Row],[Contract Name]]</f>
        <v>Ada Patricia Scheel Bartlett</v>
      </c>
      <c r="D104" t="str">
        <f>Table11[[#This Row],[Status]]</f>
        <v>Active</v>
      </c>
      <c r="E104" t="str">
        <f>Table11[[#This Row],[Contract Code]]</f>
        <v>GT0001</v>
      </c>
      <c r="F104" s="16">
        <f>Table11[[#This Row],['#TreesContract]]</f>
        <v>1000</v>
      </c>
      <c r="G104" s="16">
        <f>Table11[[#This Row],['#Planted]]</f>
        <v>1000</v>
      </c>
      <c r="H104" s="16">
        <f>Table11[[#This Row],['#TreesContract]]*Table11[[#This Row],[Canada Allocation %]]</f>
        <v>360</v>
      </c>
      <c r="I104" s="16">
        <f>Table11[[#This Row],['#Planted]]*Table11[[#This Row],[Canada Allocation %]]</f>
        <v>360</v>
      </c>
      <c r="J104" s="16">
        <f>Table11[[#This Row],[Contract Amendment]]*Table11[[#This Row],[Canada Allocation %]]</f>
        <v>0</v>
      </c>
      <c r="K104" s="16">
        <f>Table11[[#This Row],['#Trees as of 12/31/23]]*Table11[[#This Row],[Canada Allocation %]]</f>
        <v>360</v>
      </c>
      <c r="L104" s="16">
        <f>Table11[[#This Row],['#Replace 24]]*Table11[[#This Row],[Canada Allocation %]]</f>
        <v>0</v>
      </c>
      <c r="M104" s="16"/>
      <c r="N104" s="16">
        <f>(Table11[[#This Row],[2024 '#Trees Inventory + Estimate]]*Table11[[#This Row],[Canada Allocation %]])-SUM(Table378[[#This Row],['# Trees as of 12/31/23]:[New Trees/Planted in 2024]])</f>
        <v>0</v>
      </c>
      <c r="O104" s="16">
        <f>SUM(Table378[[#This Row],['# Trees as of 12/31/23]:[2024 Tree Losses]])</f>
        <v>360</v>
      </c>
      <c r="P104" s="16">
        <f>SUM(Table378[[#This Row],[Total Trees as of 12/31/24]]-Table378[[#This Row],['# Trees as of 12/31/23]])</f>
        <v>0</v>
      </c>
      <c r="Q104" s="16">
        <f>Table11[[#This Row],['#Total Replacements]]*Table11[[#This Row],[Canada Allocation %]]</f>
        <v>180</v>
      </c>
      <c r="R104" s="16">
        <f>IF(Table378[[#This Row],['#Survival based on Inventory]]=0,Table378['#Survival based on Last Year Estimate],Table378['#Survival based on Inventory])</f>
        <v>360</v>
      </c>
      <c r="S104" s="16">
        <f>Table11[[#This Row],['#Planted]]*Table11[[#This Row],[Canada Allocation %]]*Table11[[#This Row],[2024 Inventory Survival%-master]]</f>
        <v>0</v>
      </c>
      <c r="T104" s="16">
        <f>Table11[[#This Row],['#Planted]]*Table11[[#This Row],[Canada Allocation %]]*Table11[[#This Row],[2024 Estimated Survival%]]</f>
        <v>360</v>
      </c>
      <c r="U104" s="7">
        <f>Table11[[#This Row],[ETP Year]]</f>
        <v>2018</v>
      </c>
      <c r="V104" s="7">
        <f>Table11[[#This Row],[Planting Year]]</f>
        <v>2019</v>
      </c>
      <c r="W104" s="8">
        <f>Table11[[#This Row],[Survival% as of 12/31/23]]</f>
        <v>1</v>
      </c>
      <c r="X104" s="7">
        <f>Table11[[#This Row],[ETP'#s]]</f>
        <v>1</v>
      </c>
    </row>
    <row r="105" spans="1:24" x14ac:dyDescent="0.25">
      <c r="A105">
        <f>Table11[[#This Row],[Farmer'#]]</f>
        <v>30002</v>
      </c>
      <c r="B105" t="str">
        <f>Table11[[#This Row],[Representative]]</f>
        <v>Christopher Michael Schwart Marklan</v>
      </c>
      <c r="C105" t="str">
        <f>Table11[[#This Row],[Contract Name]]</f>
        <v>Christopher Michael Schwart Marklan</v>
      </c>
      <c r="D105" t="str">
        <f>Table11[[#This Row],[Status]]</f>
        <v>Out of Program</v>
      </c>
      <c r="E105" t="str">
        <f>Table11[[#This Row],[Contract Code]]</f>
        <v>GT0002</v>
      </c>
      <c r="F105" s="16">
        <f>Table11[[#This Row],['#TreesContract]]</f>
        <v>1000</v>
      </c>
      <c r="G105" s="16">
        <f>Table11[[#This Row],['#Planted]]</f>
        <v>1000</v>
      </c>
      <c r="H105" s="16">
        <f>Table11[[#This Row],['#TreesContract]]*Table11[[#This Row],[Canada Allocation %]]</f>
        <v>360</v>
      </c>
      <c r="I105" s="16">
        <f>Table11[[#This Row],['#Planted]]*Table11[[#This Row],[Canada Allocation %]]</f>
        <v>360</v>
      </c>
      <c r="J105" s="16">
        <f>Table11[[#This Row],[Contract Amendment]]*Table11[[#This Row],[Canada Allocation %]]</f>
        <v>0</v>
      </c>
      <c r="K105" s="16">
        <f>Table11[[#This Row],['#Trees as of 12/31/23]]*Table11[[#This Row],[Canada Allocation %]]</f>
        <v>0</v>
      </c>
      <c r="L105" s="16">
        <f>Table11[[#This Row],['#Replace 24]]*Table11[[#This Row],[Canada Allocation %]]</f>
        <v>0</v>
      </c>
      <c r="M105" s="16"/>
      <c r="N105" s="16">
        <f>(Table11[[#This Row],[2024 '#Trees Inventory + Estimate]]*Table11[[#This Row],[Canada Allocation %]])-SUM(Table378[[#This Row],['# Trees as of 12/31/23]:[New Trees/Planted in 2024]])</f>
        <v>0</v>
      </c>
      <c r="O105" s="16">
        <f>SUM(Table378[[#This Row],['# Trees as of 12/31/23]:[2024 Tree Losses]])</f>
        <v>0</v>
      </c>
      <c r="P105" s="16">
        <f>SUM(Table378[[#This Row],[Total Trees as of 12/31/24]]-Table378[[#This Row],['# Trees as of 12/31/23]])</f>
        <v>0</v>
      </c>
      <c r="Q105" s="16">
        <f>Table11[[#This Row],['#Total Replacements]]*Table11[[#This Row],[Canada Allocation %]]</f>
        <v>0</v>
      </c>
      <c r="R105" s="16">
        <f>IF(Table378[[#This Row],['#Survival based on Inventory]]=0,Table378['#Survival based on Last Year Estimate],Table378['#Survival based on Inventory])</f>
        <v>0</v>
      </c>
      <c r="S105" s="16">
        <f>Table11[[#This Row],['#Planted]]*Table11[[#This Row],[Canada Allocation %]]*Table11[[#This Row],[2024 Inventory Survival%-master]]</f>
        <v>0</v>
      </c>
      <c r="T105" s="16">
        <f>Table11[[#This Row],['#Planted]]*Table11[[#This Row],[Canada Allocation %]]*Table11[[#This Row],[2024 Estimated Survival%]]</f>
        <v>0</v>
      </c>
      <c r="U105" s="7">
        <f>Table11[[#This Row],[ETP Year]]</f>
        <v>2018</v>
      </c>
      <c r="V105" s="7">
        <f>Table11[[#This Row],[Planting Year]]</f>
        <v>2019</v>
      </c>
      <c r="W105" s="8">
        <f>Table11[[#This Row],[Survival% as of 12/31/23]]</f>
        <v>0</v>
      </c>
      <c r="X105" s="7">
        <f>Table11[[#This Row],[ETP'#s]]</f>
        <v>1</v>
      </c>
    </row>
    <row r="106" spans="1:24" x14ac:dyDescent="0.25">
      <c r="A106">
        <f>Table11[[#This Row],[Farmer'#]]</f>
        <v>30003</v>
      </c>
      <c r="B106" t="str">
        <f>Table11[[#This Row],[Representative]]</f>
        <v>Edgar Rodolfo Grisolia</v>
      </c>
      <c r="C106" t="str">
        <f>Table11[[#This Row],[Contract Name]]</f>
        <v>Edgar Rodolfo Grisolia</v>
      </c>
      <c r="D106" t="str">
        <f>Table11[[#This Row],[Status]]</f>
        <v>Out of Program</v>
      </c>
      <c r="E106" t="str">
        <f>Table11[[#This Row],[Contract Code]]</f>
        <v>GT0003</v>
      </c>
      <c r="F106" s="16">
        <f>Table11[[#This Row],['#TreesContract]]</f>
        <v>1000</v>
      </c>
      <c r="G106" s="16">
        <f>Table11[[#This Row],['#Planted]]</f>
        <v>1000</v>
      </c>
      <c r="H106" s="16">
        <f>Table11[[#This Row],['#TreesContract]]*Table11[[#This Row],[Canada Allocation %]]</f>
        <v>360</v>
      </c>
      <c r="I106" s="16">
        <f>Table11[[#This Row],['#Planted]]*Table11[[#This Row],[Canada Allocation %]]</f>
        <v>360</v>
      </c>
      <c r="J106" s="16">
        <f>Table11[[#This Row],[Contract Amendment]]*Table11[[#This Row],[Canada Allocation %]]</f>
        <v>0</v>
      </c>
      <c r="K106" s="16">
        <f>Table11[[#This Row],['#Trees as of 12/31/23]]*Table11[[#This Row],[Canada Allocation %]]</f>
        <v>0</v>
      </c>
      <c r="L106" s="16">
        <f>Table11[[#This Row],['#Replace 24]]*Table11[[#This Row],[Canada Allocation %]]</f>
        <v>0</v>
      </c>
      <c r="M106" s="16"/>
      <c r="N106" s="16">
        <f>(Table11[[#This Row],[2024 '#Trees Inventory + Estimate]]*Table11[[#This Row],[Canada Allocation %]])-SUM(Table378[[#This Row],['# Trees as of 12/31/23]:[New Trees/Planted in 2024]])</f>
        <v>0</v>
      </c>
      <c r="O106" s="16">
        <f>SUM(Table378[[#This Row],['# Trees as of 12/31/23]:[2024 Tree Losses]])</f>
        <v>0</v>
      </c>
      <c r="P106" s="16">
        <f>SUM(Table378[[#This Row],[Total Trees as of 12/31/24]]-Table378[[#This Row],['# Trees as of 12/31/23]])</f>
        <v>0</v>
      </c>
      <c r="Q106" s="16">
        <f>Table11[[#This Row],['#Total Replacements]]*Table11[[#This Row],[Canada Allocation %]]</f>
        <v>0</v>
      </c>
      <c r="R106" s="16">
        <f>IF(Table378[[#This Row],['#Survival based on Inventory]]=0,Table378['#Survival based on Last Year Estimate],Table378['#Survival based on Inventory])</f>
        <v>0</v>
      </c>
      <c r="S106" s="16">
        <f>Table11[[#This Row],['#Planted]]*Table11[[#This Row],[Canada Allocation %]]*Table11[[#This Row],[2024 Inventory Survival%-master]]</f>
        <v>0</v>
      </c>
      <c r="T106" s="16">
        <f>Table11[[#This Row],['#Planted]]*Table11[[#This Row],[Canada Allocation %]]*Table11[[#This Row],[2024 Estimated Survival%]]</f>
        <v>0</v>
      </c>
      <c r="U106" s="7">
        <f>Table11[[#This Row],[ETP Year]]</f>
        <v>2018</v>
      </c>
      <c r="V106" s="7">
        <f>Table11[[#This Row],[Planting Year]]</f>
        <v>2019</v>
      </c>
      <c r="W106" s="8">
        <f>Table11[[#This Row],[Survival% as of 12/31/23]]</f>
        <v>0</v>
      </c>
      <c r="X106" s="7">
        <f>Table11[[#This Row],[ETP'#s]]</f>
        <v>1</v>
      </c>
    </row>
    <row r="107" spans="1:24" x14ac:dyDescent="0.25">
      <c r="A107">
        <f>Table11[[#This Row],[Farmer'#]]</f>
        <v>30004</v>
      </c>
      <c r="B107" t="str">
        <f>Table11[[#This Row],[Representative]]</f>
        <v>Jorge Guillermo Castillo Mastahinich</v>
      </c>
      <c r="C107" t="str">
        <f>Table11[[#This Row],[Contract Name]]</f>
        <v>Jorge Guillermo Castillo Mastahinich</v>
      </c>
      <c r="D107" t="str">
        <f>Table11[[#This Row],[Status]]</f>
        <v>Out of Program</v>
      </c>
      <c r="E107" t="str">
        <f>Table11[[#This Row],[Contract Code]]</f>
        <v>GT0004</v>
      </c>
      <c r="F107" s="16">
        <f>Table11[[#This Row],['#TreesContract]]</f>
        <v>1000</v>
      </c>
      <c r="G107" s="16">
        <f>Table11[[#This Row],['#Planted]]</f>
        <v>1000</v>
      </c>
      <c r="H107" s="16">
        <f>Table11[[#This Row],['#TreesContract]]*Table11[[#This Row],[Canada Allocation %]]</f>
        <v>360</v>
      </c>
      <c r="I107" s="16">
        <f>Table11[[#This Row],['#Planted]]*Table11[[#This Row],[Canada Allocation %]]</f>
        <v>360</v>
      </c>
      <c r="J107" s="16">
        <f>Table11[[#This Row],[Contract Amendment]]*Table11[[#This Row],[Canada Allocation %]]</f>
        <v>0</v>
      </c>
      <c r="K107" s="16">
        <f>Table11[[#This Row],['#Trees as of 12/31/23]]*Table11[[#This Row],[Canada Allocation %]]</f>
        <v>0</v>
      </c>
      <c r="L107" s="16">
        <f>Table11[[#This Row],['#Replace 24]]*Table11[[#This Row],[Canada Allocation %]]</f>
        <v>0</v>
      </c>
      <c r="M107" s="16"/>
      <c r="N107" s="16">
        <f>(Table11[[#This Row],[2024 '#Trees Inventory + Estimate]]*Table11[[#This Row],[Canada Allocation %]])-SUM(Table378[[#This Row],['# Trees as of 12/31/23]:[New Trees/Planted in 2024]])</f>
        <v>0</v>
      </c>
      <c r="O107" s="16">
        <f>SUM(Table378[[#This Row],['# Trees as of 12/31/23]:[2024 Tree Losses]])</f>
        <v>0</v>
      </c>
      <c r="P107" s="16">
        <f>SUM(Table378[[#This Row],[Total Trees as of 12/31/24]]-Table378[[#This Row],['# Trees as of 12/31/23]])</f>
        <v>0</v>
      </c>
      <c r="Q107" s="16">
        <f>Table11[[#This Row],['#Total Replacements]]*Table11[[#This Row],[Canada Allocation %]]</f>
        <v>0</v>
      </c>
      <c r="R107" s="16">
        <f>IF(Table378[[#This Row],['#Survival based on Inventory]]=0,Table378['#Survival based on Last Year Estimate],Table378['#Survival based on Inventory])</f>
        <v>0</v>
      </c>
      <c r="S107" s="16">
        <f>Table11[[#This Row],['#Planted]]*Table11[[#This Row],[Canada Allocation %]]*Table11[[#This Row],[2024 Inventory Survival%-master]]</f>
        <v>0</v>
      </c>
      <c r="T107" s="16">
        <f>Table11[[#This Row],['#Planted]]*Table11[[#This Row],[Canada Allocation %]]*Table11[[#This Row],[2024 Estimated Survival%]]</f>
        <v>0</v>
      </c>
      <c r="U107" s="7">
        <f>Table11[[#This Row],[ETP Year]]</f>
        <v>2018</v>
      </c>
      <c r="V107" s="7">
        <f>Table11[[#This Row],[Planting Year]]</f>
        <v>2019</v>
      </c>
      <c r="W107" s="8">
        <f>Table11[[#This Row],[Survival% as of 12/31/23]]</f>
        <v>0</v>
      </c>
      <c r="X107" s="7">
        <f>Table11[[#This Row],[ETP'#s]]</f>
        <v>1</v>
      </c>
    </row>
    <row r="108" spans="1:24" x14ac:dyDescent="0.25">
      <c r="A108">
        <f>Table11[[#This Row],[Farmer'#]]</f>
        <v>30005</v>
      </c>
      <c r="B108" t="str">
        <f>Table11[[#This Row],[Representative]]</f>
        <v>Jose Antonio Mombiela Mastahinich</v>
      </c>
      <c r="C108" t="str">
        <f>Table11[[#This Row],[Contract Name]]</f>
        <v>Jose Antonio Mombiela Mastahinich</v>
      </c>
      <c r="D108" t="str">
        <f>Table11[[#This Row],[Status]]</f>
        <v>Out of Program</v>
      </c>
      <c r="E108" t="str">
        <f>Table11[[#This Row],[Contract Code]]</f>
        <v>GT0005</v>
      </c>
      <c r="F108" s="16">
        <f>Table11[[#This Row],['#TreesContract]]</f>
        <v>1056</v>
      </c>
      <c r="G108" s="16">
        <f>Table11[[#This Row],['#Planted]]</f>
        <v>1056</v>
      </c>
      <c r="H108" s="16">
        <f>Table11[[#This Row],['#TreesContract]]*Table11[[#This Row],[Canada Allocation %]]</f>
        <v>380.00000000000011</v>
      </c>
      <c r="I108" s="16">
        <f>Table11[[#This Row],['#Planted]]*Table11[[#This Row],[Canada Allocation %]]</f>
        <v>380.00000000000011</v>
      </c>
      <c r="J108" s="16">
        <f>Table11[[#This Row],[Contract Amendment]]*Table11[[#This Row],[Canada Allocation %]]</f>
        <v>0</v>
      </c>
      <c r="K108" s="16">
        <f>Table11[[#This Row],['#Trees as of 12/31/23]]*Table11[[#This Row],[Canada Allocation %]]</f>
        <v>0</v>
      </c>
      <c r="L108" s="16">
        <f>Table11[[#This Row],['#Replace 24]]*Table11[[#This Row],[Canada Allocation %]]</f>
        <v>0</v>
      </c>
      <c r="M108" s="16"/>
      <c r="N108" s="16">
        <f>(Table11[[#This Row],[2024 '#Trees Inventory + Estimate]]*Table11[[#This Row],[Canada Allocation %]])-SUM(Table378[[#This Row],['# Trees as of 12/31/23]:[New Trees/Planted in 2024]])</f>
        <v>0</v>
      </c>
      <c r="O108" s="16">
        <f>SUM(Table378[[#This Row],['# Trees as of 12/31/23]:[2024 Tree Losses]])</f>
        <v>0</v>
      </c>
      <c r="P108" s="16">
        <f>SUM(Table378[[#This Row],[Total Trees as of 12/31/24]]-Table378[[#This Row],['# Trees as of 12/31/23]])</f>
        <v>0</v>
      </c>
      <c r="Q108" s="16">
        <f>Table11[[#This Row],['#Total Replacements]]*Table11[[#This Row],[Canada Allocation %]]</f>
        <v>0</v>
      </c>
      <c r="R108" s="16">
        <f>IF(Table378[[#This Row],['#Survival based on Inventory]]=0,Table378['#Survival based on Last Year Estimate],Table378['#Survival based on Inventory])</f>
        <v>0</v>
      </c>
      <c r="S108" s="16">
        <f>Table11[[#This Row],['#Planted]]*Table11[[#This Row],[Canada Allocation %]]*Table11[[#This Row],[2024 Inventory Survival%-master]]</f>
        <v>0</v>
      </c>
      <c r="T108" s="16">
        <f>Table11[[#This Row],['#Planted]]*Table11[[#This Row],[Canada Allocation %]]*Table11[[#This Row],[2024 Estimated Survival%]]</f>
        <v>0</v>
      </c>
      <c r="U108" s="7">
        <f>Table11[[#This Row],[ETP Year]]</f>
        <v>2018</v>
      </c>
      <c r="V108" s="7">
        <f>Table11[[#This Row],[Planting Year]]</f>
        <v>2019</v>
      </c>
      <c r="W108" s="8">
        <f>Table11[[#This Row],[Survival% as of 12/31/23]]</f>
        <v>0</v>
      </c>
      <c r="X108" s="7">
        <f>Table11[[#This Row],[ETP'#s]]</f>
        <v>1</v>
      </c>
    </row>
    <row r="109" spans="1:24" x14ac:dyDescent="0.25">
      <c r="A109">
        <f>Table11[[#This Row],[Farmer'#]]</f>
        <v>30006</v>
      </c>
      <c r="B109" t="str">
        <f>Table11[[#This Row],[Representative]]</f>
        <v>Luis Fernando Morán Peréz</v>
      </c>
      <c r="C109" t="str">
        <f>Table11[[#This Row],[Contract Name]]</f>
        <v>Luis Fernando Morán Peréz</v>
      </c>
      <c r="D109" t="str">
        <f>Table11[[#This Row],[Status]]</f>
        <v>Active</v>
      </c>
      <c r="E109" t="str">
        <f>Table11[[#This Row],[Contract Code]]</f>
        <v>GT0006</v>
      </c>
      <c r="F109" s="16">
        <f>Table11[[#This Row],['#TreesContract]]</f>
        <v>15000</v>
      </c>
      <c r="G109" s="16">
        <f>Table11[[#This Row],['#Planted]]</f>
        <v>15000</v>
      </c>
      <c r="H109" s="16">
        <f>Table11[[#This Row],['#TreesContract]]*Table11[[#This Row],[Canada Allocation %]]</f>
        <v>5400</v>
      </c>
      <c r="I109" s="16">
        <f>Table11[[#This Row],['#Planted]]*Table11[[#This Row],[Canada Allocation %]]</f>
        <v>5400</v>
      </c>
      <c r="J109" s="16">
        <f>Table11[[#This Row],[Contract Amendment]]*Table11[[#This Row],[Canada Allocation %]]</f>
        <v>0</v>
      </c>
      <c r="K109" s="16">
        <f>Table11[[#This Row],['#Trees as of 12/31/23]]*Table11[[#This Row],[Canada Allocation %]]</f>
        <v>2614.8739661359109</v>
      </c>
      <c r="L109" s="16">
        <f>Table11[[#This Row],['#Replace 24]]*Table11[[#This Row],[Canada Allocation %]]</f>
        <v>0</v>
      </c>
      <c r="M109" s="16"/>
      <c r="N109" s="16">
        <f>(Table11[[#This Row],[2024 '#Trees Inventory + Estimate]]*Table11[[#This Row],[Canada Allocation %]])-SUM(Table378[[#This Row],['# Trees as of 12/31/23]:[New Trees/Planted in 2024]])</f>
        <v>0</v>
      </c>
      <c r="O109" s="16">
        <f>SUM(Table378[[#This Row],['# Trees as of 12/31/23]:[2024 Tree Losses]])</f>
        <v>2614.8739661359109</v>
      </c>
      <c r="P109" s="16">
        <f>SUM(Table378[[#This Row],[Total Trees as of 12/31/24]]-Table378[[#This Row],['# Trees as of 12/31/23]])</f>
        <v>0</v>
      </c>
      <c r="Q109" s="16">
        <f>Table11[[#This Row],['#Total Replacements]]*Table11[[#This Row],[Canada Allocation %]]</f>
        <v>0</v>
      </c>
      <c r="R109" s="16">
        <f>IF(Table378[[#This Row],['#Survival based on Inventory]]=0,Table378['#Survival based on Last Year Estimate],Table378['#Survival based on Inventory])</f>
        <v>2614.8739661359109</v>
      </c>
      <c r="S109" s="16">
        <f>Table11[[#This Row],['#Planted]]*Table11[[#This Row],[Canada Allocation %]]*Table11[[#This Row],[2024 Inventory Survival%-master]]</f>
        <v>0</v>
      </c>
      <c r="T109" s="16">
        <f>Table11[[#This Row],['#Planted]]*Table11[[#This Row],[Canada Allocation %]]*Table11[[#This Row],[2024 Estimated Survival%]]</f>
        <v>2614.8739661359109</v>
      </c>
      <c r="U109" s="7">
        <f>Table11[[#This Row],[ETP Year]]</f>
        <v>2018</v>
      </c>
      <c r="V109" s="7">
        <f>Table11[[#This Row],[Planting Year]]</f>
        <v>2019</v>
      </c>
      <c r="W109" s="8">
        <f>Table11[[#This Row],[Survival% as of 12/31/23]]</f>
        <v>0.48423591965479834</v>
      </c>
      <c r="X109" s="7">
        <f>Table11[[#This Row],[ETP'#s]]</f>
        <v>1</v>
      </c>
    </row>
    <row r="110" spans="1:24" x14ac:dyDescent="0.25">
      <c r="A110">
        <f>Table11[[#This Row],[Farmer'#]]</f>
        <v>30007</v>
      </c>
      <c r="B110" t="str">
        <f>Table11[[#This Row],[Representative]]</f>
        <v>Miguel Roberto Mombiela Bruni</v>
      </c>
      <c r="C110" t="str">
        <f>Table11[[#This Row],[Contract Name]]</f>
        <v>Miguel Roberto Mombiela Bruni</v>
      </c>
      <c r="D110" t="str">
        <f>Table11[[#This Row],[Status]]</f>
        <v>Active</v>
      </c>
      <c r="E110" t="str">
        <f>Table11[[#This Row],[Contract Code]]</f>
        <v>GT0007</v>
      </c>
      <c r="F110" s="16">
        <f>Table11[[#This Row],['#TreesContract]]</f>
        <v>300</v>
      </c>
      <c r="G110" s="16">
        <f>Table11[[#This Row],['#Planted]]</f>
        <v>300</v>
      </c>
      <c r="H110" s="16">
        <f>Table11[[#This Row],['#TreesContract]]*Table11[[#This Row],[Canada Allocation %]]</f>
        <v>108</v>
      </c>
      <c r="I110" s="16">
        <f>Table11[[#This Row],['#Planted]]*Table11[[#This Row],[Canada Allocation %]]</f>
        <v>108</v>
      </c>
      <c r="J110" s="16">
        <f>Table11[[#This Row],[Contract Amendment]]*Table11[[#This Row],[Canada Allocation %]]</f>
        <v>0</v>
      </c>
      <c r="K110" s="16">
        <f>Table11[[#This Row],['#Trees as of 12/31/23]]*Table11[[#This Row],[Canada Allocation %]]</f>
        <v>93.749660160000005</v>
      </c>
      <c r="L110" s="16">
        <f>Table11[[#This Row],['#Replace 24]]*Table11[[#This Row],[Canada Allocation %]]</f>
        <v>0</v>
      </c>
      <c r="M110" s="16"/>
      <c r="N110" s="16">
        <f>(Table11[[#This Row],[2024 '#Trees Inventory + Estimate]]*Table11[[#This Row],[Canada Allocation %]])-SUM(Table378[[#This Row],['# Trees as of 12/31/23]:[New Trees/Planted in 2024]])</f>
        <v>0</v>
      </c>
      <c r="O110" s="16">
        <f>SUM(Table378[[#This Row],['# Trees as of 12/31/23]:[2024 Tree Losses]])</f>
        <v>93.749660160000005</v>
      </c>
      <c r="P110" s="16">
        <f>SUM(Table378[[#This Row],[Total Trees as of 12/31/24]]-Table378[[#This Row],['# Trees as of 12/31/23]])</f>
        <v>0</v>
      </c>
      <c r="Q110" s="16">
        <f>Table11[[#This Row],['#Total Replacements]]*Table11[[#This Row],[Canada Allocation %]]</f>
        <v>108</v>
      </c>
      <c r="R110" s="16">
        <f>IF(Table378[[#This Row],['#Survival based on Inventory]]=0,Table378['#Survival based on Last Year Estimate],Table378['#Survival based on Inventory])</f>
        <v>93.749660160000005</v>
      </c>
      <c r="S110" s="16">
        <f>Table11[[#This Row],['#Planted]]*Table11[[#This Row],[Canada Allocation %]]*Table11[[#This Row],[2024 Inventory Survival%-master]]</f>
        <v>0</v>
      </c>
      <c r="T110" s="16">
        <f>Table11[[#This Row],['#Planted]]*Table11[[#This Row],[Canada Allocation %]]*Table11[[#This Row],[2024 Estimated Survival%]]</f>
        <v>93.749660160000005</v>
      </c>
      <c r="U110" s="7">
        <f>Table11[[#This Row],[ETP Year]]</f>
        <v>2018</v>
      </c>
      <c r="V110" s="7">
        <f>Table11[[#This Row],[Planting Year]]</f>
        <v>2019</v>
      </c>
      <c r="W110" s="8">
        <f>Table11[[#This Row],[Survival% as of 12/31/23]]</f>
        <v>0.8680524088888889</v>
      </c>
      <c r="X110" s="7">
        <f>Table11[[#This Row],[ETP'#s]]</f>
        <v>1</v>
      </c>
    </row>
    <row r="111" spans="1:24" x14ac:dyDescent="0.25">
      <c r="A111">
        <f>Table11[[#This Row],[Farmer'#]]</f>
        <v>30008</v>
      </c>
      <c r="B111" t="str">
        <f>Table11[[#This Row],[Representative]]</f>
        <v>Pablo Antonio Castillo Mastahinich</v>
      </c>
      <c r="C111" t="str">
        <f>Table11[[#This Row],[Contract Name]]</f>
        <v>Pablo Antonio Castillo Mastahinich</v>
      </c>
      <c r="D111" t="str">
        <f>Table11[[#This Row],[Status]]</f>
        <v>Out of Program</v>
      </c>
      <c r="E111" t="str">
        <f>Table11[[#This Row],[Contract Code]]</f>
        <v>GT0008</v>
      </c>
      <c r="F111" s="16">
        <f>Table11[[#This Row],['#TreesContract]]</f>
        <v>1000</v>
      </c>
      <c r="G111" s="16">
        <f>Table11[[#This Row],['#Planted]]</f>
        <v>1000</v>
      </c>
      <c r="H111" s="16">
        <f>Table11[[#This Row],['#TreesContract]]*Table11[[#This Row],[Canada Allocation %]]</f>
        <v>360</v>
      </c>
      <c r="I111" s="16">
        <f>Table11[[#This Row],['#Planted]]*Table11[[#This Row],[Canada Allocation %]]</f>
        <v>360</v>
      </c>
      <c r="J111" s="16">
        <f>Table11[[#This Row],[Contract Amendment]]*Table11[[#This Row],[Canada Allocation %]]</f>
        <v>0</v>
      </c>
      <c r="K111" s="16">
        <f>Table11[[#This Row],['#Trees as of 12/31/23]]*Table11[[#This Row],[Canada Allocation %]]</f>
        <v>0</v>
      </c>
      <c r="L111" s="16">
        <f>Table11[[#This Row],['#Replace 24]]*Table11[[#This Row],[Canada Allocation %]]</f>
        <v>0</v>
      </c>
      <c r="M111" s="16"/>
      <c r="N111" s="16">
        <f>(Table11[[#This Row],[2024 '#Trees Inventory + Estimate]]*Table11[[#This Row],[Canada Allocation %]])-SUM(Table378[[#This Row],['# Trees as of 12/31/23]:[New Trees/Planted in 2024]])</f>
        <v>0</v>
      </c>
      <c r="O111" s="16">
        <f>SUM(Table378[[#This Row],['# Trees as of 12/31/23]:[2024 Tree Losses]])</f>
        <v>0</v>
      </c>
      <c r="P111" s="16">
        <f>SUM(Table378[[#This Row],[Total Trees as of 12/31/24]]-Table378[[#This Row],['# Trees as of 12/31/23]])</f>
        <v>0</v>
      </c>
      <c r="Q111" s="16">
        <f>Table11[[#This Row],['#Total Replacements]]*Table11[[#This Row],[Canada Allocation %]]</f>
        <v>0</v>
      </c>
      <c r="R111" s="16">
        <f>IF(Table378[[#This Row],['#Survival based on Inventory]]=0,Table378['#Survival based on Last Year Estimate],Table378['#Survival based on Inventory])</f>
        <v>0</v>
      </c>
      <c r="S111" s="16">
        <f>Table11[[#This Row],['#Planted]]*Table11[[#This Row],[Canada Allocation %]]*Table11[[#This Row],[2024 Inventory Survival%-master]]</f>
        <v>0</v>
      </c>
      <c r="T111" s="16">
        <f>Table11[[#This Row],['#Planted]]*Table11[[#This Row],[Canada Allocation %]]*Table11[[#This Row],[2024 Estimated Survival%]]</f>
        <v>0</v>
      </c>
      <c r="U111" s="7">
        <f>Table11[[#This Row],[ETP Year]]</f>
        <v>2018</v>
      </c>
      <c r="V111" s="7">
        <f>Table11[[#This Row],[Planting Year]]</f>
        <v>2019</v>
      </c>
      <c r="W111" s="8">
        <f>Table11[[#This Row],[Survival% as of 12/31/23]]</f>
        <v>0</v>
      </c>
      <c r="X111" s="7">
        <f>Table11[[#This Row],[ETP'#s]]</f>
        <v>1</v>
      </c>
    </row>
    <row r="112" spans="1:24" x14ac:dyDescent="0.25">
      <c r="A112">
        <f>Table11[[#This Row],[Farmer'#]]</f>
        <v>30009</v>
      </c>
      <c r="B112" t="str">
        <f>Table11[[#This Row],[Representative]]</f>
        <v xml:space="preserve">Pedro Antonio Mombiela De León </v>
      </c>
      <c r="C112" t="str">
        <f>Table11[[#This Row],[Contract Name]]</f>
        <v xml:space="preserve">Pedro Antonio Mombiela De León </v>
      </c>
      <c r="D112" t="str">
        <f>Table11[[#This Row],[Status]]</f>
        <v>Active</v>
      </c>
      <c r="E112" t="str">
        <f>Table11[[#This Row],[Contract Code]]</f>
        <v>GT0009</v>
      </c>
      <c r="F112" s="16">
        <f>Table11[[#This Row],['#TreesContract]]</f>
        <v>550</v>
      </c>
      <c r="G112" s="16">
        <f>Table11[[#This Row],['#Planted]]</f>
        <v>550</v>
      </c>
      <c r="H112" s="16">
        <f>Table11[[#This Row],['#TreesContract]]*Table11[[#This Row],[Canada Allocation %]]</f>
        <v>198</v>
      </c>
      <c r="I112" s="16">
        <f>Table11[[#This Row],['#Planted]]*Table11[[#This Row],[Canada Allocation %]]</f>
        <v>198</v>
      </c>
      <c r="J112" s="16">
        <f>Table11[[#This Row],[Contract Amendment]]*Table11[[#This Row],[Canada Allocation %]]</f>
        <v>0</v>
      </c>
      <c r="K112" s="16">
        <f>Table11[[#This Row],['#Trees as of 12/31/23]]*Table11[[#This Row],[Canada Allocation %]]</f>
        <v>161.95826511428569</v>
      </c>
      <c r="L112" s="16">
        <f>Table11[[#This Row],['#Replace 24]]*Table11[[#This Row],[Canada Allocation %]]</f>
        <v>0</v>
      </c>
      <c r="M112" s="16"/>
      <c r="N112" s="16">
        <f>(Table11[[#This Row],[2024 '#Trees Inventory + Estimate]]*Table11[[#This Row],[Canada Allocation %]])-SUM(Table378[[#This Row],['# Trees as of 12/31/23]:[New Trees/Planted in 2024]])</f>
        <v>0</v>
      </c>
      <c r="O112" s="16">
        <f>SUM(Table378[[#This Row],['# Trees as of 12/31/23]:[2024 Tree Losses]])</f>
        <v>161.95826511428569</v>
      </c>
      <c r="P112" s="16">
        <f>SUM(Table378[[#This Row],[Total Trees as of 12/31/24]]-Table378[[#This Row],['# Trees as of 12/31/23]])</f>
        <v>0</v>
      </c>
      <c r="Q112" s="16">
        <f>Table11[[#This Row],['#Total Replacements]]*Table11[[#This Row],[Canada Allocation %]]</f>
        <v>198</v>
      </c>
      <c r="R112" s="16">
        <f>IF(Table378[[#This Row],['#Survival based on Inventory]]=0,Table378['#Survival based on Last Year Estimate],Table378['#Survival based on Inventory])</f>
        <v>161.95826511428569</v>
      </c>
      <c r="S112" s="16">
        <f>Table11[[#This Row],['#Planted]]*Table11[[#This Row],[Canada Allocation %]]*Table11[[#This Row],[2024 Inventory Survival%-master]]</f>
        <v>0</v>
      </c>
      <c r="T112" s="16">
        <f>Table11[[#This Row],['#Planted]]*Table11[[#This Row],[Canada Allocation %]]*Table11[[#This Row],[2024 Estimated Survival%]]</f>
        <v>161.95826511428569</v>
      </c>
      <c r="U112" s="7">
        <f>Table11[[#This Row],[ETP Year]]</f>
        <v>2018</v>
      </c>
      <c r="V112" s="7">
        <f>Table11[[#This Row],[Planting Year]]</f>
        <v>2019</v>
      </c>
      <c r="W112" s="8">
        <f>Table11[[#This Row],[Survival% as of 12/31/23]]</f>
        <v>0.81797103593073583</v>
      </c>
      <c r="X112" s="7">
        <f>Table11[[#This Row],[ETP'#s]]</f>
        <v>1</v>
      </c>
    </row>
    <row r="113" spans="1:24" x14ac:dyDescent="0.25">
      <c r="A113">
        <f>Table11[[#This Row],[Farmer'#]]</f>
        <v>30010</v>
      </c>
      <c r="B113" t="str">
        <f>Table11[[#This Row],[Representative]]</f>
        <v>Pedro Maximiliano Mombiela De Leon</v>
      </c>
      <c r="C113" t="str">
        <f>Table11[[#This Row],[Contract Name]]</f>
        <v>Pedro Maximiliano Mombiela De Leon</v>
      </c>
      <c r="D113" t="str">
        <f>Table11[[#This Row],[Status]]</f>
        <v>Out of Program</v>
      </c>
      <c r="E113" t="str">
        <f>Table11[[#This Row],[Contract Code]]</f>
        <v>GT0010</v>
      </c>
      <c r="F113" s="16">
        <f>Table11[[#This Row],['#TreesContract]]</f>
        <v>1000</v>
      </c>
      <c r="G113" s="16">
        <f>Table11[[#This Row],['#Planted]]</f>
        <v>0</v>
      </c>
      <c r="H113" s="16">
        <f>Table11[[#This Row],['#TreesContract]]*Table11[[#This Row],[Canada Allocation %]]</f>
        <v>0</v>
      </c>
      <c r="I113" s="16">
        <f>Table11[[#This Row],['#Planted]]*Table11[[#This Row],[Canada Allocation %]]</f>
        <v>0</v>
      </c>
      <c r="J113" s="16">
        <f>Table11[[#This Row],[Contract Amendment]]*Table11[[#This Row],[Canada Allocation %]]</f>
        <v>0</v>
      </c>
      <c r="K113" s="16">
        <f>Table11[[#This Row],['#Trees as of 12/31/23]]*Table11[[#This Row],[Canada Allocation %]]</f>
        <v>0</v>
      </c>
      <c r="L113" s="16">
        <f>Table11[[#This Row],['#Replace 24]]*Table11[[#This Row],[Canada Allocation %]]</f>
        <v>0</v>
      </c>
      <c r="M113" s="16"/>
      <c r="N113" s="16">
        <f>(Table11[[#This Row],[2024 '#Trees Inventory + Estimate]]*Table11[[#This Row],[Canada Allocation %]])-SUM(Table378[[#This Row],['# Trees as of 12/31/23]:[New Trees/Planted in 2024]])</f>
        <v>0</v>
      </c>
      <c r="O113" s="16">
        <f>SUM(Table378[[#This Row],['# Trees as of 12/31/23]:[2024 Tree Losses]])</f>
        <v>0</v>
      </c>
      <c r="P113" s="16">
        <f>SUM(Table378[[#This Row],[Total Trees as of 12/31/24]]-Table378[[#This Row],['# Trees as of 12/31/23]])</f>
        <v>0</v>
      </c>
      <c r="Q113" s="16">
        <f>Table11[[#This Row],['#Total Replacements]]*Table11[[#This Row],[Canada Allocation %]]</f>
        <v>0</v>
      </c>
      <c r="R113" s="16">
        <f>IF(Table378[[#This Row],['#Survival based on Inventory]]=0,Table378['#Survival based on Last Year Estimate],Table378['#Survival based on Inventory])</f>
        <v>0</v>
      </c>
      <c r="S113" s="16">
        <f>Table11[[#This Row],['#Planted]]*Table11[[#This Row],[Canada Allocation %]]*Table11[[#This Row],[2024 Inventory Survival%-master]]</f>
        <v>0</v>
      </c>
      <c r="T113" s="16">
        <f>Table11[[#This Row],['#Planted]]*Table11[[#This Row],[Canada Allocation %]]*Table11[[#This Row],[2024 Estimated Survival%]]</f>
        <v>0</v>
      </c>
      <c r="U113" s="7">
        <f>Table11[[#This Row],[ETP Year]]</f>
        <v>2018</v>
      </c>
      <c r="V113" s="7">
        <f>Table11[[#This Row],[Planting Year]]</f>
        <v>2019</v>
      </c>
      <c r="W113" s="8">
        <f>Table11[[#This Row],[Survival% as of 12/31/23]]</f>
        <v>0</v>
      </c>
      <c r="X113" s="7">
        <f>Table11[[#This Row],[ETP'#s]]</f>
        <v>0</v>
      </c>
    </row>
    <row r="114" spans="1:24" x14ac:dyDescent="0.25">
      <c r="A114">
        <f>Table11[[#This Row],[Farmer'#]]</f>
        <v>30011</v>
      </c>
      <c r="B114" t="str">
        <f>Table11[[#This Row],[Representative]]</f>
        <v xml:space="preserve">Erick Cienfuegos </v>
      </c>
      <c r="C114" t="str">
        <f>Table11[[#This Row],[Contract Name]]</f>
        <v>Rudy Israel Cienfuegos Cordón</v>
      </c>
      <c r="D114" t="str">
        <f>Table11[[#This Row],[Status]]</f>
        <v>RFT</v>
      </c>
      <c r="E114" t="str">
        <f>Table11[[#This Row],[Contract Code]]</f>
        <v>GT0011</v>
      </c>
      <c r="F114" s="16">
        <f>Table11[[#This Row],['#TreesContract]]</f>
        <v>1000</v>
      </c>
      <c r="G114" s="16">
        <f>Table11[[#This Row],['#Planted]]</f>
        <v>1000</v>
      </c>
      <c r="H114" s="16">
        <f>Table11[[#This Row],['#TreesContract]]*Table11[[#This Row],[Canada Allocation %]]</f>
        <v>360</v>
      </c>
      <c r="I114" s="16">
        <f>Table11[[#This Row],['#Planted]]*Table11[[#This Row],[Canada Allocation %]]</f>
        <v>360</v>
      </c>
      <c r="J114" s="16">
        <f>Table11[[#This Row],[Contract Amendment]]*Table11[[#This Row],[Canada Allocation %]]</f>
        <v>0</v>
      </c>
      <c r="K114" s="16">
        <f>Table11[[#This Row],['#Trees as of 12/31/23]]*Table11[[#This Row],[Canada Allocation %]]</f>
        <v>66.272727272727266</v>
      </c>
      <c r="L114" s="16">
        <f>Table11[[#This Row],['#Replace 24]]*Table11[[#This Row],[Canada Allocation %]]</f>
        <v>0</v>
      </c>
      <c r="M114" s="16"/>
      <c r="N114" s="16">
        <f>(Table11[[#This Row],[2024 '#Trees Inventory + Estimate]]*Table11[[#This Row],[Canada Allocation %]])-SUM(Table378[[#This Row],['# Trees as of 12/31/23]:[New Trees/Planted in 2024]])</f>
        <v>0</v>
      </c>
      <c r="O114" s="16">
        <f>SUM(Table378[[#This Row],['# Trees as of 12/31/23]:[2024 Tree Losses]])</f>
        <v>66.272727272727266</v>
      </c>
      <c r="P114" s="16">
        <f>SUM(Table378[[#This Row],[Total Trees as of 12/31/24]]-Table378[[#This Row],['# Trees as of 12/31/23]])</f>
        <v>0</v>
      </c>
      <c r="Q114" s="16">
        <f>Table11[[#This Row],['#Total Replacements]]*Table11[[#This Row],[Canada Allocation %]]</f>
        <v>0</v>
      </c>
      <c r="R114" s="16">
        <f>IF(Table378[[#This Row],['#Survival based on Inventory]]=0,Table378['#Survival based on Last Year Estimate],Table378['#Survival based on Inventory])</f>
        <v>66.272727272727266</v>
      </c>
      <c r="S114" s="16">
        <f>Table11[[#This Row],['#Planted]]*Table11[[#This Row],[Canada Allocation %]]*Table11[[#This Row],[2024 Inventory Survival%-master]]</f>
        <v>0</v>
      </c>
      <c r="T114" s="16">
        <f>Table11[[#This Row],['#Planted]]*Table11[[#This Row],[Canada Allocation %]]*Table11[[#This Row],[2024 Estimated Survival%]]</f>
        <v>66.272727272727266</v>
      </c>
      <c r="U114" s="7">
        <f>Table11[[#This Row],[ETP Year]]</f>
        <v>2018</v>
      </c>
      <c r="V114" s="7">
        <f>Table11[[#This Row],[Planting Year]]</f>
        <v>2019</v>
      </c>
      <c r="W114" s="8">
        <f>Table11[[#This Row],[Survival% as of 12/31/23]]</f>
        <v>0.18409090909090908</v>
      </c>
      <c r="X114" s="7">
        <f>Table11[[#This Row],[ETP'#s]]</f>
        <v>1</v>
      </c>
    </row>
    <row r="115" spans="1:24" x14ac:dyDescent="0.25">
      <c r="A115">
        <f>Table11[[#This Row],[Farmer'#]]</f>
        <v>40001</v>
      </c>
      <c r="B115" t="str">
        <f>Table11[[#This Row],[Representative]]</f>
        <v>Jose Angel Hurtado Márquez</v>
      </c>
      <c r="C115" t="str">
        <f>Table11[[#This Row],[Contract Name]]</f>
        <v>Jose Angel Hurtado Márquez</v>
      </c>
      <c r="D115" t="str">
        <f>Table11[[#This Row],[Status]]</f>
        <v>Out of Program</v>
      </c>
      <c r="E115" t="str">
        <f>Table11[[#This Row],[Contract Code]]</f>
        <v>MX0001</v>
      </c>
      <c r="F115" s="16">
        <f>Table11[[#This Row],['#TreesContract]]</f>
        <v>5000</v>
      </c>
      <c r="G115" s="16">
        <f>Table11[[#This Row],['#Planted]]</f>
        <v>5000</v>
      </c>
      <c r="H115" s="16">
        <f>Table11[[#This Row],['#TreesContract]]*Table11[[#This Row],[Canada Allocation %]]</f>
        <v>1800</v>
      </c>
      <c r="I115" s="16">
        <f>Table11[[#This Row],['#Planted]]*Table11[[#This Row],[Canada Allocation %]]</f>
        <v>1800</v>
      </c>
      <c r="J115" s="16">
        <f>Table11[[#This Row],[Contract Amendment]]*Table11[[#This Row],[Canada Allocation %]]</f>
        <v>0</v>
      </c>
      <c r="K115" s="16">
        <f>Table11[[#This Row],['#Trees as of 12/31/23]]*Table11[[#This Row],[Canada Allocation %]]</f>
        <v>0</v>
      </c>
      <c r="L115" s="16">
        <f>Table11[[#This Row],['#Replace 24]]*Table11[[#This Row],[Canada Allocation %]]</f>
        <v>0</v>
      </c>
      <c r="M115" s="16"/>
      <c r="N115" s="16">
        <f>(Table11[[#This Row],[2024 '#Trees Inventory + Estimate]]*Table11[[#This Row],[Canada Allocation %]])-SUM(Table378[[#This Row],['# Trees as of 12/31/23]:[New Trees/Planted in 2024]])</f>
        <v>0</v>
      </c>
      <c r="O115" s="16">
        <f>SUM(Table378[[#This Row],['# Trees as of 12/31/23]:[2024 Tree Losses]])</f>
        <v>0</v>
      </c>
      <c r="P115" s="16">
        <f>SUM(Table378[[#This Row],[Total Trees as of 12/31/24]]-Table378[[#This Row],['# Trees as of 12/31/23]])</f>
        <v>0</v>
      </c>
      <c r="Q115" s="16">
        <f>Table11[[#This Row],['#Total Replacements]]*Table11[[#This Row],[Canada Allocation %]]</f>
        <v>0</v>
      </c>
      <c r="R115" s="16">
        <f>IF(Table378[[#This Row],['#Survival based on Inventory]]=0,Table378['#Survival based on Last Year Estimate],Table378['#Survival based on Inventory])</f>
        <v>0</v>
      </c>
      <c r="S115" s="16">
        <f>Table11[[#This Row],['#Planted]]*Table11[[#This Row],[Canada Allocation %]]*Table11[[#This Row],[2024 Inventory Survival%-master]]</f>
        <v>0</v>
      </c>
      <c r="T115" s="16">
        <f>Table11[[#This Row],['#Planted]]*Table11[[#This Row],[Canada Allocation %]]*Table11[[#This Row],[2024 Estimated Survival%]]</f>
        <v>0</v>
      </c>
      <c r="U115" s="7">
        <f>Table11[[#This Row],[ETP Year]]</f>
        <v>2018</v>
      </c>
      <c r="V115" s="7">
        <f>Table11[[#This Row],[Planting Year]]</f>
        <v>2019</v>
      </c>
      <c r="W115" s="8">
        <f>Table11[[#This Row],[Survival% as of 12/31/23]]</f>
        <v>0</v>
      </c>
      <c r="X115" s="7">
        <f>Table11[[#This Row],[ETP'#s]]</f>
        <v>1</v>
      </c>
    </row>
    <row r="116" spans="1:24" hidden="1" x14ac:dyDescent="0.25">
      <c r="A116">
        <f>Table11[[#This Row],[Farmer'#]]</f>
        <v>40002</v>
      </c>
      <c r="B116" t="str">
        <f>Table11[[#This Row],[Representative]]</f>
        <v>José Francisco Sánchez Rojas</v>
      </c>
      <c r="C116" t="str">
        <f>Table11[[#This Row],[Contract Name]]</f>
        <v>José Francisco Sánchez Rojas</v>
      </c>
      <c r="D116" t="str">
        <f>Table11[[#This Row],[Status]]</f>
        <v>Out of Program</v>
      </c>
      <c r="E116" t="str">
        <f>Table11[[#This Row],[Contract Code]]</f>
        <v>MX0002</v>
      </c>
      <c r="F116" s="16">
        <f>Table11[[#This Row],['#TreesContract]]</f>
        <v>2000</v>
      </c>
      <c r="G116" s="16">
        <f>Table11[[#This Row],['#Planted]]</f>
        <v>2000</v>
      </c>
      <c r="H116" s="16">
        <f>Table11[[#This Row],['#TreesContract]]*Table11[[#This Row],[Canada Allocation %]]</f>
        <v>720</v>
      </c>
      <c r="I116" s="16">
        <f>Table11[[#This Row],['#Planted]]*Table11[[#This Row],[Canada Allocation %]]</f>
        <v>720</v>
      </c>
      <c r="J116" s="16">
        <f>Table11[[#This Row],[Contract Amendment]]*Table11[[#This Row],[Canada Allocation %]]</f>
        <v>0</v>
      </c>
      <c r="K116" s="16">
        <f>Table11[[#This Row],['#Trees as of 12/31/23]]*Table11[[#This Row],[Canada Allocation %]]</f>
        <v>0</v>
      </c>
      <c r="L116" s="16">
        <f>Table11[[#This Row],['#Replace 24]]*Table11[[#This Row],[Canada Allocation %]]</f>
        <v>0</v>
      </c>
      <c r="M116" s="16"/>
      <c r="N116" s="16">
        <f>(Table11[[#This Row],[2024 '#Trees Inventory + Estimate]]*Table11[[#This Row],[Canada Allocation %]])-SUM(Table378[[#This Row],['# Trees as of 12/31/23]:[New Trees/Planted in 2024]])</f>
        <v>0</v>
      </c>
      <c r="O116" s="16">
        <f>SUM(Table378[[#This Row],['# Trees as of 12/31/23]:[2024 Tree Losses]])</f>
        <v>0</v>
      </c>
      <c r="P116" s="16">
        <f>SUM(Table378[[#This Row],[Total Trees as of 12/31/24]]-Table378[[#This Row],['# Trees as of 12/31/23]])</f>
        <v>0</v>
      </c>
      <c r="Q116" s="16">
        <f>Table11[[#This Row],['#Total Replacements]]*Table11[[#This Row],[Canada Allocation %]]</f>
        <v>0</v>
      </c>
      <c r="R116" s="16">
        <f>IF(Table378[[#This Row],['#Survival based on Inventory]]=0,Table378['#Survival based on Last Year Estimate],Table378['#Survival based on Inventory])</f>
        <v>0</v>
      </c>
      <c r="S116" s="16">
        <f>Table11[[#This Row],['#Planted]]*Table11[[#This Row],[Canada Allocation %]]*Table11[[#This Row],[2024 Inventory Survival%-master]]</f>
        <v>0</v>
      </c>
      <c r="T116" s="16">
        <f>Table11[[#This Row],['#Planted]]*Table11[[#This Row],[Canada Allocation %]]*Table11[[#This Row],[2024 Estimated Survival%]]</f>
        <v>0</v>
      </c>
      <c r="U116" s="7">
        <f>Table11[[#This Row],[ETP Year]]</f>
        <v>2018</v>
      </c>
      <c r="V116" s="7">
        <f>Table11[[#This Row],[Planting Year]]</f>
        <v>2019</v>
      </c>
      <c r="W116" s="8">
        <f>Table11[[#This Row],[Survival% as of 12/31/23]]</f>
        <v>0</v>
      </c>
      <c r="X116" s="7">
        <f>Table11[[#This Row],[ETP'#s]]</f>
        <v>1</v>
      </c>
    </row>
    <row r="117" spans="1:24" x14ac:dyDescent="0.25">
      <c r="A117">
        <f>Table11[[#This Row],[Farmer'#]]</f>
        <v>10030</v>
      </c>
      <c r="B117" t="str">
        <f>Table11[[#This Row],[Representative]]</f>
        <v>Billy Whittaker</v>
      </c>
      <c r="C117" t="str">
        <f>Table11[[#This Row],[Contract Name]]</f>
        <v>Billy Whittaker</v>
      </c>
      <c r="D117" t="str">
        <f>Table11[[#This Row],[Status]]</f>
        <v>Active</v>
      </c>
      <c r="E117" t="str">
        <f>Table11[[#This Row],[Contract Code]]</f>
        <v>US0056</v>
      </c>
      <c r="F117" s="16">
        <f>Table11[[#This Row],['#TreesContract]]</f>
        <v>1320</v>
      </c>
      <c r="G117" s="16">
        <f>Table11[[#This Row],['#Planted]]</f>
        <v>1320</v>
      </c>
      <c r="H117" s="16">
        <f>Table11[[#This Row],['#TreesContract]]*Table11[[#This Row],[Canada Allocation %]]</f>
        <v>0</v>
      </c>
      <c r="I117" s="16">
        <f>Table11[[#This Row],['#Planted]]*Table11[[#This Row],[Canada Allocation %]]</f>
        <v>0</v>
      </c>
      <c r="J117" s="16">
        <f>Table11[[#This Row],[Contract Amendment]]*Table11[[#This Row],[Canada Allocation %]]</f>
        <v>0</v>
      </c>
      <c r="K117" s="16">
        <f>Table11[[#This Row],['#Trees as of 12/31/23]]*Table11[[#This Row],[Canada Allocation %]]</f>
        <v>0</v>
      </c>
      <c r="L117" s="16">
        <f>Table11[[#This Row],['#Replace 24]]*Table11[[#This Row],[Canada Allocation %]]</f>
        <v>0</v>
      </c>
      <c r="M117" s="16"/>
      <c r="N117" s="16">
        <f>(Table11[[#This Row],[2024 '#Trees Inventory + Estimate]]*Table11[[#This Row],[Canada Allocation %]])-SUM(Table378[[#This Row],['# Trees as of 12/31/23]:[New Trees/Planted in 2024]])</f>
        <v>0</v>
      </c>
      <c r="O117" s="16">
        <f>SUM(Table378[[#This Row],['# Trees as of 12/31/23]:[2024 Tree Losses]])</f>
        <v>0</v>
      </c>
      <c r="P117" s="16">
        <f>SUM(Table378[[#This Row],[Total Trees as of 12/31/24]]-Table378[[#This Row],['# Trees as of 12/31/23]])</f>
        <v>0</v>
      </c>
      <c r="Q117" s="16">
        <f>Table11[[#This Row],['#Total Replacements]]*Table11[[#This Row],[Canada Allocation %]]</f>
        <v>0</v>
      </c>
      <c r="R117" s="16">
        <f>IF(Table378[[#This Row],['#Survival based on Inventory]]=0,Table378['#Survival based on Last Year Estimate],Table378['#Survival based on Inventory])</f>
        <v>0</v>
      </c>
      <c r="S117" s="16">
        <f>Table11[[#This Row],['#Planted]]*Table11[[#This Row],[Canada Allocation %]]*Table11[[#This Row],[2024 Inventory Survival%-master]]</f>
        <v>0</v>
      </c>
      <c r="T117" s="16">
        <f>Table11[[#This Row],['#Planted]]*Table11[[#This Row],[Canada Allocation %]]*Table11[[#This Row],[2024 Estimated Survival%]]</f>
        <v>0</v>
      </c>
      <c r="U117" s="7">
        <f>Table11[[#This Row],[ETP Year]]</f>
        <v>2018</v>
      </c>
      <c r="V117" s="7">
        <f>Table11[[#This Row],[Planting Year]]</f>
        <v>2020</v>
      </c>
      <c r="W117" s="8">
        <f>Table11[[#This Row],[Survival% as of 12/31/23]]</f>
        <v>1</v>
      </c>
      <c r="X117" s="7">
        <f>Table11[[#This Row],[ETP'#s]]</f>
        <v>1</v>
      </c>
    </row>
    <row r="118" spans="1:24" x14ac:dyDescent="0.25">
      <c r="A118">
        <f>Table11[[#This Row],[Farmer'#]]</f>
        <v>10033</v>
      </c>
      <c r="B118" t="str">
        <f>Table11[[#This Row],[Representative]]</f>
        <v>David Chang</v>
      </c>
      <c r="C118" t="str">
        <f>Table11[[#This Row],[Contract Name]]</f>
        <v>David Chang</v>
      </c>
      <c r="D118" t="str">
        <f>Table11[[#This Row],[Status]]</f>
        <v>Active</v>
      </c>
      <c r="E118" t="str">
        <f>Table11[[#This Row],[Contract Code]]</f>
        <v>US0062</v>
      </c>
      <c r="F118" s="16">
        <f>Table11[[#This Row],['#TreesContract]]</f>
        <v>550</v>
      </c>
      <c r="G118" s="16">
        <f>Table11[[#This Row],['#Planted]]</f>
        <v>550</v>
      </c>
      <c r="H118" s="16">
        <f>Table11[[#This Row],['#TreesContract]]*Table11[[#This Row],[Canada Allocation %]]</f>
        <v>0</v>
      </c>
      <c r="I118" s="16">
        <f>Table11[[#This Row],['#Planted]]*Table11[[#This Row],[Canada Allocation %]]</f>
        <v>0</v>
      </c>
      <c r="J118" s="16">
        <f>Table11[[#This Row],[Contract Amendment]]*Table11[[#This Row],[Canada Allocation %]]</f>
        <v>0</v>
      </c>
      <c r="K118" s="16">
        <f>Table11[[#This Row],['#Trees as of 12/31/23]]*Table11[[#This Row],[Canada Allocation %]]</f>
        <v>0</v>
      </c>
      <c r="L118" s="16">
        <f>Table11[[#This Row],['#Replace 24]]*Table11[[#This Row],[Canada Allocation %]]</f>
        <v>0</v>
      </c>
      <c r="M118" s="16"/>
      <c r="N118" s="16">
        <f>(Table11[[#This Row],[2024 '#Trees Inventory + Estimate]]*Table11[[#This Row],[Canada Allocation %]])-SUM(Table378[[#This Row],['# Trees as of 12/31/23]:[New Trees/Planted in 2024]])</f>
        <v>0</v>
      </c>
      <c r="O118" s="16">
        <f>SUM(Table378[[#This Row],['# Trees as of 12/31/23]:[2024 Tree Losses]])</f>
        <v>0</v>
      </c>
      <c r="P118" s="16">
        <f>SUM(Table378[[#This Row],[Total Trees as of 12/31/24]]-Table378[[#This Row],['# Trees as of 12/31/23]])</f>
        <v>0</v>
      </c>
      <c r="Q118" s="16">
        <f>Table11[[#This Row],['#Total Replacements]]*Table11[[#This Row],[Canada Allocation %]]</f>
        <v>0</v>
      </c>
      <c r="R118" s="16">
        <f>IF(Table378[[#This Row],['#Survival based on Inventory]]=0,Table378['#Survival based on Last Year Estimate],Table378['#Survival based on Inventory])</f>
        <v>0</v>
      </c>
      <c r="S118" s="16">
        <f>Table11[[#This Row],['#Planted]]*Table11[[#This Row],[Canada Allocation %]]*Table11[[#This Row],[2024 Inventory Survival%-master]]</f>
        <v>0</v>
      </c>
      <c r="T118" s="16">
        <f>Table11[[#This Row],['#Planted]]*Table11[[#This Row],[Canada Allocation %]]*Table11[[#This Row],[2024 Estimated Survival%]]</f>
        <v>0</v>
      </c>
      <c r="U118" s="7">
        <f>Table11[[#This Row],[ETP Year]]</f>
        <v>2020</v>
      </c>
      <c r="V118" s="7">
        <f>Table11[[#This Row],[Planting Year]]</f>
        <v>2020</v>
      </c>
      <c r="W118" s="8">
        <f>Table11[[#This Row],[Survival% as of 12/31/23]]</f>
        <v>0.82499999999999996</v>
      </c>
      <c r="X118" s="7">
        <f>Table11[[#This Row],[ETP'#s]]</f>
        <v>1</v>
      </c>
    </row>
    <row r="119" spans="1:24" x14ac:dyDescent="0.25">
      <c r="A119">
        <f>Table11[[#This Row],[Farmer'#]]</f>
        <v>10035</v>
      </c>
      <c r="B119" t="str">
        <f>Table11[[#This Row],[Representative]]</f>
        <v>Derek Bass</v>
      </c>
      <c r="C119" t="str">
        <f>Table11[[#This Row],[Contract Name]]</f>
        <v>Derek Bass</v>
      </c>
      <c r="D119" t="str">
        <f>Table11[[#This Row],[Status]]</f>
        <v>Active</v>
      </c>
      <c r="E119" t="str">
        <f>Table11[[#This Row],[Contract Code]]</f>
        <v>US0063</v>
      </c>
      <c r="F119" s="16">
        <f>Table11[[#This Row],['#TreesContract]]</f>
        <v>440</v>
      </c>
      <c r="G119" s="16">
        <f>Table11[[#This Row],['#Planted]]</f>
        <v>440</v>
      </c>
      <c r="H119" s="16">
        <f>Table11[[#This Row],['#TreesContract]]*Table11[[#This Row],[Canada Allocation %]]</f>
        <v>0</v>
      </c>
      <c r="I119" s="16">
        <f>Table11[[#This Row],['#Planted]]*Table11[[#This Row],[Canada Allocation %]]</f>
        <v>0</v>
      </c>
      <c r="J119" s="16">
        <f>Table11[[#This Row],[Contract Amendment]]*Table11[[#This Row],[Canada Allocation %]]</f>
        <v>0</v>
      </c>
      <c r="K119" s="16">
        <f>Table11[[#This Row],['#Trees as of 12/31/23]]*Table11[[#This Row],[Canada Allocation %]]</f>
        <v>0</v>
      </c>
      <c r="L119" s="16">
        <f>Table11[[#This Row],['#Replace 24]]*Table11[[#This Row],[Canada Allocation %]]</f>
        <v>0</v>
      </c>
      <c r="M119" s="16"/>
      <c r="N119" s="16">
        <f>(Table11[[#This Row],[2024 '#Trees Inventory + Estimate]]*Table11[[#This Row],[Canada Allocation %]])-SUM(Table378[[#This Row],['# Trees as of 12/31/23]:[New Trees/Planted in 2024]])</f>
        <v>0</v>
      </c>
      <c r="O119" s="16">
        <f>SUM(Table378[[#This Row],['# Trees as of 12/31/23]:[2024 Tree Losses]])</f>
        <v>0</v>
      </c>
      <c r="P119" s="16">
        <f>SUM(Table378[[#This Row],[Total Trees as of 12/31/24]]-Table378[[#This Row],['# Trees as of 12/31/23]])</f>
        <v>0</v>
      </c>
      <c r="Q119" s="16">
        <f>Table11[[#This Row],['#Total Replacements]]*Table11[[#This Row],[Canada Allocation %]]</f>
        <v>0</v>
      </c>
      <c r="R119" s="16">
        <f>IF(Table378[[#This Row],['#Survival based on Inventory]]=0,Table378['#Survival based on Last Year Estimate],Table378['#Survival based on Inventory])</f>
        <v>0</v>
      </c>
      <c r="S119" s="16">
        <f>Table11[[#This Row],['#Planted]]*Table11[[#This Row],[Canada Allocation %]]*Table11[[#This Row],[2024 Inventory Survival%-master]]</f>
        <v>0</v>
      </c>
      <c r="T119" s="16">
        <f>Table11[[#This Row],['#Planted]]*Table11[[#This Row],[Canada Allocation %]]*Table11[[#This Row],[2024 Estimated Survival%]]</f>
        <v>0</v>
      </c>
      <c r="U119" s="7">
        <f>Table11[[#This Row],[ETP Year]]</f>
        <v>2020</v>
      </c>
      <c r="V119" s="7">
        <f>Table11[[#This Row],[Planting Year]]</f>
        <v>2020</v>
      </c>
      <c r="W119" s="8">
        <f>Table11[[#This Row],[Survival% as of 12/31/23]]</f>
        <v>0.76818181818181819</v>
      </c>
      <c r="X119" s="7">
        <f>Table11[[#This Row],[ETP'#s]]</f>
        <v>1</v>
      </c>
    </row>
    <row r="120" spans="1:24" x14ac:dyDescent="0.25">
      <c r="A120">
        <f>Table11[[#This Row],[Farmer'#]]</f>
        <v>10042</v>
      </c>
      <c r="B120" t="str">
        <f>Table11[[#This Row],[Representative]]</f>
        <v>Steven Whittaker</v>
      </c>
      <c r="C120" t="str">
        <f>Table11[[#This Row],[Contract Name]]</f>
        <v>Janet Whittaker</v>
      </c>
      <c r="D120" t="str">
        <f>Table11[[#This Row],[Status]]</f>
        <v>Active</v>
      </c>
      <c r="E120" t="str">
        <f>Table11[[#This Row],[Contract Code]]</f>
        <v>US0086</v>
      </c>
      <c r="F120" s="16">
        <f>Table11[[#This Row],['#TreesContract]]</f>
        <v>380</v>
      </c>
      <c r="G120" s="16">
        <f>Table11[[#This Row],['#Planted]]</f>
        <v>380</v>
      </c>
      <c r="H120" s="16">
        <f>Table11[[#This Row],['#TreesContract]]*Table11[[#This Row],[Canada Allocation %]]</f>
        <v>0</v>
      </c>
      <c r="I120" s="16">
        <f>Table11[[#This Row],['#Planted]]*Table11[[#This Row],[Canada Allocation %]]</f>
        <v>0</v>
      </c>
      <c r="J120" s="16">
        <f>Table11[[#This Row],[Contract Amendment]]*Table11[[#This Row],[Canada Allocation %]]</f>
        <v>0</v>
      </c>
      <c r="K120" s="16">
        <f>Table11[[#This Row],['#Trees as of 12/31/23]]*Table11[[#This Row],[Canada Allocation %]]</f>
        <v>0</v>
      </c>
      <c r="L120" s="16">
        <f>Table11[[#This Row],['#Replace 24]]*Table11[[#This Row],[Canada Allocation %]]</f>
        <v>0</v>
      </c>
      <c r="M120" s="16"/>
      <c r="N120" s="16">
        <f>(Table11[[#This Row],[2024 '#Trees Inventory + Estimate]]*Table11[[#This Row],[Canada Allocation %]])-SUM(Table378[[#This Row],['# Trees as of 12/31/23]:[New Trees/Planted in 2024]])</f>
        <v>0</v>
      </c>
      <c r="O120" s="16">
        <f>SUM(Table378[[#This Row],['# Trees as of 12/31/23]:[2024 Tree Losses]])</f>
        <v>0</v>
      </c>
      <c r="P120" s="16">
        <f>SUM(Table378[[#This Row],[Total Trees as of 12/31/24]]-Table378[[#This Row],['# Trees as of 12/31/23]])</f>
        <v>0</v>
      </c>
      <c r="Q120" s="16">
        <f>Table11[[#This Row],['#Total Replacements]]*Table11[[#This Row],[Canada Allocation %]]</f>
        <v>0</v>
      </c>
      <c r="R120" s="16">
        <f>IF(Table378[[#This Row],['#Survival based on Inventory]]=0,Table378['#Survival based on Last Year Estimate],Table378['#Survival based on Inventory])</f>
        <v>0</v>
      </c>
      <c r="S120" s="16">
        <f>Table11[[#This Row],['#Planted]]*Table11[[#This Row],[Canada Allocation %]]*Table11[[#This Row],[2024 Inventory Survival%-master]]</f>
        <v>0</v>
      </c>
      <c r="T120" s="16">
        <f>Table11[[#This Row],['#Planted]]*Table11[[#This Row],[Canada Allocation %]]*Table11[[#This Row],[2024 Estimated Survival%]]</f>
        <v>0</v>
      </c>
      <c r="U120" s="7">
        <f>Table11[[#This Row],[ETP Year]]</f>
        <v>2020</v>
      </c>
      <c r="V120" s="7">
        <f>Table11[[#This Row],[Planting Year]]</f>
        <v>2020</v>
      </c>
      <c r="W120" s="8">
        <f>Table11[[#This Row],[Survival% as of 12/31/23]]</f>
        <v>1</v>
      </c>
      <c r="X120" s="7">
        <f>Table11[[#This Row],[ETP'#s]]</f>
        <v>1</v>
      </c>
    </row>
    <row r="121" spans="1:24" hidden="1" x14ac:dyDescent="0.25">
      <c r="A121">
        <f>Table11[[#This Row],[Farmer'#]]</f>
        <v>10042</v>
      </c>
      <c r="B121" t="str">
        <f>Table11[[#This Row],[Representative]]</f>
        <v>Steven Whittaker</v>
      </c>
      <c r="C121" t="str">
        <f>Table11[[#This Row],[Contract Name]]</f>
        <v>Steven Whittaker</v>
      </c>
      <c r="D121" t="str">
        <f>Table11[[#This Row],[Status]]</f>
        <v>Active</v>
      </c>
      <c r="E121" t="str">
        <f>Table11[[#This Row],[Contract Code]]</f>
        <v>US0087</v>
      </c>
      <c r="F121" s="16">
        <f>Table11[[#This Row],['#TreesContract]]</f>
        <v>1100</v>
      </c>
      <c r="G121" s="16">
        <f>Table11[[#This Row],['#Planted]]</f>
        <v>1100</v>
      </c>
      <c r="H121" s="16">
        <f>Table11[[#This Row],['#TreesContract]]*Table11[[#This Row],[Canada Allocation %]]</f>
        <v>0</v>
      </c>
      <c r="I121" s="16">
        <f>Table11[[#This Row],['#Planted]]*Table11[[#This Row],[Canada Allocation %]]</f>
        <v>0</v>
      </c>
      <c r="J121" s="16">
        <f>Table11[[#This Row],[Contract Amendment]]*Table11[[#This Row],[Canada Allocation %]]</f>
        <v>0</v>
      </c>
      <c r="K121" s="16">
        <f>Table11[[#This Row],['#Trees as of 12/31/23]]*Table11[[#This Row],[Canada Allocation %]]</f>
        <v>0</v>
      </c>
      <c r="L121" s="16">
        <f>Table11[[#This Row],['#Replace 24]]*Table11[[#This Row],[Canada Allocation %]]</f>
        <v>0</v>
      </c>
      <c r="M121" s="16"/>
      <c r="N121" s="16">
        <f>(Table11[[#This Row],[2024 '#Trees Inventory + Estimate]]*Table11[[#This Row],[Canada Allocation %]])-SUM(Table378[[#This Row],['# Trees as of 12/31/23]:[New Trees/Planted in 2024]])</f>
        <v>0</v>
      </c>
      <c r="O121" s="16">
        <f>SUM(Table378[[#This Row],['# Trees as of 12/31/23]:[2024 Tree Losses]])</f>
        <v>0</v>
      </c>
      <c r="P121" s="16">
        <f>SUM(Table378[[#This Row],[Total Trees as of 12/31/24]]-Table378[[#This Row],['# Trees as of 12/31/23]])</f>
        <v>0</v>
      </c>
      <c r="Q121" s="16">
        <f>Table11[[#This Row],['#Total Replacements]]*Table11[[#This Row],[Canada Allocation %]]</f>
        <v>0</v>
      </c>
      <c r="R121" s="16">
        <f>IF(Table378[[#This Row],['#Survival based on Inventory]]=0,Table378['#Survival based on Last Year Estimate],Table378['#Survival based on Inventory])</f>
        <v>0</v>
      </c>
      <c r="S121" s="16">
        <f>Table11[[#This Row],['#Planted]]*Table11[[#This Row],[Canada Allocation %]]*Table11[[#This Row],[2024 Inventory Survival%-master]]</f>
        <v>0</v>
      </c>
      <c r="T121" s="16">
        <f>Table11[[#This Row],['#Planted]]*Table11[[#This Row],[Canada Allocation %]]*Table11[[#This Row],[2024 Estimated Survival%]]</f>
        <v>0</v>
      </c>
      <c r="U121" s="7">
        <f>Table11[[#This Row],[ETP Year]]</f>
        <v>2020</v>
      </c>
      <c r="V121" s="7">
        <f>Table11[[#This Row],[Planting Year]]</f>
        <v>2020</v>
      </c>
      <c r="W121" s="8">
        <f>Table11[[#This Row],[Survival% as of 12/31/23]]</f>
        <v>1</v>
      </c>
      <c r="X121" s="7">
        <f>Table11[[#This Row],[ETP'#s]]</f>
        <v>1</v>
      </c>
    </row>
    <row r="122" spans="1:24" x14ac:dyDescent="0.25">
      <c r="A122">
        <f>Table11[[#This Row],[Farmer'#]]</f>
        <v>10045</v>
      </c>
      <c r="B122" t="str">
        <f>Table11[[#This Row],[Representative]]</f>
        <v>Andy Youngblood</v>
      </c>
      <c r="C122" t="str">
        <f>Table11[[#This Row],[Contract Name]]</f>
        <v>Andy Youngblood</v>
      </c>
      <c r="D122" t="str">
        <f>Table11[[#This Row],[Status]]</f>
        <v>Active</v>
      </c>
      <c r="E122" t="str">
        <f>Table11[[#This Row],[Contract Code]]</f>
        <v>US0052</v>
      </c>
      <c r="F122" s="16">
        <f>Table11[[#This Row],['#TreesContract]]</f>
        <v>1100</v>
      </c>
      <c r="G122" s="16">
        <f>Table11[[#This Row],['#Planted]]</f>
        <v>1100</v>
      </c>
      <c r="H122" s="16">
        <f>Table11[[#This Row],['#TreesContract]]*Table11[[#This Row],[Canada Allocation %]]</f>
        <v>0</v>
      </c>
      <c r="I122" s="16">
        <f>Table11[[#This Row],['#Planted]]*Table11[[#This Row],[Canada Allocation %]]</f>
        <v>0</v>
      </c>
      <c r="J122" s="16">
        <f>Table11[[#This Row],[Contract Amendment]]*Table11[[#This Row],[Canada Allocation %]]</f>
        <v>0</v>
      </c>
      <c r="K122" s="16">
        <f>Table11[[#This Row],['#Trees as of 12/31/23]]*Table11[[#This Row],[Canada Allocation %]]</f>
        <v>0</v>
      </c>
      <c r="L122" s="16">
        <f>Table11[[#This Row],['#Replace 24]]*Table11[[#This Row],[Canada Allocation %]]</f>
        <v>0</v>
      </c>
      <c r="M122" s="16"/>
      <c r="N122" s="16">
        <f>(Table11[[#This Row],[2024 '#Trees Inventory + Estimate]]*Table11[[#This Row],[Canada Allocation %]])-SUM(Table378[[#This Row],['# Trees as of 12/31/23]:[New Trees/Planted in 2024]])</f>
        <v>0</v>
      </c>
      <c r="O122" s="16">
        <f>SUM(Table378[[#This Row],['# Trees as of 12/31/23]:[2024 Tree Losses]])</f>
        <v>0</v>
      </c>
      <c r="P122" s="16">
        <f>SUM(Table378[[#This Row],[Total Trees as of 12/31/24]]-Table378[[#This Row],['# Trees as of 12/31/23]])</f>
        <v>0</v>
      </c>
      <c r="Q122" s="16">
        <f>Table11[[#This Row],['#Total Replacements]]*Table11[[#This Row],[Canada Allocation %]]</f>
        <v>0</v>
      </c>
      <c r="R122" s="16">
        <f>IF(Table378[[#This Row],['#Survival based on Inventory]]=0,Table378['#Survival based on Last Year Estimate],Table378['#Survival based on Inventory])</f>
        <v>0</v>
      </c>
      <c r="S122" s="16">
        <f>Table11[[#This Row],['#Planted]]*Table11[[#This Row],[Canada Allocation %]]*Table11[[#This Row],[2024 Inventory Survival%-master]]</f>
        <v>0</v>
      </c>
      <c r="T122" s="16">
        <f>Table11[[#This Row],['#Planted]]*Table11[[#This Row],[Canada Allocation %]]*Table11[[#This Row],[2024 Estimated Survival%]]</f>
        <v>0</v>
      </c>
      <c r="U122" s="7">
        <f>Table11[[#This Row],[ETP Year]]</f>
        <v>2020</v>
      </c>
      <c r="V122" s="7">
        <f>Table11[[#This Row],[Planting Year]]</f>
        <v>2020</v>
      </c>
      <c r="W122" s="8">
        <f>Table11[[#This Row],[Survival% as of 12/31/23]]</f>
        <v>0.82499999999999996</v>
      </c>
      <c r="X122" s="7">
        <f>Table11[[#This Row],[ETP'#s]]</f>
        <v>1</v>
      </c>
    </row>
    <row r="123" spans="1:24" x14ac:dyDescent="0.25">
      <c r="A123">
        <f>Table11[[#This Row],[Farmer'#]]</f>
        <v>10046</v>
      </c>
      <c r="B123" t="str">
        <f>Table11[[#This Row],[Representative]]</f>
        <v>Anthony Cowart</v>
      </c>
      <c r="C123" t="str">
        <f>Table11[[#This Row],[Contract Name]]</f>
        <v>Jimmy A Cowart, Steve Anthony Cowart, and Christy Cowart Murphy</v>
      </c>
      <c r="D123" t="str">
        <f>Table11[[#This Row],[Status]]</f>
        <v>Out of Program</v>
      </c>
      <c r="E123" t="str">
        <f>Table11[[#This Row],[Contract Code]]</f>
        <v>US0053</v>
      </c>
      <c r="F123" s="16">
        <f>Table11[[#This Row],['#TreesContract]]</f>
        <v>3300</v>
      </c>
      <c r="G123" s="16">
        <f>Table11[[#This Row],['#Planted]]</f>
        <v>3300</v>
      </c>
      <c r="H123" s="16">
        <f>Table11[[#This Row],['#TreesContract]]*Table11[[#This Row],[Canada Allocation %]]</f>
        <v>0</v>
      </c>
      <c r="I123" s="16">
        <f>Table11[[#This Row],['#Planted]]*Table11[[#This Row],[Canada Allocation %]]</f>
        <v>0</v>
      </c>
      <c r="J123" s="16">
        <f>Table11[[#This Row],[Contract Amendment]]*Table11[[#This Row],[Canada Allocation %]]</f>
        <v>0</v>
      </c>
      <c r="K123" s="16">
        <f>Table11[[#This Row],['#Trees as of 12/31/23]]*Table11[[#This Row],[Canada Allocation %]]</f>
        <v>0</v>
      </c>
      <c r="L123" s="16">
        <f>Table11[[#This Row],['#Replace 24]]*Table11[[#This Row],[Canada Allocation %]]</f>
        <v>0</v>
      </c>
      <c r="M123" s="16"/>
      <c r="N123" s="16">
        <f>(Table11[[#This Row],[2024 '#Trees Inventory + Estimate]]*Table11[[#This Row],[Canada Allocation %]])-SUM(Table378[[#This Row],['# Trees as of 12/31/23]:[New Trees/Planted in 2024]])</f>
        <v>0</v>
      </c>
      <c r="O123" s="16">
        <f>SUM(Table378[[#This Row],['# Trees as of 12/31/23]:[2024 Tree Losses]])</f>
        <v>0</v>
      </c>
      <c r="P123" s="16">
        <f>SUM(Table378[[#This Row],[Total Trees as of 12/31/24]]-Table378[[#This Row],['# Trees as of 12/31/23]])</f>
        <v>0</v>
      </c>
      <c r="Q123" s="16">
        <f>Table11[[#This Row],['#Total Replacements]]*Table11[[#This Row],[Canada Allocation %]]</f>
        <v>0</v>
      </c>
      <c r="R123" s="16">
        <f>IF(Table378[[#This Row],['#Survival based on Inventory]]=0,Table378['#Survival based on Last Year Estimate],Table378['#Survival based on Inventory])</f>
        <v>0</v>
      </c>
      <c r="S123" s="16">
        <f>Table11[[#This Row],['#Planted]]*Table11[[#This Row],[Canada Allocation %]]*Table11[[#This Row],[2024 Inventory Survival%-master]]</f>
        <v>0</v>
      </c>
      <c r="T123" s="16">
        <f>Table11[[#This Row],['#Planted]]*Table11[[#This Row],[Canada Allocation %]]*Table11[[#This Row],[2024 Estimated Survival%]]</f>
        <v>0</v>
      </c>
      <c r="U123" s="7">
        <f>Table11[[#This Row],[ETP Year]]</f>
        <v>2020</v>
      </c>
      <c r="V123" s="7">
        <f>Table11[[#This Row],[Planting Year]]</f>
        <v>2020</v>
      </c>
      <c r="W123" s="8">
        <f>Table11[[#This Row],[Survival% as of 12/31/23]]</f>
        <v>0</v>
      </c>
      <c r="X123" s="7">
        <f>Table11[[#This Row],[ETP'#s]]</f>
        <v>1</v>
      </c>
    </row>
    <row r="124" spans="1:24" x14ac:dyDescent="0.25">
      <c r="A124">
        <f>Table11[[#This Row],[Farmer'#]]</f>
        <v>10047</v>
      </c>
      <c r="B124" t="str">
        <f>Table11[[#This Row],[Representative]]</f>
        <v>William Franklin</v>
      </c>
      <c r="C124" t="str">
        <f>Table11[[#This Row],[Contract Name]]</f>
        <v>William Franklin</v>
      </c>
      <c r="D124" t="str">
        <f>Table11[[#This Row],[Status]]</f>
        <v>Active</v>
      </c>
      <c r="E124" t="str">
        <f>Table11[[#This Row],[Contract Code]]</f>
        <v>US0054</v>
      </c>
      <c r="F124" s="16">
        <f>Table11[[#This Row],['#TreesContract]]</f>
        <v>1100</v>
      </c>
      <c r="G124" s="16">
        <f>Table11[[#This Row],['#Planted]]</f>
        <v>1100</v>
      </c>
      <c r="H124" s="16">
        <f>Table11[[#This Row],['#TreesContract]]*Table11[[#This Row],[Canada Allocation %]]</f>
        <v>0</v>
      </c>
      <c r="I124" s="16">
        <f>Table11[[#This Row],['#Planted]]*Table11[[#This Row],[Canada Allocation %]]</f>
        <v>0</v>
      </c>
      <c r="J124" s="16">
        <f>Table11[[#This Row],[Contract Amendment]]*Table11[[#This Row],[Canada Allocation %]]</f>
        <v>0</v>
      </c>
      <c r="K124" s="16">
        <f>Table11[[#This Row],['#Trees as of 12/31/23]]*Table11[[#This Row],[Canada Allocation %]]</f>
        <v>0</v>
      </c>
      <c r="L124" s="16">
        <f>Table11[[#This Row],['#Replace 24]]*Table11[[#This Row],[Canada Allocation %]]</f>
        <v>0</v>
      </c>
      <c r="M124" s="16"/>
      <c r="N124" s="16">
        <f>(Table11[[#This Row],[2024 '#Trees Inventory + Estimate]]*Table11[[#This Row],[Canada Allocation %]])-SUM(Table378[[#This Row],['# Trees as of 12/31/23]:[New Trees/Planted in 2024]])</f>
        <v>0</v>
      </c>
      <c r="O124" s="16">
        <f>SUM(Table378[[#This Row],['# Trees as of 12/31/23]:[2024 Tree Losses]])</f>
        <v>0</v>
      </c>
      <c r="P124" s="16">
        <f>SUM(Table378[[#This Row],[Total Trees as of 12/31/24]]-Table378[[#This Row],['# Trees as of 12/31/23]])</f>
        <v>0</v>
      </c>
      <c r="Q124" s="16">
        <f>Table11[[#This Row],['#Total Replacements]]*Table11[[#This Row],[Canada Allocation %]]</f>
        <v>0</v>
      </c>
      <c r="R124" s="16">
        <f>IF(Table378[[#This Row],['#Survival based on Inventory]]=0,Table378['#Survival based on Last Year Estimate],Table378['#Survival based on Inventory])</f>
        <v>0</v>
      </c>
      <c r="S124" s="16">
        <f>Table11[[#This Row],['#Planted]]*Table11[[#This Row],[Canada Allocation %]]*Table11[[#This Row],[2024 Inventory Survival%-master]]</f>
        <v>0</v>
      </c>
      <c r="T124" s="16">
        <f>Table11[[#This Row],['#Planted]]*Table11[[#This Row],[Canada Allocation %]]*Table11[[#This Row],[2024 Estimated Survival%]]</f>
        <v>0</v>
      </c>
      <c r="U124" s="7">
        <f>Table11[[#This Row],[ETP Year]]</f>
        <v>2020</v>
      </c>
      <c r="V124" s="7">
        <f>Table11[[#This Row],[Planting Year]]</f>
        <v>2020</v>
      </c>
      <c r="W124" s="8">
        <f>Table11[[#This Row],[Survival% as of 12/31/23]]</f>
        <v>1</v>
      </c>
      <c r="X124" s="7">
        <f>Table11[[#This Row],[ETP'#s]]</f>
        <v>1</v>
      </c>
    </row>
    <row r="125" spans="1:24" x14ac:dyDescent="0.25">
      <c r="A125">
        <f>Table11[[#This Row],[Farmer'#]]</f>
        <v>10048</v>
      </c>
      <c r="B125" t="str">
        <f>Table11[[#This Row],[Representative]]</f>
        <v>Billy Strange</v>
      </c>
      <c r="C125" t="str">
        <f>Table11[[#This Row],[Contract Name]]</f>
        <v>Billy Strange</v>
      </c>
      <c r="D125" t="str">
        <f>Table11[[#This Row],[Status]]</f>
        <v>Active</v>
      </c>
      <c r="E125" t="str">
        <f>Table11[[#This Row],[Contract Code]]</f>
        <v>US0055</v>
      </c>
      <c r="F125" s="16">
        <f>Table11[[#This Row],['#TreesContract]]</f>
        <v>500</v>
      </c>
      <c r="G125" s="16">
        <f>Table11[[#This Row],['#Planted]]</f>
        <v>500</v>
      </c>
      <c r="H125" s="16">
        <f>Table11[[#This Row],['#TreesContract]]*Table11[[#This Row],[Canada Allocation %]]</f>
        <v>0</v>
      </c>
      <c r="I125" s="16">
        <f>Table11[[#This Row],['#Planted]]*Table11[[#This Row],[Canada Allocation %]]</f>
        <v>0</v>
      </c>
      <c r="J125" s="16">
        <f>Table11[[#This Row],[Contract Amendment]]*Table11[[#This Row],[Canada Allocation %]]</f>
        <v>0</v>
      </c>
      <c r="K125" s="16">
        <f>Table11[[#This Row],['#Trees as of 12/31/23]]*Table11[[#This Row],[Canada Allocation %]]</f>
        <v>0</v>
      </c>
      <c r="L125" s="16">
        <f>Table11[[#This Row],['#Replace 24]]*Table11[[#This Row],[Canada Allocation %]]</f>
        <v>0</v>
      </c>
      <c r="M125" s="16"/>
      <c r="N125" s="16">
        <f>(Table11[[#This Row],[2024 '#Trees Inventory + Estimate]]*Table11[[#This Row],[Canada Allocation %]])-SUM(Table378[[#This Row],['# Trees as of 12/31/23]:[New Trees/Planted in 2024]])</f>
        <v>0</v>
      </c>
      <c r="O125" s="16">
        <f>SUM(Table378[[#This Row],['# Trees as of 12/31/23]:[2024 Tree Losses]])</f>
        <v>0</v>
      </c>
      <c r="P125" s="16">
        <f>SUM(Table378[[#This Row],[Total Trees as of 12/31/24]]-Table378[[#This Row],['# Trees as of 12/31/23]])</f>
        <v>0</v>
      </c>
      <c r="Q125" s="16">
        <f>Table11[[#This Row],['#Total Replacements]]*Table11[[#This Row],[Canada Allocation %]]</f>
        <v>0</v>
      </c>
      <c r="R125" s="16">
        <f>IF(Table378[[#This Row],['#Survival based on Inventory]]=0,Table378['#Survival based on Last Year Estimate],Table378['#Survival based on Inventory])</f>
        <v>0</v>
      </c>
      <c r="S125" s="16">
        <f>Table11[[#This Row],['#Planted]]*Table11[[#This Row],[Canada Allocation %]]*Table11[[#This Row],[2024 Inventory Survival%-master]]</f>
        <v>0</v>
      </c>
      <c r="T125" s="16">
        <f>Table11[[#This Row],['#Planted]]*Table11[[#This Row],[Canada Allocation %]]*Table11[[#This Row],[2024 Estimated Survival%]]</f>
        <v>0</v>
      </c>
      <c r="U125" s="7">
        <f>Table11[[#This Row],[ETP Year]]</f>
        <v>2020</v>
      </c>
      <c r="V125" s="7">
        <f>Table11[[#This Row],[Planting Year]]</f>
        <v>2020</v>
      </c>
      <c r="W125" s="8">
        <f>Table11[[#This Row],[Survival% as of 12/31/23]]</f>
        <v>1</v>
      </c>
      <c r="X125" s="7">
        <f>Table11[[#This Row],[ETP'#s]]</f>
        <v>1</v>
      </c>
    </row>
    <row r="126" spans="1:24" x14ac:dyDescent="0.25">
      <c r="A126">
        <f>Table11[[#This Row],[Farmer'#]]</f>
        <v>10049</v>
      </c>
      <c r="B126" t="str">
        <f>Table11[[#This Row],[Representative]]</f>
        <v>Carl Womack</v>
      </c>
      <c r="C126" t="str">
        <f>Table11[[#This Row],[Contract Name]]</f>
        <v>Carl Womack</v>
      </c>
      <c r="D126" t="str">
        <f>Table11[[#This Row],[Status]]</f>
        <v>Active</v>
      </c>
      <c r="E126" t="str">
        <f>Table11[[#This Row],[Contract Code]]</f>
        <v>US0057</v>
      </c>
      <c r="F126" s="16">
        <f>Table11[[#This Row],['#TreesContract]]</f>
        <v>1650</v>
      </c>
      <c r="G126" s="16">
        <f>Table11[[#This Row],['#Planted]]</f>
        <v>1650</v>
      </c>
      <c r="H126" s="16">
        <f>Table11[[#This Row],['#TreesContract]]*Table11[[#This Row],[Canada Allocation %]]</f>
        <v>0</v>
      </c>
      <c r="I126" s="16">
        <f>Table11[[#This Row],['#Planted]]*Table11[[#This Row],[Canada Allocation %]]</f>
        <v>0</v>
      </c>
      <c r="J126" s="16">
        <f>Table11[[#This Row],[Contract Amendment]]*Table11[[#This Row],[Canada Allocation %]]</f>
        <v>0</v>
      </c>
      <c r="K126" s="16">
        <f>Table11[[#This Row],['#Trees as of 12/31/23]]*Table11[[#This Row],[Canada Allocation %]]</f>
        <v>0</v>
      </c>
      <c r="L126" s="16">
        <f>Table11[[#This Row],['#Replace 24]]*Table11[[#This Row],[Canada Allocation %]]</f>
        <v>0</v>
      </c>
      <c r="M126" s="16"/>
      <c r="N126" s="16">
        <f>(Table11[[#This Row],[2024 '#Trees Inventory + Estimate]]*Table11[[#This Row],[Canada Allocation %]])-SUM(Table378[[#This Row],['# Trees as of 12/31/23]:[New Trees/Planted in 2024]])</f>
        <v>0</v>
      </c>
      <c r="O126" s="16">
        <f>SUM(Table378[[#This Row],['# Trees as of 12/31/23]:[2024 Tree Losses]])</f>
        <v>0</v>
      </c>
      <c r="P126" s="16">
        <f>SUM(Table378[[#This Row],[Total Trees as of 12/31/24]]-Table378[[#This Row],['# Trees as of 12/31/23]])</f>
        <v>0</v>
      </c>
      <c r="Q126" s="16">
        <f>Table11[[#This Row],['#Total Replacements]]*Table11[[#This Row],[Canada Allocation %]]</f>
        <v>0</v>
      </c>
      <c r="R126" s="16">
        <f>IF(Table378[[#This Row],['#Survival based on Inventory]]=0,Table378['#Survival based on Last Year Estimate],Table378['#Survival based on Inventory])</f>
        <v>0</v>
      </c>
      <c r="S126" s="16">
        <f>Table11[[#This Row],['#Planted]]*Table11[[#This Row],[Canada Allocation %]]*Table11[[#This Row],[2024 Inventory Survival%-master]]</f>
        <v>0</v>
      </c>
      <c r="T126" s="16">
        <f>Table11[[#This Row],['#Planted]]*Table11[[#This Row],[Canada Allocation %]]*Table11[[#This Row],[2024 Estimated Survival%]]</f>
        <v>0</v>
      </c>
      <c r="U126" s="7">
        <f>Table11[[#This Row],[ETP Year]]</f>
        <v>2020</v>
      </c>
      <c r="V126" s="7">
        <f>Table11[[#This Row],[Planting Year]]</f>
        <v>2020</v>
      </c>
      <c r="W126" s="8">
        <f>Table11[[#This Row],[Survival% as of 12/31/23]]</f>
        <v>1</v>
      </c>
      <c r="X126" s="7">
        <f>Table11[[#This Row],[ETP'#s]]</f>
        <v>1</v>
      </c>
    </row>
    <row r="127" spans="1:24" x14ac:dyDescent="0.25">
      <c r="A127">
        <f>Table11[[#This Row],[Farmer'#]]</f>
        <v>10050</v>
      </c>
      <c r="B127" t="str">
        <f>Table11[[#This Row],[Representative]]</f>
        <v>Chad Payne</v>
      </c>
      <c r="C127" t="str">
        <f>Table11[[#This Row],[Contract Name]]</f>
        <v>Chadwin Payne</v>
      </c>
      <c r="D127" t="str">
        <f>Table11[[#This Row],[Status]]</f>
        <v>Active</v>
      </c>
      <c r="E127" t="str">
        <f>Table11[[#This Row],[Contract Code]]</f>
        <v>US0058</v>
      </c>
      <c r="F127" s="16">
        <f>Table11[[#This Row],['#TreesContract]]</f>
        <v>1100</v>
      </c>
      <c r="G127" s="16">
        <f>Table11[[#This Row],['#Planted]]</f>
        <v>1100</v>
      </c>
      <c r="H127" s="16">
        <f>Table11[[#This Row],['#TreesContract]]*Table11[[#This Row],[Canada Allocation %]]</f>
        <v>0</v>
      </c>
      <c r="I127" s="16">
        <f>Table11[[#This Row],['#Planted]]*Table11[[#This Row],[Canada Allocation %]]</f>
        <v>0</v>
      </c>
      <c r="J127" s="16">
        <f>Table11[[#This Row],[Contract Amendment]]*Table11[[#This Row],[Canada Allocation %]]</f>
        <v>0</v>
      </c>
      <c r="K127" s="16">
        <f>Table11[[#This Row],['#Trees as of 12/31/23]]*Table11[[#This Row],[Canada Allocation %]]</f>
        <v>0</v>
      </c>
      <c r="L127" s="16">
        <f>Table11[[#This Row],['#Replace 24]]*Table11[[#This Row],[Canada Allocation %]]</f>
        <v>0</v>
      </c>
      <c r="M127" s="16"/>
      <c r="N127" s="16">
        <f>(Table11[[#This Row],[2024 '#Trees Inventory + Estimate]]*Table11[[#This Row],[Canada Allocation %]])-SUM(Table378[[#This Row],['# Trees as of 12/31/23]:[New Trees/Planted in 2024]])</f>
        <v>0</v>
      </c>
      <c r="O127" s="16">
        <f>SUM(Table378[[#This Row],['# Trees as of 12/31/23]:[2024 Tree Losses]])</f>
        <v>0</v>
      </c>
      <c r="P127" s="16">
        <f>SUM(Table378[[#This Row],[Total Trees as of 12/31/24]]-Table378[[#This Row],['# Trees as of 12/31/23]])</f>
        <v>0</v>
      </c>
      <c r="Q127" s="16">
        <f>Table11[[#This Row],['#Total Replacements]]*Table11[[#This Row],[Canada Allocation %]]</f>
        <v>0</v>
      </c>
      <c r="R127" s="16">
        <f>IF(Table378[[#This Row],['#Survival based on Inventory]]=0,Table378['#Survival based on Last Year Estimate],Table378['#Survival based on Inventory])</f>
        <v>0</v>
      </c>
      <c r="S127" s="16">
        <f>Table11[[#This Row],['#Planted]]*Table11[[#This Row],[Canada Allocation %]]*Table11[[#This Row],[2024 Inventory Survival%-master]]</f>
        <v>0</v>
      </c>
      <c r="T127" s="16">
        <f>Table11[[#This Row],['#Planted]]*Table11[[#This Row],[Canada Allocation %]]*Table11[[#This Row],[2024 Estimated Survival%]]</f>
        <v>0</v>
      </c>
      <c r="U127" s="7">
        <f>Table11[[#This Row],[ETP Year]]</f>
        <v>2020</v>
      </c>
      <c r="V127" s="7">
        <f>Table11[[#This Row],[Planting Year]]</f>
        <v>2020</v>
      </c>
      <c r="W127" s="8">
        <f>Table11[[#This Row],[Survival% as of 12/31/23]]</f>
        <v>0.98818181818181816</v>
      </c>
      <c r="X127" s="7">
        <f>Table11[[#This Row],[ETP'#s]]</f>
        <v>1</v>
      </c>
    </row>
    <row r="128" spans="1:24" x14ac:dyDescent="0.25">
      <c r="A128">
        <f>Table11[[#This Row],[Farmer'#]]</f>
        <v>10051</v>
      </c>
      <c r="B128" t="str">
        <f>Table11[[#This Row],[Representative]]</f>
        <v>Dale Ratliff</v>
      </c>
      <c r="C128" t="str">
        <f>Table11[[#This Row],[Contract Name]]</f>
        <v>W.D. Ratliff</v>
      </c>
      <c r="D128" t="str">
        <f>Table11[[#This Row],[Status]]</f>
        <v>Active</v>
      </c>
      <c r="E128" t="str">
        <f>Table11[[#This Row],[Contract Code]]</f>
        <v>US0059</v>
      </c>
      <c r="F128" s="16">
        <f>Table11[[#This Row],['#TreesContract]]</f>
        <v>1360</v>
      </c>
      <c r="G128" s="16">
        <f>Table11[[#This Row],['#Planted]]</f>
        <v>1360</v>
      </c>
      <c r="H128" s="16">
        <f>Table11[[#This Row],['#TreesContract]]*Table11[[#This Row],[Canada Allocation %]]</f>
        <v>0</v>
      </c>
      <c r="I128" s="16">
        <f>Table11[[#This Row],['#Planted]]*Table11[[#This Row],[Canada Allocation %]]</f>
        <v>0</v>
      </c>
      <c r="J128" s="16">
        <f>Table11[[#This Row],[Contract Amendment]]*Table11[[#This Row],[Canada Allocation %]]</f>
        <v>0</v>
      </c>
      <c r="K128" s="16">
        <f>Table11[[#This Row],['#Trees as of 12/31/23]]*Table11[[#This Row],[Canada Allocation %]]</f>
        <v>0</v>
      </c>
      <c r="L128" s="16">
        <f>Table11[[#This Row],['#Replace 24]]*Table11[[#This Row],[Canada Allocation %]]</f>
        <v>0</v>
      </c>
      <c r="M128" s="16"/>
      <c r="N128" s="16">
        <f>(Table11[[#This Row],[2024 '#Trees Inventory + Estimate]]*Table11[[#This Row],[Canada Allocation %]])-SUM(Table378[[#This Row],['# Trees as of 12/31/23]:[New Trees/Planted in 2024]])</f>
        <v>0</v>
      </c>
      <c r="O128" s="16">
        <f>SUM(Table378[[#This Row],['# Trees as of 12/31/23]:[2024 Tree Losses]])</f>
        <v>0</v>
      </c>
      <c r="P128" s="16">
        <f>SUM(Table378[[#This Row],[Total Trees as of 12/31/24]]-Table378[[#This Row],['# Trees as of 12/31/23]])</f>
        <v>0</v>
      </c>
      <c r="Q128" s="16">
        <f>Table11[[#This Row],['#Total Replacements]]*Table11[[#This Row],[Canada Allocation %]]</f>
        <v>0</v>
      </c>
      <c r="R128" s="16">
        <f>IF(Table378[[#This Row],['#Survival based on Inventory]]=0,Table378['#Survival based on Last Year Estimate],Table378['#Survival based on Inventory])</f>
        <v>0</v>
      </c>
      <c r="S128" s="16">
        <f>Table11[[#This Row],['#Planted]]*Table11[[#This Row],[Canada Allocation %]]*Table11[[#This Row],[2024 Inventory Survival%-master]]</f>
        <v>0</v>
      </c>
      <c r="T128" s="16">
        <f>Table11[[#This Row],['#Planted]]*Table11[[#This Row],[Canada Allocation %]]*Table11[[#This Row],[2024 Estimated Survival%]]</f>
        <v>0</v>
      </c>
      <c r="U128" s="7">
        <f>Table11[[#This Row],[ETP Year]]</f>
        <v>2020</v>
      </c>
      <c r="V128" s="7">
        <f>Table11[[#This Row],[Planting Year]]</f>
        <v>2020</v>
      </c>
      <c r="W128" s="8">
        <f>Table11[[#This Row],[Survival% as of 12/31/23]]</f>
        <v>1</v>
      </c>
      <c r="X128" s="7">
        <f>Table11[[#This Row],[ETP'#s]]</f>
        <v>1</v>
      </c>
    </row>
    <row r="129" spans="1:24" x14ac:dyDescent="0.25">
      <c r="A129">
        <f>Table11[[#This Row],[Farmer'#]]</f>
        <v>10052</v>
      </c>
      <c r="B129" t="str">
        <f>Table11[[#This Row],[Representative]]</f>
        <v>Daniel Perez</v>
      </c>
      <c r="C129" t="str">
        <f>Table11[[#This Row],[Contract Name]]</f>
        <v>Daniel Perez</v>
      </c>
      <c r="D129" t="str">
        <f>Table11[[#This Row],[Status]]</f>
        <v>RFT</v>
      </c>
      <c r="E129" t="str">
        <f>Table11[[#This Row],[Contract Code]]</f>
        <v>US0060</v>
      </c>
      <c r="F129" s="16">
        <f>Table11[[#This Row],['#TreesContract]]</f>
        <v>1100</v>
      </c>
      <c r="G129" s="16">
        <f>Table11[[#This Row],['#Planted]]</f>
        <v>1100</v>
      </c>
      <c r="H129" s="16">
        <f>Table11[[#This Row],['#TreesContract]]*Table11[[#This Row],[Canada Allocation %]]</f>
        <v>0</v>
      </c>
      <c r="I129" s="16">
        <f>Table11[[#This Row],['#Planted]]*Table11[[#This Row],[Canada Allocation %]]</f>
        <v>0</v>
      </c>
      <c r="J129" s="16">
        <f>Table11[[#This Row],[Contract Amendment]]*Table11[[#This Row],[Canada Allocation %]]</f>
        <v>0</v>
      </c>
      <c r="K129" s="16">
        <f>Table11[[#This Row],['#Trees as of 12/31/23]]*Table11[[#This Row],[Canada Allocation %]]</f>
        <v>0</v>
      </c>
      <c r="L129" s="16">
        <f>Table11[[#This Row],['#Replace 24]]*Table11[[#This Row],[Canada Allocation %]]</f>
        <v>0</v>
      </c>
      <c r="M129" s="16"/>
      <c r="N129" s="16">
        <f>(Table11[[#This Row],[2024 '#Trees Inventory + Estimate]]*Table11[[#This Row],[Canada Allocation %]])-SUM(Table378[[#This Row],['# Trees as of 12/31/23]:[New Trees/Planted in 2024]])</f>
        <v>0</v>
      </c>
      <c r="O129" s="16">
        <f>SUM(Table378[[#This Row],['# Trees as of 12/31/23]:[2024 Tree Losses]])</f>
        <v>0</v>
      </c>
      <c r="P129" s="16">
        <f>SUM(Table378[[#This Row],[Total Trees as of 12/31/24]]-Table378[[#This Row],['# Trees as of 12/31/23]])</f>
        <v>0</v>
      </c>
      <c r="Q129" s="16">
        <f>Table11[[#This Row],['#Total Replacements]]*Table11[[#This Row],[Canada Allocation %]]</f>
        <v>0</v>
      </c>
      <c r="R129" s="16">
        <f>IF(Table378[[#This Row],['#Survival based on Inventory]]=0,Table378['#Survival based on Last Year Estimate],Table378['#Survival based on Inventory])</f>
        <v>0</v>
      </c>
      <c r="S129" s="16">
        <f>Table11[[#This Row],['#Planted]]*Table11[[#This Row],[Canada Allocation %]]*Table11[[#This Row],[2024 Inventory Survival%-master]]</f>
        <v>0</v>
      </c>
      <c r="T129" s="16">
        <f>Table11[[#This Row],['#Planted]]*Table11[[#This Row],[Canada Allocation %]]*Table11[[#This Row],[2024 Estimated Survival%]]</f>
        <v>0</v>
      </c>
      <c r="U129" s="7">
        <f>Table11[[#This Row],[ETP Year]]</f>
        <v>2020</v>
      </c>
      <c r="V129" s="7">
        <f>Table11[[#This Row],[Planting Year]]</f>
        <v>2020</v>
      </c>
      <c r="W129" s="8">
        <f>Table11[[#This Row],[Survival% as of 12/31/23]]</f>
        <v>0.625</v>
      </c>
      <c r="X129" s="7">
        <f>Table11[[#This Row],[ETP'#s]]</f>
        <v>1</v>
      </c>
    </row>
    <row r="130" spans="1:24" x14ac:dyDescent="0.25">
      <c r="A130">
        <f>Table11[[#This Row],[Farmer'#]]</f>
        <v>10053</v>
      </c>
      <c r="B130" t="str">
        <f>Table11[[#This Row],[Representative]]</f>
        <v>Darren Beachem</v>
      </c>
      <c r="C130" t="str">
        <f>Table11[[#This Row],[Contract Name]]</f>
        <v>Darren Beachem</v>
      </c>
      <c r="D130" t="str">
        <f>Table11[[#This Row],[Status]]</f>
        <v>Active</v>
      </c>
      <c r="E130" t="str">
        <f>Table11[[#This Row],[Contract Code]]</f>
        <v>US0061</v>
      </c>
      <c r="F130" s="16">
        <f>Table11[[#This Row],['#TreesContract]]</f>
        <v>2200</v>
      </c>
      <c r="G130" s="16">
        <f>Table11[[#This Row],['#Planted]]</f>
        <v>2200</v>
      </c>
      <c r="H130" s="16">
        <f>Table11[[#This Row],['#TreesContract]]*Table11[[#This Row],[Canada Allocation %]]</f>
        <v>0</v>
      </c>
      <c r="I130" s="16">
        <f>Table11[[#This Row],['#Planted]]*Table11[[#This Row],[Canada Allocation %]]</f>
        <v>0</v>
      </c>
      <c r="J130" s="16">
        <f>Table11[[#This Row],[Contract Amendment]]*Table11[[#This Row],[Canada Allocation %]]</f>
        <v>0</v>
      </c>
      <c r="K130" s="16">
        <f>Table11[[#This Row],['#Trees as of 12/31/23]]*Table11[[#This Row],[Canada Allocation %]]</f>
        <v>0</v>
      </c>
      <c r="L130" s="16">
        <f>Table11[[#This Row],['#Replace 24]]*Table11[[#This Row],[Canada Allocation %]]</f>
        <v>0</v>
      </c>
      <c r="M130" s="16"/>
      <c r="N130" s="16">
        <f>(Table11[[#This Row],[2024 '#Trees Inventory + Estimate]]*Table11[[#This Row],[Canada Allocation %]])-SUM(Table378[[#This Row],['# Trees as of 12/31/23]:[New Trees/Planted in 2024]])</f>
        <v>0</v>
      </c>
      <c r="O130" s="16">
        <f>SUM(Table378[[#This Row],['# Trees as of 12/31/23]:[2024 Tree Losses]])</f>
        <v>0</v>
      </c>
      <c r="P130" s="16">
        <f>SUM(Table378[[#This Row],[Total Trees as of 12/31/24]]-Table378[[#This Row],['# Trees as of 12/31/23]])</f>
        <v>0</v>
      </c>
      <c r="Q130" s="16">
        <f>Table11[[#This Row],['#Total Replacements]]*Table11[[#This Row],[Canada Allocation %]]</f>
        <v>0</v>
      </c>
      <c r="R130" s="16">
        <f>IF(Table378[[#This Row],['#Survival based on Inventory]]=0,Table378['#Survival based on Last Year Estimate],Table378['#Survival based on Inventory])</f>
        <v>0</v>
      </c>
      <c r="S130" s="16">
        <f>Table11[[#This Row],['#Planted]]*Table11[[#This Row],[Canada Allocation %]]*Table11[[#This Row],[2024 Inventory Survival%-master]]</f>
        <v>0</v>
      </c>
      <c r="T130" s="16">
        <f>Table11[[#This Row],['#Planted]]*Table11[[#This Row],[Canada Allocation %]]*Table11[[#This Row],[2024 Estimated Survival%]]</f>
        <v>0</v>
      </c>
      <c r="U130" s="7">
        <f>Table11[[#This Row],[ETP Year]]</f>
        <v>2020</v>
      </c>
      <c r="V130" s="7">
        <f>Table11[[#This Row],[Planting Year]]</f>
        <v>2020</v>
      </c>
      <c r="W130" s="8">
        <f>Table11[[#This Row],[Survival% as of 12/31/23]]</f>
        <v>1</v>
      </c>
      <c r="X130" s="7">
        <f>Table11[[#This Row],[ETP'#s]]</f>
        <v>1</v>
      </c>
    </row>
    <row r="131" spans="1:24" x14ac:dyDescent="0.25">
      <c r="A131">
        <f>Table11[[#This Row],[Farmer'#]]</f>
        <v>10054</v>
      </c>
      <c r="B131" t="str">
        <f>Table11[[#This Row],[Representative]]</f>
        <v>Ed Davenport</v>
      </c>
      <c r="C131" t="str">
        <f>Table11[[#This Row],[Contract Name]]</f>
        <v>Ed Davenport</v>
      </c>
      <c r="D131" t="str">
        <f>Table11[[#This Row],[Status]]</f>
        <v>Active</v>
      </c>
      <c r="E131" t="str">
        <f>Table11[[#This Row],[Contract Code]]</f>
        <v>US0064</v>
      </c>
      <c r="F131" s="16">
        <f>Table11[[#This Row],['#TreesContract]]</f>
        <v>1100</v>
      </c>
      <c r="G131" s="16">
        <f>Table11[[#This Row],['#Planted]]</f>
        <v>1100</v>
      </c>
      <c r="H131" s="16">
        <f>Table11[[#This Row],['#TreesContract]]*Table11[[#This Row],[Canada Allocation %]]</f>
        <v>0</v>
      </c>
      <c r="I131" s="16">
        <f>Table11[[#This Row],['#Planted]]*Table11[[#This Row],[Canada Allocation %]]</f>
        <v>0</v>
      </c>
      <c r="J131" s="16">
        <f>Table11[[#This Row],[Contract Amendment]]*Table11[[#This Row],[Canada Allocation %]]</f>
        <v>0</v>
      </c>
      <c r="K131" s="16">
        <f>Table11[[#This Row],['#Trees as of 12/31/23]]*Table11[[#This Row],[Canada Allocation %]]</f>
        <v>0</v>
      </c>
      <c r="L131" s="16">
        <f>Table11[[#This Row],['#Replace 24]]*Table11[[#This Row],[Canada Allocation %]]</f>
        <v>0</v>
      </c>
      <c r="M131" s="16"/>
      <c r="N131" s="16">
        <f>(Table11[[#This Row],[2024 '#Trees Inventory + Estimate]]*Table11[[#This Row],[Canada Allocation %]])-SUM(Table378[[#This Row],['# Trees as of 12/31/23]:[New Trees/Planted in 2024]])</f>
        <v>0</v>
      </c>
      <c r="O131" s="16">
        <f>SUM(Table378[[#This Row],['# Trees as of 12/31/23]:[2024 Tree Losses]])</f>
        <v>0</v>
      </c>
      <c r="P131" s="16">
        <f>SUM(Table378[[#This Row],[Total Trees as of 12/31/24]]-Table378[[#This Row],['# Trees as of 12/31/23]])</f>
        <v>0</v>
      </c>
      <c r="Q131" s="16">
        <f>Table11[[#This Row],['#Total Replacements]]*Table11[[#This Row],[Canada Allocation %]]</f>
        <v>0</v>
      </c>
      <c r="R131" s="16">
        <f>IF(Table378[[#This Row],['#Survival based on Inventory]]=0,Table378['#Survival based on Last Year Estimate],Table378['#Survival based on Inventory])</f>
        <v>0</v>
      </c>
      <c r="S131" s="16">
        <f>Table11[[#This Row],['#Planted]]*Table11[[#This Row],[Canada Allocation %]]*Table11[[#This Row],[2024 Inventory Survival%-master]]</f>
        <v>0</v>
      </c>
      <c r="T131" s="16">
        <f>Table11[[#This Row],['#Planted]]*Table11[[#This Row],[Canada Allocation %]]*Table11[[#This Row],[2024 Estimated Survival%]]</f>
        <v>0</v>
      </c>
      <c r="U131" s="7">
        <f>Table11[[#This Row],[ETP Year]]</f>
        <v>2020</v>
      </c>
      <c r="V131" s="7">
        <f>Table11[[#This Row],[Planting Year]]</f>
        <v>2020</v>
      </c>
      <c r="W131" s="8">
        <f>Table11[[#This Row],[Survival% as of 12/31/23]]</f>
        <v>1</v>
      </c>
      <c r="X131" s="7">
        <f>Table11[[#This Row],[ETP'#s]]</f>
        <v>1</v>
      </c>
    </row>
    <row r="132" spans="1:24" x14ac:dyDescent="0.25">
      <c r="A132">
        <f>Table11[[#This Row],[Farmer'#]]</f>
        <v>10055</v>
      </c>
      <c r="B132" t="str">
        <f>Table11[[#This Row],[Representative]]</f>
        <v>Glenn Sanders</v>
      </c>
      <c r="C132" t="str">
        <f>Table11[[#This Row],[Contract Name]]</f>
        <v>Glen Sanders</v>
      </c>
      <c r="D132" t="str">
        <f>Table11[[#This Row],[Status]]</f>
        <v>Active</v>
      </c>
      <c r="E132" t="str">
        <f>Table11[[#This Row],[Contract Code]]</f>
        <v>US0065</v>
      </c>
      <c r="F132" s="16">
        <f>Table11[[#This Row],['#TreesContract]]</f>
        <v>1100</v>
      </c>
      <c r="G132" s="16">
        <f>Table11[[#This Row],['#Planted]]</f>
        <v>1100</v>
      </c>
      <c r="H132" s="16">
        <f>Table11[[#This Row],['#TreesContract]]*Table11[[#This Row],[Canada Allocation %]]</f>
        <v>0</v>
      </c>
      <c r="I132" s="16">
        <f>Table11[[#This Row],['#Planted]]*Table11[[#This Row],[Canada Allocation %]]</f>
        <v>0</v>
      </c>
      <c r="J132" s="16">
        <f>Table11[[#This Row],[Contract Amendment]]*Table11[[#This Row],[Canada Allocation %]]</f>
        <v>0</v>
      </c>
      <c r="K132" s="16">
        <f>Table11[[#This Row],['#Trees as of 12/31/23]]*Table11[[#This Row],[Canada Allocation %]]</f>
        <v>0</v>
      </c>
      <c r="L132" s="16">
        <f>Table11[[#This Row],['#Replace 24]]*Table11[[#This Row],[Canada Allocation %]]</f>
        <v>0</v>
      </c>
      <c r="M132" s="16"/>
      <c r="N132" s="16">
        <f>(Table11[[#This Row],[2024 '#Trees Inventory + Estimate]]*Table11[[#This Row],[Canada Allocation %]])-SUM(Table378[[#This Row],['# Trees as of 12/31/23]:[New Trees/Planted in 2024]])</f>
        <v>0</v>
      </c>
      <c r="O132" s="16">
        <f>SUM(Table378[[#This Row],['# Trees as of 12/31/23]:[2024 Tree Losses]])</f>
        <v>0</v>
      </c>
      <c r="P132" s="16">
        <f>SUM(Table378[[#This Row],[Total Trees as of 12/31/24]]-Table378[[#This Row],['# Trees as of 12/31/23]])</f>
        <v>0</v>
      </c>
      <c r="Q132" s="16">
        <f>Table11[[#This Row],['#Total Replacements]]*Table11[[#This Row],[Canada Allocation %]]</f>
        <v>0</v>
      </c>
      <c r="R132" s="16">
        <f>IF(Table378[[#This Row],['#Survival based on Inventory]]=0,Table378['#Survival based on Last Year Estimate],Table378['#Survival based on Inventory])</f>
        <v>0</v>
      </c>
      <c r="S132" s="16">
        <f>Table11[[#This Row],['#Planted]]*Table11[[#This Row],[Canada Allocation %]]*Table11[[#This Row],[2024 Inventory Survival%-master]]</f>
        <v>0</v>
      </c>
      <c r="T132" s="16">
        <f>Table11[[#This Row],['#Planted]]*Table11[[#This Row],[Canada Allocation %]]*Table11[[#This Row],[2024 Estimated Survival%]]</f>
        <v>0</v>
      </c>
      <c r="U132" s="7">
        <f>Table11[[#This Row],[ETP Year]]</f>
        <v>2020</v>
      </c>
      <c r="V132" s="7">
        <f>Table11[[#This Row],[Planting Year]]</f>
        <v>2020</v>
      </c>
      <c r="W132" s="8">
        <f>Table11[[#This Row],[Survival% as of 12/31/23]]</f>
        <v>0.98818181818181816</v>
      </c>
      <c r="X132" s="7">
        <f>Table11[[#This Row],[ETP'#s]]</f>
        <v>1</v>
      </c>
    </row>
    <row r="133" spans="1:24" x14ac:dyDescent="0.25">
      <c r="A133">
        <f>Table11[[#This Row],[Farmer'#]]</f>
        <v>10056</v>
      </c>
      <c r="B133" t="str">
        <f>Table11[[#This Row],[Representative]]</f>
        <v>Glenn Preskitt</v>
      </c>
      <c r="C133" t="str">
        <f>Table11[[#This Row],[Contract Name]]</f>
        <v>Glenn Preskitt</v>
      </c>
      <c r="D133" t="str">
        <f>Table11[[#This Row],[Status]]</f>
        <v>Out of Program</v>
      </c>
      <c r="E133" t="str">
        <f>Table11[[#This Row],[Contract Code]]</f>
        <v>US0066</v>
      </c>
      <c r="F133" s="16">
        <f>Table11[[#This Row],['#TreesContract]]</f>
        <v>5500</v>
      </c>
      <c r="G133" s="16">
        <f>Table11[[#This Row],['#Planted]]</f>
        <v>5500</v>
      </c>
      <c r="H133" s="16">
        <f>Table11[[#This Row],['#TreesContract]]*Table11[[#This Row],[Canada Allocation %]]</f>
        <v>0</v>
      </c>
      <c r="I133" s="16">
        <f>Table11[[#This Row],['#Planted]]*Table11[[#This Row],[Canada Allocation %]]</f>
        <v>0</v>
      </c>
      <c r="J133" s="16">
        <f>Table11[[#This Row],[Contract Amendment]]*Table11[[#This Row],[Canada Allocation %]]</f>
        <v>0</v>
      </c>
      <c r="K133" s="16">
        <f>Table11[[#This Row],['#Trees as of 12/31/23]]*Table11[[#This Row],[Canada Allocation %]]</f>
        <v>0</v>
      </c>
      <c r="L133" s="16">
        <f>Table11[[#This Row],['#Replace 24]]*Table11[[#This Row],[Canada Allocation %]]</f>
        <v>0</v>
      </c>
      <c r="M133" s="16"/>
      <c r="N133" s="16">
        <f>(Table11[[#This Row],[2024 '#Trees Inventory + Estimate]]*Table11[[#This Row],[Canada Allocation %]])-SUM(Table378[[#This Row],['# Trees as of 12/31/23]:[New Trees/Planted in 2024]])</f>
        <v>0</v>
      </c>
      <c r="O133" s="16">
        <f>SUM(Table378[[#This Row],['# Trees as of 12/31/23]:[2024 Tree Losses]])</f>
        <v>0</v>
      </c>
      <c r="P133" s="16">
        <f>SUM(Table378[[#This Row],[Total Trees as of 12/31/24]]-Table378[[#This Row],['# Trees as of 12/31/23]])</f>
        <v>0</v>
      </c>
      <c r="Q133" s="16">
        <f>Table11[[#This Row],['#Total Replacements]]*Table11[[#This Row],[Canada Allocation %]]</f>
        <v>0</v>
      </c>
      <c r="R133" s="16">
        <f>IF(Table378[[#This Row],['#Survival based on Inventory]]=0,Table378['#Survival based on Last Year Estimate],Table378['#Survival based on Inventory])</f>
        <v>0</v>
      </c>
      <c r="S133" s="16">
        <f>Table11[[#This Row],['#Planted]]*Table11[[#This Row],[Canada Allocation %]]*Table11[[#This Row],[2024 Inventory Survival%-master]]</f>
        <v>0</v>
      </c>
      <c r="T133" s="16">
        <f>Table11[[#This Row],['#Planted]]*Table11[[#This Row],[Canada Allocation %]]*Table11[[#This Row],[2024 Estimated Survival%]]</f>
        <v>0</v>
      </c>
      <c r="U133" s="7">
        <f>Table11[[#This Row],[ETP Year]]</f>
        <v>2020</v>
      </c>
      <c r="V133" s="7">
        <f>Table11[[#This Row],[Planting Year]]</f>
        <v>2020</v>
      </c>
      <c r="W133" s="8">
        <f>Table11[[#This Row],[Survival% as of 12/31/23]]</f>
        <v>0.78</v>
      </c>
      <c r="X133" s="7">
        <f>Table11[[#This Row],[ETP'#s]]</f>
        <v>1</v>
      </c>
    </row>
    <row r="134" spans="1:24" x14ac:dyDescent="0.25">
      <c r="A134">
        <f>Table11[[#This Row],[Farmer'#]]</f>
        <v>10057</v>
      </c>
      <c r="B134" t="str">
        <f>Table11[[#This Row],[Representative]]</f>
        <v>Guy Goodson</v>
      </c>
      <c r="C134" t="str">
        <f>Table11[[#This Row],[Contract Name]]</f>
        <v>Guy Goodson</v>
      </c>
      <c r="D134" t="str">
        <f>Table11[[#This Row],[Status]]</f>
        <v>Active</v>
      </c>
      <c r="E134" t="str">
        <f>Table11[[#This Row],[Contract Code]]</f>
        <v>US0067</v>
      </c>
      <c r="F134" s="16">
        <f>Table11[[#This Row],['#TreesContract]]</f>
        <v>2200</v>
      </c>
      <c r="G134" s="16">
        <f>Table11[[#This Row],['#Planted]]</f>
        <v>2200</v>
      </c>
      <c r="H134" s="16">
        <f>Table11[[#This Row],['#TreesContract]]*Table11[[#This Row],[Canada Allocation %]]</f>
        <v>0</v>
      </c>
      <c r="I134" s="16">
        <f>Table11[[#This Row],['#Planted]]*Table11[[#This Row],[Canada Allocation %]]</f>
        <v>0</v>
      </c>
      <c r="J134" s="16">
        <f>Table11[[#This Row],[Contract Amendment]]*Table11[[#This Row],[Canada Allocation %]]</f>
        <v>0</v>
      </c>
      <c r="K134" s="16">
        <f>Table11[[#This Row],['#Trees as of 12/31/23]]*Table11[[#This Row],[Canada Allocation %]]</f>
        <v>0</v>
      </c>
      <c r="L134" s="16">
        <f>Table11[[#This Row],['#Replace 24]]*Table11[[#This Row],[Canada Allocation %]]</f>
        <v>0</v>
      </c>
      <c r="M134" s="16"/>
      <c r="N134" s="16">
        <f>(Table11[[#This Row],[2024 '#Trees Inventory + Estimate]]*Table11[[#This Row],[Canada Allocation %]])-SUM(Table378[[#This Row],['# Trees as of 12/31/23]:[New Trees/Planted in 2024]])</f>
        <v>0</v>
      </c>
      <c r="O134" s="16">
        <f>SUM(Table378[[#This Row],['# Trees as of 12/31/23]:[2024 Tree Losses]])</f>
        <v>0</v>
      </c>
      <c r="P134" s="16">
        <f>SUM(Table378[[#This Row],[Total Trees as of 12/31/24]]-Table378[[#This Row],['# Trees as of 12/31/23]])</f>
        <v>0</v>
      </c>
      <c r="Q134" s="16">
        <f>Table11[[#This Row],['#Total Replacements]]*Table11[[#This Row],[Canada Allocation %]]</f>
        <v>0</v>
      </c>
      <c r="R134" s="16">
        <f>IF(Table378[[#This Row],['#Survival based on Inventory]]=0,Table378['#Survival based on Last Year Estimate],Table378['#Survival based on Inventory])</f>
        <v>0</v>
      </c>
      <c r="S134" s="16">
        <f>Table11[[#This Row],['#Planted]]*Table11[[#This Row],[Canada Allocation %]]*Table11[[#This Row],[2024 Inventory Survival%-master]]</f>
        <v>0</v>
      </c>
      <c r="T134" s="16">
        <f>Table11[[#This Row],['#Planted]]*Table11[[#This Row],[Canada Allocation %]]*Table11[[#This Row],[2024 Estimated Survival%]]</f>
        <v>0</v>
      </c>
      <c r="U134" s="7">
        <f>Table11[[#This Row],[ETP Year]]</f>
        <v>2020</v>
      </c>
      <c r="V134" s="7">
        <f>Table11[[#This Row],[Planting Year]]</f>
        <v>2020</v>
      </c>
      <c r="W134" s="8">
        <f>Table11[[#This Row],[Survival% as of 12/31/23]]</f>
        <v>0.92045454545454541</v>
      </c>
      <c r="X134" s="7">
        <f>Table11[[#This Row],[ETP'#s]]</f>
        <v>1</v>
      </c>
    </row>
    <row r="135" spans="1:24" x14ac:dyDescent="0.25">
      <c r="A135">
        <f>Table11[[#This Row],[Farmer'#]]</f>
        <v>10058</v>
      </c>
      <c r="B135" t="str">
        <f>Table11[[#This Row],[Representative]]</f>
        <v>Jeff Barnes</v>
      </c>
      <c r="C135" t="str">
        <f>Table11[[#This Row],[Contract Name]]</f>
        <v>Richard and Trudie Barnes</v>
      </c>
      <c r="D135" t="str">
        <f>Table11[[#This Row],[Status]]</f>
        <v>Active</v>
      </c>
      <c r="E135" t="str">
        <f>Table11[[#This Row],[Contract Code]]</f>
        <v>US0068</v>
      </c>
      <c r="F135" s="16">
        <f>Table11[[#This Row],['#TreesContract]]</f>
        <v>1100</v>
      </c>
      <c r="G135" s="16">
        <f>Table11[[#This Row],['#Planted]]</f>
        <v>1100</v>
      </c>
      <c r="H135" s="16">
        <f>Table11[[#This Row],['#TreesContract]]*Table11[[#This Row],[Canada Allocation %]]</f>
        <v>0</v>
      </c>
      <c r="I135" s="16">
        <f>Table11[[#This Row],['#Planted]]*Table11[[#This Row],[Canada Allocation %]]</f>
        <v>0</v>
      </c>
      <c r="J135" s="16">
        <f>Table11[[#This Row],[Contract Amendment]]*Table11[[#This Row],[Canada Allocation %]]</f>
        <v>0</v>
      </c>
      <c r="K135" s="16">
        <f>Table11[[#This Row],['#Trees as of 12/31/23]]*Table11[[#This Row],[Canada Allocation %]]</f>
        <v>0</v>
      </c>
      <c r="L135" s="16">
        <f>Table11[[#This Row],['#Replace 24]]*Table11[[#This Row],[Canada Allocation %]]</f>
        <v>0</v>
      </c>
      <c r="M135" s="16"/>
      <c r="N135" s="16">
        <f>(Table11[[#This Row],[2024 '#Trees Inventory + Estimate]]*Table11[[#This Row],[Canada Allocation %]])-SUM(Table378[[#This Row],['# Trees as of 12/31/23]:[New Trees/Planted in 2024]])</f>
        <v>0</v>
      </c>
      <c r="O135" s="16">
        <f>SUM(Table378[[#This Row],['# Trees as of 12/31/23]:[2024 Tree Losses]])</f>
        <v>0</v>
      </c>
      <c r="P135" s="16">
        <f>SUM(Table378[[#This Row],[Total Trees as of 12/31/24]]-Table378[[#This Row],['# Trees as of 12/31/23]])</f>
        <v>0</v>
      </c>
      <c r="Q135" s="16">
        <f>Table11[[#This Row],['#Total Replacements]]*Table11[[#This Row],[Canada Allocation %]]</f>
        <v>0</v>
      </c>
      <c r="R135" s="16">
        <f>IF(Table378[[#This Row],['#Survival based on Inventory]]=0,Table378['#Survival based on Last Year Estimate],Table378['#Survival based on Inventory])</f>
        <v>0</v>
      </c>
      <c r="S135" s="16">
        <f>Table11[[#This Row],['#Planted]]*Table11[[#This Row],[Canada Allocation %]]*Table11[[#This Row],[2024 Inventory Survival%-master]]</f>
        <v>0</v>
      </c>
      <c r="T135" s="16">
        <f>Table11[[#This Row],['#Planted]]*Table11[[#This Row],[Canada Allocation %]]*Table11[[#This Row],[2024 Estimated Survival%]]</f>
        <v>0</v>
      </c>
      <c r="U135" s="7">
        <f>Table11[[#This Row],[ETP Year]]</f>
        <v>2020</v>
      </c>
      <c r="V135" s="7">
        <f>Table11[[#This Row],[Planting Year]]</f>
        <v>2020</v>
      </c>
      <c r="W135" s="8">
        <f>Table11[[#This Row],[Survival% as of 12/31/23]]</f>
        <v>0.90227272727272723</v>
      </c>
      <c r="X135" s="7">
        <f>Table11[[#This Row],[ETP'#s]]</f>
        <v>1</v>
      </c>
    </row>
    <row r="136" spans="1:24" x14ac:dyDescent="0.25">
      <c r="A136">
        <f>Table11[[#This Row],[Farmer'#]]</f>
        <v>10059</v>
      </c>
      <c r="B136" t="str">
        <f>Table11[[#This Row],[Representative]]</f>
        <v>Jeff George</v>
      </c>
      <c r="C136" t="str">
        <f>Table11[[#This Row],[Contract Name]]</f>
        <v>Jeff George</v>
      </c>
      <c r="D136" t="str">
        <f>Table11[[#This Row],[Status]]</f>
        <v>Active</v>
      </c>
      <c r="E136" t="str">
        <f>Table11[[#This Row],[Contract Code]]</f>
        <v>US0069</v>
      </c>
      <c r="F136" s="16">
        <f>Table11[[#This Row],['#TreesContract]]</f>
        <v>1100</v>
      </c>
      <c r="G136" s="16">
        <f>Table11[[#This Row],['#Planted]]</f>
        <v>1100</v>
      </c>
      <c r="H136" s="16">
        <f>Table11[[#This Row],['#TreesContract]]*Table11[[#This Row],[Canada Allocation %]]</f>
        <v>0</v>
      </c>
      <c r="I136" s="16">
        <f>Table11[[#This Row],['#Planted]]*Table11[[#This Row],[Canada Allocation %]]</f>
        <v>0</v>
      </c>
      <c r="J136" s="16">
        <f>Table11[[#This Row],[Contract Amendment]]*Table11[[#This Row],[Canada Allocation %]]</f>
        <v>0</v>
      </c>
      <c r="K136" s="16">
        <f>Table11[[#This Row],['#Trees as of 12/31/23]]*Table11[[#This Row],[Canada Allocation %]]</f>
        <v>0</v>
      </c>
      <c r="L136" s="16">
        <f>Table11[[#This Row],['#Replace 24]]*Table11[[#This Row],[Canada Allocation %]]</f>
        <v>0</v>
      </c>
      <c r="M136" s="16"/>
      <c r="N136" s="16">
        <f>(Table11[[#This Row],[2024 '#Trees Inventory + Estimate]]*Table11[[#This Row],[Canada Allocation %]])-SUM(Table378[[#This Row],['# Trees as of 12/31/23]:[New Trees/Planted in 2024]])</f>
        <v>0</v>
      </c>
      <c r="O136" s="16">
        <f>SUM(Table378[[#This Row],['# Trees as of 12/31/23]:[2024 Tree Losses]])</f>
        <v>0</v>
      </c>
      <c r="P136" s="16">
        <f>SUM(Table378[[#This Row],[Total Trees as of 12/31/24]]-Table378[[#This Row],['# Trees as of 12/31/23]])</f>
        <v>0</v>
      </c>
      <c r="Q136" s="16">
        <f>Table11[[#This Row],['#Total Replacements]]*Table11[[#This Row],[Canada Allocation %]]</f>
        <v>0</v>
      </c>
      <c r="R136" s="16">
        <f>IF(Table378[[#This Row],['#Survival based on Inventory]]=0,Table378['#Survival based on Last Year Estimate],Table378['#Survival based on Inventory])</f>
        <v>0</v>
      </c>
      <c r="S136" s="16">
        <f>Table11[[#This Row],['#Planted]]*Table11[[#This Row],[Canada Allocation %]]*Table11[[#This Row],[2024 Inventory Survival%-master]]</f>
        <v>0</v>
      </c>
      <c r="T136" s="16">
        <f>Table11[[#This Row],['#Planted]]*Table11[[#This Row],[Canada Allocation %]]*Table11[[#This Row],[2024 Estimated Survival%]]</f>
        <v>0</v>
      </c>
      <c r="U136" s="7">
        <f>Table11[[#This Row],[ETP Year]]</f>
        <v>2020</v>
      </c>
      <c r="V136" s="7">
        <f>Table11[[#This Row],[Planting Year]]</f>
        <v>2020</v>
      </c>
      <c r="W136" s="8">
        <f>Table11[[#This Row],[Survival% as of 12/31/23]]</f>
        <v>1</v>
      </c>
      <c r="X136" s="7">
        <f>Table11[[#This Row],[ETP'#s]]</f>
        <v>1</v>
      </c>
    </row>
    <row r="137" spans="1:24" x14ac:dyDescent="0.25">
      <c r="A137">
        <f>Table11[[#This Row],[Farmer'#]]</f>
        <v>10060</v>
      </c>
      <c r="B137" t="str">
        <f>Table11[[#This Row],[Representative]]</f>
        <v>Jeff Rice</v>
      </c>
      <c r="C137" t="str">
        <f>Table11[[#This Row],[Contract Name]]</f>
        <v>Jeffrey Rice</v>
      </c>
      <c r="D137" t="str">
        <f>Table11[[#This Row],[Status]]</f>
        <v>Active</v>
      </c>
      <c r="E137" t="str">
        <f>Table11[[#This Row],[Contract Code]]</f>
        <v>US0070</v>
      </c>
      <c r="F137" s="16">
        <f>Table11[[#This Row],['#TreesContract]]</f>
        <v>1100</v>
      </c>
      <c r="G137" s="16">
        <f>Table11[[#This Row],['#Planted]]</f>
        <v>1100</v>
      </c>
      <c r="H137" s="16">
        <f>Table11[[#This Row],['#TreesContract]]*Table11[[#This Row],[Canada Allocation %]]</f>
        <v>0</v>
      </c>
      <c r="I137" s="16">
        <f>Table11[[#This Row],['#Planted]]*Table11[[#This Row],[Canada Allocation %]]</f>
        <v>0</v>
      </c>
      <c r="J137" s="16">
        <f>Table11[[#This Row],[Contract Amendment]]*Table11[[#This Row],[Canada Allocation %]]</f>
        <v>0</v>
      </c>
      <c r="K137" s="16">
        <f>Table11[[#This Row],['#Trees as of 12/31/23]]*Table11[[#This Row],[Canada Allocation %]]</f>
        <v>0</v>
      </c>
      <c r="L137" s="16">
        <f>Table11[[#This Row],['#Replace 24]]*Table11[[#This Row],[Canada Allocation %]]</f>
        <v>0</v>
      </c>
      <c r="M137" s="16"/>
      <c r="N137" s="16">
        <f>(Table11[[#This Row],[2024 '#Trees Inventory + Estimate]]*Table11[[#This Row],[Canada Allocation %]])-SUM(Table378[[#This Row],['# Trees as of 12/31/23]:[New Trees/Planted in 2024]])</f>
        <v>0</v>
      </c>
      <c r="O137" s="16">
        <f>SUM(Table378[[#This Row],['# Trees as of 12/31/23]:[2024 Tree Losses]])</f>
        <v>0</v>
      </c>
      <c r="P137" s="16">
        <f>SUM(Table378[[#This Row],[Total Trees as of 12/31/24]]-Table378[[#This Row],['# Trees as of 12/31/23]])</f>
        <v>0</v>
      </c>
      <c r="Q137" s="16">
        <f>Table11[[#This Row],['#Total Replacements]]*Table11[[#This Row],[Canada Allocation %]]</f>
        <v>0</v>
      </c>
      <c r="R137" s="16">
        <f>IF(Table378[[#This Row],['#Survival based on Inventory]]=0,Table378['#Survival based on Last Year Estimate],Table378['#Survival based on Inventory])</f>
        <v>0</v>
      </c>
      <c r="S137" s="16">
        <f>Table11[[#This Row],['#Planted]]*Table11[[#This Row],[Canada Allocation %]]*Table11[[#This Row],[2024 Inventory Survival%-master]]</f>
        <v>0</v>
      </c>
      <c r="T137" s="16">
        <f>Table11[[#This Row],['#Planted]]*Table11[[#This Row],[Canada Allocation %]]*Table11[[#This Row],[2024 Estimated Survival%]]</f>
        <v>0</v>
      </c>
      <c r="U137" s="7">
        <f>Table11[[#This Row],[ETP Year]]</f>
        <v>2020</v>
      </c>
      <c r="V137" s="7">
        <f>Table11[[#This Row],[Planting Year]]</f>
        <v>2020</v>
      </c>
      <c r="W137" s="8">
        <f>Table11[[#This Row],[Survival% as of 12/31/23]]</f>
        <v>0.88227272727272732</v>
      </c>
      <c r="X137" s="7">
        <f>Table11[[#This Row],[ETP'#s]]</f>
        <v>1</v>
      </c>
    </row>
    <row r="138" spans="1:24" x14ac:dyDescent="0.25">
      <c r="A138">
        <f>Table11[[#This Row],[Farmer'#]]</f>
        <v>10061</v>
      </c>
      <c r="B138" t="str">
        <f>Table11[[#This Row],[Representative]]</f>
        <v>Jim West</v>
      </c>
      <c r="C138" t="str">
        <f>Table11[[#This Row],[Contract Name]]</f>
        <v>Jim West</v>
      </c>
      <c r="D138" t="str">
        <f>Table11[[#This Row],[Status]]</f>
        <v>Active</v>
      </c>
      <c r="E138" t="str">
        <f>Table11[[#This Row],[Contract Code]]</f>
        <v>US0071</v>
      </c>
      <c r="F138" s="16">
        <f>Table11[[#This Row],['#TreesContract]]</f>
        <v>1100</v>
      </c>
      <c r="G138" s="16">
        <f>Table11[[#This Row],['#Planted]]</f>
        <v>1100</v>
      </c>
      <c r="H138" s="16">
        <f>Table11[[#This Row],['#TreesContract]]*Table11[[#This Row],[Canada Allocation %]]</f>
        <v>0</v>
      </c>
      <c r="I138" s="16">
        <f>Table11[[#This Row],['#Planted]]*Table11[[#This Row],[Canada Allocation %]]</f>
        <v>0</v>
      </c>
      <c r="J138" s="16">
        <f>Table11[[#This Row],[Contract Amendment]]*Table11[[#This Row],[Canada Allocation %]]</f>
        <v>0</v>
      </c>
      <c r="K138" s="16">
        <f>Table11[[#This Row],['#Trees as of 12/31/23]]*Table11[[#This Row],[Canada Allocation %]]</f>
        <v>0</v>
      </c>
      <c r="L138" s="16">
        <f>Table11[[#This Row],['#Replace 24]]*Table11[[#This Row],[Canada Allocation %]]</f>
        <v>0</v>
      </c>
      <c r="M138" s="16"/>
      <c r="N138" s="16">
        <f>(Table11[[#This Row],[2024 '#Trees Inventory + Estimate]]*Table11[[#This Row],[Canada Allocation %]])-SUM(Table378[[#This Row],['# Trees as of 12/31/23]:[New Trees/Planted in 2024]])</f>
        <v>0</v>
      </c>
      <c r="O138" s="16">
        <f>SUM(Table378[[#This Row],['# Trees as of 12/31/23]:[2024 Tree Losses]])</f>
        <v>0</v>
      </c>
      <c r="P138" s="16">
        <f>SUM(Table378[[#This Row],[Total Trees as of 12/31/24]]-Table378[[#This Row],['# Trees as of 12/31/23]])</f>
        <v>0</v>
      </c>
      <c r="Q138" s="16">
        <f>Table11[[#This Row],['#Total Replacements]]*Table11[[#This Row],[Canada Allocation %]]</f>
        <v>0</v>
      </c>
      <c r="R138" s="16">
        <f>IF(Table378[[#This Row],['#Survival based on Inventory]]=0,Table378['#Survival based on Last Year Estimate],Table378['#Survival based on Inventory])</f>
        <v>0</v>
      </c>
      <c r="S138" s="16">
        <f>Table11[[#This Row],['#Planted]]*Table11[[#This Row],[Canada Allocation %]]*Table11[[#This Row],[2024 Inventory Survival%-master]]</f>
        <v>0</v>
      </c>
      <c r="T138" s="16">
        <f>Table11[[#This Row],['#Planted]]*Table11[[#This Row],[Canada Allocation %]]*Table11[[#This Row],[2024 Estimated Survival%]]</f>
        <v>0</v>
      </c>
      <c r="U138" s="7">
        <f>Table11[[#This Row],[ETP Year]]</f>
        <v>2020</v>
      </c>
      <c r="V138" s="7">
        <f>Table11[[#This Row],[Planting Year]]</f>
        <v>2020</v>
      </c>
      <c r="W138" s="8">
        <f>Table11[[#This Row],[Survival% as of 12/31/23]]</f>
        <v>1</v>
      </c>
      <c r="X138" s="7">
        <f>Table11[[#This Row],[ETP'#s]]</f>
        <v>1</v>
      </c>
    </row>
    <row r="139" spans="1:24" x14ac:dyDescent="0.25">
      <c r="A139">
        <f>Table11[[#This Row],[Farmer'#]]</f>
        <v>10062</v>
      </c>
      <c r="B139" t="str">
        <f>Table11[[#This Row],[Representative]]</f>
        <v>John Hayes</v>
      </c>
      <c r="C139" t="str">
        <f>Table11[[#This Row],[Contract Name]]</f>
        <v>Hayes Farms LLC</v>
      </c>
      <c r="D139" t="str">
        <f>Table11[[#This Row],[Status]]</f>
        <v>Out of Program</v>
      </c>
      <c r="E139" t="str">
        <f>Table11[[#This Row],[Contract Code]]</f>
        <v>US0072</v>
      </c>
      <c r="F139" s="16">
        <f>Table11[[#This Row],['#TreesContract]]</f>
        <v>1100</v>
      </c>
      <c r="G139" s="16">
        <f>Table11[[#This Row],['#Planted]]</f>
        <v>1100</v>
      </c>
      <c r="H139" s="16">
        <f>Table11[[#This Row],['#TreesContract]]*Table11[[#This Row],[Canada Allocation %]]</f>
        <v>0</v>
      </c>
      <c r="I139" s="16">
        <f>Table11[[#This Row],['#Planted]]*Table11[[#This Row],[Canada Allocation %]]</f>
        <v>0</v>
      </c>
      <c r="J139" s="16">
        <f>Table11[[#This Row],[Contract Amendment]]*Table11[[#This Row],[Canada Allocation %]]</f>
        <v>0</v>
      </c>
      <c r="K139" s="16">
        <f>Table11[[#This Row],['#Trees as of 12/31/23]]*Table11[[#This Row],[Canada Allocation %]]</f>
        <v>0</v>
      </c>
      <c r="L139" s="16">
        <f>Table11[[#This Row],['#Replace 24]]*Table11[[#This Row],[Canada Allocation %]]</f>
        <v>0</v>
      </c>
      <c r="M139" s="16"/>
      <c r="N139" s="16">
        <f>(Table11[[#This Row],[2024 '#Trees Inventory + Estimate]]*Table11[[#This Row],[Canada Allocation %]])-SUM(Table378[[#This Row],['# Trees as of 12/31/23]:[New Trees/Planted in 2024]])</f>
        <v>0</v>
      </c>
      <c r="O139" s="16">
        <f>SUM(Table378[[#This Row],['# Trees as of 12/31/23]:[2024 Tree Losses]])</f>
        <v>0</v>
      </c>
      <c r="P139" s="16">
        <f>SUM(Table378[[#This Row],[Total Trees as of 12/31/24]]-Table378[[#This Row],['# Trees as of 12/31/23]])</f>
        <v>0</v>
      </c>
      <c r="Q139" s="16">
        <f>Table11[[#This Row],['#Total Replacements]]*Table11[[#This Row],[Canada Allocation %]]</f>
        <v>0</v>
      </c>
      <c r="R139" s="16">
        <f>IF(Table378[[#This Row],['#Survival based on Inventory]]=0,Table378['#Survival based on Last Year Estimate],Table378['#Survival based on Inventory])</f>
        <v>0</v>
      </c>
      <c r="S139" s="16">
        <f>Table11[[#This Row],['#Planted]]*Table11[[#This Row],[Canada Allocation %]]*Table11[[#This Row],[2024 Inventory Survival%-master]]</f>
        <v>0</v>
      </c>
      <c r="T139" s="16">
        <f>Table11[[#This Row],['#Planted]]*Table11[[#This Row],[Canada Allocation %]]*Table11[[#This Row],[2024 Estimated Survival%]]</f>
        <v>0</v>
      </c>
      <c r="U139" s="7">
        <f>Table11[[#This Row],[ETP Year]]</f>
        <v>2020</v>
      </c>
      <c r="V139" s="7">
        <f>Table11[[#This Row],[Planting Year]]</f>
        <v>2020</v>
      </c>
      <c r="W139" s="8">
        <f>Table11[[#This Row],[Survival% as of 12/31/23]]</f>
        <v>0.82499999999999996</v>
      </c>
      <c r="X139" s="7">
        <f>Table11[[#This Row],[ETP'#s]]</f>
        <v>1</v>
      </c>
    </row>
    <row r="140" spans="1:24" x14ac:dyDescent="0.25">
      <c r="A140">
        <f>Table11[[#This Row],[Farmer'#]]</f>
        <v>10063</v>
      </c>
      <c r="B140" t="str">
        <f>Table11[[#This Row],[Representative]]</f>
        <v>Joseph Garrett</v>
      </c>
      <c r="C140" t="str">
        <f>Table11[[#This Row],[Contract Name]]</f>
        <v>Joseph Garrett</v>
      </c>
      <c r="D140" t="str">
        <f>Table11[[#This Row],[Status]]</f>
        <v>Active</v>
      </c>
      <c r="E140" t="str">
        <f>Table11[[#This Row],[Contract Code]]</f>
        <v>US0073</v>
      </c>
      <c r="F140" s="16">
        <f>Table11[[#This Row],['#TreesContract]]</f>
        <v>1100</v>
      </c>
      <c r="G140" s="16">
        <f>Table11[[#This Row],['#Planted]]</f>
        <v>1100</v>
      </c>
      <c r="H140" s="16">
        <f>Table11[[#This Row],['#TreesContract]]*Table11[[#This Row],[Canada Allocation %]]</f>
        <v>0</v>
      </c>
      <c r="I140" s="16">
        <f>Table11[[#This Row],['#Planted]]*Table11[[#This Row],[Canada Allocation %]]</f>
        <v>0</v>
      </c>
      <c r="J140" s="16">
        <f>Table11[[#This Row],[Contract Amendment]]*Table11[[#This Row],[Canada Allocation %]]</f>
        <v>0</v>
      </c>
      <c r="K140" s="16">
        <f>Table11[[#This Row],['#Trees as of 12/31/23]]*Table11[[#This Row],[Canada Allocation %]]</f>
        <v>0</v>
      </c>
      <c r="L140" s="16">
        <f>Table11[[#This Row],['#Replace 24]]*Table11[[#This Row],[Canada Allocation %]]</f>
        <v>0</v>
      </c>
      <c r="M140" s="16"/>
      <c r="N140" s="16">
        <f>(Table11[[#This Row],[2024 '#Trees Inventory + Estimate]]*Table11[[#This Row],[Canada Allocation %]])-SUM(Table378[[#This Row],['# Trees as of 12/31/23]:[New Trees/Planted in 2024]])</f>
        <v>0</v>
      </c>
      <c r="O140" s="16">
        <f>SUM(Table378[[#This Row],['# Trees as of 12/31/23]:[2024 Tree Losses]])</f>
        <v>0</v>
      </c>
      <c r="P140" s="16">
        <f>SUM(Table378[[#This Row],[Total Trees as of 12/31/24]]-Table378[[#This Row],['# Trees as of 12/31/23]])</f>
        <v>0</v>
      </c>
      <c r="Q140" s="16">
        <f>Table11[[#This Row],['#Total Replacements]]*Table11[[#This Row],[Canada Allocation %]]</f>
        <v>0</v>
      </c>
      <c r="R140" s="16">
        <f>IF(Table378[[#This Row],['#Survival based on Inventory]]=0,Table378['#Survival based on Last Year Estimate],Table378['#Survival based on Inventory])</f>
        <v>0</v>
      </c>
      <c r="S140" s="16">
        <f>Table11[[#This Row],['#Planted]]*Table11[[#This Row],[Canada Allocation %]]*Table11[[#This Row],[2024 Inventory Survival%-master]]</f>
        <v>0</v>
      </c>
      <c r="T140" s="16">
        <f>Table11[[#This Row],['#Planted]]*Table11[[#This Row],[Canada Allocation %]]*Table11[[#This Row],[2024 Estimated Survival%]]</f>
        <v>0</v>
      </c>
      <c r="U140" s="7">
        <f>Table11[[#This Row],[ETP Year]]</f>
        <v>2020</v>
      </c>
      <c r="V140" s="7">
        <f>Table11[[#This Row],[Planting Year]]</f>
        <v>2020</v>
      </c>
      <c r="W140" s="8">
        <f>Table11[[#This Row],[Survival% as of 12/31/23]]</f>
        <v>0.98818181818181816</v>
      </c>
      <c r="X140" s="7">
        <f>Table11[[#This Row],[ETP'#s]]</f>
        <v>1</v>
      </c>
    </row>
    <row r="141" spans="1:24" x14ac:dyDescent="0.25">
      <c r="A141">
        <f>Table11[[#This Row],[Farmer'#]]</f>
        <v>10064</v>
      </c>
      <c r="B141" t="str">
        <f>Table11[[#This Row],[Representative]]</f>
        <v>Josh Allen</v>
      </c>
      <c r="C141" t="str">
        <f>Table11[[#This Row],[Contract Name]]</f>
        <v>Josh Allen</v>
      </c>
      <c r="D141" t="str">
        <f>Table11[[#This Row],[Status]]</f>
        <v>Active</v>
      </c>
      <c r="E141" t="str">
        <f>Table11[[#This Row],[Contract Code]]</f>
        <v>US0074</v>
      </c>
      <c r="F141" s="16">
        <f>Table11[[#This Row],['#TreesContract]]</f>
        <v>1100</v>
      </c>
      <c r="G141" s="16">
        <f>Table11[[#This Row],['#Planted]]</f>
        <v>1100</v>
      </c>
      <c r="H141" s="16">
        <f>Table11[[#This Row],['#TreesContract]]*Table11[[#This Row],[Canada Allocation %]]</f>
        <v>0</v>
      </c>
      <c r="I141" s="16">
        <f>Table11[[#This Row],['#Planted]]*Table11[[#This Row],[Canada Allocation %]]</f>
        <v>0</v>
      </c>
      <c r="J141" s="16">
        <f>Table11[[#This Row],[Contract Amendment]]*Table11[[#This Row],[Canada Allocation %]]</f>
        <v>0</v>
      </c>
      <c r="K141" s="16">
        <f>Table11[[#This Row],['#Trees as of 12/31/23]]*Table11[[#This Row],[Canada Allocation %]]</f>
        <v>0</v>
      </c>
      <c r="L141" s="16">
        <f>Table11[[#This Row],['#Replace 24]]*Table11[[#This Row],[Canada Allocation %]]</f>
        <v>0</v>
      </c>
      <c r="M141" s="16"/>
      <c r="N141" s="16">
        <f>(Table11[[#This Row],[2024 '#Trees Inventory + Estimate]]*Table11[[#This Row],[Canada Allocation %]])-SUM(Table378[[#This Row],['# Trees as of 12/31/23]:[New Trees/Planted in 2024]])</f>
        <v>0</v>
      </c>
      <c r="O141" s="16">
        <f>SUM(Table378[[#This Row],['# Trees as of 12/31/23]:[2024 Tree Losses]])</f>
        <v>0</v>
      </c>
      <c r="P141" s="16">
        <f>SUM(Table378[[#This Row],[Total Trees as of 12/31/24]]-Table378[[#This Row],['# Trees as of 12/31/23]])</f>
        <v>0</v>
      </c>
      <c r="Q141" s="16">
        <f>Table11[[#This Row],['#Total Replacements]]*Table11[[#This Row],[Canada Allocation %]]</f>
        <v>0</v>
      </c>
      <c r="R141" s="16">
        <f>IF(Table378[[#This Row],['#Survival based on Inventory]]=0,Table378['#Survival based on Last Year Estimate],Table378['#Survival based on Inventory])</f>
        <v>0</v>
      </c>
      <c r="S141" s="16">
        <f>Table11[[#This Row],['#Planted]]*Table11[[#This Row],[Canada Allocation %]]*Table11[[#This Row],[2024 Inventory Survival%-master]]</f>
        <v>0</v>
      </c>
      <c r="T141" s="16">
        <f>Table11[[#This Row],['#Planted]]*Table11[[#This Row],[Canada Allocation %]]*Table11[[#This Row],[2024 Estimated Survival%]]</f>
        <v>0</v>
      </c>
      <c r="U141" s="7">
        <f>Table11[[#This Row],[ETP Year]]</f>
        <v>2020</v>
      </c>
      <c r="V141" s="7">
        <f>Table11[[#This Row],[Planting Year]]</f>
        <v>2020</v>
      </c>
      <c r="W141" s="8">
        <f>Table11[[#This Row],[Survival% as of 12/31/23]]</f>
        <v>0.95</v>
      </c>
      <c r="X141" s="7">
        <f>Table11[[#This Row],[ETP'#s]]</f>
        <v>1</v>
      </c>
    </row>
    <row r="142" spans="1:24" x14ac:dyDescent="0.25">
      <c r="A142">
        <f>Table11[[#This Row],[Farmer'#]]</f>
        <v>10065</v>
      </c>
      <c r="B142" t="str">
        <f>Table11[[#This Row],[Representative]]</f>
        <v>Justin Brewer</v>
      </c>
      <c r="C142" t="str">
        <f>Table11[[#This Row],[Contract Name]]</f>
        <v>Justin Brewer</v>
      </c>
      <c r="D142" t="str">
        <f>Table11[[#This Row],[Status]]</f>
        <v>Active</v>
      </c>
      <c r="E142" t="str">
        <f>Table11[[#This Row],[Contract Code]]</f>
        <v>US0075</v>
      </c>
      <c r="F142" s="16">
        <f>Table11[[#This Row],['#TreesContract]]</f>
        <v>1090</v>
      </c>
      <c r="G142" s="16">
        <f>Table11[[#This Row],['#Planted]]</f>
        <v>1090</v>
      </c>
      <c r="H142" s="16">
        <f>Table11[[#This Row],['#TreesContract]]*Table11[[#This Row],[Canada Allocation %]]</f>
        <v>0</v>
      </c>
      <c r="I142" s="16">
        <f>Table11[[#This Row],['#Planted]]*Table11[[#This Row],[Canada Allocation %]]</f>
        <v>0</v>
      </c>
      <c r="J142" s="16">
        <f>Table11[[#This Row],[Contract Amendment]]*Table11[[#This Row],[Canada Allocation %]]</f>
        <v>0</v>
      </c>
      <c r="K142" s="16">
        <f>Table11[[#This Row],['#Trees as of 12/31/23]]*Table11[[#This Row],[Canada Allocation %]]</f>
        <v>0</v>
      </c>
      <c r="L142" s="16">
        <f>Table11[[#This Row],['#Replace 24]]*Table11[[#This Row],[Canada Allocation %]]</f>
        <v>0</v>
      </c>
      <c r="M142" s="16"/>
      <c r="N142" s="16">
        <f>(Table11[[#This Row],[2024 '#Trees Inventory + Estimate]]*Table11[[#This Row],[Canada Allocation %]])-SUM(Table378[[#This Row],['# Trees as of 12/31/23]:[New Trees/Planted in 2024]])</f>
        <v>0</v>
      </c>
      <c r="O142" s="16">
        <f>SUM(Table378[[#This Row],['# Trees as of 12/31/23]:[2024 Tree Losses]])</f>
        <v>0</v>
      </c>
      <c r="P142" s="16">
        <f>SUM(Table378[[#This Row],[Total Trees as of 12/31/24]]-Table378[[#This Row],['# Trees as of 12/31/23]])</f>
        <v>0</v>
      </c>
      <c r="Q142" s="16">
        <f>Table11[[#This Row],['#Total Replacements]]*Table11[[#This Row],[Canada Allocation %]]</f>
        <v>0</v>
      </c>
      <c r="R142" s="16">
        <f>IF(Table378[[#This Row],['#Survival based on Inventory]]=0,Table378['#Survival based on Last Year Estimate],Table378['#Survival based on Inventory])</f>
        <v>0</v>
      </c>
      <c r="S142" s="16">
        <f>Table11[[#This Row],['#Planted]]*Table11[[#This Row],[Canada Allocation %]]*Table11[[#This Row],[2024 Inventory Survival%-master]]</f>
        <v>0</v>
      </c>
      <c r="T142" s="16">
        <f>Table11[[#This Row],['#Planted]]*Table11[[#This Row],[Canada Allocation %]]*Table11[[#This Row],[2024 Estimated Survival%]]</f>
        <v>0</v>
      </c>
      <c r="U142" s="7">
        <f>Table11[[#This Row],[ETP Year]]</f>
        <v>2020</v>
      </c>
      <c r="V142" s="7">
        <f>Table11[[#This Row],[Planting Year]]</f>
        <v>2020</v>
      </c>
      <c r="W142" s="8">
        <f>Table11[[#This Row],[Survival% as of 12/31/23]]</f>
        <v>1</v>
      </c>
      <c r="X142" s="7">
        <f>Table11[[#This Row],[ETP'#s]]</f>
        <v>1</v>
      </c>
    </row>
    <row r="143" spans="1:24" x14ac:dyDescent="0.25">
      <c r="A143">
        <f>Table11[[#This Row],[Farmer'#]]</f>
        <v>10066</v>
      </c>
      <c r="B143" t="str">
        <f>Table11[[#This Row],[Representative]]</f>
        <v>Kim Martens</v>
      </c>
      <c r="C143" t="str">
        <f>Table11[[#This Row],[Contract Name]]</f>
        <v>Kim Martens</v>
      </c>
      <c r="D143" t="str">
        <f>Table11[[#This Row],[Status]]</f>
        <v>Active</v>
      </c>
      <c r="E143" t="str">
        <f>Table11[[#This Row],[Contract Code]]</f>
        <v>US0076</v>
      </c>
      <c r="F143" s="16">
        <f>Table11[[#This Row],['#TreesContract]]</f>
        <v>750</v>
      </c>
      <c r="G143" s="16">
        <f>Table11[[#This Row],['#Planted]]</f>
        <v>750</v>
      </c>
      <c r="H143" s="16">
        <f>Table11[[#This Row],['#TreesContract]]*Table11[[#This Row],[Canada Allocation %]]</f>
        <v>0</v>
      </c>
      <c r="I143" s="16">
        <f>Table11[[#This Row],['#Planted]]*Table11[[#This Row],[Canada Allocation %]]</f>
        <v>0</v>
      </c>
      <c r="J143" s="16">
        <f>Table11[[#This Row],[Contract Amendment]]*Table11[[#This Row],[Canada Allocation %]]</f>
        <v>0</v>
      </c>
      <c r="K143" s="16">
        <f>Table11[[#This Row],['#Trees as of 12/31/23]]*Table11[[#This Row],[Canada Allocation %]]</f>
        <v>0</v>
      </c>
      <c r="L143" s="16">
        <f>Table11[[#This Row],['#Replace 24]]*Table11[[#This Row],[Canada Allocation %]]</f>
        <v>0</v>
      </c>
      <c r="M143" s="16"/>
      <c r="N143" s="16">
        <f>(Table11[[#This Row],[2024 '#Trees Inventory + Estimate]]*Table11[[#This Row],[Canada Allocation %]])-SUM(Table378[[#This Row],['# Trees as of 12/31/23]:[New Trees/Planted in 2024]])</f>
        <v>0</v>
      </c>
      <c r="O143" s="16">
        <f>SUM(Table378[[#This Row],['# Trees as of 12/31/23]:[2024 Tree Losses]])</f>
        <v>0</v>
      </c>
      <c r="P143" s="16">
        <f>SUM(Table378[[#This Row],[Total Trees as of 12/31/24]]-Table378[[#This Row],['# Trees as of 12/31/23]])</f>
        <v>0</v>
      </c>
      <c r="Q143" s="16">
        <f>Table11[[#This Row],['#Total Replacements]]*Table11[[#This Row],[Canada Allocation %]]</f>
        <v>0</v>
      </c>
      <c r="R143" s="16">
        <f>IF(Table378[[#This Row],['#Survival based on Inventory]]=0,Table378['#Survival based on Last Year Estimate],Table378['#Survival based on Inventory])</f>
        <v>0</v>
      </c>
      <c r="S143" s="16">
        <f>Table11[[#This Row],['#Planted]]*Table11[[#This Row],[Canada Allocation %]]*Table11[[#This Row],[2024 Inventory Survival%-master]]</f>
        <v>0</v>
      </c>
      <c r="T143" s="16">
        <f>Table11[[#This Row],['#Planted]]*Table11[[#This Row],[Canada Allocation %]]*Table11[[#This Row],[2024 Estimated Survival%]]</f>
        <v>0</v>
      </c>
      <c r="U143" s="7">
        <f>Table11[[#This Row],[ETP Year]]</f>
        <v>2020</v>
      </c>
      <c r="V143" s="7">
        <f>Table11[[#This Row],[Planting Year]]</f>
        <v>2020</v>
      </c>
      <c r="W143" s="8">
        <f>Table11[[#This Row],[Survival% as of 12/31/23]]</f>
        <v>0.96499999999999997</v>
      </c>
      <c r="X143" s="7">
        <f>Table11[[#This Row],[ETP'#s]]</f>
        <v>1</v>
      </c>
    </row>
    <row r="144" spans="1:24" x14ac:dyDescent="0.25">
      <c r="A144">
        <f>Table11[[#This Row],[Farmer'#]]</f>
        <v>10067</v>
      </c>
      <c r="B144" t="str">
        <f>Table11[[#This Row],[Representative]]</f>
        <v>Mike Porter</v>
      </c>
      <c r="C144" t="str">
        <f>Table11[[#This Row],[Contract Name]]</f>
        <v>Mike Porter and Teri Galardi</v>
      </c>
      <c r="D144" t="str">
        <f>Table11[[#This Row],[Status]]</f>
        <v>Active</v>
      </c>
      <c r="E144" t="str">
        <f>Table11[[#This Row],[Contract Code]]</f>
        <v>US0077</v>
      </c>
      <c r="F144" s="16">
        <f>Table11[[#This Row],['#TreesContract]]</f>
        <v>2200</v>
      </c>
      <c r="G144" s="16">
        <f>Table11[[#This Row],['#Planted]]</f>
        <v>2200</v>
      </c>
      <c r="H144" s="16">
        <f>Table11[[#This Row],['#TreesContract]]*Table11[[#This Row],[Canada Allocation %]]</f>
        <v>0</v>
      </c>
      <c r="I144" s="16">
        <f>Table11[[#This Row],['#Planted]]*Table11[[#This Row],[Canada Allocation %]]</f>
        <v>0</v>
      </c>
      <c r="J144" s="16">
        <f>Table11[[#This Row],[Contract Amendment]]*Table11[[#This Row],[Canada Allocation %]]</f>
        <v>0</v>
      </c>
      <c r="K144" s="16">
        <f>Table11[[#This Row],['#Trees as of 12/31/23]]*Table11[[#This Row],[Canada Allocation %]]</f>
        <v>0</v>
      </c>
      <c r="L144" s="16">
        <f>Table11[[#This Row],['#Replace 24]]*Table11[[#This Row],[Canada Allocation %]]</f>
        <v>0</v>
      </c>
      <c r="M144" s="16"/>
      <c r="N144" s="16">
        <f>(Table11[[#This Row],[2024 '#Trees Inventory + Estimate]]*Table11[[#This Row],[Canada Allocation %]])-SUM(Table378[[#This Row],['# Trees as of 12/31/23]:[New Trees/Planted in 2024]])</f>
        <v>0</v>
      </c>
      <c r="O144" s="16">
        <f>SUM(Table378[[#This Row],['# Trees as of 12/31/23]:[2024 Tree Losses]])</f>
        <v>0</v>
      </c>
      <c r="P144" s="16">
        <f>SUM(Table378[[#This Row],[Total Trees as of 12/31/24]]-Table378[[#This Row],['# Trees as of 12/31/23]])</f>
        <v>0</v>
      </c>
      <c r="Q144" s="16">
        <f>Table11[[#This Row],['#Total Replacements]]*Table11[[#This Row],[Canada Allocation %]]</f>
        <v>0</v>
      </c>
      <c r="R144" s="16">
        <f>IF(Table378[[#This Row],['#Survival based on Inventory]]=0,Table378['#Survival based on Last Year Estimate],Table378['#Survival based on Inventory])</f>
        <v>0</v>
      </c>
      <c r="S144" s="16">
        <f>Table11[[#This Row],['#Planted]]*Table11[[#This Row],[Canada Allocation %]]*Table11[[#This Row],[2024 Inventory Survival%-master]]</f>
        <v>0</v>
      </c>
      <c r="T144" s="16">
        <f>Table11[[#This Row],['#Planted]]*Table11[[#This Row],[Canada Allocation %]]*Table11[[#This Row],[2024 Estimated Survival%]]</f>
        <v>0</v>
      </c>
      <c r="U144" s="7">
        <f>Table11[[#This Row],[ETP Year]]</f>
        <v>2020</v>
      </c>
      <c r="V144" s="7">
        <f>Table11[[#This Row],[Planting Year]]</f>
        <v>2020</v>
      </c>
      <c r="W144" s="8">
        <f>Table11[[#This Row],[Survival% as of 12/31/23]]</f>
        <v>1</v>
      </c>
      <c r="X144" s="7">
        <f>Table11[[#This Row],[ETP'#s]]</f>
        <v>1</v>
      </c>
    </row>
    <row r="145" spans="1:24" x14ac:dyDescent="0.25">
      <c r="A145">
        <f>Table11[[#This Row],[Farmer'#]]</f>
        <v>10068</v>
      </c>
      <c r="B145" t="str">
        <f>Table11[[#This Row],[Representative]]</f>
        <v>Pete Preskitt</v>
      </c>
      <c r="C145" t="str">
        <f>Table11[[#This Row],[Contract Name]]</f>
        <v>Pete Preskitt</v>
      </c>
      <c r="D145" t="str">
        <f>Table11[[#This Row],[Status]]</f>
        <v>RFT</v>
      </c>
      <c r="E145" t="str">
        <f>Table11[[#This Row],[Contract Code]]</f>
        <v>US0078</v>
      </c>
      <c r="F145" s="16">
        <f>Table11[[#This Row],['#TreesContract]]</f>
        <v>1100</v>
      </c>
      <c r="G145" s="16">
        <f>Table11[[#This Row],['#Planted]]</f>
        <v>1100</v>
      </c>
      <c r="H145" s="16">
        <f>Table11[[#This Row],['#TreesContract]]*Table11[[#This Row],[Canada Allocation %]]</f>
        <v>0</v>
      </c>
      <c r="I145" s="16">
        <f>Table11[[#This Row],['#Planted]]*Table11[[#This Row],[Canada Allocation %]]</f>
        <v>0</v>
      </c>
      <c r="J145" s="16">
        <f>Table11[[#This Row],[Contract Amendment]]*Table11[[#This Row],[Canada Allocation %]]</f>
        <v>0</v>
      </c>
      <c r="K145" s="16">
        <f>Table11[[#This Row],['#Trees as of 12/31/23]]*Table11[[#This Row],[Canada Allocation %]]</f>
        <v>0</v>
      </c>
      <c r="L145" s="16">
        <f>Table11[[#This Row],['#Replace 24]]*Table11[[#This Row],[Canada Allocation %]]</f>
        <v>0</v>
      </c>
      <c r="M145" s="16"/>
      <c r="N145" s="16">
        <f>(Table11[[#This Row],[2024 '#Trees Inventory + Estimate]]*Table11[[#This Row],[Canada Allocation %]])-SUM(Table378[[#This Row],['# Trees as of 12/31/23]:[New Trees/Planted in 2024]])</f>
        <v>0</v>
      </c>
      <c r="O145" s="16">
        <f>SUM(Table378[[#This Row],['# Trees as of 12/31/23]:[2024 Tree Losses]])</f>
        <v>0</v>
      </c>
      <c r="P145" s="16">
        <f>SUM(Table378[[#This Row],[Total Trees as of 12/31/24]]-Table378[[#This Row],['# Trees as of 12/31/23]])</f>
        <v>0</v>
      </c>
      <c r="Q145" s="16">
        <f>Table11[[#This Row],['#Total Replacements]]*Table11[[#This Row],[Canada Allocation %]]</f>
        <v>0</v>
      </c>
      <c r="R145" s="16">
        <f>IF(Table378[[#This Row],['#Survival based on Inventory]]=0,Table378['#Survival based on Last Year Estimate],Table378['#Survival based on Inventory])</f>
        <v>0</v>
      </c>
      <c r="S145" s="16">
        <f>Table11[[#This Row],['#Planted]]*Table11[[#This Row],[Canada Allocation %]]*Table11[[#This Row],[2024 Inventory Survival%-master]]</f>
        <v>0</v>
      </c>
      <c r="T145" s="16">
        <f>Table11[[#This Row],['#Planted]]*Table11[[#This Row],[Canada Allocation %]]*Table11[[#This Row],[2024 Estimated Survival%]]</f>
        <v>0</v>
      </c>
      <c r="U145" s="7">
        <f>Table11[[#This Row],[ETP Year]]</f>
        <v>2020</v>
      </c>
      <c r="V145" s="7">
        <f>Table11[[#This Row],[Planting Year]]</f>
        <v>2020</v>
      </c>
      <c r="W145" s="8">
        <f>Table11[[#This Row],[Survival% as of 12/31/23]]</f>
        <v>0.95</v>
      </c>
      <c r="X145" s="7">
        <f>Table11[[#This Row],[ETP'#s]]</f>
        <v>1</v>
      </c>
    </row>
    <row r="146" spans="1:24" x14ac:dyDescent="0.25">
      <c r="A146">
        <f>Table11[[#This Row],[Farmer'#]]</f>
        <v>10069</v>
      </c>
      <c r="B146" t="str">
        <f>Table11[[#This Row],[Representative]]</f>
        <v>Peter Kampmann</v>
      </c>
      <c r="C146" t="str">
        <f>Table11[[#This Row],[Contract Name]]</f>
        <v>Peter Kampmann</v>
      </c>
      <c r="D146" t="str">
        <f>Table11[[#This Row],[Status]]</f>
        <v>Active</v>
      </c>
      <c r="E146" t="str">
        <f>Table11[[#This Row],[Contract Code]]</f>
        <v>US0079</v>
      </c>
      <c r="F146" s="16">
        <f>Table11[[#This Row],['#TreesContract]]</f>
        <v>2130</v>
      </c>
      <c r="G146" s="16">
        <f>Table11[[#This Row],['#Planted]]</f>
        <v>2130</v>
      </c>
      <c r="H146" s="16">
        <f>Table11[[#This Row],['#TreesContract]]*Table11[[#This Row],[Canada Allocation %]]</f>
        <v>0</v>
      </c>
      <c r="I146" s="16">
        <f>Table11[[#This Row],['#Planted]]*Table11[[#This Row],[Canada Allocation %]]</f>
        <v>0</v>
      </c>
      <c r="J146" s="16">
        <f>Table11[[#This Row],[Contract Amendment]]*Table11[[#This Row],[Canada Allocation %]]</f>
        <v>0</v>
      </c>
      <c r="K146" s="16">
        <f>Table11[[#This Row],['#Trees as of 12/31/23]]*Table11[[#This Row],[Canada Allocation %]]</f>
        <v>0</v>
      </c>
      <c r="L146" s="16">
        <f>Table11[[#This Row],['#Replace 24]]*Table11[[#This Row],[Canada Allocation %]]</f>
        <v>0</v>
      </c>
      <c r="M146" s="16"/>
      <c r="N146" s="16">
        <f>(Table11[[#This Row],[2024 '#Trees Inventory + Estimate]]*Table11[[#This Row],[Canada Allocation %]])-SUM(Table378[[#This Row],['# Trees as of 12/31/23]:[New Trees/Planted in 2024]])</f>
        <v>0</v>
      </c>
      <c r="O146" s="16">
        <f>SUM(Table378[[#This Row],['# Trees as of 12/31/23]:[2024 Tree Losses]])</f>
        <v>0</v>
      </c>
      <c r="P146" s="16">
        <f>SUM(Table378[[#This Row],[Total Trees as of 12/31/24]]-Table378[[#This Row],['# Trees as of 12/31/23]])</f>
        <v>0</v>
      </c>
      <c r="Q146" s="16">
        <f>Table11[[#This Row],['#Total Replacements]]*Table11[[#This Row],[Canada Allocation %]]</f>
        <v>0</v>
      </c>
      <c r="R146" s="16">
        <f>IF(Table378[[#This Row],['#Survival based on Inventory]]=0,Table378['#Survival based on Last Year Estimate],Table378['#Survival based on Inventory])</f>
        <v>0</v>
      </c>
      <c r="S146" s="16">
        <f>Table11[[#This Row],['#Planted]]*Table11[[#This Row],[Canada Allocation %]]*Table11[[#This Row],[2024 Inventory Survival%-master]]</f>
        <v>0</v>
      </c>
      <c r="T146" s="16">
        <f>Table11[[#This Row],['#Planted]]*Table11[[#This Row],[Canada Allocation %]]*Table11[[#This Row],[2024 Estimated Survival%]]</f>
        <v>0</v>
      </c>
      <c r="U146" s="7">
        <f>Table11[[#This Row],[ETP Year]]</f>
        <v>2020</v>
      </c>
      <c r="V146" s="7">
        <f>Table11[[#This Row],[Planting Year]]</f>
        <v>2020</v>
      </c>
      <c r="W146" s="8">
        <f>Table11[[#This Row],[Survival% as of 12/31/23]]</f>
        <v>1</v>
      </c>
      <c r="X146" s="7">
        <f>Table11[[#This Row],[ETP'#s]]</f>
        <v>1</v>
      </c>
    </row>
    <row r="147" spans="1:24" x14ac:dyDescent="0.25">
      <c r="A147">
        <f>Table11[[#This Row],[Farmer'#]]</f>
        <v>10070</v>
      </c>
      <c r="B147" t="str">
        <f>Table11[[#This Row],[Representative]]</f>
        <v>Randy Grant</v>
      </c>
      <c r="C147" t="str">
        <f>Table11[[#This Row],[Contract Name]]</f>
        <v>Randy Grant</v>
      </c>
      <c r="D147" t="str">
        <f>Table11[[#This Row],[Status]]</f>
        <v>Active</v>
      </c>
      <c r="E147" t="str">
        <f>Table11[[#This Row],[Contract Code]]</f>
        <v>US0080</v>
      </c>
      <c r="F147" s="16">
        <f>Table11[[#This Row],['#TreesContract]]</f>
        <v>5300</v>
      </c>
      <c r="G147" s="16">
        <f>Table11[[#This Row],['#Planted]]</f>
        <v>5300</v>
      </c>
      <c r="H147" s="16">
        <f>Table11[[#This Row],['#TreesContract]]*Table11[[#This Row],[Canada Allocation %]]</f>
        <v>0</v>
      </c>
      <c r="I147" s="16">
        <f>Table11[[#This Row],['#Planted]]*Table11[[#This Row],[Canada Allocation %]]</f>
        <v>0</v>
      </c>
      <c r="J147" s="16">
        <f>Table11[[#This Row],[Contract Amendment]]*Table11[[#This Row],[Canada Allocation %]]</f>
        <v>0</v>
      </c>
      <c r="K147" s="16">
        <f>Table11[[#This Row],['#Trees as of 12/31/23]]*Table11[[#This Row],[Canada Allocation %]]</f>
        <v>0</v>
      </c>
      <c r="L147" s="16">
        <f>Table11[[#This Row],['#Replace 24]]*Table11[[#This Row],[Canada Allocation %]]</f>
        <v>0</v>
      </c>
      <c r="M147" s="16"/>
      <c r="N147" s="16">
        <f>(Table11[[#This Row],[2024 '#Trees Inventory + Estimate]]*Table11[[#This Row],[Canada Allocation %]])-SUM(Table378[[#This Row],['# Trees as of 12/31/23]:[New Trees/Planted in 2024]])</f>
        <v>0</v>
      </c>
      <c r="O147" s="16">
        <f>SUM(Table378[[#This Row],['# Trees as of 12/31/23]:[2024 Tree Losses]])</f>
        <v>0</v>
      </c>
      <c r="P147" s="16">
        <f>SUM(Table378[[#This Row],[Total Trees as of 12/31/24]]-Table378[[#This Row],['# Trees as of 12/31/23]])</f>
        <v>0</v>
      </c>
      <c r="Q147" s="16">
        <f>Table11[[#This Row],['#Total Replacements]]*Table11[[#This Row],[Canada Allocation %]]</f>
        <v>0</v>
      </c>
      <c r="R147" s="16">
        <f>IF(Table378[[#This Row],['#Survival based on Inventory]]=0,Table378['#Survival based on Last Year Estimate],Table378['#Survival based on Inventory])</f>
        <v>0</v>
      </c>
      <c r="S147" s="16">
        <f>Table11[[#This Row],['#Planted]]*Table11[[#This Row],[Canada Allocation %]]*Table11[[#This Row],[2024 Inventory Survival%-master]]</f>
        <v>0</v>
      </c>
      <c r="T147" s="16">
        <f>Table11[[#This Row],['#Planted]]*Table11[[#This Row],[Canada Allocation %]]*Table11[[#This Row],[2024 Estimated Survival%]]</f>
        <v>0</v>
      </c>
      <c r="U147" s="7">
        <f>Table11[[#This Row],[ETP Year]]</f>
        <v>2020</v>
      </c>
      <c r="V147" s="7">
        <f>Table11[[#This Row],[Planting Year]]</f>
        <v>2020</v>
      </c>
      <c r="W147" s="8">
        <f>Table11[[#This Row],[Survival% as of 12/31/23]]</f>
        <v>1</v>
      </c>
      <c r="X147" s="7">
        <f>Table11[[#This Row],[ETP'#s]]</f>
        <v>1</v>
      </c>
    </row>
    <row r="148" spans="1:24" x14ac:dyDescent="0.25">
      <c r="A148">
        <f>Table11[[#This Row],[Farmer'#]]</f>
        <v>10071</v>
      </c>
      <c r="B148" t="str">
        <f>Table11[[#This Row],[Representative]]</f>
        <v>Ricky Mitchell</v>
      </c>
      <c r="C148" t="str">
        <f>Table11[[#This Row],[Contract Name]]</f>
        <v>Ricky Mitchell</v>
      </c>
      <c r="D148" t="str">
        <f>Table11[[#This Row],[Status]]</f>
        <v>Active</v>
      </c>
      <c r="E148" t="str">
        <f>Table11[[#This Row],[Contract Code]]</f>
        <v>US0081</v>
      </c>
      <c r="F148" s="16">
        <f>Table11[[#This Row],['#TreesContract]]</f>
        <v>1100</v>
      </c>
      <c r="G148" s="16">
        <f>Table11[[#This Row],['#Planted]]</f>
        <v>1100</v>
      </c>
      <c r="H148" s="16">
        <f>Table11[[#This Row],['#TreesContract]]*Table11[[#This Row],[Canada Allocation %]]</f>
        <v>0</v>
      </c>
      <c r="I148" s="16">
        <f>Table11[[#This Row],['#Planted]]*Table11[[#This Row],[Canada Allocation %]]</f>
        <v>0</v>
      </c>
      <c r="J148" s="16">
        <f>Table11[[#This Row],[Contract Amendment]]*Table11[[#This Row],[Canada Allocation %]]</f>
        <v>0</v>
      </c>
      <c r="K148" s="16">
        <f>Table11[[#This Row],['#Trees as of 12/31/23]]*Table11[[#This Row],[Canada Allocation %]]</f>
        <v>0</v>
      </c>
      <c r="L148" s="16">
        <f>Table11[[#This Row],['#Replace 24]]*Table11[[#This Row],[Canada Allocation %]]</f>
        <v>0</v>
      </c>
      <c r="M148" s="16"/>
      <c r="N148" s="16">
        <f>(Table11[[#This Row],[2024 '#Trees Inventory + Estimate]]*Table11[[#This Row],[Canada Allocation %]])-SUM(Table378[[#This Row],['# Trees as of 12/31/23]:[New Trees/Planted in 2024]])</f>
        <v>0</v>
      </c>
      <c r="O148" s="16">
        <f>SUM(Table378[[#This Row],['# Trees as of 12/31/23]:[2024 Tree Losses]])</f>
        <v>0</v>
      </c>
      <c r="P148" s="16">
        <f>SUM(Table378[[#This Row],[Total Trees as of 12/31/24]]-Table378[[#This Row],['# Trees as of 12/31/23]])</f>
        <v>0</v>
      </c>
      <c r="Q148" s="16">
        <f>Table11[[#This Row],['#Total Replacements]]*Table11[[#This Row],[Canada Allocation %]]</f>
        <v>0</v>
      </c>
      <c r="R148" s="16">
        <f>IF(Table378[[#This Row],['#Survival based on Inventory]]=0,Table378['#Survival based on Last Year Estimate],Table378['#Survival based on Inventory])</f>
        <v>0</v>
      </c>
      <c r="S148" s="16">
        <f>Table11[[#This Row],['#Planted]]*Table11[[#This Row],[Canada Allocation %]]*Table11[[#This Row],[2024 Inventory Survival%-master]]</f>
        <v>0</v>
      </c>
      <c r="T148" s="16">
        <f>Table11[[#This Row],['#Planted]]*Table11[[#This Row],[Canada Allocation %]]*Table11[[#This Row],[2024 Estimated Survival%]]</f>
        <v>0</v>
      </c>
      <c r="U148" s="7">
        <f>Table11[[#This Row],[ETP Year]]</f>
        <v>2020</v>
      </c>
      <c r="V148" s="7">
        <f>Table11[[#This Row],[Planting Year]]</f>
        <v>2020</v>
      </c>
      <c r="W148" s="8">
        <f>Table11[[#This Row],[Survival% as of 12/31/23]]</f>
        <v>0.97772727272727278</v>
      </c>
      <c r="X148" s="7">
        <f>Table11[[#This Row],[ETP'#s]]</f>
        <v>1</v>
      </c>
    </row>
    <row r="149" spans="1:24" x14ac:dyDescent="0.25">
      <c r="A149">
        <f>Table11[[#This Row],[Farmer'#]]</f>
        <v>10072</v>
      </c>
      <c r="B149" t="str">
        <f>Table11[[#This Row],[Representative]]</f>
        <v>Ronnie and Kent Mathis</v>
      </c>
      <c r="C149" t="str">
        <f>Table11[[#This Row],[Contract Name]]</f>
        <v>Ronnie Mathis</v>
      </c>
      <c r="D149" t="str">
        <f>Table11[[#This Row],[Status]]</f>
        <v>Active</v>
      </c>
      <c r="E149" t="str">
        <f>Table11[[#This Row],[Contract Code]]</f>
        <v>US0082</v>
      </c>
      <c r="F149" s="16">
        <f>Table11[[#This Row],['#TreesContract]]</f>
        <v>3850</v>
      </c>
      <c r="G149" s="16">
        <f>Table11[[#This Row],['#Planted]]</f>
        <v>3850</v>
      </c>
      <c r="H149" s="16">
        <f>Table11[[#This Row],['#TreesContract]]*Table11[[#This Row],[Canada Allocation %]]</f>
        <v>0</v>
      </c>
      <c r="I149" s="16">
        <f>Table11[[#This Row],['#Planted]]*Table11[[#This Row],[Canada Allocation %]]</f>
        <v>0</v>
      </c>
      <c r="J149" s="16">
        <f>Table11[[#This Row],[Contract Amendment]]*Table11[[#This Row],[Canada Allocation %]]</f>
        <v>0</v>
      </c>
      <c r="K149" s="16">
        <f>Table11[[#This Row],['#Trees as of 12/31/23]]*Table11[[#This Row],[Canada Allocation %]]</f>
        <v>0</v>
      </c>
      <c r="L149" s="16">
        <f>Table11[[#This Row],['#Replace 24]]*Table11[[#This Row],[Canada Allocation %]]</f>
        <v>0</v>
      </c>
      <c r="M149" s="16"/>
      <c r="N149" s="16">
        <f>(Table11[[#This Row],[2024 '#Trees Inventory + Estimate]]*Table11[[#This Row],[Canada Allocation %]])-SUM(Table378[[#This Row],['# Trees as of 12/31/23]:[New Trees/Planted in 2024]])</f>
        <v>0</v>
      </c>
      <c r="O149" s="16">
        <f>SUM(Table378[[#This Row],['# Trees as of 12/31/23]:[2024 Tree Losses]])</f>
        <v>0</v>
      </c>
      <c r="P149" s="16">
        <f>SUM(Table378[[#This Row],[Total Trees as of 12/31/24]]-Table378[[#This Row],['# Trees as of 12/31/23]])</f>
        <v>0</v>
      </c>
      <c r="Q149" s="16">
        <f>Table11[[#This Row],['#Total Replacements]]*Table11[[#This Row],[Canada Allocation %]]</f>
        <v>0</v>
      </c>
      <c r="R149" s="16">
        <f>IF(Table378[[#This Row],['#Survival based on Inventory]]=0,Table378['#Survival based on Last Year Estimate],Table378['#Survival based on Inventory])</f>
        <v>0</v>
      </c>
      <c r="S149" s="16">
        <f>Table11[[#This Row],['#Planted]]*Table11[[#This Row],[Canada Allocation %]]*Table11[[#This Row],[2024 Inventory Survival%-master]]</f>
        <v>0</v>
      </c>
      <c r="T149" s="16">
        <f>Table11[[#This Row],['#Planted]]*Table11[[#This Row],[Canada Allocation %]]*Table11[[#This Row],[2024 Estimated Survival%]]</f>
        <v>0</v>
      </c>
      <c r="U149" s="7">
        <f>Table11[[#This Row],[ETP Year]]</f>
        <v>2020</v>
      </c>
      <c r="V149" s="7">
        <f>Table11[[#This Row],[Planting Year]]</f>
        <v>2020</v>
      </c>
      <c r="W149" s="8">
        <f>Table11[[#This Row],[Survival% as of 12/31/23]]</f>
        <v>1</v>
      </c>
      <c r="X149" s="7">
        <f>Table11[[#This Row],[ETP'#s]]</f>
        <v>1</v>
      </c>
    </row>
    <row r="150" spans="1:24" x14ac:dyDescent="0.25">
      <c r="A150">
        <f>Table11[[#This Row],[Farmer'#]]</f>
        <v>10073</v>
      </c>
      <c r="B150" t="str">
        <f>Table11[[#This Row],[Representative]]</f>
        <v>Russell and Sedalia Nelson</v>
      </c>
      <c r="C150" t="str">
        <f>Table11[[#This Row],[Contract Name]]</f>
        <v>Russell and Sedalia Nelson</v>
      </c>
      <c r="D150" t="str">
        <f>Table11[[#This Row],[Status]]</f>
        <v>Active</v>
      </c>
      <c r="E150" t="str">
        <f>Table11[[#This Row],[Contract Code]]</f>
        <v>US0083</v>
      </c>
      <c r="F150" s="16">
        <f>Table11[[#This Row],['#TreesContract]]</f>
        <v>1619</v>
      </c>
      <c r="G150" s="16">
        <f>Table11[[#This Row],['#Planted]]</f>
        <v>1619</v>
      </c>
      <c r="H150" s="16">
        <f>Table11[[#This Row],['#TreesContract]]*Table11[[#This Row],[Canada Allocation %]]</f>
        <v>0</v>
      </c>
      <c r="I150" s="16">
        <f>Table11[[#This Row],['#Planted]]*Table11[[#This Row],[Canada Allocation %]]</f>
        <v>0</v>
      </c>
      <c r="J150" s="16">
        <f>Table11[[#This Row],[Contract Amendment]]*Table11[[#This Row],[Canada Allocation %]]</f>
        <v>0</v>
      </c>
      <c r="K150" s="16">
        <f>Table11[[#This Row],['#Trees as of 12/31/23]]*Table11[[#This Row],[Canada Allocation %]]</f>
        <v>0</v>
      </c>
      <c r="L150" s="16">
        <f>Table11[[#This Row],['#Replace 24]]*Table11[[#This Row],[Canada Allocation %]]</f>
        <v>0</v>
      </c>
      <c r="M150" s="16"/>
      <c r="N150" s="16">
        <f>(Table11[[#This Row],[2024 '#Trees Inventory + Estimate]]*Table11[[#This Row],[Canada Allocation %]])-SUM(Table378[[#This Row],['# Trees as of 12/31/23]:[New Trees/Planted in 2024]])</f>
        <v>0</v>
      </c>
      <c r="O150" s="16">
        <f>SUM(Table378[[#This Row],['# Trees as of 12/31/23]:[2024 Tree Losses]])</f>
        <v>0</v>
      </c>
      <c r="P150" s="16">
        <f>SUM(Table378[[#This Row],[Total Trees as of 12/31/24]]-Table378[[#This Row],['# Trees as of 12/31/23]])</f>
        <v>0</v>
      </c>
      <c r="Q150" s="16">
        <f>Table11[[#This Row],['#Total Replacements]]*Table11[[#This Row],[Canada Allocation %]]</f>
        <v>0</v>
      </c>
      <c r="R150" s="16">
        <f>IF(Table378[[#This Row],['#Survival based on Inventory]]=0,Table378['#Survival based on Last Year Estimate],Table378['#Survival based on Inventory])</f>
        <v>0</v>
      </c>
      <c r="S150" s="16">
        <f>Table11[[#This Row],['#Planted]]*Table11[[#This Row],[Canada Allocation %]]*Table11[[#This Row],[2024 Inventory Survival%-master]]</f>
        <v>0</v>
      </c>
      <c r="T150" s="16">
        <f>Table11[[#This Row],['#Planted]]*Table11[[#This Row],[Canada Allocation %]]*Table11[[#This Row],[2024 Estimated Survival%]]</f>
        <v>0</v>
      </c>
      <c r="U150" s="7">
        <f>Table11[[#This Row],[ETP Year]]</f>
        <v>2020</v>
      </c>
      <c r="V150" s="7">
        <f>Table11[[#This Row],[Planting Year]]</f>
        <v>2020</v>
      </c>
      <c r="W150" s="8">
        <f>Table11[[#This Row],[Survival% as of 12/31/23]]</f>
        <v>0.95</v>
      </c>
      <c r="X150" s="7">
        <f>Table11[[#This Row],[ETP'#s]]</f>
        <v>1</v>
      </c>
    </row>
    <row r="151" spans="1:24" x14ac:dyDescent="0.25">
      <c r="A151">
        <f>Table11[[#This Row],[Farmer'#]]</f>
        <v>10074</v>
      </c>
      <c r="B151" t="str">
        <f>Table11[[#This Row],[Representative]]</f>
        <v>Scott Fenn</v>
      </c>
      <c r="C151" t="str">
        <f>Table11[[#This Row],[Contract Name]]</f>
        <v>Scott Fenn</v>
      </c>
      <c r="D151" t="str">
        <f>Table11[[#This Row],[Status]]</f>
        <v>Active</v>
      </c>
      <c r="E151" t="str">
        <f>Table11[[#This Row],[Contract Code]]</f>
        <v>US0084</v>
      </c>
      <c r="F151" s="16">
        <f>Table11[[#This Row],['#TreesContract]]</f>
        <v>1100</v>
      </c>
      <c r="G151" s="16">
        <f>Table11[[#This Row],['#Planted]]</f>
        <v>1100</v>
      </c>
      <c r="H151" s="16">
        <f>Table11[[#This Row],['#TreesContract]]*Table11[[#This Row],[Canada Allocation %]]</f>
        <v>0</v>
      </c>
      <c r="I151" s="16">
        <f>Table11[[#This Row],['#Planted]]*Table11[[#This Row],[Canada Allocation %]]</f>
        <v>0</v>
      </c>
      <c r="J151" s="16">
        <f>Table11[[#This Row],[Contract Amendment]]*Table11[[#This Row],[Canada Allocation %]]</f>
        <v>0</v>
      </c>
      <c r="K151" s="16">
        <f>Table11[[#This Row],['#Trees as of 12/31/23]]*Table11[[#This Row],[Canada Allocation %]]</f>
        <v>0</v>
      </c>
      <c r="L151" s="16">
        <f>Table11[[#This Row],['#Replace 24]]*Table11[[#This Row],[Canada Allocation %]]</f>
        <v>0</v>
      </c>
      <c r="M151" s="16"/>
      <c r="N151" s="16">
        <f>(Table11[[#This Row],[2024 '#Trees Inventory + Estimate]]*Table11[[#This Row],[Canada Allocation %]])-SUM(Table378[[#This Row],['# Trees as of 12/31/23]:[New Trees/Planted in 2024]])</f>
        <v>0</v>
      </c>
      <c r="O151" s="16">
        <f>SUM(Table378[[#This Row],['# Trees as of 12/31/23]:[2024 Tree Losses]])</f>
        <v>0</v>
      </c>
      <c r="P151" s="16">
        <f>SUM(Table378[[#This Row],[Total Trees as of 12/31/24]]-Table378[[#This Row],['# Trees as of 12/31/23]])</f>
        <v>0</v>
      </c>
      <c r="Q151" s="16">
        <f>Table11[[#This Row],['#Total Replacements]]*Table11[[#This Row],[Canada Allocation %]]</f>
        <v>0</v>
      </c>
      <c r="R151" s="16">
        <f>IF(Table378[[#This Row],['#Survival based on Inventory]]=0,Table378['#Survival based on Last Year Estimate],Table378['#Survival based on Inventory])</f>
        <v>0</v>
      </c>
      <c r="S151" s="16">
        <f>Table11[[#This Row],['#Planted]]*Table11[[#This Row],[Canada Allocation %]]*Table11[[#This Row],[2024 Inventory Survival%-master]]</f>
        <v>0</v>
      </c>
      <c r="T151" s="16">
        <f>Table11[[#This Row],['#Planted]]*Table11[[#This Row],[Canada Allocation %]]*Table11[[#This Row],[2024 Estimated Survival%]]</f>
        <v>0</v>
      </c>
      <c r="U151" s="7">
        <f>Table11[[#This Row],[ETP Year]]</f>
        <v>2020</v>
      </c>
      <c r="V151" s="7">
        <f>Table11[[#This Row],[Planting Year]]</f>
        <v>2020</v>
      </c>
      <c r="W151" s="8">
        <f>Table11[[#This Row],[Survival% as of 12/31/23]]</f>
        <v>0.82499999999999996</v>
      </c>
      <c r="X151" s="7">
        <f>Table11[[#This Row],[ETP'#s]]</f>
        <v>1</v>
      </c>
    </row>
    <row r="152" spans="1:24" x14ac:dyDescent="0.25">
      <c r="A152">
        <f>Table11[[#This Row],[Farmer'#]]</f>
        <v>10075</v>
      </c>
      <c r="B152" t="str">
        <f>Table11[[#This Row],[Representative]]</f>
        <v>Scott Landreau</v>
      </c>
      <c r="C152" t="str">
        <f>Table11[[#This Row],[Contract Name]]</f>
        <v>Cidney Scott and Stuart Page Landreau</v>
      </c>
      <c r="D152" t="str">
        <f>Table11[[#This Row],[Status]]</f>
        <v>Active</v>
      </c>
      <c r="E152" t="str">
        <f>Table11[[#This Row],[Contract Code]]</f>
        <v>US0085</v>
      </c>
      <c r="F152" s="16">
        <f>Table11[[#This Row],['#TreesContract]]</f>
        <v>1320</v>
      </c>
      <c r="G152" s="16">
        <f>Table11[[#This Row],['#Planted]]</f>
        <v>1320</v>
      </c>
      <c r="H152" s="16">
        <f>Table11[[#This Row],['#TreesContract]]*Table11[[#This Row],[Canada Allocation %]]</f>
        <v>0</v>
      </c>
      <c r="I152" s="16">
        <f>Table11[[#This Row],['#Planted]]*Table11[[#This Row],[Canada Allocation %]]</f>
        <v>0</v>
      </c>
      <c r="J152" s="16">
        <f>Table11[[#This Row],[Contract Amendment]]*Table11[[#This Row],[Canada Allocation %]]</f>
        <v>0</v>
      </c>
      <c r="K152" s="16">
        <f>Table11[[#This Row],['#Trees as of 12/31/23]]*Table11[[#This Row],[Canada Allocation %]]</f>
        <v>0</v>
      </c>
      <c r="L152" s="16">
        <f>Table11[[#This Row],['#Replace 24]]*Table11[[#This Row],[Canada Allocation %]]</f>
        <v>0</v>
      </c>
      <c r="M152" s="16"/>
      <c r="N152" s="16">
        <f>(Table11[[#This Row],[2024 '#Trees Inventory + Estimate]]*Table11[[#This Row],[Canada Allocation %]])-SUM(Table378[[#This Row],['# Trees as of 12/31/23]:[New Trees/Planted in 2024]])</f>
        <v>0</v>
      </c>
      <c r="O152" s="16">
        <f>SUM(Table378[[#This Row],['# Trees as of 12/31/23]:[2024 Tree Losses]])</f>
        <v>0</v>
      </c>
      <c r="P152" s="16">
        <f>SUM(Table378[[#This Row],[Total Trees as of 12/31/24]]-Table378[[#This Row],['# Trees as of 12/31/23]])</f>
        <v>0</v>
      </c>
      <c r="Q152" s="16">
        <f>Table11[[#This Row],['#Total Replacements]]*Table11[[#This Row],[Canada Allocation %]]</f>
        <v>0</v>
      </c>
      <c r="R152" s="16">
        <f>IF(Table378[[#This Row],['#Survival based on Inventory]]=0,Table378['#Survival based on Last Year Estimate],Table378['#Survival based on Inventory])</f>
        <v>0</v>
      </c>
      <c r="S152" s="16">
        <f>Table11[[#This Row],['#Planted]]*Table11[[#This Row],[Canada Allocation %]]*Table11[[#This Row],[2024 Inventory Survival%-master]]</f>
        <v>0</v>
      </c>
      <c r="T152" s="16">
        <f>Table11[[#This Row],['#Planted]]*Table11[[#This Row],[Canada Allocation %]]*Table11[[#This Row],[2024 Estimated Survival%]]</f>
        <v>0</v>
      </c>
      <c r="U152" s="7">
        <f>Table11[[#This Row],[ETP Year]]</f>
        <v>2020</v>
      </c>
      <c r="V152" s="7">
        <f>Table11[[#This Row],[Planting Year]]</f>
        <v>2020</v>
      </c>
      <c r="W152" s="8">
        <f>Table11[[#This Row],[Survival% as of 12/31/23]]</f>
        <v>0.82499999999999996</v>
      </c>
      <c r="X152" s="7">
        <f>Table11[[#This Row],[ETP'#s]]</f>
        <v>1</v>
      </c>
    </row>
    <row r="153" spans="1:24" x14ac:dyDescent="0.25">
      <c r="A153">
        <f>Table11[[#This Row],[Farmer'#]]</f>
        <v>10076</v>
      </c>
      <c r="B153" t="str">
        <f>Table11[[#This Row],[Representative]]</f>
        <v>Will Allen</v>
      </c>
      <c r="C153" t="str">
        <f>Table11[[#This Row],[Contract Name]]</f>
        <v>Will Allen</v>
      </c>
      <c r="D153" t="str">
        <f>Table11[[#This Row],[Status]]</f>
        <v>Out of Program</v>
      </c>
      <c r="E153" t="str">
        <f>Table11[[#This Row],[Contract Code]]</f>
        <v>US0088</v>
      </c>
      <c r="F153" s="16">
        <f>Table11[[#This Row],['#TreesContract]]</f>
        <v>1100</v>
      </c>
      <c r="G153" s="16">
        <f>Table11[[#This Row],['#Planted]]</f>
        <v>1100</v>
      </c>
      <c r="H153" s="16">
        <f>Table11[[#This Row],['#TreesContract]]*Table11[[#This Row],[Canada Allocation %]]</f>
        <v>0</v>
      </c>
      <c r="I153" s="16">
        <f>Table11[[#This Row],['#Planted]]*Table11[[#This Row],[Canada Allocation %]]</f>
        <v>0</v>
      </c>
      <c r="J153" s="16">
        <f>Table11[[#This Row],[Contract Amendment]]*Table11[[#This Row],[Canada Allocation %]]</f>
        <v>0</v>
      </c>
      <c r="K153" s="16">
        <f>Table11[[#This Row],['#Trees as of 12/31/23]]*Table11[[#This Row],[Canada Allocation %]]</f>
        <v>0</v>
      </c>
      <c r="L153" s="16">
        <f>Table11[[#This Row],['#Replace 24]]*Table11[[#This Row],[Canada Allocation %]]</f>
        <v>0</v>
      </c>
      <c r="M153" s="16"/>
      <c r="N153" s="16">
        <f>(Table11[[#This Row],[2024 '#Trees Inventory + Estimate]]*Table11[[#This Row],[Canada Allocation %]])-SUM(Table378[[#This Row],['# Trees as of 12/31/23]:[New Trees/Planted in 2024]])</f>
        <v>0</v>
      </c>
      <c r="O153" s="16">
        <f>SUM(Table378[[#This Row],['# Trees as of 12/31/23]:[2024 Tree Losses]])</f>
        <v>0</v>
      </c>
      <c r="P153" s="16">
        <f>SUM(Table378[[#This Row],[Total Trees as of 12/31/24]]-Table378[[#This Row],['# Trees as of 12/31/23]])</f>
        <v>0</v>
      </c>
      <c r="Q153" s="16">
        <f>Table11[[#This Row],['#Total Replacements]]*Table11[[#This Row],[Canada Allocation %]]</f>
        <v>0</v>
      </c>
      <c r="R153" s="16">
        <f>IF(Table378[[#This Row],['#Survival based on Inventory]]=0,Table378['#Survival based on Last Year Estimate],Table378['#Survival based on Inventory])</f>
        <v>0</v>
      </c>
      <c r="S153" s="16">
        <f>Table11[[#This Row],['#Planted]]*Table11[[#This Row],[Canada Allocation %]]*Table11[[#This Row],[2024 Inventory Survival%-master]]</f>
        <v>0</v>
      </c>
      <c r="T153" s="16">
        <f>Table11[[#This Row],['#Planted]]*Table11[[#This Row],[Canada Allocation %]]*Table11[[#This Row],[2024 Estimated Survival%]]</f>
        <v>0</v>
      </c>
      <c r="U153" s="7">
        <f>Table11[[#This Row],[ETP Year]]</f>
        <v>2020</v>
      </c>
      <c r="V153" s="7">
        <f>Table11[[#This Row],[Planting Year]]</f>
        <v>2020</v>
      </c>
      <c r="W153" s="8">
        <f>Table11[[#This Row],[Survival% as of 12/31/23]]</f>
        <v>0.95</v>
      </c>
      <c r="X153" s="7">
        <f>Table11[[#This Row],[ETP'#s]]</f>
        <v>1</v>
      </c>
    </row>
    <row r="154" spans="1:24" x14ac:dyDescent="0.25">
      <c r="A154">
        <f>Table11[[#This Row],[Farmer'#]]</f>
        <v>20027</v>
      </c>
      <c r="B154" t="str">
        <f>Table11[[#This Row],[Representative]]</f>
        <v>Mayela Quesada</v>
      </c>
      <c r="C154" t="str">
        <f>Table11[[#This Row],[Contract Name]]</f>
        <v>Mayela Quesada</v>
      </c>
      <c r="D154" t="str">
        <f>Table11[[#This Row],[Status]]</f>
        <v>Active</v>
      </c>
      <c r="E154" t="str">
        <f>Table11[[#This Row],[Contract Code]]</f>
        <v>CR0061</v>
      </c>
      <c r="F154" s="16">
        <f>Table11[[#This Row],['#TreesContract]]</f>
        <v>500</v>
      </c>
      <c r="G154" s="16">
        <f>Table11[[#This Row],['#Planted]]</f>
        <v>500</v>
      </c>
      <c r="H154" s="16">
        <f>Table11[[#This Row],['#TreesContract]]*Table11[[#This Row],[Canada Allocation %]]</f>
        <v>0</v>
      </c>
      <c r="I154" s="16">
        <f>Table11[[#This Row],['#Planted]]*Table11[[#This Row],[Canada Allocation %]]</f>
        <v>0</v>
      </c>
      <c r="J154" s="16">
        <f>Table11[[#This Row],[Contract Amendment]]*Table11[[#This Row],[Canada Allocation %]]</f>
        <v>0</v>
      </c>
      <c r="K154" s="16">
        <f>Table11[[#This Row],['#Trees as of 12/31/23]]*Table11[[#This Row],[Canada Allocation %]]</f>
        <v>0</v>
      </c>
      <c r="L154" s="16">
        <f>Table11[[#This Row],['#Replace 24]]*Table11[[#This Row],[Canada Allocation %]]</f>
        <v>0</v>
      </c>
      <c r="M154" s="16"/>
      <c r="N154" s="16">
        <f>(Table11[[#This Row],[2024 '#Trees Inventory + Estimate]]*Table11[[#This Row],[Canada Allocation %]])-SUM(Table378[[#This Row],['# Trees as of 12/31/23]:[New Trees/Planted in 2024]])</f>
        <v>0</v>
      </c>
      <c r="O154" s="16">
        <f>SUM(Table378[[#This Row],['# Trees as of 12/31/23]:[2024 Tree Losses]])</f>
        <v>0</v>
      </c>
      <c r="P154" s="16">
        <f>SUM(Table378[[#This Row],[Total Trees as of 12/31/24]]-Table378[[#This Row],['# Trees as of 12/31/23]])</f>
        <v>0</v>
      </c>
      <c r="Q154" s="16">
        <f>Table11[[#This Row],['#Total Replacements]]*Table11[[#This Row],[Canada Allocation %]]</f>
        <v>0</v>
      </c>
      <c r="R154" s="16">
        <f>IF(Table378[[#This Row],['#Survival based on Inventory]]=0,Table378['#Survival based on Last Year Estimate],Table378['#Survival based on Inventory])</f>
        <v>0</v>
      </c>
      <c r="S154" s="16">
        <f>Table11[[#This Row],['#Planted]]*Table11[[#This Row],[Canada Allocation %]]*Table11[[#This Row],[2024 Inventory Survival%-master]]</f>
        <v>0</v>
      </c>
      <c r="T154" s="16">
        <f>Table11[[#This Row],['#Planted]]*Table11[[#This Row],[Canada Allocation %]]*Table11[[#This Row],[2024 Estimated Survival%]]</f>
        <v>0</v>
      </c>
      <c r="U154" s="7">
        <f>Table11[[#This Row],[ETP Year]]</f>
        <v>2020</v>
      </c>
      <c r="V154" s="7">
        <f>Table11[[#This Row],[Planting Year]]</f>
        <v>2020</v>
      </c>
      <c r="W154" s="8">
        <f>Table11[[#This Row],[Survival% as of 12/31/23]]</f>
        <v>0.6</v>
      </c>
      <c r="X154" s="7">
        <f>Table11[[#This Row],[ETP'#s]]</f>
        <v>1</v>
      </c>
    </row>
    <row r="155" spans="1:24" x14ac:dyDescent="0.25">
      <c r="A155">
        <f>Table11[[#This Row],[Farmer'#]]</f>
        <v>20031</v>
      </c>
      <c r="B155" t="str">
        <f>Table11[[#This Row],[Representative]]</f>
        <v>Alex Donato Arguedas Arroyo</v>
      </c>
      <c r="C155" t="str">
        <f>Table11[[#This Row],[Contract Name]]</f>
        <v>Alex Donato Arguedas Arroyo</v>
      </c>
      <c r="D155" t="str">
        <f>Table11[[#This Row],[Status]]</f>
        <v>Active</v>
      </c>
      <c r="E155" t="str">
        <f>Table11[[#This Row],[Contract Code]]</f>
        <v>CR0035</v>
      </c>
      <c r="F155" s="16">
        <f>Table11[[#This Row],['#TreesContract]]</f>
        <v>1200</v>
      </c>
      <c r="G155" s="16">
        <f>Table11[[#This Row],['#Planted]]</f>
        <v>1200</v>
      </c>
      <c r="H155" s="16">
        <f>Table11[[#This Row],['#TreesContract]]*Table11[[#This Row],[Canada Allocation %]]</f>
        <v>0</v>
      </c>
      <c r="I155" s="16">
        <f>Table11[[#This Row],['#Planted]]*Table11[[#This Row],[Canada Allocation %]]</f>
        <v>0</v>
      </c>
      <c r="J155" s="16">
        <f>Table11[[#This Row],[Contract Amendment]]*Table11[[#This Row],[Canada Allocation %]]</f>
        <v>0</v>
      </c>
      <c r="K155" s="16">
        <f>Table11[[#This Row],['#Trees as of 12/31/23]]*Table11[[#This Row],[Canada Allocation %]]</f>
        <v>0</v>
      </c>
      <c r="L155" s="16">
        <f>Table11[[#This Row],['#Replace 24]]*Table11[[#This Row],[Canada Allocation %]]</f>
        <v>0</v>
      </c>
      <c r="M155" s="16"/>
      <c r="N155" s="16">
        <f>(Table11[[#This Row],[2024 '#Trees Inventory + Estimate]]*Table11[[#This Row],[Canada Allocation %]])-SUM(Table378[[#This Row],['# Trees as of 12/31/23]:[New Trees/Planted in 2024]])</f>
        <v>0</v>
      </c>
      <c r="O155" s="16">
        <f>SUM(Table378[[#This Row],['# Trees as of 12/31/23]:[2024 Tree Losses]])</f>
        <v>0</v>
      </c>
      <c r="P155" s="16">
        <f>SUM(Table378[[#This Row],[Total Trees as of 12/31/24]]-Table378[[#This Row],['# Trees as of 12/31/23]])</f>
        <v>0</v>
      </c>
      <c r="Q155" s="16">
        <f>Table11[[#This Row],['#Total Replacements]]*Table11[[#This Row],[Canada Allocation %]]</f>
        <v>0</v>
      </c>
      <c r="R155" s="16">
        <f>IF(Table378[[#This Row],['#Survival based on Inventory]]=0,Table378['#Survival based on Last Year Estimate],Table378['#Survival based on Inventory])</f>
        <v>0</v>
      </c>
      <c r="S155" s="16">
        <f>Table11[[#This Row],['#Planted]]*Table11[[#This Row],[Canada Allocation %]]*Table11[[#This Row],[2024 Inventory Survival%-master]]</f>
        <v>0</v>
      </c>
      <c r="T155" s="16">
        <f>Table11[[#This Row],['#Planted]]*Table11[[#This Row],[Canada Allocation %]]*Table11[[#This Row],[2024 Estimated Survival%]]</f>
        <v>0</v>
      </c>
      <c r="U155" s="7">
        <f>Table11[[#This Row],[ETP Year]]</f>
        <v>2020</v>
      </c>
      <c r="V155" s="7">
        <f>Table11[[#This Row],[Planting Year]]</f>
        <v>2020</v>
      </c>
      <c r="W155" s="8">
        <f>Table11[[#This Row],[Survival% as of 12/31/23]]</f>
        <v>1</v>
      </c>
      <c r="X155" s="7">
        <f>Table11[[#This Row],[ETP'#s]]</f>
        <v>1</v>
      </c>
    </row>
    <row r="156" spans="1:24" x14ac:dyDescent="0.25">
      <c r="A156">
        <f>Table11[[#This Row],[Farmer'#]]</f>
        <v>20032</v>
      </c>
      <c r="B156" t="str">
        <f>Table11[[#This Row],[Representative]]</f>
        <v>Alexander Abarca Ortega</v>
      </c>
      <c r="C156" t="str">
        <f>Table11[[#This Row],[Contract Name]]</f>
        <v>El Edén de los Abarca S.A</v>
      </c>
      <c r="D156" t="str">
        <f>Table11[[#This Row],[Status]]</f>
        <v>RFT</v>
      </c>
      <c r="E156" t="str">
        <f>Table11[[#This Row],[Contract Code]]</f>
        <v>CR0036</v>
      </c>
      <c r="F156" s="16">
        <f>Table11[[#This Row],['#TreesContract]]</f>
        <v>5200</v>
      </c>
      <c r="G156" s="16">
        <f>Table11[[#This Row],['#Planted]]</f>
        <v>5200</v>
      </c>
      <c r="H156" s="16">
        <f>Table11[[#This Row],['#TreesContract]]*Table11[[#This Row],[Canada Allocation %]]</f>
        <v>0</v>
      </c>
      <c r="I156" s="16">
        <f>Table11[[#This Row],['#Planted]]*Table11[[#This Row],[Canada Allocation %]]</f>
        <v>0</v>
      </c>
      <c r="J156" s="16">
        <f>Table11[[#This Row],[Contract Amendment]]*Table11[[#This Row],[Canada Allocation %]]</f>
        <v>0</v>
      </c>
      <c r="K156" s="16">
        <f>Table11[[#This Row],['#Trees as of 12/31/23]]*Table11[[#This Row],[Canada Allocation %]]</f>
        <v>0</v>
      </c>
      <c r="L156" s="16">
        <f>Table11[[#This Row],['#Replace 24]]*Table11[[#This Row],[Canada Allocation %]]</f>
        <v>0</v>
      </c>
      <c r="M156" s="16"/>
      <c r="N156" s="16">
        <f>(Table11[[#This Row],[2024 '#Trees Inventory + Estimate]]*Table11[[#This Row],[Canada Allocation %]])-SUM(Table378[[#This Row],['# Trees as of 12/31/23]:[New Trees/Planted in 2024]])</f>
        <v>0</v>
      </c>
      <c r="O156" s="16">
        <f>SUM(Table378[[#This Row],['# Trees as of 12/31/23]:[2024 Tree Losses]])</f>
        <v>0</v>
      </c>
      <c r="P156" s="16">
        <f>SUM(Table378[[#This Row],[Total Trees as of 12/31/24]]-Table378[[#This Row],['# Trees as of 12/31/23]])</f>
        <v>0</v>
      </c>
      <c r="Q156" s="16">
        <f>Table11[[#This Row],['#Total Replacements]]*Table11[[#This Row],[Canada Allocation %]]</f>
        <v>0</v>
      </c>
      <c r="R156" s="16">
        <f>IF(Table378[[#This Row],['#Survival based on Inventory]]=0,Table378['#Survival based on Last Year Estimate],Table378['#Survival based on Inventory])</f>
        <v>0</v>
      </c>
      <c r="S156" s="16">
        <f>Table11[[#This Row],['#Planted]]*Table11[[#This Row],[Canada Allocation %]]*Table11[[#This Row],[2024 Inventory Survival%-master]]</f>
        <v>0</v>
      </c>
      <c r="T156" s="16">
        <f>Table11[[#This Row],['#Planted]]*Table11[[#This Row],[Canada Allocation %]]*Table11[[#This Row],[2024 Estimated Survival%]]</f>
        <v>0</v>
      </c>
      <c r="U156" s="7">
        <f>Table11[[#This Row],[ETP Year]]</f>
        <v>2020</v>
      </c>
      <c r="V156" s="7">
        <f>Table11[[#This Row],[Planting Year]]</f>
        <v>2020</v>
      </c>
      <c r="W156" s="8">
        <f>Table11[[#This Row],[Survival% as of 12/31/23]]</f>
        <v>0.82499999999999996</v>
      </c>
      <c r="X156" s="7">
        <f>Table11[[#This Row],[ETP'#s]]</f>
        <v>1</v>
      </c>
    </row>
    <row r="157" spans="1:24" x14ac:dyDescent="0.25">
      <c r="A157">
        <f>Table11[[#This Row],[Farmer'#]]</f>
        <v>20033</v>
      </c>
      <c r="B157" t="str">
        <f>Table11[[#This Row],[Representative]]</f>
        <v>Ana Wolfe Arce</v>
      </c>
      <c r="C157" t="str">
        <f>Table11[[#This Row],[Contract Name]]</f>
        <v>Hermanos Wolfe Arce S.A</v>
      </c>
      <c r="D157" t="str">
        <f>Table11[[#This Row],[Status]]</f>
        <v>Active</v>
      </c>
      <c r="E157" t="str">
        <f>Table11[[#This Row],[Contract Code]]</f>
        <v>CR0037</v>
      </c>
      <c r="F157" s="16">
        <f>Table11[[#This Row],['#TreesContract]]</f>
        <v>4000</v>
      </c>
      <c r="G157" s="16">
        <f>Table11[[#This Row],['#Planted]]</f>
        <v>4000</v>
      </c>
      <c r="H157" s="16">
        <f>Table11[[#This Row],['#TreesContract]]*Table11[[#This Row],[Canada Allocation %]]</f>
        <v>0</v>
      </c>
      <c r="I157" s="16">
        <f>Table11[[#This Row],['#Planted]]*Table11[[#This Row],[Canada Allocation %]]</f>
        <v>0</v>
      </c>
      <c r="J157" s="16">
        <f>Table11[[#This Row],[Contract Amendment]]*Table11[[#This Row],[Canada Allocation %]]</f>
        <v>0</v>
      </c>
      <c r="K157" s="16">
        <f>Table11[[#This Row],['#Trees as of 12/31/23]]*Table11[[#This Row],[Canada Allocation %]]</f>
        <v>0</v>
      </c>
      <c r="L157" s="16">
        <f>Table11[[#This Row],['#Replace 24]]*Table11[[#This Row],[Canada Allocation %]]</f>
        <v>0</v>
      </c>
      <c r="M157" s="16"/>
      <c r="N157" s="16">
        <f>(Table11[[#This Row],[2024 '#Trees Inventory + Estimate]]*Table11[[#This Row],[Canada Allocation %]])-SUM(Table378[[#This Row],['# Trees as of 12/31/23]:[New Trees/Planted in 2024]])</f>
        <v>0</v>
      </c>
      <c r="O157" s="16">
        <f>SUM(Table378[[#This Row],['# Trees as of 12/31/23]:[2024 Tree Losses]])</f>
        <v>0</v>
      </c>
      <c r="P157" s="16">
        <f>SUM(Table378[[#This Row],[Total Trees as of 12/31/24]]-Table378[[#This Row],['# Trees as of 12/31/23]])</f>
        <v>0</v>
      </c>
      <c r="Q157" s="16">
        <f>Table11[[#This Row],['#Total Replacements]]*Table11[[#This Row],[Canada Allocation %]]</f>
        <v>0</v>
      </c>
      <c r="R157" s="16">
        <f>IF(Table378[[#This Row],['#Survival based on Inventory]]=0,Table378['#Survival based on Last Year Estimate],Table378['#Survival based on Inventory])</f>
        <v>0</v>
      </c>
      <c r="S157" s="16">
        <f>Table11[[#This Row],['#Planted]]*Table11[[#This Row],[Canada Allocation %]]*Table11[[#This Row],[2024 Inventory Survival%-master]]</f>
        <v>0</v>
      </c>
      <c r="T157" s="16">
        <f>Table11[[#This Row],['#Planted]]*Table11[[#This Row],[Canada Allocation %]]*Table11[[#This Row],[2024 Estimated Survival%]]</f>
        <v>0</v>
      </c>
      <c r="U157" s="7">
        <f>Table11[[#This Row],[ETP Year]]</f>
        <v>2020</v>
      </c>
      <c r="V157" s="7">
        <f>Table11[[#This Row],[Planting Year]]</f>
        <v>2020</v>
      </c>
      <c r="W157" s="8">
        <f>Table11[[#This Row],[Survival% as of 12/31/23]]</f>
        <v>0.95</v>
      </c>
      <c r="X157" s="7">
        <f>Table11[[#This Row],[ETP'#s]]</f>
        <v>1</v>
      </c>
    </row>
    <row r="158" spans="1:24" x14ac:dyDescent="0.25">
      <c r="A158">
        <f>Table11[[#This Row],[Farmer'#]]</f>
        <v>20034</v>
      </c>
      <c r="B158" t="str">
        <f>Table11[[#This Row],[Representative]]</f>
        <v>Anastacio Castillo</v>
      </c>
      <c r="C158" t="str">
        <f>Table11[[#This Row],[Contract Name]]</f>
        <v>Anastacio Castillo</v>
      </c>
      <c r="D158" t="str">
        <f>Table11[[#This Row],[Status]]</f>
        <v>Out of Program</v>
      </c>
      <c r="E158" t="str">
        <f>Table11[[#This Row],[Contract Code]]</f>
        <v>CR0038</v>
      </c>
      <c r="F158" s="16">
        <f>Table11[[#This Row],['#TreesContract]]</f>
        <v>1200</v>
      </c>
      <c r="G158" s="16">
        <f>Table11[[#This Row],['#Planted]]</f>
        <v>1200</v>
      </c>
      <c r="H158" s="16">
        <f>Table11[[#This Row],['#TreesContract]]*Table11[[#This Row],[Canada Allocation %]]</f>
        <v>0</v>
      </c>
      <c r="I158" s="16">
        <f>Table11[[#This Row],['#Planted]]*Table11[[#This Row],[Canada Allocation %]]</f>
        <v>0</v>
      </c>
      <c r="J158" s="16">
        <f>Table11[[#This Row],[Contract Amendment]]*Table11[[#This Row],[Canada Allocation %]]</f>
        <v>0</v>
      </c>
      <c r="K158" s="16">
        <f>Table11[[#This Row],['#Trees as of 12/31/23]]*Table11[[#This Row],[Canada Allocation %]]</f>
        <v>0</v>
      </c>
      <c r="L158" s="16">
        <f>Table11[[#This Row],['#Replace 24]]*Table11[[#This Row],[Canada Allocation %]]</f>
        <v>0</v>
      </c>
      <c r="M158" s="16"/>
      <c r="N158" s="16">
        <f>(Table11[[#This Row],[2024 '#Trees Inventory + Estimate]]*Table11[[#This Row],[Canada Allocation %]])-SUM(Table378[[#This Row],['# Trees as of 12/31/23]:[New Trees/Planted in 2024]])</f>
        <v>0</v>
      </c>
      <c r="O158" s="16">
        <f>SUM(Table378[[#This Row],['# Trees as of 12/31/23]:[2024 Tree Losses]])</f>
        <v>0</v>
      </c>
      <c r="P158" s="16">
        <f>SUM(Table378[[#This Row],[Total Trees as of 12/31/24]]-Table378[[#This Row],['# Trees as of 12/31/23]])</f>
        <v>0</v>
      </c>
      <c r="Q158" s="16">
        <f>Table11[[#This Row],['#Total Replacements]]*Table11[[#This Row],[Canada Allocation %]]</f>
        <v>0</v>
      </c>
      <c r="R158" s="16">
        <f>IF(Table378[[#This Row],['#Survival based on Inventory]]=0,Table378['#Survival based on Last Year Estimate],Table378['#Survival based on Inventory])</f>
        <v>0</v>
      </c>
      <c r="S158" s="16">
        <f>Table11[[#This Row],['#Planted]]*Table11[[#This Row],[Canada Allocation %]]*Table11[[#This Row],[2024 Inventory Survival%-master]]</f>
        <v>0</v>
      </c>
      <c r="T158" s="16">
        <f>Table11[[#This Row],['#Planted]]*Table11[[#This Row],[Canada Allocation %]]*Table11[[#This Row],[2024 Estimated Survival%]]</f>
        <v>0</v>
      </c>
      <c r="U158" s="7">
        <f>Table11[[#This Row],[ETP Year]]</f>
        <v>2020</v>
      </c>
      <c r="V158" s="7">
        <f>Table11[[#This Row],[Planting Year]]</f>
        <v>2020</v>
      </c>
      <c r="W158" s="8">
        <f>Table11[[#This Row],[Survival% as of 12/31/23]]</f>
        <v>0</v>
      </c>
      <c r="X158" s="7">
        <f>Table11[[#This Row],[ETP'#s]]</f>
        <v>1</v>
      </c>
    </row>
    <row r="159" spans="1:24" x14ac:dyDescent="0.25">
      <c r="A159">
        <f>Table11[[#This Row],[Farmer'#]]</f>
        <v>20035</v>
      </c>
      <c r="B159" t="str">
        <f>Table11[[#This Row],[Representative]]</f>
        <v>Mauricio Alvarado</v>
      </c>
      <c r="C159" t="str">
        <f>Table11[[#This Row],[Contract Name]]</f>
        <v>Ania Monge Chavarria </v>
      </c>
      <c r="D159" t="str">
        <f>Table11[[#This Row],[Status]]</f>
        <v>RFT</v>
      </c>
      <c r="E159" t="str">
        <f>Table11[[#This Row],[Contract Code]]</f>
        <v>CR0039</v>
      </c>
      <c r="F159" s="16">
        <f>Table11[[#This Row],['#TreesContract]]</f>
        <v>700</v>
      </c>
      <c r="G159" s="16">
        <f>Table11[[#This Row],['#Planted]]</f>
        <v>700</v>
      </c>
      <c r="H159" s="16">
        <f>Table11[[#This Row],['#TreesContract]]*Table11[[#This Row],[Canada Allocation %]]</f>
        <v>0</v>
      </c>
      <c r="I159" s="16">
        <f>Table11[[#This Row],['#Planted]]*Table11[[#This Row],[Canada Allocation %]]</f>
        <v>0</v>
      </c>
      <c r="J159" s="16">
        <f>Table11[[#This Row],[Contract Amendment]]*Table11[[#This Row],[Canada Allocation %]]</f>
        <v>0</v>
      </c>
      <c r="K159" s="16">
        <f>Table11[[#This Row],['#Trees as of 12/31/23]]*Table11[[#This Row],[Canada Allocation %]]</f>
        <v>0</v>
      </c>
      <c r="L159" s="16">
        <f>Table11[[#This Row],['#Replace 24]]*Table11[[#This Row],[Canada Allocation %]]</f>
        <v>0</v>
      </c>
      <c r="M159" s="16"/>
      <c r="N159" s="16">
        <f>(Table11[[#This Row],[2024 '#Trees Inventory + Estimate]]*Table11[[#This Row],[Canada Allocation %]])-SUM(Table378[[#This Row],['# Trees as of 12/31/23]:[New Trees/Planted in 2024]])</f>
        <v>0</v>
      </c>
      <c r="O159" s="16">
        <f>SUM(Table378[[#This Row],['# Trees as of 12/31/23]:[2024 Tree Losses]])</f>
        <v>0</v>
      </c>
      <c r="P159" s="16">
        <f>SUM(Table378[[#This Row],[Total Trees as of 12/31/24]]-Table378[[#This Row],['# Trees as of 12/31/23]])</f>
        <v>0</v>
      </c>
      <c r="Q159" s="16">
        <f>Table11[[#This Row],['#Total Replacements]]*Table11[[#This Row],[Canada Allocation %]]</f>
        <v>0</v>
      </c>
      <c r="R159" s="16">
        <f>IF(Table378[[#This Row],['#Survival based on Inventory]]=0,Table378['#Survival based on Last Year Estimate],Table378['#Survival based on Inventory])</f>
        <v>0</v>
      </c>
      <c r="S159" s="16">
        <f>Table11[[#This Row],['#Planted]]*Table11[[#This Row],[Canada Allocation %]]*Table11[[#This Row],[2024 Inventory Survival%-master]]</f>
        <v>0</v>
      </c>
      <c r="T159" s="16">
        <f>Table11[[#This Row],['#Planted]]*Table11[[#This Row],[Canada Allocation %]]*Table11[[#This Row],[2024 Estimated Survival%]]</f>
        <v>0</v>
      </c>
      <c r="U159" s="7">
        <f>Table11[[#This Row],[ETP Year]]</f>
        <v>2020</v>
      </c>
      <c r="V159" s="7">
        <f>Table11[[#This Row],[Planting Year]]</f>
        <v>2020</v>
      </c>
      <c r="W159" s="8">
        <f>Table11[[#This Row],[Survival% as of 12/31/23]]</f>
        <v>0.82499999999999996</v>
      </c>
      <c r="X159" s="7">
        <f>Table11[[#This Row],[ETP'#s]]</f>
        <v>1</v>
      </c>
    </row>
    <row r="160" spans="1:24" x14ac:dyDescent="0.25">
      <c r="A160">
        <f>Table11[[#This Row],[Farmer'#]]</f>
        <v>20036</v>
      </c>
      <c r="B160" t="str">
        <f>Table11[[#This Row],[Representative]]</f>
        <v>Marco Pacheco</v>
      </c>
      <c r="C160" t="str">
        <f>Table11[[#This Row],[Contract Name]]</f>
        <v>Aracelly Sanchez Rojas</v>
      </c>
      <c r="D160" t="str">
        <f>Table11[[#This Row],[Status]]</f>
        <v>Active</v>
      </c>
      <c r="E160" t="str">
        <f>Table11[[#This Row],[Contract Code]]</f>
        <v>CR0040</v>
      </c>
      <c r="F160" s="16">
        <f>Table11[[#This Row],['#TreesContract]]</f>
        <v>730</v>
      </c>
      <c r="G160" s="16">
        <f>Table11[[#This Row],['#Planted]]</f>
        <v>730</v>
      </c>
      <c r="H160" s="16">
        <f>Table11[[#This Row],['#TreesContract]]*Table11[[#This Row],[Canada Allocation %]]</f>
        <v>0</v>
      </c>
      <c r="I160" s="16">
        <f>Table11[[#This Row],['#Planted]]*Table11[[#This Row],[Canada Allocation %]]</f>
        <v>0</v>
      </c>
      <c r="J160" s="16">
        <f>Table11[[#This Row],[Contract Amendment]]*Table11[[#This Row],[Canada Allocation %]]</f>
        <v>0</v>
      </c>
      <c r="K160" s="16">
        <f>Table11[[#This Row],['#Trees as of 12/31/23]]*Table11[[#This Row],[Canada Allocation %]]</f>
        <v>0</v>
      </c>
      <c r="L160" s="16">
        <f>Table11[[#This Row],['#Replace 24]]*Table11[[#This Row],[Canada Allocation %]]</f>
        <v>0</v>
      </c>
      <c r="M160" s="16"/>
      <c r="N160" s="16">
        <f>(Table11[[#This Row],[2024 '#Trees Inventory + Estimate]]*Table11[[#This Row],[Canada Allocation %]])-SUM(Table378[[#This Row],['# Trees as of 12/31/23]:[New Trees/Planted in 2024]])</f>
        <v>0</v>
      </c>
      <c r="O160" s="16">
        <f>SUM(Table378[[#This Row],['# Trees as of 12/31/23]:[2024 Tree Losses]])</f>
        <v>0</v>
      </c>
      <c r="P160" s="16">
        <f>SUM(Table378[[#This Row],[Total Trees as of 12/31/24]]-Table378[[#This Row],['# Trees as of 12/31/23]])</f>
        <v>0</v>
      </c>
      <c r="Q160" s="16">
        <f>Table11[[#This Row],['#Total Replacements]]*Table11[[#This Row],[Canada Allocation %]]</f>
        <v>0</v>
      </c>
      <c r="R160" s="16">
        <f>IF(Table378[[#This Row],['#Survival based on Inventory]]=0,Table378['#Survival based on Last Year Estimate],Table378['#Survival based on Inventory])</f>
        <v>0</v>
      </c>
      <c r="S160" s="16">
        <f>Table11[[#This Row],['#Planted]]*Table11[[#This Row],[Canada Allocation %]]*Table11[[#This Row],[2024 Inventory Survival%-master]]</f>
        <v>0</v>
      </c>
      <c r="T160" s="16">
        <f>Table11[[#This Row],['#Planted]]*Table11[[#This Row],[Canada Allocation %]]*Table11[[#This Row],[2024 Estimated Survival%]]</f>
        <v>0</v>
      </c>
      <c r="U160" s="7">
        <f>Table11[[#This Row],[ETP Year]]</f>
        <v>2020</v>
      </c>
      <c r="V160" s="7">
        <f>Table11[[#This Row],[Planting Year]]</f>
        <v>2020</v>
      </c>
      <c r="W160" s="8">
        <f>Table11[[#This Row],[Survival% as of 12/31/23]]</f>
        <v>0.95</v>
      </c>
      <c r="X160" s="7">
        <f>Table11[[#This Row],[ETP'#s]]</f>
        <v>1</v>
      </c>
    </row>
    <row r="161" spans="1:24" x14ac:dyDescent="0.25">
      <c r="A161">
        <f>Table11[[#This Row],[Farmer'#]]</f>
        <v>20037</v>
      </c>
      <c r="B161" t="str">
        <f>Table11[[#This Row],[Representative]]</f>
        <v>Carlos Peña</v>
      </c>
      <c r="C161" t="str">
        <f>Table11[[#This Row],[Contract Name]]</f>
        <v>Carlos Peña</v>
      </c>
      <c r="D161" t="str">
        <f>Table11[[#This Row],[Status]]</f>
        <v>Out of Program</v>
      </c>
      <c r="E161" t="str">
        <f>Table11[[#This Row],[Contract Code]]</f>
        <v>CR0041</v>
      </c>
      <c r="F161" s="16">
        <f>Table11[[#This Row],['#TreesContract]]</f>
        <v>2000</v>
      </c>
      <c r="G161" s="16">
        <f>Table11[[#This Row],['#Planted]]</f>
        <v>2000</v>
      </c>
      <c r="H161" s="16">
        <f>Table11[[#This Row],['#TreesContract]]*Table11[[#This Row],[Canada Allocation %]]</f>
        <v>0</v>
      </c>
      <c r="I161" s="16">
        <f>Table11[[#This Row],['#Planted]]*Table11[[#This Row],[Canada Allocation %]]</f>
        <v>0</v>
      </c>
      <c r="J161" s="16">
        <f>Table11[[#This Row],[Contract Amendment]]*Table11[[#This Row],[Canada Allocation %]]</f>
        <v>0</v>
      </c>
      <c r="K161" s="16">
        <f>Table11[[#This Row],['#Trees as of 12/31/23]]*Table11[[#This Row],[Canada Allocation %]]</f>
        <v>0</v>
      </c>
      <c r="L161" s="16">
        <f>Table11[[#This Row],['#Replace 24]]*Table11[[#This Row],[Canada Allocation %]]</f>
        <v>0</v>
      </c>
      <c r="M161" s="16"/>
      <c r="N161" s="16">
        <f>(Table11[[#This Row],[2024 '#Trees Inventory + Estimate]]*Table11[[#This Row],[Canada Allocation %]])-SUM(Table378[[#This Row],['# Trees as of 12/31/23]:[New Trees/Planted in 2024]])</f>
        <v>0</v>
      </c>
      <c r="O161" s="16">
        <f>SUM(Table378[[#This Row],['# Trees as of 12/31/23]:[2024 Tree Losses]])</f>
        <v>0</v>
      </c>
      <c r="P161" s="16">
        <f>SUM(Table378[[#This Row],[Total Trees as of 12/31/24]]-Table378[[#This Row],['# Trees as of 12/31/23]])</f>
        <v>0</v>
      </c>
      <c r="Q161" s="16">
        <f>Table11[[#This Row],['#Total Replacements]]*Table11[[#This Row],[Canada Allocation %]]</f>
        <v>0</v>
      </c>
      <c r="R161" s="16">
        <f>IF(Table378[[#This Row],['#Survival based on Inventory]]=0,Table378['#Survival based on Last Year Estimate],Table378['#Survival based on Inventory])</f>
        <v>0</v>
      </c>
      <c r="S161" s="16">
        <f>Table11[[#This Row],['#Planted]]*Table11[[#This Row],[Canada Allocation %]]*Table11[[#This Row],[2024 Inventory Survival%-master]]</f>
        <v>0</v>
      </c>
      <c r="T161" s="16">
        <f>Table11[[#This Row],['#Planted]]*Table11[[#This Row],[Canada Allocation %]]*Table11[[#This Row],[2024 Estimated Survival%]]</f>
        <v>0</v>
      </c>
      <c r="U161" s="7">
        <f>Table11[[#This Row],[ETP Year]]</f>
        <v>2020</v>
      </c>
      <c r="V161" s="7">
        <f>Table11[[#This Row],[Planting Year]]</f>
        <v>2020</v>
      </c>
      <c r="W161" s="8">
        <f>Table11[[#This Row],[Survival% as of 12/31/23]]</f>
        <v>0</v>
      </c>
      <c r="X161" s="7">
        <f>Table11[[#This Row],[ETP'#s]]</f>
        <v>1</v>
      </c>
    </row>
    <row r="162" spans="1:24" x14ac:dyDescent="0.25">
      <c r="A162">
        <f>Table11[[#This Row],[Farmer'#]]</f>
        <v>20038</v>
      </c>
      <c r="B162" t="str">
        <f>Table11[[#This Row],[Representative]]</f>
        <v>Didier Alfaro Alvarado</v>
      </c>
      <c r="C162" t="str">
        <f>Table11[[#This Row],[Contract Name]]</f>
        <v>Didier Jose Alfaro Alvarado</v>
      </c>
      <c r="D162" t="str">
        <f>Table11[[#This Row],[Status]]</f>
        <v>Active</v>
      </c>
      <c r="E162" t="str">
        <f>Table11[[#This Row],[Contract Code]]</f>
        <v>CR0042</v>
      </c>
      <c r="F162" s="16">
        <f>Table11[[#This Row],['#TreesContract]]</f>
        <v>2980</v>
      </c>
      <c r="G162" s="16">
        <f>Table11[[#This Row],['#Planted]]</f>
        <v>2980</v>
      </c>
      <c r="H162" s="16">
        <f>Table11[[#This Row],['#TreesContract]]*Table11[[#This Row],[Canada Allocation %]]</f>
        <v>0</v>
      </c>
      <c r="I162" s="16">
        <f>Table11[[#This Row],['#Planted]]*Table11[[#This Row],[Canada Allocation %]]</f>
        <v>0</v>
      </c>
      <c r="J162" s="16">
        <f>Table11[[#This Row],[Contract Amendment]]*Table11[[#This Row],[Canada Allocation %]]</f>
        <v>0</v>
      </c>
      <c r="K162" s="16">
        <f>Table11[[#This Row],['#Trees as of 12/31/23]]*Table11[[#This Row],[Canada Allocation %]]</f>
        <v>0</v>
      </c>
      <c r="L162" s="16">
        <f>Table11[[#This Row],['#Replace 24]]*Table11[[#This Row],[Canada Allocation %]]</f>
        <v>0</v>
      </c>
      <c r="M162" s="16"/>
      <c r="N162" s="16">
        <f>(Table11[[#This Row],[2024 '#Trees Inventory + Estimate]]*Table11[[#This Row],[Canada Allocation %]])-SUM(Table378[[#This Row],['# Trees as of 12/31/23]:[New Trees/Planted in 2024]])</f>
        <v>0</v>
      </c>
      <c r="O162" s="16">
        <f>SUM(Table378[[#This Row],['# Trees as of 12/31/23]:[2024 Tree Losses]])</f>
        <v>0</v>
      </c>
      <c r="P162" s="16">
        <f>SUM(Table378[[#This Row],[Total Trees as of 12/31/24]]-Table378[[#This Row],['# Trees as of 12/31/23]])</f>
        <v>0</v>
      </c>
      <c r="Q162" s="16">
        <f>Table11[[#This Row],['#Total Replacements]]*Table11[[#This Row],[Canada Allocation %]]</f>
        <v>0</v>
      </c>
      <c r="R162" s="16">
        <f>IF(Table378[[#This Row],['#Survival based on Inventory]]=0,Table378['#Survival based on Last Year Estimate],Table378['#Survival based on Inventory])</f>
        <v>0</v>
      </c>
      <c r="S162" s="16">
        <f>Table11[[#This Row],['#Planted]]*Table11[[#This Row],[Canada Allocation %]]*Table11[[#This Row],[2024 Inventory Survival%-master]]</f>
        <v>0</v>
      </c>
      <c r="T162" s="16">
        <f>Table11[[#This Row],['#Planted]]*Table11[[#This Row],[Canada Allocation %]]*Table11[[#This Row],[2024 Estimated Survival%]]</f>
        <v>0</v>
      </c>
      <c r="U162" s="7">
        <f>Table11[[#This Row],[ETP Year]]</f>
        <v>2020</v>
      </c>
      <c r="V162" s="7">
        <f>Table11[[#This Row],[Planting Year]]</f>
        <v>2020</v>
      </c>
      <c r="W162" s="8">
        <f>Table11[[#This Row],[Survival% as of 12/31/23]]</f>
        <v>1</v>
      </c>
      <c r="X162" s="7">
        <f>Table11[[#This Row],[ETP'#s]]</f>
        <v>1</v>
      </c>
    </row>
    <row r="163" spans="1:24" x14ac:dyDescent="0.25">
      <c r="A163">
        <f>Table11[[#This Row],[Farmer'#]]</f>
        <v>20039</v>
      </c>
      <c r="B163" t="str">
        <f>Table11[[#This Row],[Representative]]</f>
        <v>Diego Gerardo Fernandez Barboza</v>
      </c>
      <c r="C163" t="str">
        <f>Table11[[#This Row],[Contract Name]]</f>
        <v>Diego Gerardo Fernandez Barboza</v>
      </c>
      <c r="D163" t="str">
        <f>Table11[[#This Row],[Status]]</f>
        <v>Out of Program</v>
      </c>
      <c r="E163" t="str">
        <f>Table11[[#This Row],[Contract Code]]</f>
        <v>CR0043</v>
      </c>
      <c r="F163" s="16">
        <f>Table11[[#This Row],['#TreesContract]]</f>
        <v>1200</v>
      </c>
      <c r="G163" s="16">
        <f>Table11[[#This Row],['#Planted]]</f>
        <v>1200</v>
      </c>
      <c r="H163" s="16">
        <f>Table11[[#This Row],['#TreesContract]]*Table11[[#This Row],[Canada Allocation %]]</f>
        <v>0</v>
      </c>
      <c r="I163" s="16">
        <f>Table11[[#This Row],['#Planted]]*Table11[[#This Row],[Canada Allocation %]]</f>
        <v>0</v>
      </c>
      <c r="J163" s="16">
        <f>Table11[[#This Row],[Contract Amendment]]*Table11[[#This Row],[Canada Allocation %]]</f>
        <v>0</v>
      </c>
      <c r="K163" s="16">
        <f>Table11[[#This Row],['#Trees as of 12/31/23]]*Table11[[#This Row],[Canada Allocation %]]</f>
        <v>0</v>
      </c>
      <c r="L163" s="16">
        <f>Table11[[#This Row],['#Replace 24]]*Table11[[#This Row],[Canada Allocation %]]</f>
        <v>0</v>
      </c>
      <c r="M163" s="16"/>
      <c r="N163" s="16">
        <f>(Table11[[#This Row],[2024 '#Trees Inventory + Estimate]]*Table11[[#This Row],[Canada Allocation %]])-SUM(Table378[[#This Row],['# Trees as of 12/31/23]:[New Trees/Planted in 2024]])</f>
        <v>0</v>
      </c>
      <c r="O163" s="16">
        <f>SUM(Table378[[#This Row],['# Trees as of 12/31/23]:[2024 Tree Losses]])</f>
        <v>0</v>
      </c>
      <c r="P163" s="16">
        <f>SUM(Table378[[#This Row],[Total Trees as of 12/31/24]]-Table378[[#This Row],['# Trees as of 12/31/23]])</f>
        <v>0</v>
      </c>
      <c r="Q163" s="16">
        <f>Table11[[#This Row],['#Total Replacements]]*Table11[[#This Row],[Canada Allocation %]]</f>
        <v>0</v>
      </c>
      <c r="R163" s="16">
        <f>IF(Table378[[#This Row],['#Survival based on Inventory]]=0,Table378['#Survival based on Last Year Estimate],Table378['#Survival based on Inventory])</f>
        <v>0</v>
      </c>
      <c r="S163" s="16">
        <f>Table11[[#This Row],['#Planted]]*Table11[[#This Row],[Canada Allocation %]]*Table11[[#This Row],[2024 Inventory Survival%-master]]</f>
        <v>0</v>
      </c>
      <c r="T163" s="16">
        <f>Table11[[#This Row],['#Planted]]*Table11[[#This Row],[Canada Allocation %]]*Table11[[#This Row],[2024 Estimated Survival%]]</f>
        <v>0</v>
      </c>
      <c r="U163" s="7">
        <f>Table11[[#This Row],[ETP Year]]</f>
        <v>2020</v>
      </c>
      <c r="V163" s="7">
        <f>Table11[[#This Row],[Planting Year]]</f>
        <v>2020</v>
      </c>
      <c r="W163" s="8">
        <f>Table11[[#This Row],[Survival% as of 12/31/23]]</f>
        <v>0</v>
      </c>
      <c r="X163" s="7">
        <f>Table11[[#This Row],[ETP'#s]]</f>
        <v>1</v>
      </c>
    </row>
    <row r="164" spans="1:24" hidden="1" x14ac:dyDescent="0.25">
      <c r="A164">
        <f>Table11[[#This Row],[Farmer'#]]</f>
        <v>20040</v>
      </c>
      <c r="B164" t="str">
        <f>Table11[[#This Row],[Representative]]</f>
        <v>Diogenes Cubero</v>
      </c>
      <c r="C164" t="str">
        <f>Table11[[#This Row],[Contract Name]]</f>
        <v>Diogenes Cubero</v>
      </c>
      <c r="D164" t="str">
        <f>Table11[[#This Row],[Status]]</f>
        <v>Active</v>
      </c>
      <c r="E164" t="str">
        <f>Table11[[#This Row],[Contract Code]]</f>
        <v>CR0044</v>
      </c>
      <c r="F164" s="16">
        <f>Table11[[#This Row],['#TreesContract]]</f>
        <v>1000</v>
      </c>
      <c r="G164" s="16">
        <f>Table11[[#This Row],['#Planted]]</f>
        <v>1000</v>
      </c>
      <c r="H164" s="16">
        <f>Table11[[#This Row],['#TreesContract]]*Table11[[#This Row],[Canada Allocation %]]</f>
        <v>0</v>
      </c>
      <c r="I164" s="16">
        <f>Table11[[#This Row],['#Planted]]*Table11[[#This Row],[Canada Allocation %]]</f>
        <v>0</v>
      </c>
      <c r="J164" s="16">
        <f>Table11[[#This Row],[Contract Amendment]]*Table11[[#This Row],[Canada Allocation %]]</f>
        <v>0</v>
      </c>
      <c r="K164" s="16">
        <f>Table11[[#This Row],['#Trees as of 12/31/23]]*Table11[[#This Row],[Canada Allocation %]]</f>
        <v>0</v>
      </c>
      <c r="L164" s="16">
        <f>Table11[[#This Row],['#Replace 24]]*Table11[[#This Row],[Canada Allocation %]]</f>
        <v>0</v>
      </c>
      <c r="M164" s="16"/>
      <c r="N164" s="16">
        <f>(Table11[[#This Row],[2024 '#Trees Inventory + Estimate]]*Table11[[#This Row],[Canada Allocation %]])-SUM(Table378[[#This Row],['# Trees as of 12/31/23]:[New Trees/Planted in 2024]])</f>
        <v>0</v>
      </c>
      <c r="O164" s="16">
        <f>SUM(Table378[[#This Row],['# Trees as of 12/31/23]:[2024 Tree Losses]])</f>
        <v>0</v>
      </c>
      <c r="P164" s="16">
        <f>SUM(Table378[[#This Row],[Total Trees as of 12/31/24]]-Table378[[#This Row],['# Trees as of 12/31/23]])</f>
        <v>0</v>
      </c>
      <c r="Q164" s="16">
        <f>Table11[[#This Row],['#Total Replacements]]*Table11[[#This Row],[Canada Allocation %]]</f>
        <v>0</v>
      </c>
      <c r="R164" s="16">
        <f>IF(Table378[[#This Row],['#Survival based on Inventory]]=0,Table378['#Survival based on Last Year Estimate],Table378['#Survival based on Inventory])</f>
        <v>0</v>
      </c>
      <c r="S164" s="16">
        <f>Table11[[#This Row],['#Planted]]*Table11[[#This Row],[Canada Allocation %]]*Table11[[#This Row],[2024 Inventory Survival%-master]]</f>
        <v>0</v>
      </c>
      <c r="T164" s="16">
        <f>Table11[[#This Row],['#Planted]]*Table11[[#This Row],[Canada Allocation %]]*Table11[[#This Row],[2024 Estimated Survival%]]</f>
        <v>0</v>
      </c>
      <c r="U164" s="7">
        <f>Table11[[#This Row],[ETP Year]]</f>
        <v>2020</v>
      </c>
      <c r="V164" s="7">
        <f>Table11[[#This Row],[Planting Year]]</f>
        <v>2020</v>
      </c>
      <c r="W164" s="8">
        <f>Table11[[#This Row],[Survival% as of 12/31/23]]</f>
        <v>1</v>
      </c>
      <c r="X164" s="7">
        <f>Table11[[#This Row],[ETP'#s]]</f>
        <v>1</v>
      </c>
    </row>
    <row r="165" spans="1:24" x14ac:dyDescent="0.25">
      <c r="A165">
        <f>Table11[[#This Row],[Farmer'#]]</f>
        <v>20041</v>
      </c>
      <c r="B165" t="str">
        <f>Table11[[#This Row],[Representative]]</f>
        <v>Donald Diaz Rojas</v>
      </c>
      <c r="C165" t="str">
        <f>Table11[[#This Row],[Contract Name]]</f>
        <v>Donald Diaz Rojas</v>
      </c>
      <c r="D165" t="str">
        <f>Table11[[#This Row],[Status]]</f>
        <v>RFT</v>
      </c>
      <c r="E165" t="str">
        <f>Table11[[#This Row],[Contract Code]]</f>
        <v>CR0045</v>
      </c>
      <c r="F165" s="16">
        <f>Table11[[#This Row],['#TreesContract]]</f>
        <v>4500</v>
      </c>
      <c r="G165" s="16">
        <f>Table11[[#This Row],['#Planted]]</f>
        <v>4500</v>
      </c>
      <c r="H165" s="16">
        <f>Table11[[#This Row],['#TreesContract]]*Table11[[#This Row],[Canada Allocation %]]</f>
        <v>0</v>
      </c>
      <c r="I165" s="16">
        <f>Table11[[#This Row],['#Planted]]*Table11[[#This Row],[Canada Allocation %]]</f>
        <v>0</v>
      </c>
      <c r="J165" s="16">
        <f>Table11[[#This Row],[Contract Amendment]]*Table11[[#This Row],[Canada Allocation %]]</f>
        <v>0</v>
      </c>
      <c r="K165" s="16">
        <f>Table11[[#This Row],['#Trees as of 12/31/23]]*Table11[[#This Row],[Canada Allocation %]]</f>
        <v>0</v>
      </c>
      <c r="L165" s="16">
        <f>Table11[[#This Row],['#Replace 24]]*Table11[[#This Row],[Canada Allocation %]]</f>
        <v>0</v>
      </c>
      <c r="M165" s="16"/>
      <c r="N165" s="16">
        <f>(Table11[[#This Row],[2024 '#Trees Inventory + Estimate]]*Table11[[#This Row],[Canada Allocation %]])-SUM(Table378[[#This Row],['# Trees as of 12/31/23]:[New Trees/Planted in 2024]])</f>
        <v>0</v>
      </c>
      <c r="O165" s="16">
        <f>SUM(Table378[[#This Row],['# Trees as of 12/31/23]:[2024 Tree Losses]])</f>
        <v>0</v>
      </c>
      <c r="P165" s="16">
        <f>SUM(Table378[[#This Row],[Total Trees as of 12/31/24]]-Table378[[#This Row],['# Trees as of 12/31/23]])</f>
        <v>0</v>
      </c>
      <c r="Q165" s="16">
        <f>Table11[[#This Row],['#Total Replacements]]*Table11[[#This Row],[Canada Allocation %]]</f>
        <v>0</v>
      </c>
      <c r="R165" s="16">
        <f>IF(Table378[[#This Row],['#Survival based on Inventory]]=0,Table378['#Survival based on Last Year Estimate],Table378['#Survival based on Inventory])</f>
        <v>0</v>
      </c>
      <c r="S165" s="16">
        <f>Table11[[#This Row],['#Planted]]*Table11[[#This Row],[Canada Allocation %]]*Table11[[#This Row],[2024 Inventory Survival%-master]]</f>
        <v>0</v>
      </c>
      <c r="T165" s="16">
        <f>Table11[[#This Row],['#Planted]]*Table11[[#This Row],[Canada Allocation %]]*Table11[[#This Row],[2024 Estimated Survival%]]</f>
        <v>0</v>
      </c>
      <c r="U165" s="7">
        <f>Table11[[#This Row],[ETP Year]]</f>
        <v>2020</v>
      </c>
      <c r="V165" s="7">
        <f>Table11[[#This Row],[Planting Year]]</f>
        <v>2020</v>
      </c>
      <c r="W165" s="8">
        <f>Table11[[#This Row],[Survival% as of 12/31/23]]</f>
        <v>0.83</v>
      </c>
      <c r="X165" s="7">
        <f>Table11[[#This Row],[ETP'#s]]</f>
        <v>1</v>
      </c>
    </row>
    <row r="166" spans="1:24" x14ac:dyDescent="0.25">
      <c r="A166">
        <f>Table11[[#This Row],[Farmer'#]]</f>
        <v>20042</v>
      </c>
      <c r="B166" t="str">
        <f>Table11[[#This Row],[Representative]]</f>
        <v>Enrique Quiroz</v>
      </c>
      <c r="C166" t="str">
        <f>Table11[[#This Row],[Contract Name]]</f>
        <v>Elia Araya Guzman</v>
      </c>
      <c r="D166" t="str">
        <f>Table11[[#This Row],[Status]]</f>
        <v>Active</v>
      </c>
      <c r="E166" t="str">
        <f>Table11[[#This Row],[Contract Code]]</f>
        <v>CR0046</v>
      </c>
      <c r="F166" s="16">
        <f>Table11[[#This Row],['#TreesContract]]</f>
        <v>2000</v>
      </c>
      <c r="G166" s="16">
        <f>Table11[[#This Row],['#Planted]]</f>
        <v>2000</v>
      </c>
      <c r="H166" s="16">
        <f>Table11[[#This Row],['#TreesContract]]*Table11[[#This Row],[Canada Allocation %]]</f>
        <v>0</v>
      </c>
      <c r="I166" s="16">
        <f>Table11[[#This Row],['#Planted]]*Table11[[#This Row],[Canada Allocation %]]</f>
        <v>0</v>
      </c>
      <c r="J166" s="16">
        <f>Table11[[#This Row],[Contract Amendment]]*Table11[[#This Row],[Canada Allocation %]]</f>
        <v>0</v>
      </c>
      <c r="K166" s="16">
        <f>Table11[[#This Row],['#Trees as of 12/31/23]]*Table11[[#This Row],[Canada Allocation %]]</f>
        <v>0</v>
      </c>
      <c r="L166" s="16">
        <f>Table11[[#This Row],['#Replace 24]]*Table11[[#This Row],[Canada Allocation %]]</f>
        <v>0</v>
      </c>
      <c r="M166" s="16"/>
      <c r="N166" s="16">
        <f>(Table11[[#This Row],[2024 '#Trees Inventory + Estimate]]*Table11[[#This Row],[Canada Allocation %]])-SUM(Table378[[#This Row],['# Trees as of 12/31/23]:[New Trees/Planted in 2024]])</f>
        <v>0</v>
      </c>
      <c r="O166" s="16">
        <f>SUM(Table378[[#This Row],['# Trees as of 12/31/23]:[2024 Tree Losses]])</f>
        <v>0</v>
      </c>
      <c r="P166" s="16">
        <f>SUM(Table378[[#This Row],[Total Trees as of 12/31/24]]-Table378[[#This Row],['# Trees as of 12/31/23]])</f>
        <v>0</v>
      </c>
      <c r="Q166" s="16">
        <f>Table11[[#This Row],['#Total Replacements]]*Table11[[#This Row],[Canada Allocation %]]</f>
        <v>0</v>
      </c>
      <c r="R166" s="16">
        <f>IF(Table378[[#This Row],['#Survival based on Inventory]]=0,Table378['#Survival based on Last Year Estimate],Table378['#Survival based on Inventory])</f>
        <v>0</v>
      </c>
      <c r="S166" s="16">
        <f>Table11[[#This Row],['#Planted]]*Table11[[#This Row],[Canada Allocation %]]*Table11[[#This Row],[2024 Inventory Survival%-master]]</f>
        <v>0</v>
      </c>
      <c r="T166" s="16">
        <f>Table11[[#This Row],['#Planted]]*Table11[[#This Row],[Canada Allocation %]]*Table11[[#This Row],[2024 Estimated Survival%]]</f>
        <v>0</v>
      </c>
      <c r="U166" s="7">
        <f>Table11[[#This Row],[ETP Year]]</f>
        <v>2020</v>
      </c>
      <c r="V166" s="7">
        <f>Table11[[#This Row],[Planting Year]]</f>
        <v>2020</v>
      </c>
      <c r="W166" s="8">
        <f>Table11[[#This Row],[Survival% as of 12/31/23]]</f>
        <v>0.91</v>
      </c>
      <c r="X166" s="7">
        <f>Table11[[#This Row],[ETP'#s]]</f>
        <v>1</v>
      </c>
    </row>
    <row r="167" spans="1:24" x14ac:dyDescent="0.25">
      <c r="A167">
        <f>Table11[[#This Row],[Farmer'#]]</f>
        <v>20043</v>
      </c>
      <c r="B167" t="str">
        <f>Table11[[#This Row],[Representative]]</f>
        <v>Francisco Ramirez</v>
      </c>
      <c r="C167" t="str">
        <f>Table11[[#This Row],[Contract Name]]</f>
        <v>Emidey Ramirez</v>
      </c>
      <c r="D167" t="str">
        <f>Table11[[#This Row],[Status]]</f>
        <v>Active</v>
      </c>
      <c r="E167" t="str">
        <f>Table11[[#This Row],[Contract Code]]</f>
        <v>CR0047</v>
      </c>
      <c r="F167" s="16">
        <f>Table11[[#This Row],['#TreesContract]]</f>
        <v>1200</v>
      </c>
      <c r="G167" s="16">
        <f>Table11[[#This Row],['#Planted]]</f>
        <v>1200</v>
      </c>
      <c r="H167" s="16">
        <f>Table11[[#This Row],['#TreesContract]]*Table11[[#This Row],[Canada Allocation %]]</f>
        <v>0</v>
      </c>
      <c r="I167" s="16">
        <f>Table11[[#This Row],['#Planted]]*Table11[[#This Row],[Canada Allocation %]]</f>
        <v>0</v>
      </c>
      <c r="J167" s="16">
        <f>Table11[[#This Row],[Contract Amendment]]*Table11[[#This Row],[Canada Allocation %]]</f>
        <v>0</v>
      </c>
      <c r="K167" s="16">
        <f>Table11[[#This Row],['#Trees as of 12/31/23]]*Table11[[#This Row],[Canada Allocation %]]</f>
        <v>0</v>
      </c>
      <c r="L167" s="16">
        <f>Table11[[#This Row],['#Replace 24]]*Table11[[#This Row],[Canada Allocation %]]</f>
        <v>0</v>
      </c>
      <c r="M167" s="16"/>
      <c r="N167" s="16">
        <f>(Table11[[#This Row],[2024 '#Trees Inventory + Estimate]]*Table11[[#This Row],[Canada Allocation %]])-SUM(Table378[[#This Row],['# Trees as of 12/31/23]:[New Trees/Planted in 2024]])</f>
        <v>0</v>
      </c>
      <c r="O167" s="16">
        <f>SUM(Table378[[#This Row],['# Trees as of 12/31/23]:[2024 Tree Losses]])</f>
        <v>0</v>
      </c>
      <c r="P167" s="16">
        <f>SUM(Table378[[#This Row],[Total Trees as of 12/31/24]]-Table378[[#This Row],['# Trees as of 12/31/23]])</f>
        <v>0</v>
      </c>
      <c r="Q167" s="16">
        <f>Table11[[#This Row],['#Total Replacements]]*Table11[[#This Row],[Canada Allocation %]]</f>
        <v>0</v>
      </c>
      <c r="R167" s="16">
        <f>IF(Table378[[#This Row],['#Survival based on Inventory]]=0,Table378['#Survival based on Last Year Estimate],Table378['#Survival based on Inventory])</f>
        <v>0</v>
      </c>
      <c r="S167" s="16">
        <f>Table11[[#This Row],['#Planted]]*Table11[[#This Row],[Canada Allocation %]]*Table11[[#This Row],[2024 Inventory Survival%-master]]</f>
        <v>0</v>
      </c>
      <c r="T167" s="16">
        <f>Table11[[#This Row],['#Planted]]*Table11[[#This Row],[Canada Allocation %]]*Table11[[#This Row],[2024 Estimated Survival%]]</f>
        <v>0</v>
      </c>
      <c r="U167" s="7">
        <f>Table11[[#This Row],[ETP Year]]</f>
        <v>2020</v>
      </c>
      <c r="V167" s="7">
        <f>Table11[[#This Row],[Planting Year]]</f>
        <v>2020</v>
      </c>
      <c r="W167" s="8">
        <f>Table11[[#This Row],[Survival% as of 12/31/23]]</f>
        <v>0.95</v>
      </c>
      <c r="X167" s="7">
        <f>Table11[[#This Row],[ETP'#s]]</f>
        <v>1</v>
      </c>
    </row>
    <row r="168" spans="1:24" x14ac:dyDescent="0.25">
      <c r="A168">
        <f>Table11[[#This Row],[Farmer'#]]</f>
        <v>20044</v>
      </c>
      <c r="B168" t="str">
        <f>Table11[[#This Row],[Representative]]</f>
        <v xml:space="preserve">Marijose Apestegui </v>
      </c>
      <c r="C168" t="str">
        <f>Table11[[#This Row],[Contract Name]]</f>
        <v>El anillo de doña Emilia S.A</v>
      </c>
      <c r="D168" t="str">
        <f>Table11[[#This Row],[Status]]</f>
        <v>Out of Program</v>
      </c>
      <c r="E168" t="str">
        <f>Table11[[#This Row],[Contract Code]]</f>
        <v>CR0048</v>
      </c>
      <c r="F168" s="16">
        <f>Table11[[#This Row],['#TreesContract]]</f>
        <v>3600</v>
      </c>
      <c r="G168" s="16">
        <f>Table11[[#This Row],['#Planted]]</f>
        <v>3600</v>
      </c>
      <c r="H168" s="16">
        <f>Table11[[#This Row],['#TreesContract]]*Table11[[#This Row],[Canada Allocation %]]</f>
        <v>0</v>
      </c>
      <c r="I168" s="16">
        <f>Table11[[#This Row],['#Planted]]*Table11[[#This Row],[Canada Allocation %]]</f>
        <v>0</v>
      </c>
      <c r="J168" s="16">
        <f>Table11[[#This Row],[Contract Amendment]]*Table11[[#This Row],[Canada Allocation %]]</f>
        <v>0</v>
      </c>
      <c r="K168" s="16">
        <f>Table11[[#This Row],['#Trees as of 12/31/23]]*Table11[[#This Row],[Canada Allocation %]]</f>
        <v>0</v>
      </c>
      <c r="L168" s="16">
        <f>Table11[[#This Row],['#Replace 24]]*Table11[[#This Row],[Canada Allocation %]]</f>
        <v>0</v>
      </c>
      <c r="M168" s="16"/>
      <c r="N168" s="16">
        <f>(Table11[[#This Row],[2024 '#Trees Inventory + Estimate]]*Table11[[#This Row],[Canada Allocation %]])-SUM(Table378[[#This Row],['# Trees as of 12/31/23]:[New Trees/Planted in 2024]])</f>
        <v>0</v>
      </c>
      <c r="O168" s="16">
        <f>SUM(Table378[[#This Row],['# Trees as of 12/31/23]:[2024 Tree Losses]])</f>
        <v>0</v>
      </c>
      <c r="P168" s="16">
        <f>SUM(Table378[[#This Row],[Total Trees as of 12/31/24]]-Table378[[#This Row],['# Trees as of 12/31/23]])</f>
        <v>0</v>
      </c>
      <c r="Q168" s="16">
        <f>Table11[[#This Row],['#Total Replacements]]*Table11[[#This Row],[Canada Allocation %]]</f>
        <v>0</v>
      </c>
      <c r="R168" s="16">
        <f>IF(Table378[[#This Row],['#Survival based on Inventory]]=0,Table378['#Survival based on Last Year Estimate],Table378['#Survival based on Inventory])</f>
        <v>0</v>
      </c>
      <c r="S168" s="16">
        <f>Table11[[#This Row],['#Planted]]*Table11[[#This Row],[Canada Allocation %]]*Table11[[#This Row],[2024 Inventory Survival%-master]]</f>
        <v>0</v>
      </c>
      <c r="T168" s="16">
        <f>Table11[[#This Row],['#Planted]]*Table11[[#This Row],[Canada Allocation %]]*Table11[[#This Row],[2024 Estimated Survival%]]</f>
        <v>0</v>
      </c>
      <c r="U168" s="7">
        <f>Table11[[#This Row],[ETP Year]]</f>
        <v>2020</v>
      </c>
      <c r="V168" s="7">
        <f>Table11[[#This Row],[Planting Year]]</f>
        <v>2020</v>
      </c>
      <c r="W168" s="8">
        <f>Table11[[#This Row],[Survival% as of 12/31/23]]</f>
        <v>1</v>
      </c>
      <c r="X168" s="7">
        <f>Table11[[#This Row],[ETP'#s]]</f>
        <v>1</v>
      </c>
    </row>
    <row r="169" spans="1:24" x14ac:dyDescent="0.25">
      <c r="A169">
        <f>Table11[[#This Row],[Farmer'#]]</f>
        <v>20045</v>
      </c>
      <c r="B169" t="str">
        <f>Table11[[#This Row],[Representative]]</f>
        <v>Gregorio Corella</v>
      </c>
      <c r="C169" t="str">
        <f>Table11[[#This Row],[Contract Name]]</f>
        <v>Gregorio Corella</v>
      </c>
      <c r="D169" t="str">
        <f>Table11[[#This Row],[Status]]</f>
        <v>Active</v>
      </c>
      <c r="E169" t="str">
        <f>Table11[[#This Row],[Contract Code]]</f>
        <v>CR0049</v>
      </c>
      <c r="F169" s="16">
        <f>Table11[[#This Row],['#TreesContract]]</f>
        <v>1200</v>
      </c>
      <c r="G169" s="16">
        <f>Table11[[#This Row],['#Planted]]</f>
        <v>1200</v>
      </c>
      <c r="H169" s="16">
        <f>Table11[[#This Row],['#TreesContract]]*Table11[[#This Row],[Canada Allocation %]]</f>
        <v>0</v>
      </c>
      <c r="I169" s="16">
        <f>Table11[[#This Row],['#Planted]]*Table11[[#This Row],[Canada Allocation %]]</f>
        <v>0</v>
      </c>
      <c r="J169" s="16">
        <f>Table11[[#This Row],[Contract Amendment]]*Table11[[#This Row],[Canada Allocation %]]</f>
        <v>0</v>
      </c>
      <c r="K169" s="16">
        <f>Table11[[#This Row],['#Trees as of 12/31/23]]*Table11[[#This Row],[Canada Allocation %]]</f>
        <v>0</v>
      </c>
      <c r="L169" s="16">
        <f>Table11[[#This Row],['#Replace 24]]*Table11[[#This Row],[Canada Allocation %]]</f>
        <v>0</v>
      </c>
      <c r="M169" s="16"/>
      <c r="N169" s="16">
        <f>(Table11[[#This Row],[2024 '#Trees Inventory + Estimate]]*Table11[[#This Row],[Canada Allocation %]])-SUM(Table378[[#This Row],['# Trees as of 12/31/23]:[New Trees/Planted in 2024]])</f>
        <v>0</v>
      </c>
      <c r="O169" s="16">
        <f>SUM(Table378[[#This Row],['# Trees as of 12/31/23]:[2024 Tree Losses]])</f>
        <v>0</v>
      </c>
      <c r="P169" s="16">
        <f>SUM(Table378[[#This Row],[Total Trees as of 12/31/24]]-Table378[[#This Row],['# Trees as of 12/31/23]])</f>
        <v>0</v>
      </c>
      <c r="Q169" s="16">
        <f>Table11[[#This Row],['#Total Replacements]]*Table11[[#This Row],[Canada Allocation %]]</f>
        <v>0</v>
      </c>
      <c r="R169" s="16">
        <f>IF(Table378[[#This Row],['#Survival based on Inventory]]=0,Table378['#Survival based on Last Year Estimate],Table378['#Survival based on Inventory])</f>
        <v>0</v>
      </c>
      <c r="S169" s="16">
        <f>Table11[[#This Row],['#Planted]]*Table11[[#This Row],[Canada Allocation %]]*Table11[[#This Row],[2024 Inventory Survival%-master]]</f>
        <v>0</v>
      </c>
      <c r="T169" s="16">
        <f>Table11[[#This Row],['#Planted]]*Table11[[#This Row],[Canada Allocation %]]*Table11[[#This Row],[2024 Estimated Survival%]]</f>
        <v>0</v>
      </c>
      <c r="U169" s="7">
        <f>Table11[[#This Row],[ETP Year]]</f>
        <v>2020</v>
      </c>
      <c r="V169" s="7">
        <f>Table11[[#This Row],[Planting Year]]</f>
        <v>2020</v>
      </c>
      <c r="W169" s="8">
        <f>Table11[[#This Row],[Survival% as of 12/31/23]]</f>
        <v>0.95</v>
      </c>
      <c r="X169" s="7">
        <f>Table11[[#This Row],[ETP'#s]]</f>
        <v>1</v>
      </c>
    </row>
    <row r="170" spans="1:24" x14ac:dyDescent="0.25">
      <c r="A170">
        <f>Table11[[#This Row],[Farmer'#]]</f>
        <v>20046</v>
      </c>
      <c r="B170" t="str">
        <f>Table11[[#This Row],[Representative]]</f>
        <v xml:space="preserve">Ismael Chaves </v>
      </c>
      <c r="C170" t="str">
        <f>Table11[[#This Row],[Contract Name]]</f>
        <v xml:space="preserve">Ismael Chaves </v>
      </c>
      <c r="D170" t="str">
        <f>Table11[[#This Row],[Status]]</f>
        <v>Out of Program</v>
      </c>
      <c r="E170" t="str">
        <f>Table11[[#This Row],[Contract Code]]</f>
        <v>CR0050</v>
      </c>
      <c r="F170" s="16">
        <f>Table11[[#This Row],['#TreesContract]]</f>
        <v>3440</v>
      </c>
      <c r="G170" s="16">
        <f>Table11[[#This Row],['#Planted]]</f>
        <v>3440</v>
      </c>
      <c r="H170" s="16">
        <f>Table11[[#This Row],['#TreesContract]]*Table11[[#This Row],[Canada Allocation %]]</f>
        <v>0</v>
      </c>
      <c r="I170" s="16">
        <f>Table11[[#This Row],['#Planted]]*Table11[[#This Row],[Canada Allocation %]]</f>
        <v>0</v>
      </c>
      <c r="J170" s="16">
        <f>Table11[[#This Row],[Contract Amendment]]*Table11[[#This Row],[Canada Allocation %]]</f>
        <v>0</v>
      </c>
      <c r="K170" s="16">
        <f>Table11[[#This Row],['#Trees as of 12/31/23]]*Table11[[#This Row],[Canada Allocation %]]</f>
        <v>0</v>
      </c>
      <c r="L170" s="16">
        <f>Table11[[#This Row],['#Replace 24]]*Table11[[#This Row],[Canada Allocation %]]</f>
        <v>0</v>
      </c>
      <c r="M170" s="16"/>
      <c r="N170" s="16">
        <f>(Table11[[#This Row],[2024 '#Trees Inventory + Estimate]]*Table11[[#This Row],[Canada Allocation %]])-SUM(Table378[[#This Row],['# Trees as of 12/31/23]:[New Trees/Planted in 2024]])</f>
        <v>0</v>
      </c>
      <c r="O170" s="16">
        <f>SUM(Table378[[#This Row],['# Trees as of 12/31/23]:[2024 Tree Losses]])</f>
        <v>0</v>
      </c>
      <c r="P170" s="16">
        <f>SUM(Table378[[#This Row],[Total Trees as of 12/31/24]]-Table378[[#This Row],['# Trees as of 12/31/23]])</f>
        <v>0</v>
      </c>
      <c r="Q170" s="16">
        <f>Table11[[#This Row],['#Total Replacements]]*Table11[[#This Row],[Canada Allocation %]]</f>
        <v>0</v>
      </c>
      <c r="R170" s="16">
        <f>IF(Table378[[#This Row],['#Survival based on Inventory]]=0,Table378['#Survival based on Last Year Estimate],Table378['#Survival based on Inventory])</f>
        <v>0</v>
      </c>
      <c r="S170" s="16">
        <f>Table11[[#This Row],['#Planted]]*Table11[[#This Row],[Canada Allocation %]]*Table11[[#This Row],[2024 Inventory Survival%-master]]</f>
        <v>0</v>
      </c>
      <c r="T170" s="16">
        <f>Table11[[#This Row],['#Planted]]*Table11[[#This Row],[Canada Allocation %]]*Table11[[#This Row],[2024 Estimated Survival%]]</f>
        <v>0</v>
      </c>
      <c r="U170" s="7">
        <f>Table11[[#This Row],[ETP Year]]</f>
        <v>2020</v>
      </c>
      <c r="V170" s="7">
        <f>Table11[[#This Row],[Planting Year]]</f>
        <v>2020</v>
      </c>
      <c r="W170" s="8">
        <f>Table11[[#This Row],[Survival% as of 12/31/23]]</f>
        <v>0.95</v>
      </c>
      <c r="X170" s="7">
        <f>Table11[[#This Row],[ETP'#s]]</f>
        <v>1</v>
      </c>
    </row>
    <row r="171" spans="1:24" x14ac:dyDescent="0.25">
      <c r="A171">
        <f>Table11[[#This Row],[Farmer'#]]</f>
        <v>20047</v>
      </c>
      <c r="B171" t="str">
        <f>Table11[[#This Row],[Representative]]</f>
        <v>Jeison Espinoza</v>
      </c>
      <c r="C171" t="str">
        <f>Table11[[#This Row],[Contract Name]]</f>
        <v>Jeison Espinoza</v>
      </c>
      <c r="D171" t="str">
        <f>Table11[[#This Row],[Status]]</f>
        <v>Active</v>
      </c>
      <c r="E171" t="str">
        <f>Table11[[#This Row],[Contract Code]]</f>
        <v>CR0051</v>
      </c>
      <c r="F171" s="16">
        <f>Table11[[#This Row],['#TreesContract]]</f>
        <v>1300</v>
      </c>
      <c r="G171" s="16">
        <f>Table11[[#This Row],['#Planted]]</f>
        <v>1300</v>
      </c>
      <c r="H171" s="16">
        <f>Table11[[#This Row],['#TreesContract]]*Table11[[#This Row],[Canada Allocation %]]</f>
        <v>0</v>
      </c>
      <c r="I171" s="16">
        <f>Table11[[#This Row],['#Planted]]*Table11[[#This Row],[Canada Allocation %]]</f>
        <v>0</v>
      </c>
      <c r="J171" s="16">
        <f>Table11[[#This Row],[Contract Amendment]]*Table11[[#This Row],[Canada Allocation %]]</f>
        <v>0</v>
      </c>
      <c r="K171" s="16">
        <f>Table11[[#This Row],['#Trees as of 12/31/23]]*Table11[[#This Row],[Canada Allocation %]]</f>
        <v>0</v>
      </c>
      <c r="L171" s="16">
        <f>Table11[[#This Row],['#Replace 24]]*Table11[[#This Row],[Canada Allocation %]]</f>
        <v>0</v>
      </c>
      <c r="M171" s="16"/>
      <c r="N171" s="16">
        <f>(Table11[[#This Row],[2024 '#Trees Inventory + Estimate]]*Table11[[#This Row],[Canada Allocation %]])-SUM(Table378[[#This Row],['# Trees as of 12/31/23]:[New Trees/Planted in 2024]])</f>
        <v>0</v>
      </c>
      <c r="O171" s="16">
        <f>SUM(Table378[[#This Row],['# Trees as of 12/31/23]:[2024 Tree Losses]])</f>
        <v>0</v>
      </c>
      <c r="P171" s="16">
        <f>SUM(Table378[[#This Row],[Total Trees as of 12/31/24]]-Table378[[#This Row],['# Trees as of 12/31/23]])</f>
        <v>0</v>
      </c>
      <c r="Q171" s="16">
        <f>Table11[[#This Row],['#Total Replacements]]*Table11[[#This Row],[Canada Allocation %]]</f>
        <v>0</v>
      </c>
      <c r="R171" s="16">
        <f>IF(Table378[[#This Row],['#Survival based on Inventory]]=0,Table378['#Survival based on Last Year Estimate],Table378['#Survival based on Inventory])</f>
        <v>0</v>
      </c>
      <c r="S171" s="16">
        <f>Table11[[#This Row],['#Planted]]*Table11[[#This Row],[Canada Allocation %]]*Table11[[#This Row],[2024 Inventory Survival%-master]]</f>
        <v>0</v>
      </c>
      <c r="T171" s="16">
        <f>Table11[[#This Row],['#Planted]]*Table11[[#This Row],[Canada Allocation %]]*Table11[[#This Row],[2024 Estimated Survival%]]</f>
        <v>0</v>
      </c>
      <c r="U171" s="7">
        <f>Table11[[#This Row],[ETP Year]]</f>
        <v>2020</v>
      </c>
      <c r="V171" s="7">
        <f>Table11[[#This Row],[Planting Year]]</f>
        <v>2020</v>
      </c>
      <c r="W171" s="8">
        <f>Table11[[#This Row],[Survival% as of 12/31/23]]</f>
        <v>0.95</v>
      </c>
      <c r="X171" s="7">
        <f>Table11[[#This Row],[ETP'#s]]</f>
        <v>1</v>
      </c>
    </row>
    <row r="172" spans="1:24" x14ac:dyDescent="0.25">
      <c r="A172">
        <f>Table11[[#This Row],[Farmer'#]]</f>
        <v>20048</v>
      </c>
      <c r="B172" t="str">
        <f>Table11[[#This Row],[Representative]]</f>
        <v>Jerry Myers</v>
      </c>
      <c r="C172" t="str">
        <f>Table11[[#This Row],[Contract Name]]</f>
        <v>Tengo Fuera S.A</v>
      </c>
      <c r="D172" t="str">
        <f>Table11[[#This Row],[Status]]</f>
        <v>Active</v>
      </c>
      <c r="E172" t="str">
        <f>Table11[[#This Row],[Contract Code]]</f>
        <v>CR0052</v>
      </c>
      <c r="F172" s="16">
        <f>Table11[[#This Row],['#TreesContract]]</f>
        <v>2400</v>
      </c>
      <c r="G172" s="16">
        <f>Table11[[#This Row],['#Planted]]</f>
        <v>2400</v>
      </c>
      <c r="H172" s="16">
        <f>Table11[[#This Row],['#TreesContract]]*Table11[[#This Row],[Canada Allocation %]]</f>
        <v>0</v>
      </c>
      <c r="I172" s="16">
        <f>Table11[[#This Row],['#Planted]]*Table11[[#This Row],[Canada Allocation %]]</f>
        <v>0</v>
      </c>
      <c r="J172" s="16">
        <f>Table11[[#This Row],[Contract Amendment]]*Table11[[#This Row],[Canada Allocation %]]</f>
        <v>0</v>
      </c>
      <c r="K172" s="16">
        <f>Table11[[#This Row],['#Trees as of 12/31/23]]*Table11[[#This Row],[Canada Allocation %]]</f>
        <v>0</v>
      </c>
      <c r="L172" s="16">
        <f>Table11[[#This Row],['#Replace 24]]*Table11[[#This Row],[Canada Allocation %]]</f>
        <v>0</v>
      </c>
      <c r="M172" s="16"/>
      <c r="N172" s="16">
        <f>(Table11[[#This Row],[2024 '#Trees Inventory + Estimate]]*Table11[[#This Row],[Canada Allocation %]])-SUM(Table378[[#This Row],['# Trees as of 12/31/23]:[New Trees/Planted in 2024]])</f>
        <v>0</v>
      </c>
      <c r="O172" s="16">
        <f>SUM(Table378[[#This Row],['# Trees as of 12/31/23]:[2024 Tree Losses]])</f>
        <v>0</v>
      </c>
      <c r="P172" s="16">
        <f>SUM(Table378[[#This Row],[Total Trees as of 12/31/24]]-Table378[[#This Row],['# Trees as of 12/31/23]])</f>
        <v>0</v>
      </c>
      <c r="Q172" s="16">
        <f>Table11[[#This Row],['#Total Replacements]]*Table11[[#This Row],[Canada Allocation %]]</f>
        <v>0</v>
      </c>
      <c r="R172" s="16">
        <f>IF(Table378[[#This Row],['#Survival based on Inventory]]=0,Table378['#Survival based on Last Year Estimate],Table378['#Survival based on Inventory])</f>
        <v>0</v>
      </c>
      <c r="S172" s="16">
        <f>Table11[[#This Row],['#Planted]]*Table11[[#This Row],[Canada Allocation %]]*Table11[[#This Row],[2024 Inventory Survival%-master]]</f>
        <v>0</v>
      </c>
      <c r="T172" s="16">
        <f>Table11[[#This Row],['#Planted]]*Table11[[#This Row],[Canada Allocation %]]*Table11[[#This Row],[2024 Estimated Survival%]]</f>
        <v>0</v>
      </c>
      <c r="U172" s="7">
        <f>Table11[[#This Row],[ETP Year]]</f>
        <v>2020</v>
      </c>
      <c r="V172" s="7">
        <f>Table11[[#This Row],[Planting Year]]</f>
        <v>2020</v>
      </c>
      <c r="W172" s="8">
        <f>Table11[[#This Row],[Survival% as of 12/31/23]]</f>
        <v>1</v>
      </c>
      <c r="X172" s="7">
        <f>Table11[[#This Row],[ETP'#s]]</f>
        <v>1</v>
      </c>
    </row>
    <row r="173" spans="1:24" x14ac:dyDescent="0.25">
      <c r="A173">
        <f>Table11[[#This Row],[Farmer'#]]</f>
        <v>20049</v>
      </c>
      <c r="B173" t="str">
        <f>Table11[[#This Row],[Representative]]</f>
        <v xml:space="preserve">Jose Eduardo Esquivel </v>
      </c>
      <c r="C173" t="str">
        <f>Table11[[#This Row],[Contract Name]]</f>
        <v xml:space="preserve">Jose Eduardo Esquivel </v>
      </c>
      <c r="D173" t="str">
        <f>Table11[[#This Row],[Status]]</f>
        <v>Active</v>
      </c>
      <c r="E173" t="str">
        <f>Table11[[#This Row],[Contract Code]]</f>
        <v>CR0053</v>
      </c>
      <c r="F173" s="16">
        <f>Table11[[#This Row],['#TreesContract]]</f>
        <v>1000</v>
      </c>
      <c r="G173" s="16">
        <f>Table11[[#This Row],['#Planted]]</f>
        <v>1000</v>
      </c>
      <c r="H173" s="16">
        <f>Table11[[#This Row],['#TreesContract]]*Table11[[#This Row],[Canada Allocation %]]</f>
        <v>0</v>
      </c>
      <c r="I173" s="16">
        <f>Table11[[#This Row],['#Planted]]*Table11[[#This Row],[Canada Allocation %]]</f>
        <v>0</v>
      </c>
      <c r="J173" s="16">
        <f>Table11[[#This Row],[Contract Amendment]]*Table11[[#This Row],[Canada Allocation %]]</f>
        <v>0</v>
      </c>
      <c r="K173" s="16">
        <f>Table11[[#This Row],['#Trees as of 12/31/23]]*Table11[[#This Row],[Canada Allocation %]]</f>
        <v>0</v>
      </c>
      <c r="L173" s="16">
        <f>Table11[[#This Row],['#Replace 24]]*Table11[[#This Row],[Canada Allocation %]]</f>
        <v>0</v>
      </c>
      <c r="M173" s="16"/>
      <c r="N173" s="16">
        <f>(Table11[[#This Row],[2024 '#Trees Inventory + Estimate]]*Table11[[#This Row],[Canada Allocation %]])-SUM(Table378[[#This Row],['# Trees as of 12/31/23]:[New Trees/Planted in 2024]])</f>
        <v>0</v>
      </c>
      <c r="O173" s="16">
        <f>SUM(Table378[[#This Row],['# Trees as of 12/31/23]:[2024 Tree Losses]])</f>
        <v>0</v>
      </c>
      <c r="P173" s="16">
        <f>SUM(Table378[[#This Row],[Total Trees as of 12/31/24]]-Table378[[#This Row],['# Trees as of 12/31/23]])</f>
        <v>0</v>
      </c>
      <c r="Q173" s="16">
        <f>Table11[[#This Row],['#Total Replacements]]*Table11[[#This Row],[Canada Allocation %]]</f>
        <v>0</v>
      </c>
      <c r="R173" s="16">
        <f>IF(Table378[[#This Row],['#Survival based on Inventory]]=0,Table378['#Survival based on Last Year Estimate],Table378['#Survival based on Inventory])</f>
        <v>0</v>
      </c>
      <c r="S173" s="16">
        <f>Table11[[#This Row],['#Planted]]*Table11[[#This Row],[Canada Allocation %]]*Table11[[#This Row],[2024 Inventory Survival%-master]]</f>
        <v>0</v>
      </c>
      <c r="T173" s="16">
        <f>Table11[[#This Row],['#Planted]]*Table11[[#This Row],[Canada Allocation %]]*Table11[[#This Row],[2024 Estimated Survival%]]</f>
        <v>0</v>
      </c>
      <c r="U173" s="7">
        <f>Table11[[#This Row],[ETP Year]]</f>
        <v>2020</v>
      </c>
      <c r="V173" s="7">
        <f>Table11[[#This Row],[Planting Year]]</f>
        <v>2020</v>
      </c>
      <c r="W173" s="8">
        <f>Table11[[#This Row],[Survival% as of 12/31/23]]</f>
        <v>1</v>
      </c>
      <c r="X173" s="7">
        <f>Table11[[#This Row],[ETP'#s]]</f>
        <v>1</v>
      </c>
    </row>
    <row r="174" spans="1:24" x14ac:dyDescent="0.25">
      <c r="A174">
        <f>Table11[[#This Row],[Farmer'#]]</f>
        <v>20050</v>
      </c>
      <c r="B174" t="str">
        <f>Table11[[#This Row],[Representative]]</f>
        <v>Karlos Bolaños</v>
      </c>
      <c r="C174" t="str">
        <f>Table11[[#This Row],[Contract Name]]</f>
        <v>Karlos Bolaños</v>
      </c>
      <c r="D174" t="str">
        <f>Table11[[#This Row],[Status]]</f>
        <v>Out of Program</v>
      </c>
      <c r="E174" t="str">
        <f>Table11[[#This Row],[Contract Code]]</f>
        <v>CR0054</v>
      </c>
      <c r="F174" s="16">
        <f>Table11[[#This Row],['#TreesContract]]</f>
        <v>800</v>
      </c>
      <c r="G174" s="16">
        <f>Table11[[#This Row],['#Planted]]</f>
        <v>800</v>
      </c>
      <c r="H174" s="16">
        <f>Table11[[#This Row],['#TreesContract]]*Table11[[#This Row],[Canada Allocation %]]</f>
        <v>0</v>
      </c>
      <c r="I174" s="16">
        <f>Table11[[#This Row],['#Planted]]*Table11[[#This Row],[Canada Allocation %]]</f>
        <v>0</v>
      </c>
      <c r="J174" s="16">
        <f>Table11[[#This Row],[Contract Amendment]]*Table11[[#This Row],[Canada Allocation %]]</f>
        <v>0</v>
      </c>
      <c r="K174" s="16">
        <f>Table11[[#This Row],['#Trees as of 12/31/23]]*Table11[[#This Row],[Canada Allocation %]]</f>
        <v>0</v>
      </c>
      <c r="L174" s="16">
        <f>Table11[[#This Row],['#Replace 24]]*Table11[[#This Row],[Canada Allocation %]]</f>
        <v>0</v>
      </c>
      <c r="M174" s="16"/>
      <c r="N174" s="16">
        <f>(Table11[[#This Row],[2024 '#Trees Inventory + Estimate]]*Table11[[#This Row],[Canada Allocation %]])-SUM(Table378[[#This Row],['# Trees as of 12/31/23]:[New Trees/Planted in 2024]])</f>
        <v>0</v>
      </c>
      <c r="O174" s="16">
        <f>SUM(Table378[[#This Row],['# Trees as of 12/31/23]:[2024 Tree Losses]])</f>
        <v>0</v>
      </c>
      <c r="P174" s="16">
        <f>SUM(Table378[[#This Row],[Total Trees as of 12/31/24]]-Table378[[#This Row],['# Trees as of 12/31/23]])</f>
        <v>0</v>
      </c>
      <c r="Q174" s="16">
        <f>Table11[[#This Row],['#Total Replacements]]*Table11[[#This Row],[Canada Allocation %]]</f>
        <v>0</v>
      </c>
      <c r="R174" s="16">
        <f>IF(Table378[[#This Row],['#Survival based on Inventory]]=0,Table378['#Survival based on Last Year Estimate],Table378['#Survival based on Inventory])</f>
        <v>0</v>
      </c>
      <c r="S174" s="16">
        <f>Table11[[#This Row],['#Planted]]*Table11[[#This Row],[Canada Allocation %]]*Table11[[#This Row],[2024 Inventory Survival%-master]]</f>
        <v>0</v>
      </c>
      <c r="T174" s="16">
        <f>Table11[[#This Row],['#Planted]]*Table11[[#This Row],[Canada Allocation %]]*Table11[[#This Row],[2024 Estimated Survival%]]</f>
        <v>0</v>
      </c>
      <c r="U174" s="7">
        <f>Table11[[#This Row],[ETP Year]]</f>
        <v>2020</v>
      </c>
      <c r="V174" s="7">
        <f>Table11[[#This Row],[Planting Year]]</f>
        <v>2020</v>
      </c>
      <c r="W174" s="8">
        <f>Table11[[#This Row],[Survival% as of 12/31/23]]</f>
        <v>0</v>
      </c>
      <c r="X174" s="7">
        <f>Table11[[#This Row],[ETP'#s]]</f>
        <v>1</v>
      </c>
    </row>
    <row r="175" spans="1:24" x14ac:dyDescent="0.25">
      <c r="A175">
        <f>Table11[[#This Row],[Farmer'#]]</f>
        <v>20051</v>
      </c>
      <c r="B175" t="str">
        <f>Table11[[#This Row],[Representative]]</f>
        <v>Laura Blanco</v>
      </c>
      <c r="C175" t="str">
        <f>Table11[[#This Row],[Contract Name]]</f>
        <v>Laura Blanco</v>
      </c>
      <c r="D175" t="str">
        <f>Table11[[#This Row],[Status]]</f>
        <v>RFT</v>
      </c>
      <c r="E175" t="str">
        <f>Table11[[#This Row],[Contract Code]]</f>
        <v>CR0055</v>
      </c>
      <c r="F175" s="16">
        <f>Table11[[#This Row],['#TreesContract]]</f>
        <v>1000</v>
      </c>
      <c r="G175" s="16">
        <f>Table11[[#This Row],['#Planted]]</f>
        <v>1000</v>
      </c>
      <c r="H175" s="16">
        <f>Table11[[#This Row],['#TreesContract]]*Table11[[#This Row],[Canada Allocation %]]</f>
        <v>0</v>
      </c>
      <c r="I175" s="16">
        <f>Table11[[#This Row],['#Planted]]*Table11[[#This Row],[Canada Allocation %]]</f>
        <v>0</v>
      </c>
      <c r="J175" s="16">
        <f>Table11[[#This Row],[Contract Amendment]]*Table11[[#This Row],[Canada Allocation %]]</f>
        <v>0</v>
      </c>
      <c r="K175" s="16">
        <f>Table11[[#This Row],['#Trees as of 12/31/23]]*Table11[[#This Row],[Canada Allocation %]]</f>
        <v>0</v>
      </c>
      <c r="L175" s="16">
        <f>Table11[[#This Row],['#Replace 24]]*Table11[[#This Row],[Canada Allocation %]]</f>
        <v>0</v>
      </c>
      <c r="M175" s="16"/>
      <c r="N175" s="16">
        <f>(Table11[[#This Row],[2024 '#Trees Inventory + Estimate]]*Table11[[#This Row],[Canada Allocation %]])-SUM(Table378[[#This Row],['# Trees as of 12/31/23]:[New Trees/Planted in 2024]])</f>
        <v>0</v>
      </c>
      <c r="O175" s="16">
        <f>SUM(Table378[[#This Row],['# Trees as of 12/31/23]:[2024 Tree Losses]])</f>
        <v>0</v>
      </c>
      <c r="P175" s="16">
        <f>SUM(Table378[[#This Row],[Total Trees as of 12/31/24]]-Table378[[#This Row],['# Trees as of 12/31/23]])</f>
        <v>0</v>
      </c>
      <c r="Q175" s="16">
        <f>Table11[[#This Row],['#Total Replacements]]*Table11[[#This Row],[Canada Allocation %]]</f>
        <v>0</v>
      </c>
      <c r="R175" s="16">
        <f>IF(Table378[[#This Row],['#Survival based on Inventory]]=0,Table378['#Survival based on Last Year Estimate],Table378['#Survival based on Inventory])</f>
        <v>0</v>
      </c>
      <c r="S175" s="16">
        <f>Table11[[#This Row],['#Planted]]*Table11[[#This Row],[Canada Allocation %]]*Table11[[#This Row],[2024 Inventory Survival%-master]]</f>
        <v>0</v>
      </c>
      <c r="T175" s="16">
        <f>Table11[[#This Row],['#Planted]]*Table11[[#This Row],[Canada Allocation %]]*Table11[[#This Row],[2024 Estimated Survival%]]</f>
        <v>0</v>
      </c>
      <c r="U175" s="7">
        <f>Table11[[#This Row],[ETP Year]]</f>
        <v>2020</v>
      </c>
      <c r="V175" s="7">
        <f>Table11[[#This Row],[Planting Year]]</f>
        <v>2020</v>
      </c>
      <c r="W175" s="8">
        <f>Table11[[#This Row],[Survival% as of 12/31/23]]</f>
        <v>0.82499999999999996</v>
      </c>
      <c r="X175" s="7">
        <f>Table11[[#This Row],[ETP'#s]]</f>
        <v>1</v>
      </c>
    </row>
    <row r="176" spans="1:24" x14ac:dyDescent="0.25">
      <c r="A176">
        <f>Table11[[#This Row],[Farmer'#]]</f>
        <v>20052</v>
      </c>
      <c r="B176" t="str">
        <f>Table11[[#This Row],[Representative]]</f>
        <v>Luis Alonso Salazar Rodriguez</v>
      </c>
      <c r="C176" t="str">
        <f>Table11[[#This Row],[Contract Name]]</f>
        <v>LKC Arrendamientos S.A</v>
      </c>
      <c r="D176" t="str">
        <f>Table11[[#This Row],[Status]]</f>
        <v>RFT</v>
      </c>
      <c r="E176" t="str">
        <f>Table11[[#This Row],[Contract Code]]</f>
        <v>CR0056</v>
      </c>
      <c r="F176" s="16">
        <f>Table11[[#This Row],['#TreesContract]]</f>
        <v>4000</v>
      </c>
      <c r="G176" s="16">
        <f>Table11[[#This Row],['#Planted]]</f>
        <v>4000</v>
      </c>
      <c r="H176" s="16">
        <f>Table11[[#This Row],['#TreesContract]]*Table11[[#This Row],[Canada Allocation %]]</f>
        <v>0</v>
      </c>
      <c r="I176" s="16">
        <f>Table11[[#This Row],['#Planted]]*Table11[[#This Row],[Canada Allocation %]]</f>
        <v>0</v>
      </c>
      <c r="J176" s="16">
        <f>Table11[[#This Row],[Contract Amendment]]*Table11[[#This Row],[Canada Allocation %]]</f>
        <v>0</v>
      </c>
      <c r="K176" s="16">
        <f>Table11[[#This Row],['#Trees as of 12/31/23]]*Table11[[#This Row],[Canada Allocation %]]</f>
        <v>0</v>
      </c>
      <c r="L176" s="16">
        <f>Table11[[#This Row],['#Replace 24]]*Table11[[#This Row],[Canada Allocation %]]</f>
        <v>0</v>
      </c>
      <c r="M176" s="16"/>
      <c r="N176" s="16">
        <f>(Table11[[#This Row],[2024 '#Trees Inventory + Estimate]]*Table11[[#This Row],[Canada Allocation %]])-SUM(Table378[[#This Row],['# Trees as of 12/31/23]:[New Trees/Planted in 2024]])</f>
        <v>0</v>
      </c>
      <c r="O176" s="16">
        <f>SUM(Table378[[#This Row],['# Trees as of 12/31/23]:[2024 Tree Losses]])</f>
        <v>0</v>
      </c>
      <c r="P176" s="16">
        <f>SUM(Table378[[#This Row],[Total Trees as of 12/31/24]]-Table378[[#This Row],['# Trees as of 12/31/23]])</f>
        <v>0</v>
      </c>
      <c r="Q176" s="16">
        <f>Table11[[#This Row],['#Total Replacements]]*Table11[[#This Row],[Canada Allocation %]]</f>
        <v>0</v>
      </c>
      <c r="R176" s="16">
        <f>IF(Table378[[#This Row],['#Survival based on Inventory]]=0,Table378['#Survival based on Last Year Estimate],Table378['#Survival based on Inventory])</f>
        <v>0</v>
      </c>
      <c r="S176" s="16">
        <f>Table11[[#This Row],['#Planted]]*Table11[[#This Row],[Canada Allocation %]]*Table11[[#This Row],[2024 Inventory Survival%-master]]</f>
        <v>0</v>
      </c>
      <c r="T176" s="16">
        <f>Table11[[#This Row],['#Planted]]*Table11[[#This Row],[Canada Allocation %]]*Table11[[#This Row],[2024 Estimated Survival%]]</f>
        <v>0</v>
      </c>
      <c r="U176" s="7">
        <f>Table11[[#This Row],[ETP Year]]</f>
        <v>2020</v>
      </c>
      <c r="V176" s="7">
        <f>Table11[[#This Row],[Planting Year]]</f>
        <v>2020</v>
      </c>
      <c r="W176" s="8">
        <f>Table11[[#This Row],[Survival% as of 12/31/23]]</f>
        <v>0.82499999999999996</v>
      </c>
      <c r="X176" s="7">
        <f>Table11[[#This Row],[ETP'#s]]</f>
        <v>1</v>
      </c>
    </row>
    <row r="177" spans="1:24" x14ac:dyDescent="0.25">
      <c r="A177">
        <f>Table11[[#This Row],[Farmer'#]]</f>
        <v>20053</v>
      </c>
      <c r="B177" t="str">
        <f>Table11[[#This Row],[Representative]]</f>
        <v>Marco Fiorio</v>
      </c>
      <c r="C177" t="str">
        <f>Table11[[#This Row],[Contract Name]]</f>
        <v>Marco Fiorio</v>
      </c>
      <c r="D177" t="str">
        <f>Table11[[#This Row],[Status]]</f>
        <v>RFT</v>
      </c>
      <c r="E177" t="str">
        <f>Table11[[#This Row],[Contract Code]]</f>
        <v>CR0057</v>
      </c>
      <c r="F177" s="16">
        <f>Table11[[#This Row],['#TreesContract]]</f>
        <v>2000</v>
      </c>
      <c r="G177" s="16">
        <f>Table11[[#This Row],['#Planted]]</f>
        <v>2000</v>
      </c>
      <c r="H177" s="16">
        <f>Table11[[#This Row],['#TreesContract]]*Table11[[#This Row],[Canada Allocation %]]</f>
        <v>0</v>
      </c>
      <c r="I177" s="16">
        <f>Table11[[#This Row],['#Planted]]*Table11[[#This Row],[Canada Allocation %]]</f>
        <v>0</v>
      </c>
      <c r="J177" s="16">
        <f>Table11[[#This Row],[Contract Amendment]]*Table11[[#This Row],[Canada Allocation %]]</f>
        <v>0</v>
      </c>
      <c r="K177" s="16">
        <f>Table11[[#This Row],['#Trees as of 12/31/23]]*Table11[[#This Row],[Canada Allocation %]]</f>
        <v>0</v>
      </c>
      <c r="L177" s="16">
        <f>Table11[[#This Row],['#Replace 24]]*Table11[[#This Row],[Canada Allocation %]]</f>
        <v>0</v>
      </c>
      <c r="M177" s="16"/>
      <c r="N177" s="16">
        <f>(Table11[[#This Row],[2024 '#Trees Inventory + Estimate]]*Table11[[#This Row],[Canada Allocation %]])-SUM(Table378[[#This Row],['# Trees as of 12/31/23]:[New Trees/Planted in 2024]])</f>
        <v>0</v>
      </c>
      <c r="O177" s="16">
        <f>SUM(Table378[[#This Row],['# Trees as of 12/31/23]:[2024 Tree Losses]])</f>
        <v>0</v>
      </c>
      <c r="P177" s="16">
        <f>SUM(Table378[[#This Row],[Total Trees as of 12/31/24]]-Table378[[#This Row],['# Trees as of 12/31/23]])</f>
        <v>0</v>
      </c>
      <c r="Q177" s="16">
        <f>Table11[[#This Row],['#Total Replacements]]*Table11[[#This Row],[Canada Allocation %]]</f>
        <v>0</v>
      </c>
      <c r="R177" s="16">
        <f>IF(Table378[[#This Row],['#Survival based on Inventory]]=0,Table378['#Survival based on Last Year Estimate],Table378['#Survival based on Inventory])</f>
        <v>0</v>
      </c>
      <c r="S177" s="16">
        <f>Table11[[#This Row],['#Planted]]*Table11[[#This Row],[Canada Allocation %]]*Table11[[#This Row],[2024 Inventory Survival%-master]]</f>
        <v>0</v>
      </c>
      <c r="T177" s="16">
        <f>Table11[[#This Row],['#Planted]]*Table11[[#This Row],[Canada Allocation %]]*Table11[[#This Row],[2024 Estimated Survival%]]</f>
        <v>0</v>
      </c>
      <c r="U177" s="7">
        <f>Table11[[#This Row],[ETP Year]]</f>
        <v>2020</v>
      </c>
      <c r="V177" s="7">
        <f>Table11[[#This Row],[Planting Year]]</f>
        <v>2020</v>
      </c>
      <c r="W177" s="8">
        <f>Table11[[#This Row],[Survival% as of 12/31/23]]</f>
        <v>0.73</v>
      </c>
      <c r="X177" s="7">
        <f>Table11[[#This Row],[ETP'#s]]</f>
        <v>1</v>
      </c>
    </row>
    <row r="178" spans="1:24" x14ac:dyDescent="0.25">
      <c r="A178">
        <f>Table11[[#This Row],[Farmer'#]]</f>
        <v>20054</v>
      </c>
      <c r="B178" t="str">
        <f>Table11[[#This Row],[Representative]]</f>
        <v>Marco Mora</v>
      </c>
      <c r="C178" t="str">
        <f>Table11[[#This Row],[Contract Name]]</f>
        <v>Marco Mora</v>
      </c>
      <c r="D178" t="str">
        <f>Table11[[#This Row],[Status]]</f>
        <v>RFT</v>
      </c>
      <c r="E178" t="str">
        <f>Table11[[#This Row],[Contract Code]]</f>
        <v>CR0058</v>
      </c>
      <c r="F178" s="16">
        <f>Table11[[#This Row],['#TreesContract]]</f>
        <v>2000</v>
      </c>
      <c r="G178" s="16">
        <f>Table11[[#This Row],['#Planted]]</f>
        <v>2000</v>
      </c>
      <c r="H178" s="16">
        <f>Table11[[#This Row],['#TreesContract]]*Table11[[#This Row],[Canada Allocation %]]</f>
        <v>0</v>
      </c>
      <c r="I178" s="16">
        <f>Table11[[#This Row],['#Planted]]*Table11[[#This Row],[Canada Allocation %]]</f>
        <v>0</v>
      </c>
      <c r="J178" s="16">
        <f>Table11[[#This Row],[Contract Amendment]]*Table11[[#This Row],[Canada Allocation %]]</f>
        <v>0</v>
      </c>
      <c r="K178" s="16">
        <f>Table11[[#This Row],['#Trees as of 12/31/23]]*Table11[[#This Row],[Canada Allocation %]]</f>
        <v>0</v>
      </c>
      <c r="L178" s="16">
        <f>Table11[[#This Row],['#Replace 24]]*Table11[[#This Row],[Canada Allocation %]]</f>
        <v>0</v>
      </c>
      <c r="M178" s="16"/>
      <c r="N178" s="16">
        <f>(Table11[[#This Row],[2024 '#Trees Inventory + Estimate]]*Table11[[#This Row],[Canada Allocation %]])-SUM(Table378[[#This Row],['# Trees as of 12/31/23]:[New Trees/Planted in 2024]])</f>
        <v>0</v>
      </c>
      <c r="O178" s="16">
        <f>SUM(Table378[[#This Row],['# Trees as of 12/31/23]:[2024 Tree Losses]])</f>
        <v>0</v>
      </c>
      <c r="P178" s="16">
        <f>SUM(Table378[[#This Row],[Total Trees as of 12/31/24]]-Table378[[#This Row],['# Trees as of 12/31/23]])</f>
        <v>0</v>
      </c>
      <c r="Q178" s="16">
        <f>Table11[[#This Row],['#Total Replacements]]*Table11[[#This Row],[Canada Allocation %]]</f>
        <v>0</v>
      </c>
      <c r="R178" s="16">
        <f>IF(Table378[[#This Row],['#Survival based on Inventory]]=0,Table378['#Survival based on Last Year Estimate],Table378['#Survival based on Inventory])</f>
        <v>0</v>
      </c>
      <c r="S178" s="16">
        <f>Table11[[#This Row],['#Planted]]*Table11[[#This Row],[Canada Allocation %]]*Table11[[#This Row],[2024 Inventory Survival%-master]]</f>
        <v>0</v>
      </c>
      <c r="T178" s="16">
        <f>Table11[[#This Row],['#Planted]]*Table11[[#This Row],[Canada Allocation %]]*Table11[[#This Row],[2024 Estimated Survival%]]</f>
        <v>0</v>
      </c>
      <c r="U178" s="7">
        <f>Table11[[#This Row],[ETP Year]]</f>
        <v>2020</v>
      </c>
      <c r="V178" s="7">
        <f>Table11[[#This Row],[Planting Year]]</f>
        <v>2020</v>
      </c>
      <c r="W178" s="8">
        <f>Table11[[#This Row],[Survival% as of 12/31/23]]</f>
        <v>0.67</v>
      </c>
      <c r="X178" s="7">
        <f>Table11[[#This Row],[ETP'#s]]</f>
        <v>1</v>
      </c>
    </row>
    <row r="179" spans="1:24" x14ac:dyDescent="0.25">
      <c r="A179">
        <f>Table11[[#This Row],[Farmer'#]]</f>
        <v>20055</v>
      </c>
      <c r="B179" t="str">
        <f>Table11[[#This Row],[Representative]]</f>
        <v>Marianela Campos</v>
      </c>
      <c r="C179" t="str">
        <f>Table11[[#This Row],[Contract Name]]</f>
        <v>Marianela Campos Campos</v>
      </c>
      <c r="D179" t="str">
        <f>Table11[[#This Row],[Status]]</f>
        <v>Active</v>
      </c>
      <c r="E179" t="str">
        <f>Table11[[#This Row],[Contract Code]]</f>
        <v>CR0059</v>
      </c>
      <c r="F179" s="16">
        <f>Table11[[#This Row],['#TreesContract]]</f>
        <v>2000</v>
      </c>
      <c r="G179" s="16">
        <f>Table11[[#This Row],['#Planted]]</f>
        <v>2000</v>
      </c>
      <c r="H179" s="16">
        <f>Table11[[#This Row],['#TreesContract]]*Table11[[#This Row],[Canada Allocation %]]</f>
        <v>0</v>
      </c>
      <c r="I179" s="16">
        <f>Table11[[#This Row],['#Planted]]*Table11[[#This Row],[Canada Allocation %]]</f>
        <v>0</v>
      </c>
      <c r="J179" s="16">
        <f>Table11[[#This Row],[Contract Amendment]]*Table11[[#This Row],[Canada Allocation %]]</f>
        <v>0</v>
      </c>
      <c r="K179" s="16">
        <f>Table11[[#This Row],['#Trees as of 12/31/23]]*Table11[[#This Row],[Canada Allocation %]]</f>
        <v>0</v>
      </c>
      <c r="L179" s="16">
        <f>Table11[[#This Row],['#Replace 24]]*Table11[[#This Row],[Canada Allocation %]]</f>
        <v>0</v>
      </c>
      <c r="M179" s="16"/>
      <c r="N179" s="16">
        <f>(Table11[[#This Row],[2024 '#Trees Inventory + Estimate]]*Table11[[#This Row],[Canada Allocation %]])-SUM(Table378[[#This Row],['# Trees as of 12/31/23]:[New Trees/Planted in 2024]])</f>
        <v>0</v>
      </c>
      <c r="O179" s="16">
        <f>SUM(Table378[[#This Row],['# Trees as of 12/31/23]:[2024 Tree Losses]])</f>
        <v>0</v>
      </c>
      <c r="P179" s="16">
        <f>SUM(Table378[[#This Row],[Total Trees as of 12/31/24]]-Table378[[#This Row],['# Trees as of 12/31/23]])</f>
        <v>0</v>
      </c>
      <c r="Q179" s="16">
        <f>Table11[[#This Row],['#Total Replacements]]*Table11[[#This Row],[Canada Allocation %]]</f>
        <v>0</v>
      </c>
      <c r="R179" s="16">
        <f>IF(Table378[[#This Row],['#Survival based on Inventory]]=0,Table378['#Survival based on Last Year Estimate],Table378['#Survival based on Inventory])</f>
        <v>0</v>
      </c>
      <c r="S179" s="16">
        <f>Table11[[#This Row],['#Planted]]*Table11[[#This Row],[Canada Allocation %]]*Table11[[#This Row],[2024 Inventory Survival%-master]]</f>
        <v>0</v>
      </c>
      <c r="T179" s="16">
        <f>Table11[[#This Row],['#Planted]]*Table11[[#This Row],[Canada Allocation %]]*Table11[[#This Row],[2024 Estimated Survival%]]</f>
        <v>0</v>
      </c>
      <c r="U179" s="7">
        <f>Table11[[#This Row],[ETP Year]]</f>
        <v>2020</v>
      </c>
      <c r="V179" s="7">
        <f>Table11[[#This Row],[Planting Year]]</f>
        <v>2020</v>
      </c>
      <c r="W179" s="8">
        <f>Table11[[#This Row],[Survival% as of 12/31/23]]</f>
        <v>1</v>
      </c>
      <c r="X179" s="7">
        <f>Table11[[#This Row],[ETP'#s]]</f>
        <v>1</v>
      </c>
    </row>
    <row r="180" spans="1:24" x14ac:dyDescent="0.25">
      <c r="A180">
        <f>Table11[[#This Row],[Farmer'#]]</f>
        <v>20056</v>
      </c>
      <c r="B180" t="str">
        <f>Table11[[#This Row],[Representative]]</f>
        <v>Marleni Oporta Castillo</v>
      </c>
      <c r="C180" t="str">
        <f>Table11[[#This Row],[Contract Name]]</f>
        <v>Marleni Oporta Castillo</v>
      </c>
      <c r="D180" t="str">
        <f>Table11[[#This Row],[Status]]</f>
        <v>Active</v>
      </c>
      <c r="E180" t="str">
        <f>Table11[[#This Row],[Contract Code]]</f>
        <v>CR0060</v>
      </c>
      <c r="F180" s="16">
        <f>Table11[[#This Row],['#TreesContract]]</f>
        <v>2000</v>
      </c>
      <c r="G180" s="16">
        <f>Table11[[#This Row],['#Planted]]</f>
        <v>2000</v>
      </c>
      <c r="H180" s="16">
        <f>Table11[[#This Row],['#TreesContract]]*Table11[[#This Row],[Canada Allocation %]]</f>
        <v>0</v>
      </c>
      <c r="I180" s="16">
        <f>Table11[[#This Row],['#Planted]]*Table11[[#This Row],[Canada Allocation %]]</f>
        <v>0</v>
      </c>
      <c r="J180" s="16">
        <f>Table11[[#This Row],[Contract Amendment]]*Table11[[#This Row],[Canada Allocation %]]</f>
        <v>0</v>
      </c>
      <c r="K180" s="16">
        <f>Table11[[#This Row],['#Trees as of 12/31/23]]*Table11[[#This Row],[Canada Allocation %]]</f>
        <v>0</v>
      </c>
      <c r="L180" s="16">
        <f>Table11[[#This Row],['#Replace 24]]*Table11[[#This Row],[Canada Allocation %]]</f>
        <v>0</v>
      </c>
      <c r="M180" s="16"/>
      <c r="N180" s="16">
        <f>(Table11[[#This Row],[2024 '#Trees Inventory + Estimate]]*Table11[[#This Row],[Canada Allocation %]])-SUM(Table378[[#This Row],['# Trees as of 12/31/23]:[New Trees/Planted in 2024]])</f>
        <v>0</v>
      </c>
      <c r="O180" s="16">
        <f>SUM(Table378[[#This Row],['# Trees as of 12/31/23]:[2024 Tree Losses]])</f>
        <v>0</v>
      </c>
      <c r="P180" s="16">
        <f>SUM(Table378[[#This Row],[Total Trees as of 12/31/24]]-Table378[[#This Row],['# Trees as of 12/31/23]])</f>
        <v>0</v>
      </c>
      <c r="Q180" s="16">
        <f>Table11[[#This Row],['#Total Replacements]]*Table11[[#This Row],[Canada Allocation %]]</f>
        <v>0</v>
      </c>
      <c r="R180" s="16">
        <f>IF(Table378[[#This Row],['#Survival based on Inventory]]=0,Table378['#Survival based on Last Year Estimate],Table378['#Survival based on Inventory])</f>
        <v>0</v>
      </c>
      <c r="S180" s="16">
        <f>Table11[[#This Row],['#Planted]]*Table11[[#This Row],[Canada Allocation %]]*Table11[[#This Row],[2024 Inventory Survival%-master]]</f>
        <v>0</v>
      </c>
      <c r="T180" s="16">
        <f>Table11[[#This Row],['#Planted]]*Table11[[#This Row],[Canada Allocation %]]*Table11[[#This Row],[2024 Estimated Survival%]]</f>
        <v>0</v>
      </c>
      <c r="U180" s="7">
        <f>Table11[[#This Row],[ETP Year]]</f>
        <v>2020</v>
      </c>
      <c r="V180" s="7">
        <f>Table11[[#This Row],[Planting Year]]</f>
        <v>2020</v>
      </c>
      <c r="W180" s="8">
        <f>Table11[[#This Row],[Survival% as of 12/31/23]]</f>
        <v>1</v>
      </c>
      <c r="X180" s="7">
        <f>Table11[[#This Row],[ETP'#s]]</f>
        <v>1</v>
      </c>
    </row>
    <row r="181" spans="1:24" x14ac:dyDescent="0.25">
      <c r="A181">
        <f>Table11[[#This Row],[Farmer'#]]</f>
        <v>20057</v>
      </c>
      <c r="B181" t="str">
        <f>Table11[[#This Row],[Representative]]</f>
        <v>Mercedes Barboza</v>
      </c>
      <c r="C181" t="str">
        <f>Table11[[#This Row],[Contract Name]]</f>
        <v>Mercedez Barboza</v>
      </c>
      <c r="D181" t="str">
        <f>Table11[[#This Row],[Status]]</f>
        <v>Active</v>
      </c>
      <c r="E181" t="str">
        <f>Table11[[#This Row],[Contract Code]]</f>
        <v>CR0062</v>
      </c>
      <c r="F181" s="16">
        <f>Table11[[#This Row],['#TreesContract]]</f>
        <v>1200</v>
      </c>
      <c r="G181" s="16">
        <f>Table11[[#This Row],['#Planted]]</f>
        <v>1200</v>
      </c>
      <c r="H181" s="16">
        <f>Table11[[#This Row],['#TreesContract]]*Table11[[#This Row],[Canada Allocation %]]</f>
        <v>0</v>
      </c>
      <c r="I181" s="16">
        <f>Table11[[#This Row],['#Planted]]*Table11[[#This Row],[Canada Allocation %]]</f>
        <v>0</v>
      </c>
      <c r="J181" s="16">
        <f>Table11[[#This Row],[Contract Amendment]]*Table11[[#This Row],[Canada Allocation %]]</f>
        <v>0</v>
      </c>
      <c r="K181" s="16">
        <f>Table11[[#This Row],['#Trees as of 12/31/23]]*Table11[[#This Row],[Canada Allocation %]]</f>
        <v>0</v>
      </c>
      <c r="L181" s="16">
        <f>Table11[[#This Row],['#Replace 24]]*Table11[[#This Row],[Canada Allocation %]]</f>
        <v>0</v>
      </c>
      <c r="M181" s="16"/>
      <c r="N181" s="16">
        <f>(Table11[[#This Row],[2024 '#Trees Inventory + Estimate]]*Table11[[#This Row],[Canada Allocation %]])-SUM(Table378[[#This Row],['# Trees as of 12/31/23]:[New Trees/Planted in 2024]])</f>
        <v>0</v>
      </c>
      <c r="O181" s="16">
        <f>SUM(Table378[[#This Row],['# Trees as of 12/31/23]:[2024 Tree Losses]])</f>
        <v>0</v>
      </c>
      <c r="P181" s="16">
        <f>SUM(Table378[[#This Row],[Total Trees as of 12/31/24]]-Table378[[#This Row],['# Trees as of 12/31/23]])</f>
        <v>0</v>
      </c>
      <c r="Q181" s="16">
        <f>Table11[[#This Row],['#Total Replacements]]*Table11[[#This Row],[Canada Allocation %]]</f>
        <v>0</v>
      </c>
      <c r="R181" s="16">
        <f>IF(Table378[[#This Row],['#Survival based on Inventory]]=0,Table378['#Survival based on Last Year Estimate],Table378['#Survival based on Inventory])</f>
        <v>0</v>
      </c>
      <c r="S181" s="16">
        <f>Table11[[#This Row],['#Planted]]*Table11[[#This Row],[Canada Allocation %]]*Table11[[#This Row],[2024 Inventory Survival%-master]]</f>
        <v>0</v>
      </c>
      <c r="T181" s="16">
        <f>Table11[[#This Row],['#Planted]]*Table11[[#This Row],[Canada Allocation %]]*Table11[[#This Row],[2024 Estimated Survival%]]</f>
        <v>0</v>
      </c>
      <c r="U181" s="7">
        <f>Table11[[#This Row],[ETP Year]]</f>
        <v>2020</v>
      </c>
      <c r="V181" s="7">
        <f>Table11[[#This Row],[Planting Year]]</f>
        <v>2020</v>
      </c>
      <c r="W181" s="8">
        <f>Table11[[#This Row],[Survival% as of 12/31/23]]</f>
        <v>1</v>
      </c>
      <c r="X181" s="7">
        <f>Table11[[#This Row],[ETP'#s]]</f>
        <v>1</v>
      </c>
    </row>
    <row r="182" spans="1:24" x14ac:dyDescent="0.25">
      <c r="A182">
        <f>Table11[[#This Row],[Farmer'#]]</f>
        <v>20058</v>
      </c>
      <c r="B182" t="str">
        <f>Table11[[#This Row],[Representative]]</f>
        <v>Olger Monge</v>
      </c>
      <c r="C182" t="str">
        <f>Table11[[#This Row],[Contract Name]]</f>
        <v>Olger Monge</v>
      </c>
      <c r="D182" t="str">
        <f>Table11[[#This Row],[Status]]</f>
        <v>Active</v>
      </c>
      <c r="E182" t="str">
        <f>Table11[[#This Row],[Contract Code]]</f>
        <v>CR0063</v>
      </c>
      <c r="F182" s="16">
        <f>Table11[[#This Row],['#TreesContract]]</f>
        <v>600</v>
      </c>
      <c r="G182" s="16">
        <f>Table11[[#This Row],['#Planted]]</f>
        <v>600</v>
      </c>
      <c r="H182" s="16">
        <f>Table11[[#This Row],['#TreesContract]]*Table11[[#This Row],[Canada Allocation %]]</f>
        <v>0</v>
      </c>
      <c r="I182" s="16">
        <f>Table11[[#This Row],['#Planted]]*Table11[[#This Row],[Canada Allocation %]]</f>
        <v>0</v>
      </c>
      <c r="J182" s="16">
        <f>Table11[[#This Row],[Contract Amendment]]*Table11[[#This Row],[Canada Allocation %]]</f>
        <v>0</v>
      </c>
      <c r="K182" s="16">
        <f>Table11[[#This Row],['#Trees as of 12/31/23]]*Table11[[#This Row],[Canada Allocation %]]</f>
        <v>0</v>
      </c>
      <c r="L182" s="16">
        <f>Table11[[#This Row],['#Replace 24]]*Table11[[#This Row],[Canada Allocation %]]</f>
        <v>0</v>
      </c>
      <c r="M182" s="16"/>
      <c r="N182" s="16">
        <f>(Table11[[#This Row],[2024 '#Trees Inventory + Estimate]]*Table11[[#This Row],[Canada Allocation %]])-SUM(Table378[[#This Row],['# Trees as of 12/31/23]:[New Trees/Planted in 2024]])</f>
        <v>0</v>
      </c>
      <c r="O182" s="16">
        <f>SUM(Table378[[#This Row],['# Trees as of 12/31/23]:[2024 Tree Losses]])</f>
        <v>0</v>
      </c>
      <c r="P182" s="16">
        <f>SUM(Table378[[#This Row],[Total Trees as of 12/31/24]]-Table378[[#This Row],['# Trees as of 12/31/23]])</f>
        <v>0</v>
      </c>
      <c r="Q182" s="16">
        <f>Table11[[#This Row],['#Total Replacements]]*Table11[[#This Row],[Canada Allocation %]]</f>
        <v>0</v>
      </c>
      <c r="R182" s="16">
        <f>IF(Table378[[#This Row],['#Survival based on Inventory]]=0,Table378['#Survival based on Last Year Estimate],Table378['#Survival based on Inventory])</f>
        <v>0</v>
      </c>
      <c r="S182" s="16">
        <f>Table11[[#This Row],['#Planted]]*Table11[[#This Row],[Canada Allocation %]]*Table11[[#This Row],[2024 Inventory Survival%-master]]</f>
        <v>0</v>
      </c>
      <c r="T182" s="16">
        <f>Table11[[#This Row],['#Planted]]*Table11[[#This Row],[Canada Allocation %]]*Table11[[#This Row],[2024 Estimated Survival%]]</f>
        <v>0</v>
      </c>
      <c r="U182" s="7">
        <f>Table11[[#This Row],[ETP Year]]</f>
        <v>2020</v>
      </c>
      <c r="V182" s="7">
        <f>Table11[[#This Row],[Planting Year]]</f>
        <v>2020</v>
      </c>
      <c r="W182" s="8">
        <f>Table11[[#This Row],[Survival% as of 12/31/23]]</f>
        <v>0.95</v>
      </c>
      <c r="X182" s="7">
        <f>Table11[[#This Row],[ETP'#s]]</f>
        <v>1</v>
      </c>
    </row>
    <row r="183" spans="1:24" x14ac:dyDescent="0.25">
      <c r="A183">
        <f>Table11[[#This Row],[Farmer'#]]</f>
        <v>20059</v>
      </c>
      <c r="B183" t="str">
        <f>Table11[[#This Row],[Representative]]</f>
        <v>Marvin Chavarria</v>
      </c>
      <c r="C183" t="str">
        <f>Table11[[#This Row],[Contract Name]]</f>
        <v>Oswaldo Alvarez</v>
      </c>
      <c r="D183" t="str">
        <f>Table11[[#This Row],[Status]]</f>
        <v>RFT</v>
      </c>
      <c r="E183" t="str">
        <f>Table11[[#This Row],[Contract Code]]</f>
        <v>CR0064</v>
      </c>
      <c r="F183" s="16">
        <f>Table11[[#This Row],['#TreesContract]]</f>
        <v>1000</v>
      </c>
      <c r="G183" s="16">
        <f>Table11[[#This Row],['#Planted]]</f>
        <v>1000</v>
      </c>
      <c r="H183" s="16">
        <f>Table11[[#This Row],['#TreesContract]]*Table11[[#This Row],[Canada Allocation %]]</f>
        <v>0</v>
      </c>
      <c r="I183" s="16">
        <f>Table11[[#This Row],['#Planted]]*Table11[[#This Row],[Canada Allocation %]]</f>
        <v>0</v>
      </c>
      <c r="J183" s="16">
        <f>Table11[[#This Row],[Contract Amendment]]*Table11[[#This Row],[Canada Allocation %]]</f>
        <v>0</v>
      </c>
      <c r="K183" s="16">
        <f>Table11[[#This Row],['#Trees as of 12/31/23]]*Table11[[#This Row],[Canada Allocation %]]</f>
        <v>0</v>
      </c>
      <c r="L183" s="16">
        <f>Table11[[#This Row],['#Replace 24]]*Table11[[#This Row],[Canada Allocation %]]</f>
        <v>0</v>
      </c>
      <c r="M183" s="16"/>
      <c r="N183" s="16">
        <f>(Table11[[#This Row],[2024 '#Trees Inventory + Estimate]]*Table11[[#This Row],[Canada Allocation %]])-SUM(Table378[[#This Row],['# Trees as of 12/31/23]:[New Trees/Planted in 2024]])</f>
        <v>0</v>
      </c>
      <c r="O183" s="16">
        <f>SUM(Table378[[#This Row],['# Trees as of 12/31/23]:[2024 Tree Losses]])</f>
        <v>0</v>
      </c>
      <c r="P183" s="16">
        <f>SUM(Table378[[#This Row],[Total Trees as of 12/31/24]]-Table378[[#This Row],['# Trees as of 12/31/23]])</f>
        <v>0</v>
      </c>
      <c r="Q183" s="16">
        <f>Table11[[#This Row],['#Total Replacements]]*Table11[[#This Row],[Canada Allocation %]]</f>
        <v>0</v>
      </c>
      <c r="R183" s="16">
        <f>IF(Table378[[#This Row],['#Survival based on Inventory]]=0,Table378['#Survival based on Last Year Estimate],Table378['#Survival based on Inventory])</f>
        <v>0</v>
      </c>
      <c r="S183" s="16">
        <f>Table11[[#This Row],['#Planted]]*Table11[[#This Row],[Canada Allocation %]]*Table11[[#This Row],[2024 Inventory Survival%-master]]</f>
        <v>0</v>
      </c>
      <c r="T183" s="16">
        <f>Table11[[#This Row],['#Planted]]*Table11[[#This Row],[Canada Allocation %]]*Table11[[#This Row],[2024 Estimated Survival%]]</f>
        <v>0</v>
      </c>
      <c r="U183" s="7">
        <f>Table11[[#This Row],[ETP Year]]</f>
        <v>2020</v>
      </c>
      <c r="V183" s="7">
        <f>Table11[[#This Row],[Planting Year]]</f>
        <v>2020</v>
      </c>
      <c r="W183" s="8">
        <f>Table11[[#This Row],[Survival% as of 12/31/23]]</f>
        <v>0.625</v>
      </c>
      <c r="X183" s="7">
        <f>Table11[[#This Row],[ETP'#s]]</f>
        <v>1</v>
      </c>
    </row>
    <row r="184" spans="1:24" x14ac:dyDescent="0.25">
      <c r="A184">
        <f>Table11[[#This Row],[Farmer'#]]</f>
        <v>20060</v>
      </c>
      <c r="B184" t="str">
        <f>Table11[[#This Row],[Representative]]</f>
        <v>Roy Damian Campos</v>
      </c>
      <c r="C184" t="str">
        <f>Table11[[#This Row],[Contract Name]]</f>
        <v>Roy Damian Campos</v>
      </c>
      <c r="D184" t="str">
        <f>Table11[[#This Row],[Status]]</f>
        <v>Active</v>
      </c>
      <c r="E184" t="str">
        <f>Table11[[#This Row],[Contract Code]]</f>
        <v>CR0065</v>
      </c>
      <c r="F184" s="16">
        <f>Table11[[#This Row],['#TreesContract]]</f>
        <v>1700</v>
      </c>
      <c r="G184" s="16">
        <f>Table11[[#This Row],['#Planted]]</f>
        <v>1700</v>
      </c>
      <c r="H184" s="16">
        <f>Table11[[#This Row],['#TreesContract]]*Table11[[#This Row],[Canada Allocation %]]</f>
        <v>0</v>
      </c>
      <c r="I184" s="16">
        <f>Table11[[#This Row],['#Planted]]*Table11[[#This Row],[Canada Allocation %]]</f>
        <v>0</v>
      </c>
      <c r="J184" s="16">
        <f>Table11[[#This Row],[Contract Amendment]]*Table11[[#This Row],[Canada Allocation %]]</f>
        <v>0</v>
      </c>
      <c r="K184" s="16">
        <f>Table11[[#This Row],['#Trees as of 12/31/23]]*Table11[[#This Row],[Canada Allocation %]]</f>
        <v>0</v>
      </c>
      <c r="L184" s="16">
        <f>Table11[[#This Row],['#Replace 24]]*Table11[[#This Row],[Canada Allocation %]]</f>
        <v>0</v>
      </c>
      <c r="M184" s="16"/>
      <c r="N184" s="16">
        <f>(Table11[[#This Row],[2024 '#Trees Inventory + Estimate]]*Table11[[#This Row],[Canada Allocation %]])-SUM(Table378[[#This Row],['# Trees as of 12/31/23]:[New Trees/Planted in 2024]])</f>
        <v>0</v>
      </c>
      <c r="O184" s="16">
        <f>SUM(Table378[[#This Row],['# Trees as of 12/31/23]:[2024 Tree Losses]])</f>
        <v>0</v>
      </c>
      <c r="P184" s="16">
        <f>SUM(Table378[[#This Row],[Total Trees as of 12/31/24]]-Table378[[#This Row],['# Trees as of 12/31/23]])</f>
        <v>0</v>
      </c>
      <c r="Q184" s="16">
        <f>Table11[[#This Row],['#Total Replacements]]*Table11[[#This Row],[Canada Allocation %]]</f>
        <v>0</v>
      </c>
      <c r="R184" s="16">
        <f>IF(Table378[[#This Row],['#Survival based on Inventory]]=0,Table378['#Survival based on Last Year Estimate],Table378['#Survival based on Inventory])</f>
        <v>0</v>
      </c>
      <c r="S184" s="16">
        <f>Table11[[#This Row],['#Planted]]*Table11[[#This Row],[Canada Allocation %]]*Table11[[#This Row],[2024 Inventory Survival%-master]]</f>
        <v>0</v>
      </c>
      <c r="T184" s="16">
        <f>Table11[[#This Row],['#Planted]]*Table11[[#This Row],[Canada Allocation %]]*Table11[[#This Row],[2024 Estimated Survival%]]</f>
        <v>0</v>
      </c>
      <c r="U184" s="7">
        <f>Table11[[#This Row],[ETP Year]]</f>
        <v>2020</v>
      </c>
      <c r="V184" s="7">
        <f>Table11[[#This Row],[Planting Year]]</f>
        <v>2020</v>
      </c>
      <c r="W184" s="8">
        <f>Table11[[#This Row],[Survival% as of 12/31/23]]</f>
        <v>1</v>
      </c>
      <c r="X184" s="7">
        <f>Table11[[#This Row],[ETP'#s]]</f>
        <v>1</v>
      </c>
    </row>
    <row r="185" spans="1:24" x14ac:dyDescent="0.25">
      <c r="A185">
        <f>Table11[[#This Row],[Farmer'#]]</f>
        <v>20061</v>
      </c>
      <c r="B185" t="str">
        <f>Table11[[#This Row],[Representative]]</f>
        <v>Victor Godinez</v>
      </c>
      <c r="C185" t="str">
        <f>Table11[[#This Row],[Contract Name]]</f>
        <v>AGRICOLA BUENA VISTA EL ALTO S.A</v>
      </c>
      <c r="D185" t="str">
        <f>Table11[[#This Row],[Status]]</f>
        <v>Active</v>
      </c>
      <c r="E185" t="str">
        <f>Table11[[#This Row],[Contract Code]]</f>
        <v>CR0066</v>
      </c>
      <c r="F185" s="16">
        <f>Table11[[#This Row],['#TreesContract]]</f>
        <v>1000</v>
      </c>
      <c r="G185" s="16">
        <f>Table11[[#This Row],['#Planted]]</f>
        <v>1000</v>
      </c>
      <c r="H185" s="16">
        <f>Table11[[#This Row],['#TreesContract]]*Table11[[#This Row],[Canada Allocation %]]</f>
        <v>0</v>
      </c>
      <c r="I185" s="16">
        <f>Table11[[#This Row],['#Planted]]*Table11[[#This Row],[Canada Allocation %]]</f>
        <v>0</v>
      </c>
      <c r="J185" s="16">
        <f>Table11[[#This Row],[Contract Amendment]]*Table11[[#This Row],[Canada Allocation %]]</f>
        <v>0</v>
      </c>
      <c r="K185" s="16">
        <f>Table11[[#This Row],['#Trees as of 12/31/23]]*Table11[[#This Row],[Canada Allocation %]]</f>
        <v>0</v>
      </c>
      <c r="L185" s="16">
        <f>Table11[[#This Row],['#Replace 24]]*Table11[[#This Row],[Canada Allocation %]]</f>
        <v>0</v>
      </c>
      <c r="M185" s="16"/>
      <c r="N185" s="16">
        <f>(Table11[[#This Row],[2024 '#Trees Inventory + Estimate]]*Table11[[#This Row],[Canada Allocation %]])-SUM(Table378[[#This Row],['# Trees as of 12/31/23]:[New Trees/Planted in 2024]])</f>
        <v>0</v>
      </c>
      <c r="O185" s="16">
        <f>SUM(Table378[[#This Row],['# Trees as of 12/31/23]:[2024 Tree Losses]])</f>
        <v>0</v>
      </c>
      <c r="P185" s="16">
        <f>SUM(Table378[[#This Row],[Total Trees as of 12/31/24]]-Table378[[#This Row],['# Trees as of 12/31/23]])</f>
        <v>0</v>
      </c>
      <c r="Q185" s="16">
        <f>Table11[[#This Row],['#Total Replacements]]*Table11[[#This Row],[Canada Allocation %]]</f>
        <v>0</v>
      </c>
      <c r="R185" s="16">
        <f>IF(Table378[[#This Row],['#Survival based on Inventory]]=0,Table378['#Survival based on Last Year Estimate],Table378['#Survival based on Inventory])</f>
        <v>0</v>
      </c>
      <c r="S185" s="16">
        <f>Table11[[#This Row],['#Planted]]*Table11[[#This Row],[Canada Allocation %]]*Table11[[#This Row],[2024 Inventory Survival%-master]]</f>
        <v>0</v>
      </c>
      <c r="T185" s="16">
        <f>Table11[[#This Row],['#Planted]]*Table11[[#This Row],[Canada Allocation %]]*Table11[[#This Row],[2024 Estimated Survival%]]</f>
        <v>0</v>
      </c>
      <c r="U185" s="7">
        <f>Table11[[#This Row],[ETP Year]]</f>
        <v>2020</v>
      </c>
      <c r="V185" s="7">
        <f>Table11[[#This Row],[Planting Year]]</f>
        <v>2020</v>
      </c>
      <c r="W185" s="8">
        <f>Table11[[#This Row],[Survival% as of 12/31/23]]</f>
        <v>0.95</v>
      </c>
      <c r="X185" s="7">
        <f>Table11[[#This Row],[ETP'#s]]</f>
        <v>1</v>
      </c>
    </row>
    <row r="186" spans="1:24" x14ac:dyDescent="0.25">
      <c r="A186">
        <f>Table11[[#This Row],[Farmer'#]]</f>
        <v>20062</v>
      </c>
      <c r="B186" t="str">
        <f>Table11[[#This Row],[Representative]]</f>
        <v>Victor Sibaja Elizondo</v>
      </c>
      <c r="C186" t="str">
        <f>Table11[[#This Row],[Contract Name]]</f>
        <v>Victor Sibaja Elizondo</v>
      </c>
      <c r="D186" t="str">
        <f>Table11[[#This Row],[Status]]</f>
        <v>RFT</v>
      </c>
      <c r="E186" t="str">
        <f>Table11[[#This Row],[Contract Code]]</f>
        <v>CR0067</v>
      </c>
      <c r="F186" s="16">
        <f>Table11[[#This Row],['#TreesContract]]</f>
        <v>1200</v>
      </c>
      <c r="G186" s="16">
        <f>Table11[[#This Row],['#Planted]]</f>
        <v>1200</v>
      </c>
      <c r="H186" s="16">
        <f>Table11[[#This Row],['#TreesContract]]*Table11[[#This Row],[Canada Allocation %]]</f>
        <v>0</v>
      </c>
      <c r="I186" s="16">
        <f>Table11[[#This Row],['#Planted]]*Table11[[#This Row],[Canada Allocation %]]</f>
        <v>0</v>
      </c>
      <c r="J186" s="16">
        <f>Table11[[#This Row],[Contract Amendment]]*Table11[[#This Row],[Canada Allocation %]]</f>
        <v>0</v>
      </c>
      <c r="K186" s="16">
        <f>Table11[[#This Row],['#Trees as of 12/31/23]]*Table11[[#This Row],[Canada Allocation %]]</f>
        <v>0</v>
      </c>
      <c r="L186" s="16">
        <f>Table11[[#This Row],['#Replace 24]]*Table11[[#This Row],[Canada Allocation %]]</f>
        <v>0</v>
      </c>
      <c r="M186" s="16"/>
      <c r="N186" s="16">
        <f>(Table11[[#This Row],[2024 '#Trees Inventory + Estimate]]*Table11[[#This Row],[Canada Allocation %]])-SUM(Table378[[#This Row],['# Trees as of 12/31/23]:[New Trees/Planted in 2024]])</f>
        <v>0</v>
      </c>
      <c r="O186" s="16">
        <f>SUM(Table378[[#This Row],['# Trees as of 12/31/23]:[2024 Tree Losses]])</f>
        <v>0</v>
      </c>
      <c r="P186" s="16">
        <f>SUM(Table378[[#This Row],[Total Trees as of 12/31/24]]-Table378[[#This Row],['# Trees as of 12/31/23]])</f>
        <v>0</v>
      </c>
      <c r="Q186" s="16">
        <f>Table11[[#This Row],['#Total Replacements]]*Table11[[#This Row],[Canada Allocation %]]</f>
        <v>0</v>
      </c>
      <c r="R186" s="16">
        <f>IF(Table378[[#This Row],['#Survival based on Inventory]]=0,Table378['#Survival based on Last Year Estimate],Table378['#Survival based on Inventory])</f>
        <v>0</v>
      </c>
      <c r="S186" s="16">
        <f>Table11[[#This Row],['#Planted]]*Table11[[#This Row],[Canada Allocation %]]*Table11[[#This Row],[2024 Inventory Survival%-master]]</f>
        <v>0</v>
      </c>
      <c r="T186" s="16">
        <f>Table11[[#This Row],['#Planted]]*Table11[[#This Row],[Canada Allocation %]]*Table11[[#This Row],[2024 Estimated Survival%]]</f>
        <v>0</v>
      </c>
      <c r="U186" s="7">
        <f>Table11[[#This Row],[ETP Year]]</f>
        <v>2020</v>
      </c>
      <c r="V186" s="7">
        <f>Table11[[#This Row],[Planting Year]]</f>
        <v>2020</v>
      </c>
      <c r="W186" s="8">
        <f>Table11[[#This Row],[Survival% as of 12/31/23]]</f>
        <v>0.95</v>
      </c>
      <c r="X186" s="7">
        <f>Table11[[#This Row],[ETP'#s]]</f>
        <v>1</v>
      </c>
    </row>
    <row r="187" spans="1:24" x14ac:dyDescent="0.25">
      <c r="A187">
        <f>Table11[[#This Row],[Farmer'#]]</f>
        <v>20063</v>
      </c>
      <c r="B187" t="str">
        <f>Table11[[#This Row],[Representative]]</f>
        <v>Wilberth Jesus Alfaro</v>
      </c>
      <c r="C187" t="str">
        <f>Table11[[#This Row],[Contract Name]]</f>
        <v>Wilberth Jesus Alfaro</v>
      </c>
      <c r="D187" t="str">
        <f>Table11[[#This Row],[Status]]</f>
        <v>Active</v>
      </c>
      <c r="E187" t="str">
        <f>Table11[[#This Row],[Contract Code]]</f>
        <v>CR0068</v>
      </c>
      <c r="F187" s="16">
        <f>Table11[[#This Row],['#TreesContract]]</f>
        <v>2000</v>
      </c>
      <c r="G187" s="16">
        <f>Table11[[#This Row],['#Planted]]</f>
        <v>2000</v>
      </c>
      <c r="H187" s="16">
        <f>Table11[[#This Row],['#TreesContract]]*Table11[[#This Row],[Canada Allocation %]]</f>
        <v>0</v>
      </c>
      <c r="I187" s="16">
        <f>Table11[[#This Row],['#Planted]]*Table11[[#This Row],[Canada Allocation %]]</f>
        <v>0</v>
      </c>
      <c r="J187" s="16">
        <f>Table11[[#This Row],[Contract Amendment]]*Table11[[#This Row],[Canada Allocation %]]</f>
        <v>0</v>
      </c>
      <c r="K187" s="16">
        <f>Table11[[#This Row],['#Trees as of 12/31/23]]*Table11[[#This Row],[Canada Allocation %]]</f>
        <v>0</v>
      </c>
      <c r="L187" s="16">
        <f>Table11[[#This Row],['#Replace 24]]*Table11[[#This Row],[Canada Allocation %]]</f>
        <v>0</v>
      </c>
      <c r="M187" s="16"/>
      <c r="N187" s="16">
        <f>(Table11[[#This Row],[2024 '#Trees Inventory + Estimate]]*Table11[[#This Row],[Canada Allocation %]])-SUM(Table378[[#This Row],['# Trees as of 12/31/23]:[New Trees/Planted in 2024]])</f>
        <v>0</v>
      </c>
      <c r="O187" s="16">
        <f>SUM(Table378[[#This Row],['# Trees as of 12/31/23]:[2024 Tree Losses]])</f>
        <v>0</v>
      </c>
      <c r="P187" s="16">
        <f>SUM(Table378[[#This Row],[Total Trees as of 12/31/24]]-Table378[[#This Row],['# Trees as of 12/31/23]])</f>
        <v>0</v>
      </c>
      <c r="Q187" s="16">
        <f>Table11[[#This Row],['#Total Replacements]]*Table11[[#This Row],[Canada Allocation %]]</f>
        <v>0</v>
      </c>
      <c r="R187" s="16">
        <f>IF(Table378[[#This Row],['#Survival based on Inventory]]=0,Table378['#Survival based on Last Year Estimate],Table378['#Survival based on Inventory])</f>
        <v>0</v>
      </c>
      <c r="S187" s="16">
        <f>Table11[[#This Row],['#Planted]]*Table11[[#This Row],[Canada Allocation %]]*Table11[[#This Row],[2024 Inventory Survival%-master]]</f>
        <v>0</v>
      </c>
      <c r="T187" s="16">
        <f>Table11[[#This Row],['#Planted]]*Table11[[#This Row],[Canada Allocation %]]*Table11[[#This Row],[2024 Estimated Survival%]]</f>
        <v>0</v>
      </c>
      <c r="U187" s="7">
        <f>Table11[[#This Row],[ETP Year]]</f>
        <v>2020</v>
      </c>
      <c r="V187" s="7">
        <f>Table11[[#This Row],[Planting Year]]</f>
        <v>2020</v>
      </c>
      <c r="W187" s="8">
        <f>Table11[[#This Row],[Survival% as of 12/31/23]]</f>
        <v>0.91</v>
      </c>
      <c r="X187" s="7">
        <f>Table11[[#This Row],[ETP'#s]]</f>
        <v>1</v>
      </c>
    </row>
    <row r="188" spans="1:24" x14ac:dyDescent="0.25">
      <c r="A188">
        <f>Table11[[#This Row],[Farmer'#]]</f>
        <v>20064</v>
      </c>
      <c r="B188" t="str">
        <f>Table11[[#This Row],[Representative]]</f>
        <v>Wilman Alvarado</v>
      </c>
      <c r="C188" t="str">
        <f>Table11[[#This Row],[Contract Name]]</f>
        <v>Wilman Alvarado</v>
      </c>
      <c r="D188" t="str">
        <f>Table11[[#This Row],[Status]]</f>
        <v>Active</v>
      </c>
      <c r="E188" t="str">
        <f>Table11[[#This Row],[Contract Code]]</f>
        <v>CR0069</v>
      </c>
      <c r="F188" s="16">
        <f>Table11[[#This Row],['#TreesContract]]</f>
        <v>1000</v>
      </c>
      <c r="G188" s="16">
        <f>Table11[[#This Row],['#Planted]]</f>
        <v>1000</v>
      </c>
      <c r="H188" s="16">
        <f>Table11[[#This Row],['#TreesContract]]*Table11[[#This Row],[Canada Allocation %]]</f>
        <v>0</v>
      </c>
      <c r="I188" s="16">
        <f>Table11[[#This Row],['#Planted]]*Table11[[#This Row],[Canada Allocation %]]</f>
        <v>0</v>
      </c>
      <c r="J188" s="16">
        <f>Table11[[#This Row],[Contract Amendment]]*Table11[[#This Row],[Canada Allocation %]]</f>
        <v>0</v>
      </c>
      <c r="K188" s="16">
        <f>Table11[[#This Row],['#Trees as of 12/31/23]]*Table11[[#This Row],[Canada Allocation %]]</f>
        <v>0</v>
      </c>
      <c r="L188" s="16">
        <f>Table11[[#This Row],['#Replace 24]]*Table11[[#This Row],[Canada Allocation %]]</f>
        <v>0</v>
      </c>
      <c r="M188" s="16"/>
      <c r="N188" s="16">
        <f>(Table11[[#This Row],[2024 '#Trees Inventory + Estimate]]*Table11[[#This Row],[Canada Allocation %]])-SUM(Table378[[#This Row],['# Trees as of 12/31/23]:[New Trees/Planted in 2024]])</f>
        <v>0</v>
      </c>
      <c r="O188" s="16">
        <f>SUM(Table378[[#This Row],['# Trees as of 12/31/23]:[2024 Tree Losses]])</f>
        <v>0</v>
      </c>
      <c r="P188" s="16">
        <f>SUM(Table378[[#This Row],[Total Trees as of 12/31/24]]-Table378[[#This Row],['# Trees as of 12/31/23]])</f>
        <v>0</v>
      </c>
      <c r="Q188" s="16">
        <f>Table11[[#This Row],['#Total Replacements]]*Table11[[#This Row],[Canada Allocation %]]</f>
        <v>0</v>
      </c>
      <c r="R188" s="16">
        <f>IF(Table378[[#This Row],['#Survival based on Inventory]]=0,Table378['#Survival based on Last Year Estimate],Table378['#Survival based on Inventory])</f>
        <v>0</v>
      </c>
      <c r="S188" s="16">
        <f>Table11[[#This Row],['#Planted]]*Table11[[#This Row],[Canada Allocation %]]*Table11[[#This Row],[2024 Inventory Survival%-master]]</f>
        <v>0</v>
      </c>
      <c r="T188" s="16">
        <f>Table11[[#This Row],['#Planted]]*Table11[[#This Row],[Canada Allocation %]]*Table11[[#This Row],[2024 Estimated Survival%]]</f>
        <v>0</v>
      </c>
      <c r="U188" s="7">
        <f>Table11[[#This Row],[ETP Year]]</f>
        <v>2020</v>
      </c>
      <c r="V188" s="7">
        <f>Table11[[#This Row],[Planting Year]]</f>
        <v>2020</v>
      </c>
      <c r="W188" s="8">
        <f>Table11[[#This Row],[Survival% as of 12/31/23]]</f>
        <v>1</v>
      </c>
      <c r="X188" s="7">
        <f>Table11[[#This Row],[ETP'#s]]</f>
        <v>1</v>
      </c>
    </row>
    <row r="189" spans="1:24" x14ac:dyDescent="0.25">
      <c r="A189">
        <f>Table11[[#This Row],[Farmer'#]]</f>
        <v>30005</v>
      </c>
      <c r="B189" t="str">
        <f>Table11[[#This Row],[Representative]]</f>
        <v>Jose Antonio Mombiela Mastahinich</v>
      </c>
      <c r="C189" t="str">
        <f>Table11[[#This Row],[Contract Name]]</f>
        <v>Jose Antonio Mombiela Mastahinich</v>
      </c>
      <c r="D189" t="str">
        <f>Table11[[#This Row],[Status]]</f>
        <v>Out of Program</v>
      </c>
      <c r="E189" t="str">
        <f>Table11[[#This Row],[Contract Code]]</f>
        <v>GT0022</v>
      </c>
      <c r="F189" s="16">
        <f>Table11[[#This Row],['#TreesContract]]</f>
        <v>488</v>
      </c>
      <c r="G189" s="16">
        <f>Table11[[#This Row],['#Planted]]</f>
        <v>488</v>
      </c>
      <c r="H189" s="16">
        <f>Table11[[#This Row],['#TreesContract]]*Table11[[#This Row],[Canada Allocation %]]</f>
        <v>0</v>
      </c>
      <c r="I189" s="16">
        <f>Table11[[#This Row],['#Planted]]*Table11[[#This Row],[Canada Allocation %]]</f>
        <v>0</v>
      </c>
      <c r="J189" s="16">
        <f>Table11[[#This Row],[Contract Amendment]]*Table11[[#This Row],[Canada Allocation %]]</f>
        <v>0</v>
      </c>
      <c r="K189" s="16">
        <f>Table11[[#This Row],['#Trees as of 12/31/23]]*Table11[[#This Row],[Canada Allocation %]]</f>
        <v>0</v>
      </c>
      <c r="L189" s="16">
        <f>Table11[[#This Row],['#Replace 24]]*Table11[[#This Row],[Canada Allocation %]]</f>
        <v>0</v>
      </c>
      <c r="M189" s="16"/>
      <c r="N189" s="16">
        <f>(Table11[[#This Row],[2024 '#Trees Inventory + Estimate]]*Table11[[#This Row],[Canada Allocation %]])-SUM(Table378[[#This Row],['# Trees as of 12/31/23]:[New Trees/Planted in 2024]])</f>
        <v>0</v>
      </c>
      <c r="O189" s="16">
        <f>SUM(Table378[[#This Row],['# Trees as of 12/31/23]:[2024 Tree Losses]])</f>
        <v>0</v>
      </c>
      <c r="P189" s="16">
        <f>SUM(Table378[[#This Row],[Total Trees as of 12/31/24]]-Table378[[#This Row],['# Trees as of 12/31/23]])</f>
        <v>0</v>
      </c>
      <c r="Q189" s="16">
        <f>Table11[[#This Row],['#Total Replacements]]*Table11[[#This Row],[Canada Allocation %]]</f>
        <v>0</v>
      </c>
      <c r="R189" s="16">
        <f>IF(Table378[[#This Row],['#Survival based on Inventory]]=0,Table378['#Survival based on Last Year Estimate],Table378['#Survival based on Inventory])</f>
        <v>0</v>
      </c>
      <c r="S189" s="16">
        <f>Table11[[#This Row],['#Planted]]*Table11[[#This Row],[Canada Allocation %]]*Table11[[#This Row],[2024 Inventory Survival%-master]]</f>
        <v>0</v>
      </c>
      <c r="T189" s="16">
        <f>Table11[[#This Row],['#Planted]]*Table11[[#This Row],[Canada Allocation %]]*Table11[[#This Row],[2024 Estimated Survival%]]</f>
        <v>0</v>
      </c>
      <c r="U189" s="7">
        <f>Table11[[#This Row],[ETP Year]]</f>
        <v>2020</v>
      </c>
      <c r="V189" s="7">
        <f>Table11[[#This Row],[Planting Year]]</f>
        <v>2020</v>
      </c>
      <c r="W189" s="8">
        <f>Table11[[#This Row],[Survival% as of 12/31/23]]</f>
        <v>0</v>
      </c>
      <c r="X189" s="7">
        <f>Table11[[#This Row],[ETP'#s]]</f>
        <v>1</v>
      </c>
    </row>
    <row r="190" spans="1:24" x14ac:dyDescent="0.25">
      <c r="A190">
        <f>Table11[[#This Row],[Farmer'#]]</f>
        <v>30012</v>
      </c>
      <c r="B190" t="str">
        <f>Table11[[#This Row],[Representative]]</f>
        <v>Alvaro Antonio Guzman Rodas</v>
      </c>
      <c r="C190" t="str">
        <f>Table11[[#This Row],[Contract Name]]</f>
        <v>Alvaro Antonio Guzman Rodas</v>
      </c>
      <c r="D190" t="str">
        <f>Table11[[#This Row],[Status]]</f>
        <v>RFT</v>
      </c>
      <c r="E190" t="str">
        <f>Table11[[#This Row],[Contract Code]]</f>
        <v>GT0012</v>
      </c>
      <c r="F190" s="16">
        <f>Table11[[#This Row],['#TreesContract]]</f>
        <v>2000</v>
      </c>
      <c r="G190" s="16">
        <f>Table11[[#This Row],['#Planted]]</f>
        <v>2000</v>
      </c>
      <c r="H190" s="16">
        <f>Table11[[#This Row],['#TreesContract]]*Table11[[#This Row],[Canada Allocation %]]</f>
        <v>0</v>
      </c>
      <c r="I190" s="16">
        <f>Table11[[#This Row],['#Planted]]*Table11[[#This Row],[Canada Allocation %]]</f>
        <v>0</v>
      </c>
      <c r="J190" s="16">
        <f>Table11[[#This Row],[Contract Amendment]]*Table11[[#This Row],[Canada Allocation %]]</f>
        <v>0</v>
      </c>
      <c r="K190" s="16">
        <f>Table11[[#This Row],['#Trees as of 12/31/23]]*Table11[[#This Row],[Canada Allocation %]]</f>
        <v>0</v>
      </c>
      <c r="L190" s="16">
        <f>Table11[[#This Row],['#Replace 24]]*Table11[[#This Row],[Canada Allocation %]]</f>
        <v>0</v>
      </c>
      <c r="M190" s="16"/>
      <c r="N190" s="16">
        <f>(Table11[[#This Row],[2024 '#Trees Inventory + Estimate]]*Table11[[#This Row],[Canada Allocation %]])-SUM(Table378[[#This Row],['# Trees as of 12/31/23]:[New Trees/Planted in 2024]])</f>
        <v>0</v>
      </c>
      <c r="O190" s="16">
        <f>SUM(Table378[[#This Row],['# Trees as of 12/31/23]:[2024 Tree Losses]])</f>
        <v>0</v>
      </c>
      <c r="P190" s="16">
        <f>SUM(Table378[[#This Row],[Total Trees as of 12/31/24]]-Table378[[#This Row],['# Trees as of 12/31/23]])</f>
        <v>0</v>
      </c>
      <c r="Q190" s="16">
        <f>Table11[[#This Row],['#Total Replacements]]*Table11[[#This Row],[Canada Allocation %]]</f>
        <v>0</v>
      </c>
      <c r="R190" s="16">
        <f>IF(Table378[[#This Row],['#Survival based on Inventory]]=0,Table378['#Survival based on Last Year Estimate],Table378['#Survival based on Inventory])</f>
        <v>0</v>
      </c>
      <c r="S190" s="16">
        <f>Table11[[#This Row],['#Planted]]*Table11[[#This Row],[Canada Allocation %]]*Table11[[#This Row],[2024 Inventory Survival%-master]]</f>
        <v>0</v>
      </c>
      <c r="T190" s="16">
        <f>Table11[[#This Row],['#Planted]]*Table11[[#This Row],[Canada Allocation %]]*Table11[[#This Row],[2024 Estimated Survival%]]</f>
        <v>0</v>
      </c>
      <c r="U190" s="7">
        <f>Table11[[#This Row],[ETP Year]]</f>
        <v>2020</v>
      </c>
      <c r="V190" s="7">
        <f>Table11[[#This Row],[Planting Year]]</f>
        <v>2020</v>
      </c>
      <c r="W190" s="8">
        <f>Table11[[#This Row],[Survival% as of 12/31/23]]</f>
        <v>0.73600680000000007</v>
      </c>
      <c r="X190" s="7">
        <f>Table11[[#This Row],[ETP'#s]]</f>
        <v>1</v>
      </c>
    </row>
    <row r="191" spans="1:24" x14ac:dyDescent="0.25">
      <c r="A191">
        <f>Table11[[#This Row],[Farmer'#]]</f>
        <v>30013</v>
      </c>
      <c r="B191" t="str">
        <f>Table11[[#This Row],[Representative]]</f>
        <v>Axel Duarte Duarte</v>
      </c>
      <c r="C191" t="str">
        <f>Table11[[#This Row],[Contract Name]]</f>
        <v>Axel Gamaliel Duarte Duarte</v>
      </c>
      <c r="D191" t="str">
        <f>Table11[[#This Row],[Status]]</f>
        <v>Out of Program</v>
      </c>
      <c r="E191" t="str">
        <f>Table11[[#This Row],[Contract Code]]</f>
        <v>GT0013</v>
      </c>
      <c r="F191" s="16">
        <f>Table11[[#This Row],['#TreesContract]]</f>
        <v>2000</v>
      </c>
      <c r="G191" s="16">
        <f>Table11[[#This Row],['#Planted]]</f>
        <v>2000</v>
      </c>
      <c r="H191" s="16">
        <f>Table11[[#This Row],['#TreesContract]]*Table11[[#This Row],[Canada Allocation %]]</f>
        <v>0</v>
      </c>
      <c r="I191" s="16">
        <f>Table11[[#This Row],['#Planted]]*Table11[[#This Row],[Canada Allocation %]]</f>
        <v>0</v>
      </c>
      <c r="J191" s="16">
        <f>Table11[[#This Row],[Contract Amendment]]*Table11[[#This Row],[Canada Allocation %]]</f>
        <v>0</v>
      </c>
      <c r="K191" s="16">
        <f>Table11[[#This Row],['#Trees as of 12/31/23]]*Table11[[#This Row],[Canada Allocation %]]</f>
        <v>0</v>
      </c>
      <c r="L191" s="16">
        <f>Table11[[#This Row],['#Replace 24]]*Table11[[#This Row],[Canada Allocation %]]</f>
        <v>0</v>
      </c>
      <c r="M191" s="16"/>
      <c r="N191" s="16">
        <f>(Table11[[#This Row],[2024 '#Trees Inventory + Estimate]]*Table11[[#This Row],[Canada Allocation %]])-SUM(Table378[[#This Row],['# Trees as of 12/31/23]:[New Trees/Planted in 2024]])</f>
        <v>0</v>
      </c>
      <c r="O191" s="16">
        <f>SUM(Table378[[#This Row],['# Trees as of 12/31/23]:[2024 Tree Losses]])</f>
        <v>0</v>
      </c>
      <c r="P191" s="16">
        <f>SUM(Table378[[#This Row],[Total Trees as of 12/31/24]]-Table378[[#This Row],['# Trees as of 12/31/23]])</f>
        <v>0</v>
      </c>
      <c r="Q191" s="16">
        <f>Table11[[#This Row],['#Total Replacements]]*Table11[[#This Row],[Canada Allocation %]]</f>
        <v>0</v>
      </c>
      <c r="R191" s="16">
        <f>IF(Table378[[#This Row],['#Survival based on Inventory]]=0,Table378['#Survival based on Last Year Estimate],Table378['#Survival based on Inventory])</f>
        <v>0</v>
      </c>
      <c r="S191" s="16">
        <f>Table11[[#This Row],['#Planted]]*Table11[[#This Row],[Canada Allocation %]]*Table11[[#This Row],[2024 Inventory Survival%-master]]</f>
        <v>0</v>
      </c>
      <c r="T191" s="16">
        <f>Table11[[#This Row],['#Planted]]*Table11[[#This Row],[Canada Allocation %]]*Table11[[#This Row],[2024 Estimated Survival%]]</f>
        <v>0</v>
      </c>
      <c r="U191" s="7">
        <f>Table11[[#This Row],[ETP Year]]</f>
        <v>2020</v>
      </c>
      <c r="V191" s="7">
        <f>Table11[[#This Row],[Planting Year]]</f>
        <v>2020</v>
      </c>
      <c r="W191" s="8">
        <f>Table11[[#This Row],[Survival% as of 12/31/23]]</f>
        <v>0.54460477499999993</v>
      </c>
      <c r="X191" s="7">
        <f>Table11[[#This Row],[ETP'#s]]</f>
        <v>1</v>
      </c>
    </row>
    <row r="192" spans="1:24" x14ac:dyDescent="0.25">
      <c r="A192">
        <f>Table11[[#This Row],[Farmer'#]]</f>
        <v>30014</v>
      </c>
      <c r="B192" t="str">
        <f>Table11[[#This Row],[Representative]]</f>
        <v>Boris Garza</v>
      </c>
      <c r="C192" t="str">
        <f>Table11[[#This Row],[Contract Name]]</f>
        <v>Borigar S.A. Carmen Lucía Garza López</v>
      </c>
      <c r="D192" t="str">
        <f>Table11[[#This Row],[Status]]</f>
        <v>Active</v>
      </c>
      <c r="E192" t="str">
        <f>Table11[[#This Row],[Contract Code]]</f>
        <v>GT0014</v>
      </c>
      <c r="F192" s="16">
        <f>Table11[[#This Row],['#TreesContract]]</f>
        <v>8000</v>
      </c>
      <c r="G192" s="16">
        <f>Table11[[#This Row],['#Planted]]</f>
        <v>8000</v>
      </c>
      <c r="H192" s="16">
        <f>Table11[[#This Row],['#TreesContract]]*Table11[[#This Row],[Canada Allocation %]]</f>
        <v>0</v>
      </c>
      <c r="I192" s="16">
        <f>Table11[[#This Row],['#Planted]]*Table11[[#This Row],[Canada Allocation %]]</f>
        <v>0</v>
      </c>
      <c r="J192" s="16">
        <f>Table11[[#This Row],[Contract Amendment]]*Table11[[#This Row],[Canada Allocation %]]</f>
        <v>0</v>
      </c>
      <c r="K192" s="16">
        <f>Table11[[#This Row],['#Trees as of 12/31/23]]*Table11[[#This Row],[Canada Allocation %]]</f>
        <v>0</v>
      </c>
      <c r="L192" s="16">
        <f>Table11[[#This Row],['#Replace 24]]*Table11[[#This Row],[Canada Allocation %]]</f>
        <v>0</v>
      </c>
      <c r="M192" s="16"/>
      <c r="N192" s="16">
        <f>(Table11[[#This Row],[2024 '#Trees Inventory + Estimate]]*Table11[[#This Row],[Canada Allocation %]])-SUM(Table378[[#This Row],['# Trees as of 12/31/23]:[New Trees/Planted in 2024]])</f>
        <v>0</v>
      </c>
      <c r="O192" s="16">
        <f>SUM(Table378[[#This Row],['# Trees as of 12/31/23]:[2024 Tree Losses]])</f>
        <v>0</v>
      </c>
      <c r="P192" s="16">
        <f>SUM(Table378[[#This Row],[Total Trees as of 12/31/24]]-Table378[[#This Row],['# Trees as of 12/31/23]])</f>
        <v>0</v>
      </c>
      <c r="Q192" s="16">
        <f>Table11[[#This Row],['#Total Replacements]]*Table11[[#This Row],[Canada Allocation %]]</f>
        <v>0</v>
      </c>
      <c r="R192" s="16">
        <f>IF(Table378[[#This Row],['#Survival based on Inventory]]=0,Table378['#Survival based on Last Year Estimate],Table378['#Survival based on Inventory])</f>
        <v>0</v>
      </c>
      <c r="S192" s="16">
        <f>Table11[[#This Row],['#Planted]]*Table11[[#This Row],[Canada Allocation %]]*Table11[[#This Row],[2024 Inventory Survival%-master]]</f>
        <v>0</v>
      </c>
      <c r="T192" s="16">
        <f>Table11[[#This Row],['#Planted]]*Table11[[#This Row],[Canada Allocation %]]*Table11[[#This Row],[2024 Estimated Survival%]]</f>
        <v>0</v>
      </c>
      <c r="U192" s="7">
        <f>Table11[[#This Row],[ETP Year]]</f>
        <v>2020</v>
      </c>
      <c r="V192" s="7">
        <f>Table11[[#This Row],[Planting Year]]</f>
        <v>2020</v>
      </c>
      <c r="W192" s="8">
        <f>Table11[[#This Row],[Survival% as of 12/31/23]]</f>
        <v>0.95</v>
      </c>
      <c r="X192" s="7">
        <f>Table11[[#This Row],[ETP'#s]]</f>
        <v>1</v>
      </c>
    </row>
    <row r="193" spans="1:24" x14ac:dyDescent="0.25">
      <c r="A193">
        <f>Table11[[#This Row],[Farmer'#]]</f>
        <v>30015</v>
      </c>
      <c r="B193" t="str">
        <f>Table11[[#This Row],[Representative]]</f>
        <v>Carlos López</v>
      </c>
      <c r="C193" t="str">
        <f>Table11[[#This Row],[Contract Name]]</f>
        <v>Carlos Adolfo López Letona</v>
      </c>
      <c r="D193" t="str">
        <f>Table11[[#This Row],[Status]]</f>
        <v>Out of Program</v>
      </c>
      <c r="E193" t="str">
        <f>Table11[[#This Row],[Contract Code]]</f>
        <v>GT0015</v>
      </c>
      <c r="F193" s="16">
        <f>Table11[[#This Row],['#TreesContract]]</f>
        <v>0</v>
      </c>
      <c r="G193" s="16">
        <f>Table11[[#This Row],['#Planted]]</f>
        <v>0</v>
      </c>
      <c r="H193" s="16">
        <f>Table11[[#This Row],['#TreesContract]]*Table11[[#This Row],[Canada Allocation %]]</f>
        <v>0</v>
      </c>
      <c r="I193" s="16">
        <f>Table11[[#This Row],['#Planted]]*Table11[[#This Row],[Canada Allocation %]]</f>
        <v>0</v>
      </c>
      <c r="J193" s="16">
        <f>Table11[[#This Row],[Contract Amendment]]*Table11[[#This Row],[Canada Allocation %]]</f>
        <v>0</v>
      </c>
      <c r="K193" s="16">
        <f>Table11[[#This Row],['#Trees as of 12/31/23]]*Table11[[#This Row],[Canada Allocation %]]</f>
        <v>0</v>
      </c>
      <c r="L193" s="16">
        <f>Table11[[#This Row],['#Replace 24]]*Table11[[#This Row],[Canada Allocation %]]</f>
        <v>0</v>
      </c>
      <c r="M193" s="16"/>
      <c r="N193" s="16">
        <f>(Table11[[#This Row],[2024 '#Trees Inventory + Estimate]]*Table11[[#This Row],[Canada Allocation %]])-SUM(Table378[[#This Row],['# Trees as of 12/31/23]:[New Trees/Planted in 2024]])</f>
        <v>0</v>
      </c>
      <c r="O193" s="16">
        <f>SUM(Table378[[#This Row],['# Trees as of 12/31/23]:[2024 Tree Losses]])</f>
        <v>0</v>
      </c>
      <c r="P193" s="16">
        <f>SUM(Table378[[#This Row],[Total Trees as of 12/31/24]]-Table378[[#This Row],['# Trees as of 12/31/23]])</f>
        <v>0</v>
      </c>
      <c r="Q193" s="16">
        <f>Table11[[#This Row],['#Total Replacements]]*Table11[[#This Row],[Canada Allocation %]]</f>
        <v>0</v>
      </c>
      <c r="R193" s="16">
        <f>IF(Table378[[#This Row],['#Survival based on Inventory]]=0,Table378['#Survival based on Last Year Estimate],Table378['#Survival based on Inventory])</f>
        <v>0</v>
      </c>
      <c r="S193" s="16">
        <f>Table11[[#This Row],['#Planted]]*Table11[[#This Row],[Canada Allocation %]]*Table11[[#This Row],[2024 Inventory Survival%-master]]</f>
        <v>0</v>
      </c>
      <c r="T193" s="16">
        <f>Table11[[#This Row],['#Planted]]*Table11[[#This Row],[Canada Allocation %]]*Table11[[#This Row],[2024 Estimated Survival%]]</f>
        <v>0</v>
      </c>
      <c r="U193" s="7">
        <f>Table11[[#This Row],[ETP Year]]</f>
        <v>2020</v>
      </c>
      <c r="V193" s="7">
        <f>Table11[[#This Row],[Planting Year]]</f>
        <v>2020</v>
      </c>
      <c r="W193" s="8">
        <f>Table11[[#This Row],[Survival% as of 12/31/23]]</f>
        <v>0</v>
      </c>
      <c r="X193" s="7">
        <f>Table11[[#This Row],[ETP'#s]]</f>
        <v>0</v>
      </c>
    </row>
    <row r="194" spans="1:24" x14ac:dyDescent="0.25">
      <c r="A194">
        <f>Table11[[#This Row],[Farmer'#]]</f>
        <v>30016</v>
      </c>
      <c r="B194" t="str">
        <f>Table11[[#This Row],[Representative]]</f>
        <v>Ricardo Chacón</v>
      </c>
      <c r="C194" t="str">
        <f>Table11[[#This Row],[Contract Name]]</f>
        <v xml:space="preserve">Cartago S.A./ Elsa De Chacón </v>
      </c>
      <c r="D194" t="str">
        <f>Table11[[#This Row],[Status]]</f>
        <v>RFT</v>
      </c>
      <c r="E194" t="str">
        <f>Table11[[#This Row],[Contract Code]]</f>
        <v>GT0016</v>
      </c>
      <c r="F194" s="16">
        <f>Table11[[#This Row],['#TreesContract]]</f>
        <v>1469</v>
      </c>
      <c r="G194" s="16">
        <f>Table11[[#This Row],['#Planted]]</f>
        <v>1469</v>
      </c>
      <c r="H194" s="16">
        <f>Table11[[#This Row],['#TreesContract]]*Table11[[#This Row],[Canada Allocation %]]</f>
        <v>0</v>
      </c>
      <c r="I194" s="16">
        <f>Table11[[#This Row],['#Planted]]*Table11[[#This Row],[Canada Allocation %]]</f>
        <v>0</v>
      </c>
      <c r="J194" s="16">
        <f>Table11[[#This Row],[Contract Amendment]]*Table11[[#This Row],[Canada Allocation %]]</f>
        <v>0</v>
      </c>
      <c r="K194" s="16">
        <f>Table11[[#This Row],['#Trees as of 12/31/23]]*Table11[[#This Row],[Canada Allocation %]]</f>
        <v>0</v>
      </c>
      <c r="L194" s="16">
        <f>Table11[[#This Row],['#Replace 24]]*Table11[[#This Row],[Canada Allocation %]]</f>
        <v>0</v>
      </c>
      <c r="M194" s="16"/>
      <c r="N194" s="16">
        <f>(Table11[[#This Row],[2024 '#Trees Inventory + Estimate]]*Table11[[#This Row],[Canada Allocation %]])-SUM(Table378[[#This Row],['# Trees as of 12/31/23]:[New Trees/Planted in 2024]])</f>
        <v>0</v>
      </c>
      <c r="O194" s="16">
        <f>SUM(Table378[[#This Row],['# Trees as of 12/31/23]:[2024 Tree Losses]])</f>
        <v>0</v>
      </c>
      <c r="P194" s="16">
        <f>SUM(Table378[[#This Row],[Total Trees as of 12/31/24]]-Table378[[#This Row],['# Trees as of 12/31/23]])</f>
        <v>0</v>
      </c>
      <c r="Q194" s="16">
        <f>Table11[[#This Row],['#Total Replacements]]*Table11[[#This Row],[Canada Allocation %]]</f>
        <v>0</v>
      </c>
      <c r="R194" s="16">
        <f>IF(Table378[[#This Row],['#Survival based on Inventory]]=0,Table378['#Survival based on Last Year Estimate],Table378['#Survival based on Inventory])</f>
        <v>0</v>
      </c>
      <c r="S194" s="16">
        <f>Table11[[#This Row],['#Planted]]*Table11[[#This Row],[Canada Allocation %]]*Table11[[#This Row],[2024 Inventory Survival%-master]]</f>
        <v>0</v>
      </c>
      <c r="T194" s="16">
        <f>Table11[[#This Row],['#Planted]]*Table11[[#This Row],[Canada Allocation %]]*Table11[[#This Row],[2024 Estimated Survival%]]</f>
        <v>0</v>
      </c>
      <c r="U194" s="7">
        <f>Table11[[#This Row],[ETP Year]]</f>
        <v>2020</v>
      </c>
      <c r="V194" s="7">
        <f>Table11[[#This Row],[Planting Year]]</f>
        <v>2020</v>
      </c>
      <c r="W194" s="8">
        <f>Table11[[#This Row],[Survival% as of 12/31/23]]</f>
        <v>0.33614608695652171</v>
      </c>
      <c r="X194" s="7">
        <f>Table11[[#This Row],[ETP'#s]]</f>
        <v>1</v>
      </c>
    </row>
    <row r="195" spans="1:24" hidden="1" x14ac:dyDescent="0.25">
      <c r="A195">
        <f>Table11[[#This Row],[Farmer'#]]</f>
        <v>30017</v>
      </c>
      <c r="B195" t="str">
        <f>Table11[[#This Row],[Representative]]</f>
        <v>David Horacio Estrada - Asoverde</v>
      </c>
      <c r="C195" t="str">
        <f>Table11[[#This Row],[Contract Name]]</f>
        <v>David Horacio Estrada - Asoverde</v>
      </c>
      <c r="D195" t="str">
        <f>Table11[[#This Row],[Status]]</f>
        <v>Out of Program</v>
      </c>
      <c r="E195" t="str">
        <f>Table11[[#This Row],[Contract Code]]</f>
        <v>GT0017</v>
      </c>
      <c r="F195" s="16">
        <f>Table11[[#This Row],['#TreesContract]]</f>
        <v>1000</v>
      </c>
      <c r="G195" s="16">
        <f>Table11[[#This Row],['#Planted]]</f>
        <v>1000</v>
      </c>
      <c r="H195" s="16">
        <f>Table11[[#This Row],['#TreesContract]]*Table11[[#This Row],[Canada Allocation %]]</f>
        <v>0</v>
      </c>
      <c r="I195" s="16">
        <f>Table11[[#This Row],['#Planted]]*Table11[[#This Row],[Canada Allocation %]]</f>
        <v>0</v>
      </c>
      <c r="J195" s="16">
        <f>Table11[[#This Row],[Contract Amendment]]*Table11[[#This Row],[Canada Allocation %]]</f>
        <v>0</v>
      </c>
      <c r="K195" s="16">
        <f>Table11[[#This Row],['#Trees as of 12/31/23]]*Table11[[#This Row],[Canada Allocation %]]</f>
        <v>0</v>
      </c>
      <c r="L195" s="16">
        <f>Table11[[#This Row],['#Replace 24]]*Table11[[#This Row],[Canada Allocation %]]</f>
        <v>0</v>
      </c>
      <c r="M195" s="16"/>
      <c r="N195" s="16">
        <f>(Table11[[#This Row],[2024 '#Trees Inventory + Estimate]]*Table11[[#This Row],[Canada Allocation %]])-SUM(Table378[[#This Row],['# Trees as of 12/31/23]:[New Trees/Planted in 2024]])</f>
        <v>0</v>
      </c>
      <c r="O195" s="16">
        <f>SUM(Table378[[#This Row],['# Trees as of 12/31/23]:[2024 Tree Losses]])</f>
        <v>0</v>
      </c>
      <c r="P195" s="16">
        <f>SUM(Table378[[#This Row],[Total Trees as of 12/31/24]]-Table378[[#This Row],['# Trees as of 12/31/23]])</f>
        <v>0</v>
      </c>
      <c r="Q195" s="16">
        <f>Table11[[#This Row],['#Total Replacements]]*Table11[[#This Row],[Canada Allocation %]]</f>
        <v>0</v>
      </c>
      <c r="R195" s="16">
        <f>IF(Table378[[#This Row],['#Survival based on Inventory]]=0,Table378['#Survival based on Last Year Estimate],Table378['#Survival based on Inventory])</f>
        <v>0</v>
      </c>
      <c r="S195" s="16">
        <f>Table11[[#This Row],['#Planted]]*Table11[[#This Row],[Canada Allocation %]]*Table11[[#This Row],[2024 Inventory Survival%-master]]</f>
        <v>0</v>
      </c>
      <c r="T195" s="16">
        <f>Table11[[#This Row],['#Planted]]*Table11[[#This Row],[Canada Allocation %]]*Table11[[#This Row],[2024 Estimated Survival%]]</f>
        <v>0</v>
      </c>
      <c r="U195" s="7">
        <f>Table11[[#This Row],[ETP Year]]</f>
        <v>2020</v>
      </c>
      <c r="V195" s="7">
        <f>Table11[[#This Row],[Planting Year]]</f>
        <v>2020</v>
      </c>
      <c r="W195" s="8">
        <f>Table11[[#This Row],[Survival% as of 12/31/23]]</f>
        <v>0.4741032</v>
      </c>
      <c r="X195" s="7">
        <f>Table11[[#This Row],[ETP'#s]]</f>
        <v>1</v>
      </c>
    </row>
    <row r="196" spans="1:24" x14ac:dyDescent="0.25">
      <c r="A196">
        <f>Table11[[#This Row],[Farmer'#]]</f>
        <v>30018</v>
      </c>
      <c r="B196" t="str">
        <f>Table11[[#This Row],[Representative]]</f>
        <v>Carlos López</v>
      </c>
      <c r="C196" t="str">
        <f>Table11[[#This Row],[Contract Name]]</f>
        <v>Emilia Beatriz Lopez Letona</v>
      </c>
      <c r="D196" t="str">
        <f>Table11[[#This Row],[Status]]</f>
        <v>Active</v>
      </c>
      <c r="E196" t="str">
        <f>Table11[[#This Row],[Contract Code]]</f>
        <v>GT0018</v>
      </c>
      <c r="F196" s="16">
        <f>Table11[[#This Row],['#TreesContract]]</f>
        <v>2650</v>
      </c>
      <c r="G196" s="16">
        <f>Table11[[#This Row],['#Planted]]</f>
        <v>2650</v>
      </c>
      <c r="H196" s="16">
        <f>Table11[[#This Row],['#TreesContract]]*Table11[[#This Row],[Canada Allocation %]]</f>
        <v>0</v>
      </c>
      <c r="I196" s="16">
        <f>Table11[[#This Row],['#Planted]]*Table11[[#This Row],[Canada Allocation %]]</f>
        <v>0</v>
      </c>
      <c r="J196" s="16">
        <f>Table11[[#This Row],[Contract Amendment]]*Table11[[#This Row],[Canada Allocation %]]</f>
        <v>0</v>
      </c>
      <c r="K196" s="16">
        <f>Table11[[#This Row],['#Trees as of 12/31/23]]*Table11[[#This Row],[Canada Allocation %]]</f>
        <v>0</v>
      </c>
      <c r="L196" s="16">
        <f>Table11[[#This Row],['#Replace 24]]*Table11[[#This Row],[Canada Allocation %]]</f>
        <v>0</v>
      </c>
      <c r="M196" s="16"/>
      <c r="N196" s="16">
        <f>(Table11[[#This Row],[2024 '#Trees Inventory + Estimate]]*Table11[[#This Row],[Canada Allocation %]])-SUM(Table378[[#This Row],['# Trees as of 12/31/23]:[New Trees/Planted in 2024]])</f>
        <v>0</v>
      </c>
      <c r="O196" s="16">
        <f>SUM(Table378[[#This Row],['# Trees as of 12/31/23]:[2024 Tree Losses]])</f>
        <v>0</v>
      </c>
      <c r="P196" s="16">
        <f>SUM(Table378[[#This Row],[Total Trees as of 12/31/24]]-Table378[[#This Row],['# Trees as of 12/31/23]])</f>
        <v>0</v>
      </c>
      <c r="Q196" s="16">
        <f>Table11[[#This Row],['#Total Replacements]]*Table11[[#This Row],[Canada Allocation %]]</f>
        <v>0</v>
      </c>
      <c r="R196" s="16">
        <f>IF(Table378[[#This Row],['#Survival based on Inventory]]=0,Table378['#Survival based on Last Year Estimate],Table378['#Survival based on Inventory])</f>
        <v>0</v>
      </c>
      <c r="S196" s="16">
        <f>Table11[[#This Row],['#Planted]]*Table11[[#This Row],[Canada Allocation %]]*Table11[[#This Row],[2024 Inventory Survival%-master]]</f>
        <v>0</v>
      </c>
      <c r="T196" s="16">
        <f>Table11[[#This Row],['#Planted]]*Table11[[#This Row],[Canada Allocation %]]*Table11[[#This Row],[2024 Estimated Survival%]]</f>
        <v>0</v>
      </c>
      <c r="U196" s="7">
        <f>Table11[[#This Row],[ETP Year]]</f>
        <v>2020</v>
      </c>
      <c r="V196" s="7">
        <f>Table11[[#This Row],[Planting Year]]</f>
        <v>2020</v>
      </c>
      <c r="W196" s="8">
        <f>Table11[[#This Row],[Survival% as of 12/31/23]]</f>
        <v>0.74312650188679252</v>
      </c>
      <c r="X196" s="7">
        <f>Table11[[#This Row],[ETP'#s]]</f>
        <v>1</v>
      </c>
    </row>
    <row r="197" spans="1:24" x14ac:dyDescent="0.25">
      <c r="A197">
        <f>Table11[[#This Row],[Farmer'#]]</f>
        <v>30019</v>
      </c>
      <c r="B197" t="str">
        <f>Table11[[#This Row],[Representative]]</f>
        <v>Hamblin Duarte</v>
      </c>
      <c r="C197" t="str">
        <f>Table11[[#This Row],[Contract Name]]</f>
        <v>Emilsa Natalia Guzman Leiva</v>
      </c>
      <c r="D197" t="str">
        <f>Table11[[#This Row],[Status]]</f>
        <v>Out of Program</v>
      </c>
      <c r="E197" t="str">
        <f>Table11[[#This Row],[Contract Code]]</f>
        <v>GT0019</v>
      </c>
      <c r="F197" s="16">
        <f>Table11[[#This Row],['#TreesContract]]</f>
        <v>1000</v>
      </c>
      <c r="G197" s="16">
        <f>Table11[[#This Row],['#Planted]]</f>
        <v>1000</v>
      </c>
      <c r="H197" s="16">
        <f>Table11[[#This Row],['#TreesContract]]*Table11[[#This Row],[Canada Allocation %]]</f>
        <v>0</v>
      </c>
      <c r="I197" s="16">
        <f>Table11[[#This Row],['#Planted]]*Table11[[#This Row],[Canada Allocation %]]</f>
        <v>0</v>
      </c>
      <c r="J197" s="16">
        <f>Table11[[#This Row],[Contract Amendment]]*Table11[[#This Row],[Canada Allocation %]]</f>
        <v>0</v>
      </c>
      <c r="K197" s="16">
        <f>Table11[[#This Row],['#Trees as of 12/31/23]]*Table11[[#This Row],[Canada Allocation %]]</f>
        <v>0</v>
      </c>
      <c r="L197" s="16">
        <f>Table11[[#This Row],['#Replace 24]]*Table11[[#This Row],[Canada Allocation %]]</f>
        <v>0</v>
      </c>
      <c r="M197" s="16"/>
      <c r="N197" s="16">
        <f>(Table11[[#This Row],[2024 '#Trees Inventory + Estimate]]*Table11[[#This Row],[Canada Allocation %]])-SUM(Table378[[#This Row],['# Trees as of 12/31/23]:[New Trees/Planted in 2024]])</f>
        <v>0</v>
      </c>
      <c r="O197" s="16">
        <f>SUM(Table378[[#This Row],['# Trees as of 12/31/23]:[2024 Tree Losses]])</f>
        <v>0</v>
      </c>
      <c r="P197" s="16">
        <f>SUM(Table378[[#This Row],[Total Trees as of 12/31/24]]-Table378[[#This Row],['# Trees as of 12/31/23]])</f>
        <v>0</v>
      </c>
      <c r="Q197" s="16">
        <f>Table11[[#This Row],['#Total Replacements]]*Table11[[#This Row],[Canada Allocation %]]</f>
        <v>0</v>
      </c>
      <c r="R197" s="16">
        <f>IF(Table378[[#This Row],['#Survival based on Inventory]]=0,Table378['#Survival based on Last Year Estimate],Table378['#Survival based on Inventory])</f>
        <v>0</v>
      </c>
      <c r="S197" s="16">
        <f>Table11[[#This Row],['#Planted]]*Table11[[#This Row],[Canada Allocation %]]*Table11[[#This Row],[2024 Inventory Survival%-master]]</f>
        <v>0</v>
      </c>
      <c r="T197" s="16">
        <f>Table11[[#This Row],['#Planted]]*Table11[[#This Row],[Canada Allocation %]]*Table11[[#This Row],[2024 Estimated Survival%]]</f>
        <v>0</v>
      </c>
      <c r="U197" s="7">
        <f>Table11[[#This Row],[ETP Year]]</f>
        <v>2020</v>
      </c>
      <c r="V197" s="7">
        <f>Table11[[#This Row],[Planting Year]]</f>
        <v>2020</v>
      </c>
      <c r="W197" s="8">
        <f>Table11[[#This Row],[Survival% as of 12/31/23]]</f>
        <v>0</v>
      </c>
      <c r="X197" s="7">
        <f>Table11[[#This Row],[ETP'#s]]</f>
        <v>1</v>
      </c>
    </row>
    <row r="198" spans="1:24" x14ac:dyDescent="0.25">
      <c r="A198">
        <f>Table11[[#This Row],[Farmer'#]]</f>
        <v>30020</v>
      </c>
      <c r="B198" t="str">
        <f>Table11[[#This Row],[Representative]]</f>
        <v>Giovanni Musella</v>
      </c>
      <c r="C198" t="str">
        <f>Table11[[#This Row],[Contract Name]]</f>
        <v>Giovanni Musella</v>
      </c>
      <c r="D198" t="str">
        <f>Table11[[#This Row],[Status]]</f>
        <v>Out of Program</v>
      </c>
      <c r="E198" t="str">
        <f>Table11[[#This Row],[Contract Code]]</f>
        <v>GT0020</v>
      </c>
      <c r="F198" s="16">
        <f>Table11[[#This Row],['#TreesContract]]</f>
        <v>1200</v>
      </c>
      <c r="G198" s="16">
        <f>Table11[[#This Row],['#Planted]]</f>
        <v>1200</v>
      </c>
      <c r="H198" s="16">
        <f>Table11[[#This Row],['#TreesContract]]*Table11[[#This Row],[Canada Allocation %]]</f>
        <v>0</v>
      </c>
      <c r="I198" s="16">
        <f>Table11[[#This Row],['#Planted]]*Table11[[#This Row],[Canada Allocation %]]</f>
        <v>0</v>
      </c>
      <c r="J198" s="16">
        <f>Table11[[#This Row],[Contract Amendment]]*Table11[[#This Row],[Canada Allocation %]]</f>
        <v>0</v>
      </c>
      <c r="K198" s="16">
        <f>Table11[[#This Row],['#Trees as of 12/31/23]]*Table11[[#This Row],[Canada Allocation %]]</f>
        <v>0</v>
      </c>
      <c r="L198" s="16">
        <f>Table11[[#This Row],['#Replace 24]]*Table11[[#This Row],[Canada Allocation %]]</f>
        <v>0</v>
      </c>
      <c r="M198" s="16"/>
      <c r="N198" s="16">
        <f>(Table11[[#This Row],[2024 '#Trees Inventory + Estimate]]*Table11[[#This Row],[Canada Allocation %]])-SUM(Table378[[#This Row],['# Trees as of 12/31/23]:[New Trees/Planted in 2024]])</f>
        <v>0</v>
      </c>
      <c r="O198" s="16">
        <f>SUM(Table378[[#This Row],['# Trees as of 12/31/23]:[2024 Tree Losses]])</f>
        <v>0</v>
      </c>
      <c r="P198" s="16">
        <f>SUM(Table378[[#This Row],[Total Trees as of 12/31/24]]-Table378[[#This Row],['# Trees as of 12/31/23]])</f>
        <v>0</v>
      </c>
      <c r="Q198" s="16">
        <f>Table11[[#This Row],['#Total Replacements]]*Table11[[#This Row],[Canada Allocation %]]</f>
        <v>0</v>
      </c>
      <c r="R198" s="16">
        <f>IF(Table378[[#This Row],['#Survival based on Inventory]]=0,Table378['#Survival based on Last Year Estimate],Table378['#Survival based on Inventory])</f>
        <v>0</v>
      </c>
      <c r="S198" s="16">
        <f>Table11[[#This Row],['#Planted]]*Table11[[#This Row],[Canada Allocation %]]*Table11[[#This Row],[2024 Inventory Survival%-master]]</f>
        <v>0</v>
      </c>
      <c r="T198" s="16">
        <f>Table11[[#This Row],['#Planted]]*Table11[[#This Row],[Canada Allocation %]]*Table11[[#This Row],[2024 Estimated Survival%]]</f>
        <v>0</v>
      </c>
      <c r="U198" s="7">
        <f>Table11[[#This Row],[ETP Year]]</f>
        <v>2020</v>
      </c>
      <c r="V198" s="7">
        <f>Table11[[#This Row],[Planting Year]]</f>
        <v>2020</v>
      </c>
      <c r="W198" s="8">
        <f>Table11[[#This Row],[Survival% as of 12/31/23]]</f>
        <v>0</v>
      </c>
      <c r="X198" s="7">
        <f>Table11[[#This Row],[ETP'#s]]</f>
        <v>1</v>
      </c>
    </row>
    <row r="199" spans="1:24" hidden="1" x14ac:dyDescent="0.25">
      <c r="A199">
        <f>Table11[[#This Row],[Farmer'#]]</f>
        <v>30021</v>
      </c>
      <c r="B199" t="str">
        <f>Table11[[#This Row],[Representative]]</f>
        <v>Jaime Rolando Maximino Perez Hernández</v>
      </c>
      <c r="C199" t="str">
        <f>Table11[[#This Row],[Contract Name]]</f>
        <v>Jaime Rolando Maximino Perez Hernández</v>
      </c>
      <c r="D199" t="str">
        <f>Table11[[#This Row],[Status]]</f>
        <v>Out of Program</v>
      </c>
      <c r="E199" t="str">
        <f>Table11[[#This Row],[Contract Code]]</f>
        <v>GT0021</v>
      </c>
      <c r="F199" s="16">
        <f>Table11[[#This Row],['#TreesContract]]</f>
        <v>2000</v>
      </c>
      <c r="G199" s="16">
        <f>Table11[[#This Row],['#Planted]]</f>
        <v>2000</v>
      </c>
      <c r="H199" s="16">
        <f>Table11[[#This Row],['#TreesContract]]*Table11[[#This Row],[Canada Allocation %]]</f>
        <v>0</v>
      </c>
      <c r="I199" s="16">
        <f>Table11[[#This Row],['#Planted]]*Table11[[#This Row],[Canada Allocation %]]</f>
        <v>0</v>
      </c>
      <c r="J199" s="16">
        <f>Table11[[#This Row],[Contract Amendment]]*Table11[[#This Row],[Canada Allocation %]]</f>
        <v>0</v>
      </c>
      <c r="K199" s="16">
        <f>Table11[[#This Row],['#Trees as of 12/31/23]]*Table11[[#This Row],[Canada Allocation %]]</f>
        <v>0</v>
      </c>
      <c r="L199" s="16">
        <f>Table11[[#This Row],['#Replace 24]]*Table11[[#This Row],[Canada Allocation %]]</f>
        <v>0</v>
      </c>
      <c r="M199" s="16"/>
      <c r="N199" s="16">
        <f>(Table11[[#This Row],[2024 '#Trees Inventory + Estimate]]*Table11[[#This Row],[Canada Allocation %]])-SUM(Table378[[#This Row],['# Trees as of 12/31/23]:[New Trees/Planted in 2024]])</f>
        <v>0</v>
      </c>
      <c r="O199" s="16">
        <f>SUM(Table378[[#This Row],['# Trees as of 12/31/23]:[2024 Tree Losses]])</f>
        <v>0</v>
      </c>
      <c r="P199" s="16">
        <f>SUM(Table378[[#This Row],[Total Trees as of 12/31/24]]-Table378[[#This Row],['# Trees as of 12/31/23]])</f>
        <v>0</v>
      </c>
      <c r="Q199" s="16">
        <f>Table11[[#This Row],['#Total Replacements]]*Table11[[#This Row],[Canada Allocation %]]</f>
        <v>0</v>
      </c>
      <c r="R199" s="16">
        <f>IF(Table378[[#This Row],['#Survival based on Inventory]]=0,Table378['#Survival based on Last Year Estimate],Table378['#Survival based on Inventory])</f>
        <v>0</v>
      </c>
      <c r="S199" s="16">
        <f>Table11[[#This Row],['#Planted]]*Table11[[#This Row],[Canada Allocation %]]*Table11[[#This Row],[2024 Inventory Survival%-master]]</f>
        <v>0</v>
      </c>
      <c r="T199" s="16">
        <f>Table11[[#This Row],['#Planted]]*Table11[[#This Row],[Canada Allocation %]]*Table11[[#This Row],[2024 Estimated Survival%]]</f>
        <v>0</v>
      </c>
      <c r="U199" s="7">
        <f>Table11[[#This Row],[ETP Year]]</f>
        <v>2020</v>
      </c>
      <c r="V199" s="7">
        <f>Table11[[#This Row],[Planting Year]]</f>
        <v>2020</v>
      </c>
      <c r="W199" s="8">
        <f>Table11[[#This Row],[Survival% as of 12/31/23]]</f>
        <v>0.57519228</v>
      </c>
      <c r="X199" s="7">
        <f>Table11[[#This Row],[ETP'#s]]</f>
        <v>1</v>
      </c>
    </row>
    <row r="200" spans="1:24" x14ac:dyDescent="0.25">
      <c r="A200">
        <f>Table11[[#This Row],[Farmer'#]]</f>
        <v>30022</v>
      </c>
      <c r="B200" t="str">
        <f>Table11[[#This Row],[Representative]]</f>
        <v>José Francisco Castillo Vásquez</v>
      </c>
      <c r="C200" t="str">
        <f>Table11[[#This Row],[Contract Name]]</f>
        <v>José Francisco Castillo Vásquez</v>
      </c>
      <c r="D200" t="str">
        <f>Table11[[#This Row],[Status]]</f>
        <v>RFT</v>
      </c>
      <c r="E200" t="str">
        <f>Table11[[#This Row],[Contract Code]]</f>
        <v>GT0023</v>
      </c>
      <c r="F200" s="16">
        <f>Table11[[#This Row],['#TreesContract]]</f>
        <v>2865</v>
      </c>
      <c r="G200" s="16">
        <f>Table11[[#This Row],['#Planted]]</f>
        <v>2865</v>
      </c>
      <c r="H200" s="16">
        <f>Table11[[#This Row],['#TreesContract]]*Table11[[#This Row],[Canada Allocation %]]</f>
        <v>0</v>
      </c>
      <c r="I200" s="16">
        <f>Table11[[#This Row],['#Planted]]*Table11[[#This Row],[Canada Allocation %]]</f>
        <v>0</v>
      </c>
      <c r="J200" s="16">
        <f>Table11[[#This Row],[Contract Amendment]]*Table11[[#This Row],[Canada Allocation %]]</f>
        <v>0</v>
      </c>
      <c r="K200" s="16">
        <f>Table11[[#This Row],['#Trees as of 12/31/23]]*Table11[[#This Row],[Canada Allocation %]]</f>
        <v>0</v>
      </c>
      <c r="L200" s="16">
        <f>Table11[[#This Row],['#Replace 24]]*Table11[[#This Row],[Canada Allocation %]]</f>
        <v>0</v>
      </c>
      <c r="M200" s="16"/>
      <c r="N200" s="16">
        <f>(Table11[[#This Row],[2024 '#Trees Inventory + Estimate]]*Table11[[#This Row],[Canada Allocation %]])-SUM(Table378[[#This Row],['# Trees as of 12/31/23]:[New Trees/Planted in 2024]])</f>
        <v>0</v>
      </c>
      <c r="O200" s="16">
        <f>SUM(Table378[[#This Row],['# Trees as of 12/31/23]:[2024 Tree Losses]])</f>
        <v>0</v>
      </c>
      <c r="P200" s="16">
        <f>SUM(Table378[[#This Row],[Total Trees as of 12/31/24]]-Table378[[#This Row],['# Trees as of 12/31/23]])</f>
        <v>0</v>
      </c>
      <c r="Q200" s="16">
        <f>Table11[[#This Row],['#Total Replacements]]*Table11[[#This Row],[Canada Allocation %]]</f>
        <v>0</v>
      </c>
      <c r="R200" s="16">
        <f>IF(Table378[[#This Row],['#Survival based on Inventory]]=0,Table378['#Survival based on Last Year Estimate],Table378['#Survival based on Inventory])</f>
        <v>0</v>
      </c>
      <c r="S200" s="16">
        <f>Table11[[#This Row],['#Planted]]*Table11[[#This Row],[Canada Allocation %]]*Table11[[#This Row],[2024 Inventory Survival%-master]]</f>
        <v>0</v>
      </c>
      <c r="T200" s="16">
        <f>Table11[[#This Row],['#Planted]]*Table11[[#This Row],[Canada Allocation %]]*Table11[[#This Row],[2024 Estimated Survival%]]</f>
        <v>0</v>
      </c>
      <c r="U200" s="7">
        <f>Table11[[#This Row],[ETP Year]]</f>
        <v>2020</v>
      </c>
      <c r="V200" s="7">
        <f>Table11[[#This Row],[Planting Year]]</f>
        <v>2020</v>
      </c>
      <c r="W200" s="8">
        <f>Table11[[#This Row],[Survival% as of 12/31/23]]</f>
        <v>0.30791167539267017</v>
      </c>
      <c r="X200" s="7">
        <f>Table11[[#This Row],[ETP'#s]]</f>
        <v>1</v>
      </c>
    </row>
    <row r="201" spans="1:24" x14ac:dyDescent="0.25">
      <c r="A201">
        <f>Table11[[#This Row],[Farmer'#]]</f>
        <v>30023</v>
      </c>
      <c r="B201" t="str">
        <f>Table11[[#This Row],[Representative]]</f>
        <v>Julio Francisco Morán Pérez</v>
      </c>
      <c r="C201" t="str">
        <f>Table11[[#This Row],[Contract Name]]</f>
        <v>Julio Francisco Morán Pérez</v>
      </c>
      <c r="D201" t="str">
        <f>Table11[[#This Row],[Status]]</f>
        <v>Active</v>
      </c>
      <c r="E201" t="str">
        <f>Table11[[#This Row],[Contract Code]]</f>
        <v>GT0024a</v>
      </c>
      <c r="F201" s="16">
        <f>Table11[[#This Row],['#TreesContract]]</f>
        <v>5220</v>
      </c>
      <c r="G201" s="16">
        <f>Table11[[#This Row],['#Planted]]</f>
        <v>5220</v>
      </c>
      <c r="H201" s="16">
        <f>Table11[[#This Row],['#TreesContract]]*Table11[[#This Row],[Canada Allocation %]]</f>
        <v>0</v>
      </c>
      <c r="I201" s="16">
        <f>Table11[[#This Row],['#Planted]]*Table11[[#This Row],[Canada Allocation %]]</f>
        <v>0</v>
      </c>
      <c r="J201" s="16">
        <f>Table11[[#This Row],[Contract Amendment]]*Table11[[#This Row],[Canada Allocation %]]</f>
        <v>0</v>
      </c>
      <c r="K201" s="16">
        <f>Table11[[#This Row],['#Trees as of 12/31/23]]*Table11[[#This Row],[Canada Allocation %]]</f>
        <v>0</v>
      </c>
      <c r="L201" s="16">
        <f>Table11[[#This Row],['#Replace 24]]*Table11[[#This Row],[Canada Allocation %]]</f>
        <v>0</v>
      </c>
      <c r="M201" s="16"/>
      <c r="N201" s="16">
        <f>(Table11[[#This Row],[2024 '#Trees Inventory + Estimate]]*Table11[[#This Row],[Canada Allocation %]])-SUM(Table378[[#This Row],['# Trees as of 12/31/23]:[New Trees/Planted in 2024]])</f>
        <v>0</v>
      </c>
      <c r="O201" s="16">
        <f>SUM(Table378[[#This Row],['# Trees as of 12/31/23]:[2024 Tree Losses]])</f>
        <v>0</v>
      </c>
      <c r="P201" s="16">
        <f>SUM(Table378[[#This Row],[Total Trees as of 12/31/24]]-Table378[[#This Row],['# Trees as of 12/31/23]])</f>
        <v>0</v>
      </c>
      <c r="Q201" s="16">
        <f>Table11[[#This Row],['#Total Replacements]]*Table11[[#This Row],[Canada Allocation %]]</f>
        <v>0</v>
      </c>
      <c r="R201" s="16">
        <f>IF(Table378[[#This Row],['#Survival based on Inventory]]=0,Table378['#Survival based on Last Year Estimate],Table378['#Survival based on Inventory])</f>
        <v>0</v>
      </c>
      <c r="S201" s="16">
        <f>Table11[[#This Row],['#Planted]]*Table11[[#This Row],[Canada Allocation %]]*Table11[[#This Row],[2024 Inventory Survival%-master]]</f>
        <v>0</v>
      </c>
      <c r="T201" s="16">
        <f>Table11[[#This Row],['#Planted]]*Table11[[#This Row],[Canada Allocation %]]*Table11[[#This Row],[2024 Estimated Survival%]]</f>
        <v>0</v>
      </c>
      <c r="U201" s="7">
        <f>Table11[[#This Row],[ETP Year]]</f>
        <v>2020</v>
      </c>
      <c r="V201" s="7">
        <f>Table11[[#This Row],[Planting Year]]</f>
        <v>2020</v>
      </c>
      <c r="W201" s="8">
        <f>Table11[[#This Row],[Survival% as of 12/31/23]]</f>
        <v>0.82858216683583918</v>
      </c>
      <c r="X201" s="7">
        <f>Table11[[#This Row],[ETP'#s]]</f>
        <v>1</v>
      </c>
    </row>
    <row r="202" spans="1:24" x14ac:dyDescent="0.25">
      <c r="A202">
        <f>Table11[[#This Row],[Farmer'#]]</f>
        <v>30024</v>
      </c>
      <c r="B202" t="str">
        <f>Table11[[#This Row],[Representative]]</f>
        <v>Marvin Rodolfo Porras Calderon</v>
      </c>
      <c r="C202" t="str">
        <f>Table11[[#This Row],[Contract Name]]</f>
        <v>Marvin Rodolfo Porras Calderon</v>
      </c>
      <c r="D202" t="str">
        <f>Table11[[#This Row],[Status]]</f>
        <v>RFT</v>
      </c>
      <c r="E202" t="str">
        <f>Table11[[#This Row],[Contract Code]]</f>
        <v>GT0025</v>
      </c>
      <c r="F202" s="16">
        <f>Table11[[#This Row],['#TreesContract]]</f>
        <v>6666</v>
      </c>
      <c r="G202" s="16">
        <f>Table11[[#This Row],['#Planted]]</f>
        <v>6666</v>
      </c>
      <c r="H202" s="16">
        <f>Table11[[#This Row],['#TreesContract]]*Table11[[#This Row],[Canada Allocation %]]</f>
        <v>0</v>
      </c>
      <c r="I202" s="16">
        <f>Table11[[#This Row],['#Planted]]*Table11[[#This Row],[Canada Allocation %]]</f>
        <v>0</v>
      </c>
      <c r="J202" s="16">
        <f>Table11[[#This Row],[Contract Amendment]]*Table11[[#This Row],[Canada Allocation %]]</f>
        <v>0</v>
      </c>
      <c r="K202" s="16">
        <f>Table11[[#This Row],['#Trees as of 12/31/23]]*Table11[[#This Row],[Canada Allocation %]]</f>
        <v>0</v>
      </c>
      <c r="L202" s="16">
        <f>Table11[[#This Row],['#Replace 24]]*Table11[[#This Row],[Canada Allocation %]]</f>
        <v>0</v>
      </c>
      <c r="M202" s="16"/>
      <c r="N202" s="16">
        <f>(Table11[[#This Row],[2024 '#Trees Inventory + Estimate]]*Table11[[#This Row],[Canada Allocation %]])-SUM(Table378[[#This Row],['# Trees as of 12/31/23]:[New Trees/Planted in 2024]])</f>
        <v>0</v>
      </c>
      <c r="O202" s="16">
        <f>SUM(Table378[[#This Row],['# Trees as of 12/31/23]:[2024 Tree Losses]])</f>
        <v>0</v>
      </c>
      <c r="P202" s="16">
        <f>SUM(Table378[[#This Row],[Total Trees as of 12/31/24]]-Table378[[#This Row],['# Trees as of 12/31/23]])</f>
        <v>0</v>
      </c>
      <c r="Q202" s="16">
        <f>Table11[[#This Row],['#Total Replacements]]*Table11[[#This Row],[Canada Allocation %]]</f>
        <v>0</v>
      </c>
      <c r="R202" s="16">
        <f>IF(Table378[[#This Row],['#Survival based on Inventory]]=0,Table378['#Survival based on Last Year Estimate],Table378['#Survival based on Inventory])</f>
        <v>0</v>
      </c>
      <c r="S202" s="16">
        <f>Table11[[#This Row],['#Planted]]*Table11[[#This Row],[Canada Allocation %]]*Table11[[#This Row],[2024 Inventory Survival%-master]]</f>
        <v>0</v>
      </c>
      <c r="T202" s="16">
        <f>Table11[[#This Row],['#Planted]]*Table11[[#This Row],[Canada Allocation %]]*Table11[[#This Row],[2024 Estimated Survival%]]</f>
        <v>0</v>
      </c>
      <c r="U202" s="7">
        <f>Table11[[#This Row],[ETP Year]]</f>
        <v>2020</v>
      </c>
      <c r="V202" s="7">
        <f>Table11[[#This Row],[Planting Year]]</f>
        <v>2020</v>
      </c>
      <c r="W202" s="8">
        <f>Table11[[#This Row],[Survival% as of 12/31/23]]</f>
        <v>0.93050765076507658</v>
      </c>
      <c r="X202" s="7">
        <f>Table11[[#This Row],[ETP'#s]]</f>
        <v>1</v>
      </c>
    </row>
    <row r="203" spans="1:24" x14ac:dyDescent="0.25">
      <c r="A203">
        <f>Table11[[#This Row],[Farmer'#]]</f>
        <v>30025</v>
      </c>
      <c r="B203" t="str">
        <f>Table11[[#This Row],[Representative]]</f>
        <v>Pablo Castillo (Novio Laura María Morán)</v>
      </c>
      <c r="C203" t="str">
        <f>Table11[[#This Row],[Contract Name]]</f>
        <v>Olga Victoria Herrera Sanjuan</v>
      </c>
      <c r="D203" t="str">
        <f>Table11[[#This Row],[Status]]</f>
        <v>Out of Program</v>
      </c>
      <c r="E203" t="str">
        <f>Table11[[#This Row],[Contract Code]]</f>
        <v>GT0026</v>
      </c>
      <c r="F203" s="16">
        <f>Table11[[#This Row],['#TreesContract]]</f>
        <v>990</v>
      </c>
      <c r="G203" s="16">
        <f>Table11[[#This Row],['#Planted]]</f>
        <v>990</v>
      </c>
      <c r="H203" s="16">
        <f>Table11[[#This Row],['#TreesContract]]*Table11[[#This Row],[Canada Allocation %]]</f>
        <v>0</v>
      </c>
      <c r="I203" s="16">
        <f>Table11[[#This Row],['#Planted]]*Table11[[#This Row],[Canada Allocation %]]</f>
        <v>0</v>
      </c>
      <c r="J203" s="16">
        <f>Table11[[#This Row],[Contract Amendment]]*Table11[[#This Row],[Canada Allocation %]]</f>
        <v>0</v>
      </c>
      <c r="K203" s="16">
        <f>Table11[[#This Row],['#Trees as of 12/31/23]]*Table11[[#This Row],[Canada Allocation %]]</f>
        <v>0</v>
      </c>
      <c r="L203" s="16">
        <f>Table11[[#This Row],['#Replace 24]]*Table11[[#This Row],[Canada Allocation %]]</f>
        <v>0</v>
      </c>
      <c r="M203" s="16"/>
      <c r="N203" s="16">
        <f>(Table11[[#This Row],[2024 '#Trees Inventory + Estimate]]*Table11[[#This Row],[Canada Allocation %]])-SUM(Table378[[#This Row],['# Trees as of 12/31/23]:[New Trees/Planted in 2024]])</f>
        <v>0</v>
      </c>
      <c r="O203" s="16">
        <f>SUM(Table378[[#This Row],['# Trees as of 12/31/23]:[2024 Tree Losses]])</f>
        <v>0</v>
      </c>
      <c r="P203" s="16">
        <f>SUM(Table378[[#This Row],[Total Trees as of 12/31/24]]-Table378[[#This Row],['# Trees as of 12/31/23]])</f>
        <v>0</v>
      </c>
      <c r="Q203" s="16">
        <f>Table11[[#This Row],['#Total Replacements]]*Table11[[#This Row],[Canada Allocation %]]</f>
        <v>0</v>
      </c>
      <c r="R203" s="16">
        <f>IF(Table378[[#This Row],['#Survival based on Inventory]]=0,Table378['#Survival based on Last Year Estimate],Table378['#Survival based on Inventory])</f>
        <v>0</v>
      </c>
      <c r="S203" s="16">
        <f>Table11[[#This Row],['#Planted]]*Table11[[#This Row],[Canada Allocation %]]*Table11[[#This Row],[2024 Inventory Survival%-master]]</f>
        <v>0</v>
      </c>
      <c r="T203" s="16">
        <f>Table11[[#This Row],['#Planted]]*Table11[[#This Row],[Canada Allocation %]]*Table11[[#This Row],[2024 Estimated Survival%]]</f>
        <v>0</v>
      </c>
      <c r="U203" s="7">
        <f>Table11[[#This Row],[ETP Year]]</f>
        <v>2020</v>
      </c>
      <c r="V203" s="7">
        <f>Table11[[#This Row],[Planting Year]]</f>
        <v>2020</v>
      </c>
      <c r="W203" s="8">
        <f>Table11[[#This Row],[Survival% as of 12/31/23]]</f>
        <v>0</v>
      </c>
      <c r="X203" s="7">
        <f>Table11[[#This Row],[ETP'#s]]</f>
        <v>1</v>
      </c>
    </row>
    <row r="204" spans="1:24" x14ac:dyDescent="0.25">
      <c r="A204">
        <f>Table11[[#This Row],[Farmer'#]]</f>
        <v>30026</v>
      </c>
      <c r="B204" t="str">
        <f>Table11[[#This Row],[Representative]]</f>
        <v>Richard Steven Callaway Ayau - Eco Energía H20</v>
      </c>
      <c r="C204" t="str">
        <f>Table11[[#This Row],[Contract Name]]</f>
        <v>Richard Steven Callaway Ayau</v>
      </c>
      <c r="D204" t="str">
        <f>Table11[[#This Row],[Status]]</f>
        <v>RFT</v>
      </c>
      <c r="E204" t="str">
        <f>Table11[[#This Row],[Contract Code]]</f>
        <v>GT0027</v>
      </c>
      <c r="F204" s="16">
        <f>Table11[[#This Row],['#TreesContract]]</f>
        <v>6788</v>
      </c>
      <c r="G204" s="16">
        <f>Table11[[#This Row],['#Planted]]</f>
        <v>6788</v>
      </c>
      <c r="H204" s="16">
        <f>Table11[[#This Row],['#TreesContract]]*Table11[[#This Row],[Canada Allocation %]]</f>
        <v>0</v>
      </c>
      <c r="I204" s="16">
        <f>Table11[[#This Row],['#Planted]]*Table11[[#This Row],[Canada Allocation %]]</f>
        <v>0</v>
      </c>
      <c r="J204" s="16">
        <f>Table11[[#This Row],[Contract Amendment]]*Table11[[#This Row],[Canada Allocation %]]</f>
        <v>0</v>
      </c>
      <c r="K204" s="16">
        <f>Table11[[#This Row],['#Trees as of 12/31/23]]*Table11[[#This Row],[Canada Allocation %]]</f>
        <v>0</v>
      </c>
      <c r="L204" s="16">
        <f>Table11[[#This Row],['#Replace 24]]*Table11[[#This Row],[Canada Allocation %]]</f>
        <v>0</v>
      </c>
      <c r="M204" s="16"/>
      <c r="N204" s="16">
        <f>(Table11[[#This Row],[2024 '#Trees Inventory + Estimate]]*Table11[[#This Row],[Canada Allocation %]])-SUM(Table378[[#This Row],['# Trees as of 12/31/23]:[New Trees/Planted in 2024]])</f>
        <v>0</v>
      </c>
      <c r="O204" s="16">
        <f>SUM(Table378[[#This Row],['# Trees as of 12/31/23]:[2024 Tree Losses]])</f>
        <v>0</v>
      </c>
      <c r="P204" s="16">
        <f>SUM(Table378[[#This Row],[Total Trees as of 12/31/24]]-Table378[[#This Row],['# Trees as of 12/31/23]])</f>
        <v>0</v>
      </c>
      <c r="Q204" s="16">
        <f>Table11[[#This Row],['#Total Replacements]]*Table11[[#This Row],[Canada Allocation %]]</f>
        <v>0</v>
      </c>
      <c r="R204" s="16">
        <f>IF(Table378[[#This Row],['#Survival based on Inventory]]=0,Table378['#Survival based on Last Year Estimate],Table378['#Survival based on Inventory])</f>
        <v>0</v>
      </c>
      <c r="S204" s="16">
        <f>Table11[[#This Row],['#Planted]]*Table11[[#This Row],[Canada Allocation %]]*Table11[[#This Row],[2024 Inventory Survival%-master]]</f>
        <v>0</v>
      </c>
      <c r="T204" s="16">
        <f>Table11[[#This Row],['#Planted]]*Table11[[#This Row],[Canada Allocation %]]*Table11[[#This Row],[2024 Estimated Survival%]]</f>
        <v>0</v>
      </c>
      <c r="U204" s="7">
        <f>Table11[[#This Row],[ETP Year]]</f>
        <v>2020</v>
      </c>
      <c r="V204" s="7">
        <f>Table11[[#This Row],[Planting Year]]</f>
        <v>2020</v>
      </c>
      <c r="W204" s="8">
        <f>Table11[[#This Row],[Survival% as of 12/31/23]]</f>
        <v>0.80951679430000001</v>
      </c>
      <c r="X204" s="7">
        <f>Table11[[#This Row],[ETP'#s]]</f>
        <v>1</v>
      </c>
    </row>
    <row r="205" spans="1:24" x14ac:dyDescent="0.25">
      <c r="A205">
        <f>Table11[[#This Row],[Farmer'#]]</f>
        <v>30027</v>
      </c>
      <c r="B205" t="str">
        <f>Table11[[#This Row],[Representative]]</f>
        <v>Rolando Chinchilla Buezo</v>
      </c>
      <c r="C205" t="str">
        <f>Table11[[#This Row],[Contract Name]]</f>
        <v>Rolando Chinchilla Buezo</v>
      </c>
      <c r="D205" t="str">
        <f>Table11[[#This Row],[Status]]</f>
        <v>RFT</v>
      </c>
      <c r="E205" t="str">
        <f>Table11[[#This Row],[Contract Code]]</f>
        <v>GT0028</v>
      </c>
      <c r="F205" s="16">
        <f>Table11[[#This Row],['#TreesContract]]</f>
        <v>1000</v>
      </c>
      <c r="G205" s="16">
        <f>Table11[[#This Row],['#Planted]]</f>
        <v>1000</v>
      </c>
      <c r="H205" s="16">
        <f>Table11[[#This Row],['#TreesContract]]*Table11[[#This Row],[Canada Allocation %]]</f>
        <v>0</v>
      </c>
      <c r="I205" s="16">
        <f>Table11[[#This Row],['#Planted]]*Table11[[#This Row],[Canada Allocation %]]</f>
        <v>0</v>
      </c>
      <c r="J205" s="16">
        <f>Table11[[#This Row],[Contract Amendment]]*Table11[[#This Row],[Canada Allocation %]]</f>
        <v>0</v>
      </c>
      <c r="K205" s="16">
        <f>Table11[[#This Row],['#Trees as of 12/31/23]]*Table11[[#This Row],[Canada Allocation %]]</f>
        <v>0</v>
      </c>
      <c r="L205" s="16">
        <f>Table11[[#This Row],['#Replace 24]]*Table11[[#This Row],[Canada Allocation %]]</f>
        <v>0</v>
      </c>
      <c r="M205" s="16"/>
      <c r="N205" s="16">
        <f>(Table11[[#This Row],[2024 '#Trees Inventory + Estimate]]*Table11[[#This Row],[Canada Allocation %]])-SUM(Table378[[#This Row],['# Trees as of 12/31/23]:[New Trees/Planted in 2024]])</f>
        <v>0</v>
      </c>
      <c r="O205" s="16">
        <f>SUM(Table378[[#This Row],['# Trees as of 12/31/23]:[2024 Tree Losses]])</f>
        <v>0</v>
      </c>
      <c r="P205" s="16">
        <f>SUM(Table378[[#This Row],[Total Trees as of 12/31/24]]-Table378[[#This Row],['# Trees as of 12/31/23]])</f>
        <v>0</v>
      </c>
      <c r="Q205" s="16">
        <f>Table11[[#This Row],['#Total Replacements]]*Table11[[#This Row],[Canada Allocation %]]</f>
        <v>0</v>
      </c>
      <c r="R205" s="16">
        <f>IF(Table378[[#This Row],['#Survival based on Inventory]]=0,Table378['#Survival based on Last Year Estimate],Table378['#Survival based on Inventory])</f>
        <v>0</v>
      </c>
      <c r="S205" s="16">
        <f>Table11[[#This Row],['#Planted]]*Table11[[#This Row],[Canada Allocation %]]*Table11[[#This Row],[2024 Inventory Survival%-master]]</f>
        <v>0</v>
      </c>
      <c r="T205" s="16">
        <f>Table11[[#This Row],['#Planted]]*Table11[[#This Row],[Canada Allocation %]]*Table11[[#This Row],[2024 Estimated Survival%]]</f>
        <v>0</v>
      </c>
      <c r="U205" s="7">
        <f>Table11[[#This Row],[ETP Year]]</f>
        <v>2020</v>
      </c>
      <c r="V205" s="7">
        <f>Table11[[#This Row],[Planting Year]]</f>
        <v>2020</v>
      </c>
      <c r="W205" s="8">
        <f>Table11[[#This Row],[Survival% as of 12/31/23]]</f>
        <v>0.75014183999999995</v>
      </c>
      <c r="X205" s="7">
        <f>Table11[[#This Row],[ETP'#s]]</f>
        <v>1</v>
      </c>
    </row>
    <row r="206" spans="1:24" x14ac:dyDescent="0.25">
      <c r="A206">
        <f>Table11[[#This Row],[Farmer'#]]</f>
        <v>40004</v>
      </c>
      <c r="B206" t="str">
        <f>Table11[[#This Row],[Representative]]</f>
        <v>Felipe Ramirez Flores</v>
      </c>
      <c r="C206" t="str">
        <f>Table11[[#This Row],[Contract Name]]</f>
        <v>Aniceto Ramírez Flores and  Gilberto Hernandez Ayala</v>
      </c>
      <c r="D206" t="str">
        <f>Table11[[#This Row],[Status]]</f>
        <v>Out of Program</v>
      </c>
      <c r="E206" t="str">
        <f>Table11[[#This Row],[Contract Code]]</f>
        <v>MX0004</v>
      </c>
      <c r="F206" s="16">
        <f>Table11[[#This Row],['#TreesContract]]</f>
        <v>5500</v>
      </c>
      <c r="G206" s="16">
        <f>Table11[[#This Row],['#Planted]]</f>
        <v>5500</v>
      </c>
      <c r="H206" s="16">
        <f>Table11[[#This Row],['#TreesContract]]*Table11[[#This Row],[Canada Allocation %]]</f>
        <v>1980</v>
      </c>
      <c r="I206" s="16">
        <f>Table11[[#This Row],['#Planted]]*Table11[[#This Row],[Canada Allocation %]]</f>
        <v>1980</v>
      </c>
      <c r="J206" s="16">
        <f>Table11[[#This Row],[Contract Amendment]]*Table11[[#This Row],[Canada Allocation %]]</f>
        <v>0</v>
      </c>
      <c r="K206" s="16">
        <f>Table11[[#This Row],['#Trees as of 12/31/23]]*Table11[[#This Row],[Canada Allocation %]]</f>
        <v>0</v>
      </c>
      <c r="L206" s="16">
        <f>Table11[[#This Row],['#Replace 24]]*Table11[[#This Row],[Canada Allocation %]]</f>
        <v>0</v>
      </c>
      <c r="M206" s="16"/>
      <c r="N206" s="16">
        <f>(Table11[[#This Row],[2024 '#Trees Inventory + Estimate]]*Table11[[#This Row],[Canada Allocation %]])-SUM(Table378[[#This Row],['# Trees as of 12/31/23]:[New Trees/Planted in 2024]])</f>
        <v>0</v>
      </c>
      <c r="O206" s="16">
        <f>SUM(Table378[[#This Row],['# Trees as of 12/31/23]:[2024 Tree Losses]])</f>
        <v>0</v>
      </c>
      <c r="P206" s="16">
        <f>SUM(Table378[[#This Row],[Total Trees as of 12/31/24]]-Table378[[#This Row],['# Trees as of 12/31/23]])</f>
        <v>0</v>
      </c>
      <c r="Q206" s="16">
        <f>Table11[[#This Row],['#Total Replacements]]*Table11[[#This Row],[Canada Allocation %]]</f>
        <v>1440</v>
      </c>
      <c r="R206" s="16">
        <f>IF(Table378[[#This Row],['#Survival based on Inventory]]=0,Table378['#Survival based on Last Year Estimate],Table378['#Survival based on Inventory])</f>
        <v>0</v>
      </c>
      <c r="S206" s="16">
        <f>Table11[[#This Row],['#Planted]]*Table11[[#This Row],[Canada Allocation %]]*Table11[[#This Row],[2024 Inventory Survival%-master]]</f>
        <v>0</v>
      </c>
      <c r="T206" s="16">
        <f>Table11[[#This Row],['#Planted]]*Table11[[#This Row],[Canada Allocation %]]*Table11[[#This Row],[2024 Estimated Survival%]]</f>
        <v>0</v>
      </c>
      <c r="U206" s="7">
        <f>Table11[[#This Row],[ETP Year]]</f>
        <v>2018</v>
      </c>
      <c r="V206" s="7">
        <f>Table11[[#This Row],[Planting Year]]</f>
        <v>2020</v>
      </c>
      <c r="W206" s="8">
        <f>Table11[[#This Row],[Survival% as of 12/31/23]]</f>
        <v>0</v>
      </c>
      <c r="X206" s="7">
        <f>Table11[[#This Row],[ETP'#s]]</f>
        <v>1</v>
      </c>
    </row>
    <row r="207" spans="1:24" x14ac:dyDescent="0.25">
      <c r="A207">
        <f>Table11[[#This Row],[Farmer'#]]</f>
        <v>40005</v>
      </c>
      <c r="B207" t="str">
        <f>Table11[[#This Row],[Representative]]</f>
        <v>Arturo Arguelles Barradas</v>
      </c>
      <c r="C207" t="str">
        <f>Table11[[#This Row],[Contract Name]]</f>
        <v>Arturo Arguelles Barradas</v>
      </c>
      <c r="D207" t="str">
        <f>Table11[[#This Row],[Status]]</f>
        <v>RFT</v>
      </c>
      <c r="E207" t="str">
        <f>Table11[[#This Row],[Contract Code]]</f>
        <v>MX0005</v>
      </c>
      <c r="F207" s="16">
        <f>Table11[[#This Row],['#TreesContract]]</f>
        <v>1100</v>
      </c>
      <c r="G207" s="16">
        <f>Table11[[#This Row],['#Planted]]</f>
        <v>1100</v>
      </c>
      <c r="H207" s="16">
        <f>Table11[[#This Row],['#TreesContract]]*Table11[[#This Row],[Canada Allocation %]]</f>
        <v>0</v>
      </c>
      <c r="I207" s="16">
        <f>Table11[[#This Row],['#Planted]]*Table11[[#This Row],[Canada Allocation %]]</f>
        <v>0</v>
      </c>
      <c r="J207" s="16">
        <f>Table11[[#This Row],[Contract Amendment]]*Table11[[#This Row],[Canada Allocation %]]</f>
        <v>0</v>
      </c>
      <c r="K207" s="16">
        <f>Table11[[#This Row],['#Trees as of 12/31/23]]*Table11[[#This Row],[Canada Allocation %]]</f>
        <v>0</v>
      </c>
      <c r="L207" s="16">
        <f>Table11[[#This Row],['#Replace 24]]*Table11[[#This Row],[Canada Allocation %]]</f>
        <v>0</v>
      </c>
      <c r="M207" s="16"/>
      <c r="N207" s="16">
        <f>(Table11[[#This Row],[2024 '#Trees Inventory + Estimate]]*Table11[[#This Row],[Canada Allocation %]])-SUM(Table378[[#This Row],['# Trees as of 12/31/23]:[New Trees/Planted in 2024]])</f>
        <v>0</v>
      </c>
      <c r="O207" s="16">
        <f>SUM(Table378[[#This Row],['# Trees as of 12/31/23]:[2024 Tree Losses]])</f>
        <v>0</v>
      </c>
      <c r="P207" s="16">
        <f>SUM(Table378[[#This Row],[Total Trees as of 12/31/24]]-Table378[[#This Row],['# Trees as of 12/31/23]])</f>
        <v>0</v>
      </c>
      <c r="Q207" s="16">
        <f>Table11[[#This Row],['#Total Replacements]]*Table11[[#This Row],[Canada Allocation %]]</f>
        <v>0</v>
      </c>
      <c r="R207" s="16">
        <f>IF(Table378[[#This Row],['#Survival based on Inventory]]=0,Table378['#Survival based on Last Year Estimate],Table378['#Survival based on Inventory])</f>
        <v>0</v>
      </c>
      <c r="S207" s="16">
        <f>Table11[[#This Row],['#Planted]]*Table11[[#This Row],[Canada Allocation %]]*Table11[[#This Row],[2024 Inventory Survival%-master]]</f>
        <v>0</v>
      </c>
      <c r="T207" s="16">
        <f>Table11[[#This Row],['#Planted]]*Table11[[#This Row],[Canada Allocation %]]*Table11[[#This Row],[2024 Estimated Survival%]]</f>
        <v>0</v>
      </c>
      <c r="U207" s="7">
        <f>Table11[[#This Row],[ETP Year]]</f>
        <v>2020</v>
      </c>
      <c r="V207" s="7">
        <f>Table11[[#This Row],[Planting Year]]</f>
        <v>2020</v>
      </c>
      <c r="W207" s="8">
        <f>Table11[[#This Row],[Survival% as of 12/31/23]]</f>
        <v>0.95</v>
      </c>
      <c r="X207" s="7">
        <f>Table11[[#This Row],[ETP'#s]]</f>
        <v>1</v>
      </c>
    </row>
    <row r="208" spans="1:24" x14ac:dyDescent="0.25">
      <c r="A208">
        <f>Table11[[#This Row],[Farmer'#]]</f>
        <v>40006</v>
      </c>
      <c r="B208" t="str">
        <f>Table11[[#This Row],[Representative]]</f>
        <v>Cesar Aaron Olquin Jimenez</v>
      </c>
      <c r="C208" t="str">
        <f>Table11[[#This Row],[Contract Name]]</f>
        <v>Cesar Aaron Olquin Jimenez</v>
      </c>
      <c r="D208" t="str">
        <f>Table11[[#This Row],[Status]]</f>
        <v>Out of Program</v>
      </c>
      <c r="E208" t="str">
        <f>Table11[[#This Row],[Contract Code]]</f>
        <v>MX0006</v>
      </c>
      <c r="F208" s="16">
        <f>Table11[[#This Row],['#TreesContract]]</f>
        <v>7700</v>
      </c>
      <c r="G208" s="16">
        <f>Table11[[#This Row],['#Planted]]</f>
        <v>7700</v>
      </c>
      <c r="H208" s="16">
        <f>Table11[[#This Row],['#TreesContract]]*Table11[[#This Row],[Canada Allocation %]]</f>
        <v>0</v>
      </c>
      <c r="I208" s="16">
        <f>Table11[[#This Row],['#Planted]]*Table11[[#This Row],[Canada Allocation %]]</f>
        <v>0</v>
      </c>
      <c r="J208" s="16">
        <f>Table11[[#This Row],[Contract Amendment]]*Table11[[#This Row],[Canada Allocation %]]</f>
        <v>0</v>
      </c>
      <c r="K208" s="16">
        <f>Table11[[#This Row],['#Trees as of 12/31/23]]*Table11[[#This Row],[Canada Allocation %]]</f>
        <v>0</v>
      </c>
      <c r="L208" s="16">
        <f>Table11[[#This Row],['#Replace 24]]*Table11[[#This Row],[Canada Allocation %]]</f>
        <v>0</v>
      </c>
      <c r="M208" s="16"/>
      <c r="N208" s="16">
        <f>(Table11[[#This Row],[2024 '#Trees Inventory + Estimate]]*Table11[[#This Row],[Canada Allocation %]])-SUM(Table378[[#This Row],['# Trees as of 12/31/23]:[New Trees/Planted in 2024]])</f>
        <v>0</v>
      </c>
      <c r="O208" s="16">
        <f>SUM(Table378[[#This Row],['# Trees as of 12/31/23]:[2024 Tree Losses]])</f>
        <v>0</v>
      </c>
      <c r="P208" s="16">
        <f>SUM(Table378[[#This Row],[Total Trees as of 12/31/24]]-Table378[[#This Row],['# Trees as of 12/31/23]])</f>
        <v>0</v>
      </c>
      <c r="Q208" s="16">
        <f>Table11[[#This Row],['#Total Replacements]]*Table11[[#This Row],[Canada Allocation %]]</f>
        <v>0</v>
      </c>
      <c r="R208" s="16">
        <f>IF(Table378[[#This Row],['#Survival based on Inventory]]=0,Table378['#Survival based on Last Year Estimate],Table378['#Survival based on Inventory])</f>
        <v>0</v>
      </c>
      <c r="S208" s="16">
        <f>Table11[[#This Row],['#Planted]]*Table11[[#This Row],[Canada Allocation %]]*Table11[[#This Row],[2024 Inventory Survival%-master]]</f>
        <v>0</v>
      </c>
      <c r="T208" s="16">
        <f>Table11[[#This Row],['#Planted]]*Table11[[#This Row],[Canada Allocation %]]*Table11[[#This Row],[2024 Estimated Survival%]]</f>
        <v>0</v>
      </c>
      <c r="U208" s="7">
        <f>Table11[[#This Row],[ETP Year]]</f>
        <v>2020</v>
      </c>
      <c r="V208" s="7">
        <f>Table11[[#This Row],[Planting Year]]</f>
        <v>2020</v>
      </c>
      <c r="W208" s="8">
        <f>Table11[[#This Row],[Survival% as of 12/31/23]]</f>
        <v>0</v>
      </c>
      <c r="X208" s="7">
        <f>Table11[[#This Row],[ETP'#s]]</f>
        <v>1</v>
      </c>
    </row>
    <row r="209" spans="1:24" x14ac:dyDescent="0.25">
      <c r="A209">
        <f>Table11[[#This Row],[Farmer'#]]</f>
        <v>40006</v>
      </c>
      <c r="B209" t="str">
        <f>Table11[[#This Row],[Representative]]</f>
        <v>Cesar Aaron Olquin Jimenez</v>
      </c>
      <c r="C209" t="str">
        <f>Table11[[#This Row],[Contract Name]]</f>
        <v>Cesar Aaron Olquin Jimenez</v>
      </c>
      <c r="D209" t="str">
        <f>Table11[[#This Row],[Status]]</f>
        <v>Out of Program</v>
      </c>
      <c r="E209" t="str">
        <f>Table11[[#This Row],[Contract Code]]</f>
        <v>MX0007</v>
      </c>
      <c r="F209" s="16">
        <f>Table11[[#This Row],['#TreesContract]]</f>
        <v>14300</v>
      </c>
      <c r="G209" s="16">
        <f>Table11[[#This Row],['#Planted]]</f>
        <v>14300</v>
      </c>
      <c r="H209" s="16">
        <f>Table11[[#This Row],['#TreesContract]]*Table11[[#This Row],[Canada Allocation %]]</f>
        <v>0</v>
      </c>
      <c r="I209" s="16">
        <f>Table11[[#This Row],['#Planted]]*Table11[[#This Row],[Canada Allocation %]]</f>
        <v>0</v>
      </c>
      <c r="J209" s="16">
        <f>Table11[[#This Row],[Contract Amendment]]*Table11[[#This Row],[Canada Allocation %]]</f>
        <v>0</v>
      </c>
      <c r="K209" s="16">
        <f>Table11[[#This Row],['#Trees as of 12/31/23]]*Table11[[#This Row],[Canada Allocation %]]</f>
        <v>0</v>
      </c>
      <c r="L209" s="16">
        <f>Table11[[#This Row],['#Replace 24]]*Table11[[#This Row],[Canada Allocation %]]</f>
        <v>0</v>
      </c>
      <c r="M209" s="16"/>
      <c r="N209" s="16">
        <f>(Table11[[#This Row],[2024 '#Trees Inventory + Estimate]]*Table11[[#This Row],[Canada Allocation %]])-SUM(Table378[[#This Row],['# Trees as of 12/31/23]:[New Trees/Planted in 2024]])</f>
        <v>0</v>
      </c>
      <c r="O209" s="16">
        <f>SUM(Table378[[#This Row],['# Trees as of 12/31/23]:[2024 Tree Losses]])</f>
        <v>0</v>
      </c>
      <c r="P209" s="16">
        <f>SUM(Table378[[#This Row],[Total Trees as of 12/31/24]]-Table378[[#This Row],['# Trees as of 12/31/23]])</f>
        <v>0</v>
      </c>
      <c r="Q209" s="16">
        <f>Table11[[#This Row],['#Total Replacements]]*Table11[[#This Row],[Canada Allocation %]]</f>
        <v>0</v>
      </c>
      <c r="R209" s="16">
        <f>IF(Table378[[#This Row],['#Survival based on Inventory]]=0,Table378['#Survival based on Last Year Estimate],Table378['#Survival based on Inventory])</f>
        <v>0</v>
      </c>
      <c r="S209" s="16">
        <f>Table11[[#This Row],['#Planted]]*Table11[[#This Row],[Canada Allocation %]]*Table11[[#This Row],[2024 Inventory Survival%-master]]</f>
        <v>0</v>
      </c>
      <c r="T209" s="16">
        <f>Table11[[#This Row],['#Planted]]*Table11[[#This Row],[Canada Allocation %]]*Table11[[#This Row],[2024 Estimated Survival%]]</f>
        <v>0</v>
      </c>
      <c r="U209" s="7" t="str">
        <f>Table11[[#This Row],[ETP Year]]</f>
        <v>2020-NA/BA</v>
      </c>
      <c r="V209" s="7">
        <f>Table11[[#This Row],[Planting Year]]</f>
        <v>2020</v>
      </c>
      <c r="W209" s="8">
        <f>Table11[[#This Row],[Survival% as of 12/31/23]]</f>
        <v>0</v>
      </c>
      <c r="X209" s="7">
        <f>Table11[[#This Row],[ETP'#s]]</f>
        <v>1</v>
      </c>
    </row>
    <row r="210" spans="1:24" x14ac:dyDescent="0.25">
      <c r="A210">
        <f>Table11[[#This Row],[Farmer'#]]</f>
        <v>40007</v>
      </c>
      <c r="B210" t="str">
        <f>Table11[[#This Row],[Representative]]</f>
        <v>Heriberto Mendoza Villegas</v>
      </c>
      <c r="C210" t="str">
        <f>Table11[[#This Row],[Contract Name]]</f>
        <v>Dionicio Mendoza Rinconcillo</v>
      </c>
      <c r="D210" t="str">
        <f>Table11[[#This Row],[Status]]</f>
        <v>Out of Program</v>
      </c>
      <c r="E210" t="str">
        <f>Table11[[#This Row],[Contract Code]]</f>
        <v>MX0008</v>
      </c>
      <c r="F210" s="16">
        <f>Table11[[#This Row],['#TreesContract]]</f>
        <v>5500</v>
      </c>
      <c r="G210" s="16">
        <f>Table11[[#This Row],['#Planted]]</f>
        <v>5500</v>
      </c>
      <c r="H210" s="16">
        <f>Table11[[#This Row],['#TreesContract]]*Table11[[#This Row],[Canada Allocation %]]</f>
        <v>0</v>
      </c>
      <c r="I210" s="16">
        <f>Table11[[#This Row],['#Planted]]*Table11[[#This Row],[Canada Allocation %]]</f>
        <v>0</v>
      </c>
      <c r="J210" s="16">
        <f>Table11[[#This Row],[Contract Amendment]]*Table11[[#This Row],[Canada Allocation %]]</f>
        <v>0</v>
      </c>
      <c r="K210" s="16">
        <f>Table11[[#This Row],['#Trees as of 12/31/23]]*Table11[[#This Row],[Canada Allocation %]]</f>
        <v>0</v>
      </c>
      <c r="L210" s="16">
        <f>Table11[[#This Row],['#Replace 24]]*Table11[[#This Row],[Canada Allocation %]]</f>
        <v>0</v>
      </c>
      <c r="M210" s="16"/>
      <c r="N210" s="16">
        <f>(Table11[[#This Row],[2024 '#Trees Inventory + Estimate]]*Table11[[#This Row],[Canada Allocation %]])-SUM(Table378[[#This Row],['# Trees as of 12/31/23]:[New Trees/Planted in 2024]])</f>
        <v>0</v>
      </c>
      <c r="O210" s="16">
        <f>SUM(Table378[[#This Row],['# Trees as of 12/31/23]:[2024 Tree Losses]])</f>
        <v>0</v>
      </c>
      <c r="P210" s="16">
        <f>SUM(Table378[[#This Row],[Total Trees as of 12/31/24]]-Table378[[#This Row],['# Trees as of 12/31/23]])</f>
        <v>0</v>
      </c>
      <c r="Q210" s="16">
        <f>Table11[[#This Row],['#Total Replacements]]*Table11[[#This Row],[Canada Allocation %]]</f>
        <v>0</v>
      </c>
      <c r="R210" s="16">
        <f>IF(Table378[[#This Row],['#Survival based on Inventory]]=0,Table378['#Survival based on Last Year Estimate],Table378['#Survival based on Inventory])</f>
        <v>0</v>
      </c>
      <c r="S210" s="16">
        <f>Table11[[#This Row],['#Planted]]*Table11[[#This Row],[Canada Allocation %]]*Table11[[#This Row],[2024 Inventory Survival%-master]]</f>
        <v>0</v>
      </c>
      <c r="T210" s="16">
        <f>Table11[[#This Row],['#Planted]]*Table11[[#This Row],[Canada Allocation %]]*Table11[[#This Row],[2024 Estimated Survival%]]</f>
        <v>0</v>
      </c>
      <c r="U210" s="7" t="str">
        <f>Table11[[#This Row],[ETP Year]]</f>
        <v>2020-NA/BA</v>
      </c>
      <c r="V210" s="7">
        <f>Table11[[#This Row],[Planting Year]]</f>
        <v>2020</v>
      </c>
      <c r="W210" s="8">
        <f>Table11[[#This Row],[Survival% as of 12/31/23]]</f>
        <v>0</v>
      </c>
      <c r="X210" s="7">
        <f>Table11[[#This Row],[ETP'#s]]</f>
        <v>1</v>
      </c>
    </row>
    <row r="211" spans="1:24" x14ac:dyDescent="0.25">
      <c r="A211">
        <f>Table11[[#This Row],[Farmer'#]]</f>
        <v>40009</v>
      </c>
      <c r="B211" t="str">
        <f>Table11[[#This Row],[Representative]]</f>
        <v>Víctor Manuel Godínez Martínez</v>
      </c>
      <c r="C211" t="str">
        <f>Table11[[#This Row],[Contract Name]]</f>
        <v>Jesus Enriquez Magana</v>
      </c>
      <c r="D211" t="str">
        <f>Table11[[#This Row],[Status]]</f>
        <v>Out of Program</v>
      </c>
      <c r="E211" t="str">
        <f>Table11[[#This Row],[Contract Code]]</f>
        <v>MX0010</v>
      </c>
      <c r="F211" s="16">
        <f>Table11[[#This Row],['#TreesContract]]</f>
        <v>0</v>
      </c>
      <c r="G211" s="16">
        <f>Table11[[#This Row],['#Planted]]</f>
        <v>0</v>
      </c>
      <c r="H211" s="16">
        <f>Table11[[#This Row],['#TreesContract]]*Table11[[#This Row],[Canada Allocation %]]</f>
        <v>0</v>
      </c>
      <c r="I211" s="16">
        <f>Table11[[#This Row],['#Planted]]*Table11[[#This Row],[Canada Allocation %]]</f>
        <v>0</v>
      </c>
      <c r="J211" s="16">
        <f>Table11[[#This Row],[Contract Amendment]]*Table11[[#This Row],[Canada Allocation %]]</f>
        <v>0</v>
      </c>
      <c r="K211" s="16">
        <f>Table11[[#This Row],['#Trees as of 12/31/23]]*Table11[[#This Row],[Canada Allocation %]]</f>
        <v>0</v>
      </c>
      <c r="L211" s="16">
        <f>Table11[[#This Row],['#Replace 24]]*Table11[[#This Row],[Canada Allocation %]]</f>
        <v>0</v>
      </c>
      <c r="M211" s="16"/>
      <c r="N211" s="16">
        <f>(Table11[[#This Row],[2024 '#Trees Inventory + Estimate]]*Table11[[#This Row],[Canada Allocation %]])-SUM(Table378[[#This Row],['# Trees as of 12/31/23]:[New Trees/Planted in 2024]])</f>
        <v>0</v>
      </c>
      <c r="O211" s="16">
        <f>SUM(Table378[[#This Row],['# Trees as of 12/31/23]:[2024 Tree Losses]])</f>
        <v>0</v>
      </c>
      <c r="P211" s="16">
        <f>SUM(Table378[[#This Row],[Total Trees as of 12/31/24]]-Table378[[#This Row],['# Trees as of 12/31/23]])</f>
        <v>0</v>
      </c>
      <c r="Q211" s="16">
        <f>Table11[[#This Row],['#Total Replacements]]*Table11[[#This Row],[Canada Allocation %]]</f>
        <v>0</v>
      </c>
      <c r="R211" s="16">
        <f>IF(Table378[[#This Row],['#Survival based on Inventory]]=0,Table378['#Survival based on Last Year Estimate],Table378['#Survival based on Inventory])</f>
        <v>0</v>
      </c>
      <c r="S211" s="16">
        <f>Table11[[#This Row],['#Planted]]*Table11[[#This Row],[Canada Allocation %]]*Table11[[#This Row],[2024 Inventory Survival%-master]]</f>
        <v>0</v>
      </c>
      <c r="T211" s="16">
        <f>Table11[[#This Row],['#Planted]]*Table11[[#This Row],[Canada Allocation %]]*Table11[[#This Row],[2024 Estimated Survival%]]</f>
        <v>0</v>
      </c>
      <c r="U211" s="7" t="str">
        <f>Table11[[#This Row],[ETP Year]]</f>
        <v>2020-NA/BA</v>
      </c>
      <c r="V211" s="7">
        <f>Table11[[#This Row],[Planting Year]]</f>
        <v>2020</v>
      </c>
      <c r="W211" s="8">
        <f>Table11[[#This Row],[Survival% as of 12/31/23]]</f>
        <v>0</v>
      </c>
      <c r="X211" s="7">
        <f>Table11[[#This Row],[ETP'#s]]</f>
        <v>0</v>
      </c>
    </row>
    <row r="212" spans="1:24" x14ac:dyDescent="0.25">
      <c r="A212">
        <f>Table11[[#This Row],[Farmer'#]]</f>
        <v>40010</v>
      </c>
      <c r="B212" t="str">
        <f>Table11[[#This Row],[Representative]]</f>
        <v>Jose Dolores Hugo Torres Hernandez</v>
      </c>
      <c r="C212" t="str">
        <f>Table11[[#This Row],[Contract Name]]</f>
        <v>Miguel Angel García Torres</v>
      </c>
      <c r="D212" t="str">
        <f>Table11[[#This Row],[Status]]</f>
        <v>Out of Program</v>
      </c>
      <c r="E212" t="str">
        <f>Table11[[#This Row],[Contract Code]]</f>
        <v>MX0011</v>
      </c>
      <c r="F212" s="16">
        <f>Table11[[#This Row],['#TreesContract]]</f>
        <v>4400</v>
      </c>
      <c r="G212" s="16">
        <f>Table11[[#This Row],['#Planted]]</f>
        <v>4400</v>
      </c>
      <c r="H212" s="16">
        <f>Table11[[#This Row],['#TreesContract]]*Table11[[#This Row],[Canada Allocation %]]</f>
        <v>0</v>
      </c>
      <c r="I212" s="16">
        <f>Table11[[#This Row],['#Planted]]*Table11[[#This Row],[Canada Allocation %]]</f>
        <v>0</v>
      </c>
      <c r="J212" s="16">
        <f>Table11[[#This Row],[Contract Amendment]]*Table11[[#This Row],[Canada Allocation %]]</f>
        <v>0</v>
      </c>
      <c r="K212" s="16">
        <f>Table11[[#This Row],['#Trees as of 12/31/23]]*Table11[[#This Row],[Canada Allocation %]]</f>
        <v>0</v>
      </c>
      <c r="L212" s="16">
        <f>Table11[[#This Row],['#Replace 24]]*Table11[[#This Row],[Canada Allocation %]]</f>
        <v>0</v>
      </c>
      <c r="M212" s="16"/>
      <c r="N212" s="16">
        <f>(Table11[[#This Row],[2024 '#Trees Inventory + Estimate]]*Table11[[#This Row],[Canada Allocation %]])-SUM(Table378[[#This Row],['# Trees as of 12/31/23]:[New Trees/Planted in 2024]])</f>
        <v>0</v>
      </c>
      <c r="O212" s="16">
        <f>SUM(Table378[[#This Row],['# Trees as of 12/31/23]:[2024 Tree Losses]])</f>
        <v>0</v>
      </c>
      <c r="P212" s="16">
        <f>SUM(Table378[[#This Row],[Total Trees as of 12/31/24]]-Table378[[#This Row],['# Trees as of 12/31/23]])</f>
        <v>0</v>
      </c>
      <c r="Q212" s="16">
        <f>Table11[[#This Row],['#Total Replacements]]*Table11[[#This Row],[Canada Allocation %]]</f>
        <v>0</v>
      </c>
      <c r="R212" s="16">
        <f>IF(Table378[[#This Row],['#Survival based on Inventory]]=0,Table378['#Survival based on Last Year Estimate],Table378['#Survival based on Inventory])</f>
        <v>0</v>
      </c>
      <c r="S212" s="16">
        <f>Table11[[#This Row],['#Planted]]*Table11[[#This Row],[Canada Allocation %]]*Table11[[#This Row],[2024 Inventory Survival%-master]]</f>
        <v>0</v>
      </c>
      <c r="T212" s="16">
        <f>Table11[[#This Row],['#Planted]]*Table11[[#This Row],[Canada Allocation %]]*Table11[[#This Row],[2024 Estimated Survival%]]</f>
        <v>0</v>
      </c>
      <c r="U212" s="7">
        <f>Table11[[#This Row],[ETP Year]]</f>
        <v>2020</v>
      </c>
      <c r="V212" s="7">
        <f>Table11[[#This Row],[Planting Year]]</f>
        <v>2020</v>
      </c>
      <c r="W212" s="8">
        <f>Table11[[#This Row],[Survival% as of 12/31/23]]</f>
        <v>0</v>
      </c>
      <c r="X212" s="7">
        <f>Table11[[#This Row],[ETP'#s]]</f>
        <v>1</v>
      </c>
    </row>
    <row r="213" spans="1:24" x14ac:dyDescent="0.25">
      <c r="A213">
        <f>Table11[[#This Row],[Farmer'#]]</f>
        <v>40011</v>
      </c>
      <c r="B213" t="str">
        <f>Table11[[#This Row],[Representative]]</f>
        <v>Juan Carlos Cardoso Vargas</v>
      </c>
      <c r="C213" t="str">
        <f>Table11[[#This Row],[Contract Name]]</f>
        <v>Juan Carlos Cardoso Vargas</v>
      </c>
      <c r="D213" t="str">
        <f>Table11[[#This Row],[Status]]</f>
        <v>RFT</v>
      </c>
      <c r="E213" t="str">
        <f>Table11[[#This Row],[Contract Code]]</f>
        <v>MX0012</v>
      </c>
      <c r="F213" s="16">
        <f>Table11[[#This Row],['#TreesContract]]</f>
        <v>12000</v>
      </c>
      <c r="G213" s="16">
        <f>Table11[[#This Row],['#Planted]]</f>
        <v>12000</v>
      </c>
      <c r="H213" s="16">
        <f>Table11[[#This Row],['#TreesContract]]*Table11[[#This Row],[Canada Allocation %]]</f>
        <v>0</v>
      </c>
      <c r="I213" s="16">
        <f>Table11[[#This Row],['#Planted]]*Table11[[#This Row],[Canada Allocation %]]</f>
        <v>0</v>
      </c>
      <c r="J213" s="16">
        <f>Table11[[#This Row],[Contract Amendment]]*Table11[[#This Row],[Canada Allocation %]]</f>
        <v>0</v>
      </c>
      <c r="K213" s="16">
        <f>Table11[[#This Row],['#Trees as of 12/31/23]]*Table11[[#This Row],[Canada Allocation %]]</f>
        <v>0</v>
      </c>
      <c r="L213" s="16">
        <f>Table11[[#This Row],['#Replace 24]]*Table11[[#This Row],[Canada Allocation %]]</f>
        <v>0</v>
      </c>
      <c r="M213" s="16"/>
      <c r="N213" s="16">
        <f>(Table11[[#This Row],[2024 '#Trees Inventory + Estimate]]*Table11[[#This Row],[Canada Allocation %]])-SUM(Table378[[#This Row],['# Trees as of 12/31/23]:[New Trees/Planted in 2024]])</f>
        <v>0</v>
      </c>
      <c r="O213" s="16">
        <f>SUM(Table378[[#This Row],['# Trees as of 12/31/23]:[2024 Tree Losses]])</f>
        <v>0</v>
      </c>
      <c r="P213" s="16">
        <f>SUM(Table378[[#This Row],[Total Trees as of 12/31/24]]-Table378[[#This Row],['# Trees as of 12/31/23]])</f>
        <v>0</v>
      </c>
      <c r="Q213" s="16">
        <f>Table11[[#This Row],['#Total Replacements]]*Table11[[#This Row],[Canada Allocation %]]</f>
        <v>0</v>
      </c>
      <c r="R213" s="16">
        <f>IF(Table378[[#This Row],['#Survival based on Inventory]]=0,Table378['#Survival based on Last Year Estimate],Table378['#Survival based on Inventory])</f>
        <v>0</v>
      </c>
      <c r="S213" s="16">
        <f>Table11[[#This Row],['#Planted]]*Table11[[#This Row],[Canada Allocation %]]*Table11[[#This Row],[2024 Inventory Survival%-master]]</f>
        <v>0</v>
      </c>
      <c r="T213" s="16">
        <f>Table11[[#This Row],['#Planted]]*Table11[[#This Row],[Canada Allocation %]]*Table11[[#This Row],[2024 Estimated Survival%]]</f>
        <v>0</v>
      </c>
      <c r="U213" s="7" t="str">
        <f>Table11[[#This Row],[ETP Year]]</f>
        <v>2020-NA/BA</v>
      </c>
      <c r="V213" s="7">
        <f>Table11[[#This Row],[Planting Year]]</f>
        <v>2020</v>
      </c>
      <c r="W213" s="8">
        <f>Table11[[#This Row],[Survival% as of 12/31/23]]</f>
        <v>0.34</v>
      </c>
      <c r="X213" s="7">
        <f>Table11[[#This Row],[ETP'#s]]</f>
        <v>1</v>
      </c>
    </row>
    <row r="214" spans="1:24" x14ac:dyDescent="0.25">
      <c r="A214">
        <f>Table11[[#This Row],[Farmer'#]]</f>
        <v>40012</v>
      </c>
      <c r="B214" t="str">
        <f>Table11[[#This Row],[Representative]]</f>
        <v>Juan Chavez Calderon</v>
      </c>
      <c r="C214" t="str">
        <f>Table11[[#This Row],[Contract Name]]</f>
        <v>Juan Chavez Calderon</v>
      </c>
      <c r="D214" t="str">
        <f>Table11[[#This Row],[Status]]</f>
        <v>Active</v>
      </c>
      <c r="E214" t="str">
        <f>Table11[[#This Row],[Contract Code]]</f>
        <v>MX0013</v>
      </c>
      <c r="F214" s="16">
        <f>Table11[[#This Row],['#TreesContract]]</f>
        <v>2750</v>
      </c>
      <c r="G214" s="16">
        <f>Table11[[#This Row],['#Planted]]</f>
        <v>2750</v>
      </c>
      <c r="H214" s="16">
        <f>Table11[[#This Row],['#TreesContract]]*Table11[[#This Row],[Canada Allocation %]]</f>
        <v>0</v>
      </c>
      <c r="I214" s="16">
        <f>Table11[[#This Row],['#Planted]]*Table11[[#This Row],[Canada Allocation %]]</f>
        <v>0</v>
      </c>
      <c r="J214" s="16">
        <f>Table11[[#This Row],[Contract Amendment]]*Table11[[#This Row],[Canada Allocation %]]</f>
        <v>0</v>
      </c>
      <c r="K214" s="16">
        <f>Table11[[#This Row],['#Trees as of 12/31/23]]*Table11[[#This Row],[Canada Allocation %]]</f>
        <v>0</v>
      </c>
      <c r="L214" s="16">
        <f>Table11[[#This Row],['#Replace 24]]*Table11[[#This Row],[Canada Allocation %]]</f>
        <v>0</v>
      </c>
      <c r="M214" s="16"/>
      <c r="N214" s="16">
        <f>(Table11[[#This Row],[2024 '#Trees Inventory + Estimate]]*Table11[[#This Row],[Canada Allocation %]])-SUM(Table378[[#This Row],['# Trees as of 12/31/23]:[New Trees/Planted in 2024]])</f>
        <v>0</v>
      </c>
      <c r="O214" s="16">
        <f>SUM(Table378[[#This Row],['# Trees as of 12/31/23]:[2024 Tree Losses]])</f>
        <v>0</v>
      </c>
      <c r="P214" s="16">
        <f>SUM(Table378[[#This Row],[Total Trees as of 12/31/24]]-Table378[[#This Row],['# Trees as of 12/31/23]])</f>
        <v>0</v>
      </c>
      <c r="Q214" s="16">
        <f>Table11[[#This Row],['#Total Replacements]]*Table11[[#This Row],[Canada Allocation %]]</f>
        <v>0</v>
      </c>
      <c r="R214" s="16">
        <f>IF(Table378[[#This Row],['#Survival based on Inventory]]=0,Table378['#Survival based on Last Year Estimate],Table378['#Survival based on Inventory])</f>
        <v>0</v>
      </c>
      <c r="S214" s="16">
        <f>Table11[[#This Row],['#Planted]]*Table11[[#This Row],[Canada Allocation %]]*Table11[[#This Row],[2024 Inventory Survival%-master]]</f>
        <v>0</v>
      </c>
      <c r="T214" s="16">
        <f>Table11[[#This Row],['#Planted]]*Table11[[#This Row],[Canada Allocation %]]*Table11[[#This Row],[2024 Estimated Survival%]]</f>
        <v>0</v>
      </c>
      <c r="U214" s="7">
        <f>Table11[[#This Row],[ETP Year]]</f>
        <v>2020</v>
      </c>
      <c r="V214" s="7">
        <f>Table11[[#This Row],[Planting Year]]</f>
        <v>2020</v>
      </c>
      <c r="W214" s="8">
        <f>Table11[[#This Row],[Survival% as of 12/31/23]]</f>
        <v>0.66</v>
      </c>
      <c r="X214" s="7">
        <f>Table11[[#This Row],[ETP'#s]]</f>
        <v>1</v>
      </c>
    </row>
    <row r="215" spans="1:24" x14ac:dyDescent="0.25">
      <c r="A215">
        <f>Table11[[#This Row],[Farmer'#]]</f>
        <v>40013</v>
      </c>
      <c r="B215" t="str">
        <f>Table11[[#This Row],[Representative]]</f>
        <v>Norma Pérez González</v>
      </c>
      <c r="C215" t="str">
        <f>Table11[[#This Row],[Contract Name]]</f>
        <v>Juan Luis Villeda Gayosso</v>
      </c>
      <c r="D215" t="str">
        <f>Table11[[#This Row],[Status]]</f>
        <v>RFT</v>
      </c>
      <c r="E215" t="str">
        <f>Table11[[#This Row],[Contract Code]]</f>
        <v>MX0014</v>
      </c>
      <c r="F215" s="16">
        <f>Table11[[#This Row],['#TreesContract]]</f>
        <v>3300</v>
      </c>
      <c r="G215" s="16">
        <f>Table11[[#This Row],['#Planted]]</f>
        <v>3300</v>
      </c>
      <c r="H215" s="16">
        <f>Table11[[#This Row],['#TreesContract]]*Table11[[#This Row],[Canada Allocation %]]</f>
        <v>0</v>
      </c>
      <c r="I215" s="16">
        <f>Table11[[#This Row],['#Planted]]*Table11[[#This Row],[Canada Allocation %]]</f>
        <v>0</v>
      </c>
      <c r="J215" s="16">
        <f>Table11[[#This Row],[Contract Amendment]]*Table11[[#This Row],[Canada Allocation %]]</f>
        <v>0</v>
      </c>
      <c r="K215" s="16">
        <f>Table11[[#This Row],['#Trees as of 12/31/23]]*Table11[[#This Row],[Canada Allocation %]]</f>
        <v>0</v>
      </c>
      <c r="L215" s="16">
        <f>Table11[[#This Row],['#Replace 24]]*Table11[[#This Row],[Canada Allocation %]]</f>
        <v>0</v>
      </c>
      <c r="M215" s="16"/>
      <c r="N215" s="16">
        <f>(Table11[[#This Row],[2024 '#Trees Inventory + Estimate]]*Table11[[#This Row],[Canada Allocation %]])-SUM(Table378[[#This Row],['# Trees as of 12/31/23]:[New Trees/Planted in 2024]])</f>
        <v>0</v>
      </c>
      <c r="O215" s="16">
        <f>SUM(Table378[[#This Row],['# Trees as of 12/31/23]:[2024 Tree Losses]])</f>
        <v>0</v>
      </c>
      <c r="P215" s="16">
        <f>SUM(Table378[[#This Row],[Total Trees as of 12/31/24]]-Table378[[#This Row],['# Trees as of 12/31/23]])</f>
        <v>0</v>
      </c>
      <c r="Q215" s="16">
        <f>Table11[[#This Row],['#Total Replacements]]*Table11[[#This Row],[Canada Allocation %]]</f>
        <v>0</v>
      </c>
      <c r="R215" s="16">
        <f>IF(Table378[[#This Row],['#Survival based on Inventory]]=0,Table378['#Survival based on Last Year Estimate],Table378['#Survival based on Inventory])</f>
        <v>0</v>
      </c>
      <c r="S215" s="16">
        <f>Table11[[#This Row],['#Planted]]*Table11[[#This Row],[Canada Allocation %]]*Table11[[#This Row],[2024 Inventory Survival%-master]]</f>
        <v>0</v>
      </c>
      <c r="T215" s="16">
        <f>Table11[[#This Row],['#Planted]]*Table11[[#This Row],[Canada Allocation %]]*Table11[[#This Row],[2024 Estimated Survival%]]</f>
        <v>0</v>
      </c>
      <c r="U215" s="7">
        <f>Table11[[#This Row],[ETP Year]]</f>
        <v>2020</v>
      </c>
      <c r="V215" s="7">
        <f>Table11[[#This Row],[Planting Year]]</f>
        <v>2020</v>
      </c>
      <c r="W215" s="8">
        <f>Table11[[#This Row],[Survival% as of 12/31/23]]</f>
        <v>0.64</v>
      </c>
      <c r="X215" s="7">
        <f>Table11[[#This Row],[ETP'#s]]</f>
        <v>1</v>
      </c>
    </row>
    <row r="216" spans="1:24" x14ac:dyDescent="0.25">
      <c r="A216">
        <f>Table11[[#This Row],[Farmer'#]]</f>
        <v>40014</v>
      </c>
      <c r="B216" t="str">
        <f>Table11[[#This Row],[Representative]]</f>
        <v>Lucila Morales Druallet</v>
      </c>
      <c r="C216" t="str">
        <f>Table11[[#This Row],[Contract Name]]</f>
        <v>Lucila Morales Druallet</v>
      </c>
      <c r="D216" t="str">
        <f>Table11[[#This Row],[Status]]</f>
        <v>Out of Program</v>
      </c>
      <c r="E216" t="str">
        <f>Table11[[#This Row],[Contract Code]]</f>
        <v>MX0015</v>
      </c>
      <c r="F216" s="16">
        <f>Table11[[#This Row],['#TreesContract]]</f>
        <v>2750</v>
      </c>
      <c r="G216" s="16">
        <f>Table11[[#This Row],['#Planted]]</f>
        <v>2750</v>
      </c>
      <c r="H216" s="16">
        <f>Table11[[#This Row],['#TreesContract]]*Table11[[#This Row],[Canada Allocation %]]</f>
        <v>0</v>
      </c>
      <c r="I216" s="16">
        <f>Table11[[#This Row],['#Planted]]*Table11[[#This Row],[Canada Allocation %]]</f>
        <v>0</v>
      </c>
      <c r="J216" s="16">
        <f>Table11[[#This Row],[Contract Amendment]]*Table11[[#This Row],[Canada Allocation %]]</f>
        <v>0</v>
      </c>
      <c r="K216" s="16">
        <f>Table11[[#This Row],['#Trees as of 12/31/23]]*Table11[[#This Row],[Canada Allocation %]]</f>
        <v>0</v>
      </c>
      <c r="L216" s="16">
        <f>Table11[[#This Row],['#Replace 24]]*Table11[[#This Row],[Canada Allocation %]]</f>
        <v>0</v>
      </c>
      <c r="M216" s="16"/>
      <c r="N216" s="16">
        <f>(Table11[[#This Row],[2024 '#Trees Inventory + Estimate]]*Table11[[#This Row],[Canada Allocation %]])-SUM(Table378[[#This Row],['# Trees as of 12/31/23]:[New Trees/Planted in 2024]])</f>
        <v>0</v>
      </c>
      <c r="O216" s="16">
        <f>SUM(Table378[[#This Row],['# Trees as of 12/31/23]:[2024 Tree Losses]])</f>
        <v>0</v>
      </c>
      <c r="P216" s="16">
        <f>SUM(Table378[[#This Row],[Total Trees as of 12/31/24]]-Table378[[#This Row],['# Trees as of 12/31/23]])</f>
        <v>0</v>
      </c>
      <c r="Q216" s="16">
        <f>Table11[[#This Row],['#Total Replacements]]*Table11[[#This Row],[Canada Allocation %]]</f>
        <v>0</v>
      </c>
      <c r="R216" s="16">
        <f>IF(Table378[[#This Row],['#Survival based on Inventory]]=0,Table378['#Survival based on Last Year Estimate],Table378['#Survival based on Inventory])</f>
        <v>0</v>
      </c>
      <c r="S216" s="16">
        <f>Table11[[#This Row],['#Planted]]*Table11[[#This Row],[Canada Allocation %]]*Table11[[#This Row],[2024 Inventory Survival%-master]]</f>
        <v>0</v>
      </c>
      <c r="T216" s="16">
        <f>Table11[[#This Row],['#Planted]]*Table11[[#This Row],[Canada Allocation %]]*Table11[[#This Row],[2024 Estimated Survival%]]</f>
        <v>0</v>
      </c>
      <c r="U216" s="7" t="str">
        <f>Table11[[#This Row],[ETP Year]]</f>
        <v>2020-NA/BA</v>
      </c>
      <c r="V216" s="7">
        <f>Table11[[#This Row],[Planting Year]]</f>
        <v>2020</v>
      </c>
      <c r="W216" s="8">
        <f>Table11[[#This Row],[Survival% as of 12/31/23]]</f>
        <v>0</v>
      </c>
      <c r="X216" s="7">
        <f>Table11[[#This Row],[ETP'#s]]</f>
        <v>1</v>
      </c>
    </row>
    <row r="217" spans="1:24" x14ac:dyDescent="0.25">
      <c r="A217">
        <f>Table11[[#This Row],[Farmer'#]]</f>
        <v>40015</v>
      </c>
      <c r="B217" t="str">
        <f>Table11[[#This Row],[Representative]]</f>
        <v>Miguel Angel Parada Fuentes</v>
      </c>
      <c r="C217" t="str">
        <f>Table11[[#This Row],[Contract Name]]</f>
        <v>Miguel Angel Parada Fuentes</v>
      </c>
      <c r="D217" t="str">
        <f>Table11[[#This Row],[Status]]</f>
        <v>Out of Program</v>
      </c>
      <c r="E217" t="str">
        <f>Table11[[#This Row],[Contract Code]]</f>
        <v>MX0016</v>
      </c>
      <c r="F217" s="16">
        <f>Table11[[#This Row],['#TreesContract]]</f>
        <v>2200</v>
      </c>
      <c r="G217" s="16">
        <f>Table11[[#This Row],['#Planted]]</f>
        <v>2200</v>
      </c>
      <c r="H217" s="16">
        <f>Table11[[#This Row],['#TreesContract]]*Table11[[#This Row],[Canada Allocation %]]</f>
        <v>792</v>
      </c>
      <c r="I217" s="16">
        <f>Table11[[#This Row],['#Planted]]*Table11[[#This Row],[Canada Allocation %]]</f>
        <v>792</v>
      </c>
      <c r="J217" s="16">
        <f>Table11[[#This Row],[Contract Amendment]]*Table11[[#This Row],[Canada Allocation %]]</f>
        <v>0</v>
      </c>
      <c r="K217" s="16">
        <f>Table11[[#This Row],['#Trees as of 12/31/23]]*Table11[[#This Row],[Canada Allocation %]]</f>
        <v>0</v>
      </c>
      <c r="L217" s="16">
        <f>Table11[[#This Row],['#Replace 24]]*Table11[[#This Row],[Canada Allocation %]]</f>
        <v>0</v>
      </c>
      <c r="M217" s="16"/>
      <c r="N217" s="16">
        <f>(Table11[[#This Row],[2024 '#Trees Inventory + Estimate]]*Table11[[#This Row],[Canada Allocation %]])-SUM(Table378[[#This Row],['# Trees as of 12/31/23]:[New Trees/Planted in 2024]])</f>
        <v>0</v>
      </c>
      <c r="O217" s="16">
        <f>SUM(Table378[[#This Row],['# Trees as of 12/31/23]:[2024 Tree Losses]])</f>
        <v>0</v>
      </c>
      <c r="P217" s="16">
        <f>SUM(Table378[[#This Row],[Total Trees as of 12/31/24]]-Table378[[#This Row],['# Trees as of 12/31/23]])</f>
        <v>0</v>
      </c>
      <c r="Q217" s="16">
        <f>Table11[[#This Row],['#Total Replacements]]*Table11[[#This Row],[Canada Allocation %]]</f>
        <v>0</v>
      </c>
      <c r="R217" s="16">
        <f>IF(Table378[[#This Row],['#Survival based on Inventory]]=0,Table378['#Survival based on Last Year Estimate],Table378['#Survival based on Inventory])</f>
        <v>0</v>
      </c>
      <c r="S217" s="16">
        <f>Table11[[#This Row],['#Planted]]*Table11[[#This Row],[Canada Allocation %]]*Table11[[#This Row],[2024 Inventory Survival%-master]]</f>
        <v>0</v>
      </c>
      <c r="T217" s="16">
        <f>Table11[[#This Row],['#Planted]]*Table11[[#This Row],[Canada Allocation %]]*Table11[[#This Row],[2024 Estimated Survival%]]</f>
        <v>0</v>
      </c>
      <c r="U217" s="7">
        <f>Table11[[#This Row],[ETP Year]]</f>
        <v>2018</v>
      </c>
      <c r="V217" s="7">
        <f>Table11[[#This Row],[Planting Year]]</f>
        <v>2020</v>
      </c>
      <c r="W217" s="8">
        <f>Table11[[#This Row],[Survival% as of 12/31/23]]</f>
        <v>0</v>
      </c>
      <c r="X217" s="7">
        <f>Table11[[#This Row],[ETP'#s]]</f>
        <v>1</v>
      </c>
    </row>
    <row r="218" spans="1:24" x14ac:dyDescent="0.25">
      <c r="A218">
        <f>Table11[[#This Row],[Farmer'#]]</f>
        <v>40016</v>
      </c>
      <c r="B218" t="str">
        <f>Table11[[#This Row],[Representative]]</f>
        <v>Modesto Negrete Almeida</v>
      </c>
      <c r="C218" t="str">
        <f>Table11[[#This Row],[Contract Name]]</f>
        <v>Modesto Negrete Almeida</v>
      </c>
      <c r="D218" t="str">
        <f>Table11[[#This Row],[Status]]</f>
        <v>Out of Program</v>
      </c>
      <c r="E218" t="str">
        <f>Table11[[#This Row],[Contract Code]]</f>
        <v>MX0017</v>
      </c>
      <c r="F218" s="16">
        <f>Table11[[#This Row],['#TreesContract]]</f>
        <v>11550</v>
      </c>
      <c r="G218" s="16">
        <f>Table11[[#This Row],['#Planted]]</f>
        <v>11550</v>
      </c>
      <c r="H218" s="16">
        <f>Table11[[#This Row],['#TreesContract]]*Table11[[#This Row],[Canada Allocation %]]</f>
        <v>0</v>
      </c>
      <c r="I218" s="16">
        <f>Table11[[#This Row],['#Planted]]*Table11[[#This Row],[Canada Allocation %]]</f>
        <v>0</v>
      </c>
      <c r="J218" s="16">
        <f>Table11[[#This Row],[Contract Amendment]]*Table11[[#This Row],[Canada Allocation %]]</f>
        <v>0</v>
      </c>
      <c r="K218" s="16">
        <f>Table11[[#This Row],['#Trees as of 12/31/23]]*Table11[[#This Row],[Canada Allocation %]]</f>
        <v>0</v>
      </c>
      <c r="L218" s="16">
        <f>Table11[[#This Row],['#Replace 24]]*Table11[[#This Row],[Canada Allocation %]]</f>
        <v>0</v>
      </c>
      <c r="M218" s="16"/>
      <c r="N218" s="16">
        <f>(Table11[[#This Row],[2024 '#Trees Inventory + Estimate]]*Table11[[#This Row],[Canada Allocation %]])-SUM(Table378[[#This Row],['# Trees as of 12/31/23]:[New Trees/Planted in 2024]])</f>
        <v>0</v>
      </c>
      <c r="O218" s="16">
        <f>SUM(Table378[[#This Row],['# Trees as of 12/31/23]:[2024 Tree Losses]])</f>
        <v>0</v>
      </c>
      <c r="P218" s="16">
        <f>SUM(Table378[[#This Row],[Total Trees as of 12/31/24]]-Table378[[#This Row],['# Trees as of 12/31/23]])</f>
        <v>0</v>
      </c>
      <c r="Q218" s="16">
        <f>Table11[[#This Row],['#Total Replacements]]*Table11[[#This Row],[Canada Allocation %]]</f>
        <v>0</v>
      </c>
      <c r="R218" s="16">
        <f>IF(Table378[[#This Row],['#Survival based on Inventory]]=0,Table378['#Survival based on Last Year Estimate],Table378['#Survival based on Inventory])</f>
        <v>0</v>
      </c>
      <c r="S218" s="16">
        <f>Table11[[#This Row],['#Planted]]*Table11[[#This Row],[Canada Allocation %]]*Table11[[#This Row],[2024 Inventory Survival%-master]]</f>
        <v>0</v>
      </c>
      <c r="T218" s="16">
        <f>Table11[[#This Row],['#Planted]]*Table11[[#This Row],[Canada Allocation %]]*Table11[[#This Row],[2024 Estimated Survival%]]</f>
        <v>0</v>
      </c>
      <c r="U218" s="7" t="str">
        <f>Table11[[#This Row],[ETP Year]]</f>
        <v>2020-NA/BA</v>
      </c>
      <c r="V218" s="7">
        <f>Table11[[#This Row],[Planting Year]]</f>
        <v>2020</v>
      </c>
      <c r="W218" s="8">
        <f>Table11[[#This Row],[Survival% as of 12/31/23]]</f>
        <v>0</v>
      </c>
      <c r="X218" s="7">
        <f>Table11[[#This Row],[ETP'#s]]</f>
        <v>1</v>
      </c>
    </row>
    <row r="219" spans="1:24" x14ac:dyDescent="0.25">
      <c r="A219">
        <f>Table11[[#This Row],[Farmer'#]]</f>
        <v>40017</v>
      </c>
      <c r="B219" t="str">
        <f>Table11[[#This Row],[Representative]]</f>
        <v>Omar Ulises Guerrero Aboytes</v>
      </c>
      <c r="C219" t="str">
        <f>Table11[[#This Row],[Contract Name]]</f>
        <v>Omar Ulises Guerrero Aboytes</v>
      </c>
      <c r="D219" t="str">
        <f>Table11[[#This Row],[Status]]</f>
        <v>RFT</v>
      </c>
      <c r="E219" t="str">
        <f>Table11[[#This Row],[Contract Code]]</f>
        <v>MX0018</v>
      </c>
      <c r="F219" s="16">
        <f>Table11[[#This Row],['#TreesContract]]</f>
        <v>1000</v>
      </c>
      <c r="G219" s="16">
        <f>Table11[[#This Row],['#Planted]]</f>
        <v>1000</v>
      </c>
      <c r="H219" s="16">
        <f>Table11[[#This Row],['#TreesContract]]*Table11[[#This Row],[Canada Allocation %]]</f>
        <v>360</v>
      </c>
      <c r="I219" s="16">
        <f>Table11[[#This Row],['#Planted]]*Table11[[#This Row],[Canada Allocation %]]</f>
        <v>360</v>
      </c>
      <c r="J219" s="16">
        <f>Table11[[#This Row],[Contract Amendment]]*Table11[[#This Row],[Canada Allocation %]]</f>
        <v>0</v>
      </c>
      <c r="K219" s="16">
        <f>Table11[[#This Row],['#Trees as of 12/31/23]]*Table11[[#This Row],[Canada Allocation %]]</f>
        <v>122.39999999999999</v>
      </c>
      <c r="L219" s="16">
        <f>Table11[[#This Row],['#Replace 24]]*Table11[[#This Row],[Canada Allocation %]]</f>
        <v>0</v>
      </c>
      <c r="M219" s="16"/>
      <c r="N219" s="16">
        <f>(Table11[[#This Row],[2024 '#Trees Inventory + Estimate]]*Table11[[#This Row],[Canada Allocation %]])-SUM(Table378[[#This Row],['# Trees as of 12/31/23]:[New Trees/Planted in 2024]])</f>
        <v>0</v>
      </c>
      <c r="O219" s="16">
        <f>SUM(Table378[[#This Row],['# Trees as of 12/31/23]:[2024 Tree Losses]])</f>
        <v>122.39999999999999</v>
      </c>
      <c r="P219" s="16">
        <f>SUM(Table378[[#This Row],[Total Trees as of 12/31/24]]-Table378[[#This Row],['# Trees as of 12/31/23]])</f>
        <v>0</v>
      </c>
      <c r="Q219" s="16">
        <f>Table11[[#This Row],['#Total Replacements]]*Table11[[#This Row],[Canada Allocation %]]</f>
        <v>0</v>
      </c>
      <c r="R219" s="16">
        <f>IF(Table378[[#This Row],['#Survival based on Inventory]]=0,Table378['#Survival based on Last Year Estimate],Table378['#Survival based on Inventory])</f>
        <v>122.4</v>
      </c>
      <c r="S219" s="16">
        <f>Table11[[#This Row],['#Planted]]*Table11[[#This Row],[Canada Allocation %]]*Table11[[#This Row],[2024 Inventory Survival%-master]]</f>
        <v>0</v>
      </c>
      <c r="T219" s="16">
        <f>Table11[[#This Row],['#Planted]]*Table11[[#This Row],[Canada Allocation %]]*Table11[[#This Row],[2024 Estimated Survival%]]</f>
        <v>122.4</v>
      </c>
      <c r="U219" s="7">
        <f>Table11[[#This Row],[ETP Year]]</f>
        <v>2018</v>
      </c>
      <c r="V219" s="7">
        <f>Table11[[#This Row],[Planting Year]]</f>
        <v>2020</v>
      </c>
      <c r="W219" s="8">
        <f>Table11[[#This Row],[Survival% as of 12/31/23]]</f>
        <v>0.34</v>
      </c>
      <c r="X219" s="7">
        <f>Table11[[#This Row],[ETP'#s]]</f>
        <v>1</v>
      </c>
    </row>
    <row r="220" spans="1:24" x14ac:dyDescent="0.25">
      <c r="A220">
        <f>Table11[[#This Row],[Farmer'#]]</f>
        <v>40018</v>
      </c>
      <c r="B220" t="str">
        <f>Table11[[#This Row],[Representative]]</f>
        <v>Rogelio Rizo Velázquez</v>
      </c>
      <c r="C220" t="str">
        <f>Table11[[#This Row],[Contract Name]]</f>
        <v>Rogelio Rizo Velázquez</v>
      </c>
      <c r="D220" t="str">
        <f>Table11[[#This Row],[Status]]</f>
        <v>RFT</v>
      </c>
      <c r="E220" t="str">
        <f>Table11[[#This Row],[Contract Code]]</f>
        <v>MX0019</v>
      </c>
      <c r="F220" s="16">
        <f>Table11[[#This Row],['#TreesContract]]</f>
        <v>9200</v>
      </c>
      <c r="G220" s="16">
        <f>Table11[[#This Row],['#Planted]]</f>
        <v>9200</v>
      </c>
      <c r="H220" s="16">
        <f>Table11[[#This Row],['#TreesContract]]*Table11[[#This Row],[Canada Allocation %]]</f>
        <v>3312</v>
      </c>
      <c r="I220" s="16">
        <f>Table11[[#This Row],['#Planted]]*Table11[[#This Row],[Canada Allocation %]]</f>
        <v>3312</v>
      </c>
      <c r="J220" s="16">
        <f>Table11[[#This Row],[Contract Amendment]]*Table11[[#This Row],[Canada Allocation %]]</f>
        <v>0</v>
      </c>
      <c r="K220" s="16">
        <f>Table11[[#This Row],['#Trees as of 12/31/23]]*Table11[[#This Row],[Canada Allocation %]]</f>
        <v>2815.2</v>
      </c>
      <c r="L220" s="16">
        <f>Table11[[#This Row],['#Replace 24]]*Table11[[#This Row],[Canada Allocation %]]</f>
        <v>0</v>
      </c>
      <c r="M220" s="16"/>
      <c r="N220" s="16">
        <f>(Table11[[#This Row],[2024 '#Trees Inventory + Estimate]]*Table11[[#This Row],[Canada Allocation %]])-SUM(Table378[[#This Row],['# Trees as of 12/31/23]:[New Trees/Planted in 2024]])</f>
        <v>0</v>
      </c>
      <c r="O220" s="16">
        <f>SUM(Table378[[#This Row],['# Trees as of 12/31/23]:[2024 Tree Losses]])</f>
        <v>2815.2</v>
      </c>
      <c r="P220" s="16">
        <f>SUM(Table378[[#This Row],[Total Trees as of 12/31/24]]-Table378[[#This Row],['# Trees as of 12/31/23]])</f>
        <v>0</v>
      </c>
      <c r="Q220" s="16">
        <f>Table11[[#This Row],['#Total Replacements]]*Table11[[#This Row],[Canada Allocation %]]</f>
        <v>468</v>
      </c>
      <c r="R220" s="16">
        <f>IF(Table378[[#This Row],['#Survival based on Inventory]]=0,Table378['#Survival based on Last Year Estimate],Table378['#Survival based on Inventory])</f>
        <v>2815.2</v>
      </c>
      <c r="S220" s="16">
        <f>Table11[[#This Row],['#Planted]]*Table11[[#This Row],[Canada Allocation %]]*Table11[[#This Row],[2024 Inventory Survival%-master]]</f>
        <v>0</v>
      </c>
      <c r="T220" s="16">
        <f>Table11[[#This Row],['#Planted]]*Table11[[#This Row],[Canada Allocation %]]*Table11[[#This Row],[2024 Estimated Survival%]]</f>
        <v>2815.2</v>
      </c>
      <c r="U220" s="7">
        <f>Table11[[#This Row],[ETP Year]]</f>
        <v>2018</v>
      </c>
      <c r="V220" s="7">
        <f>Table11[[#This Row],[Planting Year]]</f>
        <v>2020</v>
      </c>
      <c r="W220" s="8">
        <f>Table11[[#This Row],[Survival% as of 12/31/23]]</f>
        <v>0.85</v>
      </c>
      <c r="X220" s="7">
        <f>Table11[[#This Row],[ETP'#s]]</f>
        <v>1</v>
      </c>
    </row>
    <row r="221" spans="1:24" x14ac:dyDescent="0.25">
      <c r="A221">
        <f>Table11[[#This Row],[Farmer'#]]</f>
        <v>40019</v>
      </c>
      <c r="B221" t="str">
        <f>Table11[[#This Row],[Representative]]</f>
        <v>Victor Manuel Godinez Martinez</v>
      </c>
      <c r="C221" t="str">
        <f>Table11[[#This Row],[Contract Name]]</f>
        <v>Victor Manuel Godinez Martinez</v>
      </c>
      <c r="D221" t="str">
        <f>Table11[[#This Row],[Status]]</f>
        <v>Out of Program</v>
      </c>
      <c r="E221" t="str">
        <f>Table11[[#This Row],[Contract Code]]</f>
        <v>MX0020</v>
      </c>
      <c r="F221" s="16">
        <f>Table11[[#This Row],['#TreesContract]]</f>
        <v>11000</v>
      </c>
      <c r="G221" s="16">
        <f>Table11[[#This Row],['#Planted]]</f>
        <v>11000</v>
      </c>
      <c r="H221" s="16">
        <f>Table11[[#This Row],['#TreesContract]]*Table11[[#This Row],[Canada Allocation %]]</f>
        <v>0</v>
      </c>
      <c r="I221" s="16">
        <f>Table11[[#This Row],['#Planted]]*Table11[[#This Row],[Canada Allocation %]]</f>
        <v>0</v>
      </c>
      <c r="J221" s="16">
        <f>Table11[[#This Row],[Contract Amendment]]*Table11[[#This Row],[Canada Allocation %]]</f>
        <v>0</v>
      </c>
      <c r="K221" s="16">
        <f>Table11[[#This Row],['#Trees as of 12/31/23]]*Table11[[#This Row],[Canada Allocation %]]</f>
        <v>0</v>
      </c>
      <c r="L221" s="16">
        <f>Table11[[#This Row],['#Replace 24]]*Table11[[#This Row],[Canada Allocation %]]</f>
        <v>0</v>
      </c>
      <c r="M221" s="16"/>
      <c r="N221" s="16">
        <f>(Table11[[#This Row],[2024 '#Trees Inventory + Estimate]]*Table11[[#This Row],[Canada Allocation %]])-SUM(Table378[[#This Row],['# Trees as of 12/31/23]:[New Trees/Planted in 2024]])</f>
        <v>0</v>
      </c>
      <c r="O221" s="16">
        <f>SUM(Table378[[#This Row],['# Trees as of 12/31/23]:[2024 Tree Losses]])</f>
        <v>0</v>
      </c>
      <c r="P221" s="16">
        <f>SUM(Table378[[#This Row],[Total Trees as of 12/31/24]]-Table378[[#This Row],['# Trees as of 12/31/23]])</f>
        <v>0</v>
      </c>
      <c r="Q221" s="16">
        <f>Table11[[#This Row],['#Total Replacements]]*Table11[[#This Row],[Canada Allocation %]]</f>
        <v>0</v>
      </c>
      <c r="R221" s="16">
        <f>IF(Table378[[#This Row],['#Survival based on Inventory]]=0,Table378['#Survival based on Last Year Estimate],Table378['#Survival based on Inventory])</f>
        <v>0</v>
      </c>
      <c r="S221" s="16">
        <f>Table11[[#This Row],['#Planted]]*Table11[[#This Row],[Canada Allocation %]]*Table11[[#This Row],[2024 Inventory Survival%-master]]</f>
        <v>0</v>
      </c>
      <c r="T221" s="16">
        <f>Table11[[#This Row],['#Planted]]*Table11[[#This Row],[Canada Allocation %]]*Table11[[#This Row],[2024 Estimated Survival%]]</f>
        <v>0</v>
      </c>
      <c r="U221" s="7">
        <f>Table11[[#This Row],[ETP Year]]</f>
        <v>2020</v>
      </c>
      <c r="V221" s="7">
        <f>Table11[[#This Row],[Planting Year]]</f>
        <v>2020</v>
      </c>
      <c r="W221" s="8">
        <f>Table11[[#This Row],[Survival% as of 12/31/23]]</f>
        <v>0</v>
      </c>
      <c r="X221" s="7">
        <f>Table11[[#This Row],[ETP'#s]]</f>
        <v>1</v>
      </c>
    </row>
    <row r="222" spans="1:24" x14ac:dyDescent="0.25">
      <c r="A222">
        <f>Table11[[#This Row],[Farmer'#]]</f>
        <v>10030</v>
      </c>
      <c r="B222" t="str">
        <f>Table11[[#This Row],[Representative]]</f>
        <v>Billy Whittaker</v>
      </c>
      <c r="C222" t="str">
        <f>Table11[[#This Row],[Contract Name]]</f>
        <v xml:space="preserve">Billy Whittaker </v>
      </c>
      <c r="D222" t="str">
        <f>Table11[[#This Row],[Status]]</f>
        <v>Out of Program</v>
      </c>
      <c r="E222" t="str">
        <f>Table11[[#This Row],[Contract Code]]</f>
        <v>US0093</v>
      </c>
      <c r="F222" s="16">
        <f>Table11[[#This Row],['#TreesContract]]</f>
        <v>280</v>
      </c>
      <c r="G222" s="16">
        <f>Table11[[#This Row],['#Planted]]</f>
        <v>280</v>
      </c>
      <c r="H222" s="16">
        <f>Table11[[#This Row],['#TreesContract]]*Table11[[#This Row],[Canada Allocation %]]</f>
        <v>0</v>
      </c>
      <c r="I222" s="16">
        <f>Table11[[#This Row],['#Planted]]*Table11[[#This Row],[Canada Allocation %]]</f>
        <v>0</v>
      </c>
      <c r="J222" s="16">
        <f>Table11[[#This Row],[Contract Amendment]]*Table11[[#This Row],[Canada Allocation %]]</f>
        <v>0</v>
      </c>
      <c r="K222" s="16">
        <f>Table11[[#This Row],['#Trees as of 12/31/23]]*Table11[[#This Row],[Canada Allocation %]]</f>
        <v>0</v>
      </c>
      <c r="L222" s="16">
        <f>Table11[[#This Row],['#Replace 24]]*Table11[[#This Row],[Canada Allocation %]]</f>
        <v>0</v>
      </c>
      <c r="M222" s="16"/>
      <c r="N222" s="16">
        <f>(Table11[[#This Row],[2024 '#Trees Inventory + Estimate]]*Table11[[#This Row],[Canada Allocation %]])-SUM(Table378[[#This Row],['# Trees as of 12/31/23]:[New Trees/Planted in 2024]])</f>
        <v>0</v>
      </c>
      <c r="O222" s="16">
        <f>SUM(Table378[[#This Row],['# Trees as of 12/31/23]:[2024 Tree Losses]])</f>
        <v>0</v>
      </c>
      <c r="P222" s="16">
        <f>SUM(Table378[[#This Row],[Total Trees as of 12/31/24]]-Table378[[#This Row],['# Trees as of 12/31/23]])</f>
        <v>0</v>
      </c>
      <c r="Q222" s="16">
        <f>Table11[[#This Row],['#Total Replacements]]*Table11[[#This Row],[Canada Allocation %]]</f>
        <v>0</v>
      </c>
      <c r="R222" s="16">
        <f>IF(Table378[[#This Row],['#Survival based on Inventory]]=0,Table378['#Survival based on Last Year Estimate],Table378['#Survival based on Inventory])</f>
        <v>0</v>
      </c>
      <c r="S222" s="16">
        <f>Table11[[#This Row],['#Planted]]*Table11[[#This Row],[Canada Allocation %]]*Table11[[#This Row],[2024 Inventory Survival%-master]]</f>
        <v>0</v>
      </c>
      <c r="T222" s="16">
        <f>Table11[[#This Row],['#Planted]]*Table11[[#This Row],[Canada Allocation %]]*Table11[[#This Row],[2024 Estimated Survival%]]</f>
        <v>0</v>
      </c>
      <c r="U222" s="7">
        <f>Table11[[#This Row],[ETP Year]]</f>
        <v>2020</v>
      </c>
      <c r="V222" s="7">
        <f>Table11[[#This Row],[Planting Year]]</f>
        <v>2021</v>
      </c>
      <c r="W222" s="8">
        <f>Table11[[#This Row],[Survival% as of 12/31/23]]</f>
        <v>0</v>
      </c>
      <c r="X222" s="7">
        <f>Table11[[#This Row],[ETP'#s]]</f>
        <v>1</v>
      </c>
    </row>
    <row r="223" spans="1:24" x14ac:dyDescent="0.25">
      <c r="A223">
        <f>Table11[[#This Row],[Farmer'#]]</f>
        <v>10048</v>
      </c>
      <c r="B223" t="str">
        <f>Table11[[#This Row],[Representative]]</f>
        <v>Billy Strange</v>
      </c>
      <c r="C223" t="str">
        <f>Table11[[#This Row],[Contract Name]]</f>
        <v>Billy Strange</v>
      </c>
      <c r="D223" t="str">
        <f>Table11[[#This Row],[Status]]</f>
        <v>Active</v>
      </c>
      <c r="E223" t="str">
        <f>Table11[[#This Row],[Contract Code]]</f>
        <v>US0092</v>
      </c>
      <c r="F223" s="16">
        <f>Table11[[#This Row],['#TreesContract]]</f>
        <v>900</v>
      </c>
      <c r="G223" s="16">
        <f>Table11[[#This Row],['#Planted]]</f>
        <v>900</v>
      </c>
      <c r="H223" s="16">
        <f>Table11[[#This Row],['#TreesContract]]*Table11[[#This Row],[Canada Allocation %]]</f>
        <v>0</v>
      </c>
      <c r="I223" s="16">
        <f>Table11[[#This Row],['#Planted]]*Table11[[#This Row],[Canada Allocation %]]</f>
        <v>0</v>
      </c>
      <c r="J223" s="16">
        <f>Table11[[#This Row],[Contract Amendment]]*Table11[[#This Row],[Canada Allocation %]]</f>
        <v>0</v>
      </c>
      <c r="K223" s="16">
        <f>Table11[[#This Row],['#Trees as of 12/31/23]]*Table11[[#This Row],[Canada Allocation %]]</f>
        <v>0</v>
      </c>
      <c r="L223" s="16">
        <f>Table11[[#This Row],['#Replace 24]]*Table11[[#This Row],[Canada Allocation %]]</f>
        <v>0</v>
      </c>
      <c r="M223" s="16"/>
      <c r="N223" s="16">
        <f>(Table11[[#This Row],[2024 '#Trees Inventory + Estimate]]*Table11[[#This Row],[Canada Allocation %]])-SUM(Table378[[#This Row],['# Trees as of 12/31/23]:[New Trees/Planted in 2024]])</f>
        <v>0</v>
      </c>
      <c r="O223" s="16">
        <f>SUM(Table378[[#This Row],['# Trees as of 12/31/23]:[2024 Tree Losses]])</f>
        <v>0</v>
      </c>
      <c r="P223" s="16">
        <f>SUM(Table378[[#This Row],[Total Trees as of 12/31/24]]-Table378[[#This Row],['# Trees as of 12/31/23]])</f>
        <v>0</v>
      </c>
      <c r="Q223" s="16">
        <f>Table11[[#This Row],['#Total Replacements]]*Table11[[#This Row],[Canada Allocation %]]</f>
        <v>0</v>
      </c>
      <c r="R223" s="16">
        <f>IF(Table378[[#This Row],['#Survival based on Inventory]]=0,Table378['#Survival based on Last Year Estimate],Table378['#Survival based on Inventory])</f>
        <v>0</v>
      </c>
      <c r="S223" s="16">
        <f>Table11[[#This Row],['#Planted]]*Table11[[#This Row],[Canada Allocation %]]*Table11[[#This Row],[2024 Inventory Survival%-master]]</f>
        <v>0</v>
      </c>
      <c r="T223" s="16">
        <f>Table11[[#This Row],['#Planted]]*Table11[[#This Row],[Canada Allocation %]]*Table11[[#This Row],[2024 Estimated Survival%]]</f>
        <v>0</v>
      </c>
      <c r="U223" s="7">
        <f>Table11[[#This Row],[ETP Year]]</f>
        <v>2020</v>
      </c>
      <c r="V223" s="7">
        <f>Table11[[#This Row],[Planting Year]]</f>
        <v>2021</v>
      </c>
      <c r="W223" s="8">
        <f>Table11[[#This Row],[Survival% as of 12/31/23]]</f>
        <v>0.59791666666666665</v>
      </c>
      <c r="X223" s="7">
        <f>Table11[[#This Row],[ETP'#s]]</f>
        <v>1</v>
      </c>
    </row>
    <row r="224" spans="1:24" x14ac:dyDescent="0.25">
      <c r="A224">
        <f>Table11[[#This Row],[Farmer'#]]</f>
        <v>10062</v>
      </c>
      <c r="B224" t="str">
        <f>Table11[[#This Row],[Representative]]</f>
        <v>John Hayes</v>
      </c>
      <c r="C224" t="str">
        <f>Table11[[#This Row],[Contract Name]]</f>
        <v>Hayes Farms LLC</v>
      </c>
      <c r="D224" t="str">
        <f>Table11[[#This Row],[Status]]</f>
        <v>Out of Program</v>
      </c>
      <c r="E224" t="str">
        <f>Table11[[#This Row],[Contract Code]]</f>
        <v>US0105</v>
      </c>
      <c r="F224" s="16">
        <f>Table11[[#This Row],['#TreesContract]]</f>
        <v>330</v>
      </c>
      <c r="G224" s="16">
        <f>Table11[[#This Row],['#Planted]]</f>
        <v>330</v>
      </c>
      <c r="H224" s="16">
        <f>Table11[[#This Row],['#TreesContract]]*Table11[[#This Row],[Canada Allocation %]]</f>
        <v>0</v>
      </c>
      <c r="I224" s="16">
        <f>Table11[[#This Row],['#Planted]]*Table11[[#This Row],[Canada Allocation %]]</f>
        <v>0</v>
      </c>
      <c r="J224" s="16">
        <f>Table11[[#This Row],[Contract Amendment]]*Table11[[#This Row],[Canada Allocation %]]</f>
        <v>0</v>
      </c>
      <c r="K224" s="16">
        <f>Table11[[#This Row],['#Trees as of 12/31/23]]*Table11[[#This Row],[Canada Allocation %]]</f>
        <v>0</v>
      </c>
      <c r="L224" s="16">
        <f>Table11[[#This Row],['#Replace 24]]*Table11[[#This Row],[Canada Allocation %]]</f>
        <v>0</v>
      </c>
      <c r="M224" s="16"/>
      <c r="N224" s="16">
        <f>(Table11[[#This Row],[2024 '#Trees Inventory + Estimate]]*Table11[[#This Row],[Canada Allocation %]])-SUM(Table378[[#This Row],['# Trees as of 12/31/23]:[New Trees/Planted in 2024]])</f>
        <v>0</v>
      </c>
      <c r="O224" s="16">
        <f>SUM(Table378[[#This Row],['# Trees as of 12/31/23]:[2024 Tree Losses]])</f>
        <v>0</v>
      </c>
      <c r="P224" s="16">
        <f>SUM(Table378[[#This Row],[Total Trees as of 12/31/24]]-Table378[[#This Row],['# Trees as of 12/31/23]])</f>
        <v>0</v>
      </c>
      <c r="Q224" s="16">
        <f>Table11[[#This Row],['#Total Replacements]]*Table11[[#This Row],[Canada Allocation %]]</f>
        <v>0</v>
      </c>
      <c r="R224" s="16">
        <f>IF(Table378[[#This Row],['#Survival based on Inventory]]=0,Table378['#Survival based on Last Year Estimate],Table378['#Survival based on Inventory])</f>
        <v>0</v>
      </c>
      <c r="S224" s="16">
        <f>Table11[[#This Row],['#Planted]]*Table11[[#This Row],[Canada Allocation %]]*Table11[[#This Row],[2024 Inventory Survival%-master]]</f>
        <v>0</v>
      </c>
      <c r="T224" s="16">
        <f>Table11[[#This Row],['#Planted]]*Table11[[#This Row],[Canada Allocation %]]*Table11[[#This Row],[2024 Estimated Survival%]]</f>
        <v>0</v>
      </c>
      <c r="U224" s="7">
        <f>Table11[[#This Row],[ETP Year]]</f>
        <v>2021</v>
      </c>
      <c r="V224" s="7">
        <f>Table11[[#This Row],[Planting Year]]</f>
        <v>2021</v>
      </c>
      <c r="W224" s="8">
        <f>Table11[[#This Row],[Survival% as of 12/31/23]]</f>
        <v>0.37906336088154269</v>
      </c>
      <c r="X224" s="7">
        <f>Table11[[#This Row],[ETP'#s]]</f>
        <v>1</v>
      </c>
    </row>
    <row r="225" spans="1:24" x14ac:dyDescent="0.25">
      <c r="A225">
        <f>Table11[[#This Row],[Farmer'#]]</f>
        <v>10067</v>
      </c>
      <c r="B225" t="str">
        <f>Table11[[#This Row],[Representative]]</f>
        <v>Mike Porter</v>
      </c>
      <c r="C225" t="str">
        <f>Table11[[#This Row],[Contract Name]]</f>
        <v>Mike Porter and Teri Galardi</v>
      </c>
      <c r="D225" t="str">
        <f>Table11[[#This Row],[Status]]</f>
        <v>Active</v>
      </c>
      <c r="E225" t="str">
        <f>Table11[[#This Row],[Contract Code]]</f>
        <v>US0116</v>
      </c>
      <c r="F225" s="16">
        <f>Table11[[#This Row],['#TreesContract]]</f>
        <v>1100</v>
      </c>
      <c r="G225" s="16">
        <f>Table11[[#This Row],['#Planted]]</f>
        <v>1100</v>
      </c>
      <c r="H225" s="16">
        <f>Table11[[#This Row],['#TreesContract]]*Table11[[#This Row],[Canada Allocation %]]</f>
        <v>0</v>
      </c>
      <c r="I225" s="16">
        <f>Table11[[#This Row],['#Planted]]*Table11[[#This Row],[Canada Allocation %]]</f>
        <v>0</v>
      </c>
      <c r="J225" s="16">
        <f>Table11[[#This Row],[Contract Amendment]]*Table11[[#This Row],[Canada Allocation %]]</f>
        <v>0</v>
      </c>
      <c r="K225" s="16">
        <f>Table11[[#This Row],['#Trees as of 12/31/23]]*Table11[[#This Row],[Canada Allocation %]]</f>
        <v>0</v>
      </c>
      <c r="L225" s="16">
        <f>Table11[[#This Row],['#Replace 24]]*Table11[[#This Row],[Canada Allocation %]]</f>
        <v>0</v>
      </c>
      <c r="M225" s="16"/>
      <c r="N225" s="16">
        <f>(Table11[[#This Row],[2024 '#Trees Inventory + Estimate]]*Table11[[#This Row],[Canada Allocation %]])-SUM(Table378[[#This Row],['# Trees as of 12/31/23]:[New Trees/Planted in 2024]])</f>
        <v>0</v>
      </c>
      <c r="O225" s="16">
        <f>SUM(Table378[[#This Row],['# Trees as of 12/31/23]:[2024 Tree Losses]])</f>
        <v>0</v>
      </c>
      <c r="P225" s="16">
        <f>SUM(Table378[[#This Row],[Total Trees as of 12/31/24]]-Table378[[#This Row],['# Trees as of 12/31/23]])</f>
        <v>0</v>
      </c>
      <c r="Q225" s="16">
        <f>Table11[[#This Row],['#Total Replacements]]*Table11[[#This Row],[Canada Allocation %]]</f>
        <v>0</v>
      </c>
      <c r="R225" s="16">
        <f>IF(Table378[[#This Row],['#Survival based on Inventory]]=0,Table378['#Survival based on Last Year Estimate],Table378['#Survival based on Inventory])</f>
        <v>0</v>
      </c>
      <c r="S225" s="16">
        <f>Table11[[#This Row],['#Planted]]*Table11[[#This Row],[Canada Allocation %]]*Table11[[#This Row],[2024 Inventory Survival%-master]]</f>
        <v>0</v>
      </c>
      <c r="T225" s="16">
        <f>Table11[[#This Row],['#Planted]]*Table11[[#This Row],[Canada Allocation %]]*Table11[[#This Row],[2024 Estimated Survival%]]</f>
        <v>0</v>
      </c>
      <c r="U225" s="7">
        <f>Table11[[#This Row],[ETP Year]]</f>
        <v>2020</v>
      </c>
      <c r="V225" s="7">
        <f>Table11[[#This Row],[Planting Year]]</f>
        <v>2021</v>
      </c>
      <c r="W225" s="8">
        <f>Table11[[#This Row],[Survival% as of 12/31/23]]</f>
        <v>0.88247803030303029</v>
      </c>
      <c r="X225" s="7">
        <f>Table11[[#This Row],[ETP'#s]]</f>
        <v>1</v>
      </c>
    </row>
    <row r="226" spans="1:24" x14ac:dyDescent="0.25">
      <c r="A226">
        <f>Table11[[#This Row],[Farmer'#]]</f>
        <v>10072</v>
      </c>
      <c r="B226" t="str">
        <f>Table11[[#This Row],[Representative]]</f>
        <v>Ronnie and Kent Mathis</v>
      </c>
      <c r="C226" t="str">
        <f>Table11[[#This Row],[Contract Name]]</f>
        <v>Ronnie and Kent Mathis</v>
      </c>
      <c r="D226" t="str">
        <f>Table11[[#This Row],[Status]]</f>
        <v>Active</v>
      </c>
      <c r="E226" t="str">
        <f>Table11[[#This Row],[Contract Code]]</f>
        <v>US0117</v>
      </c>
      <c r="F226" s="16">
        <f>Table11[[#This Row],['#TreesContract]]</f>
        <v>330</v>
      </c>
      <c r="G226" s="16">
        <f>Table11[[#This Row],['#Planted]]</f>
        <v>330</v>
      </c>
      <c r="H226" s="16">
        <f>Table11[[#This Row],['#TreesContract]]*Table11[[#This Row],[Canada Allocation %]]</f>
        <v>0</v>
      </c>
      <c r="I226" s="16">
        <f>Table11[[#This Row],['#Planted]]*Table11[[#This Row],[Canada Allocation %]]</f>
        <v>0</v>
      </c>
      <c r="J226" s="16">
        <f>Table11[[#This Row],[Contract Amendment]]*Table11[[#This Row],[Canada Allocation %]]</f>
        <v>0</v>
      </c>
      <c r="K226" s="16">
        <f>Table11[[#This Row],['#Trees as of 12/31/23]]*Table11[[#This Row],[Canada Allocation %]]</f>
        <v>0</v>
      </c>
      <c r="L226" s="16">
        <f>Table11[[#This Row],['#Replace 24]]*Table11[[#This Row],[Canada Allocation %]]</f>
        <v>0</v>
      </c>
      <c r="M226" s="16"/>
      <c r="N226" s="16">
        <f>(Table11[[#This Row],[2024 '#Trees Inventory + Estimate]]*Table11[[#This Row],[Canada Allocation %]])-SUM(Table378[[#This Row],['# Trees as of 12/31/23]:[New Trees/Planted in 2024]])</f>
        <v>0</v>
      </c>
      <c r="O226" s="16">
        <f>SUM(Table378[[#This Row],['# Trees as of 12/31/23]:[2024 Tree Losses]])</f>
        <v>0</v>
      </c>
      <c r="P226" s="16">
        <f>SUM(Table378[[#This Row],[Total Trees as of 12/31/24]]-Table378[[#This Row],['# Trees as of 12/31/23]])</f>
        <v>0</v>
      </c>
      <c r="Q226" s="16">
        <f>Table11[[#This Row],['#Total Replacements]]*Table11[[#This Row],[Canada Allocation %]]</f>
        <v>0</v>
      </c>
      <c r="R226" s="16">
        <f>IF(Table378[[#This Row],['#Survival based on Inventory]]=0,Table378['#Survival based on Last Year Estimate],Table378['#Survival based on Inventory])</f>
        <v>0</v>
      </c>
      <c r="S226" s="16">
        <f>Table11[[#This Row],['#Planted]]*Table11[[#This Row],[Canada Allocation %]]*Table11[[#This Row],[2024 Inventory Survival%-master]]</f>
        <v>0</v>
      </c>
      <c r="T226" s="16">
        <f>Table11[[#This Row],['#Planted]]*Table11[[#This Row],[Canada Allocation %]]*Table11[[#This Row],[2024 Estimated Survival%]]</f>
        <v>0</v>
      </c>
      <c r="U226" s="7">
        <f>Table11[[#This Row],[ETP Year]]</f>
        <v>2021</v>
      </c>
      <c r="V226" s="7">
        <f>Table11[[#This Row],[Planting Year]]</f>
        <v>2021</v>
      </c>
      <c r="W226" s="8">
        <f>Table11[[#This Row],[Survival% as of 12/31/23]]</f>
        <v>0.88636363636363635</v>
      </c>
      <c r="X226" s="7">
        <f>Table11[[#This Row],[ETP'#s]]</f>
        <v>1</v>
      </c>
    </row>
    <row r="227" spans="1:24" x14ac:dyDescent="0.25">
      <c r="A227">
        <f>Table11[[#This Row],[Farmer'#]]</f>
        <v>10075</v>
      </c>
      <c r="B227" t="str">
        <f>Table11[[#This Row],[Representative]]</f>
        <v>Scott Landreau</v>
      </c>
      <c r="C227" t="str">
        <f>Table11[[#This Row],[Contract Name]]</f>
        <v>Cidney Scott and Stuart Page Landreau</v>
      </c>
      <c r="D227" t="str">
        <f>Table11[[#This Row],[Status]]</f>
        <v>RFT</v>
      </c>
      <c r="E227" t="str">
        <f>Table11[[#This Row],[Contract Code]]</f>
        <v>US0119</v>
      </c>
      <c r="F227" s="16">
        <f>Table11[[#This Row],['#TreesContract]]</f>
        <v>880</v>
      </c>
      <c r="G227" s="16">
        <f>Table11[[#This Row],['#Planted]]</f>
        <v>880</v>
      </c>
      <c r="H227" s="16">
        <f>Table11[[#This Row],['#TreesContract]]*Table11[[#This Row],[Canada Allocation %]]</f>
        <v>0</v>
      </c>
      <c r="I227" s="16">
        <f>Table11[[#This Row],['#Planted]]*Table11[[#This Row],[Canada Allocation %]]</f>
        <v>0</v>
      </c>
      <c r="J227" s="16">
        <f>Table11[[#This Row],[Contract Amendment]]*Table11[[#This Row],[Canada Allocation %]]</f>
        <v>0</v>
      </c>
      <c r="K227" s="16">
        <f>Table11[[#This Row],['#Trees as of 12/31/23]]*Table11[[#This Row],[Canada Allocation %]]</f>
        <v>0</v>
      </c>
      <c r="L227" s="16">
        <f>Table11[[#This Row],['#Replace 24]]*Table11[[#This Row],[Canada Allocation %]]</f>
        <v>0</v>
      </c>
      <c r="M227" s="16"/>
      <c r="N227" s="16">
        <f>(Table11[[#This Row],[2024 '#Trees Inventory + Estimate]]*Table11[[#This Row],[Canada Allocation %]])-SUM(Table378[[#This Row],['# Trees as of 12/31/23]:[New Trees/Planted in 2024]])</f>
        <v>0</v>
      </c>
      <c r="O227" s="16">
        <f>SUM(Table378[[#This Row],['# Trees as of 12/31/23]:[2024 Tree Losses]])</f>
        <v>0</v>
      </c>
      <c r="P227" s="16">
        <f>SUM(Table378[[#This Row],[Total Trees as of 12/31/24]]-Table378[[#This Row],['# Trees as of 12/31/23]])</f>
        <v>0</v>
      </c>
      <c r="Q227" s="16">
        <f>Table11[[#This Row],['#Total Replacements]]*Table11[[#This Row],[Canada Allocation %]]</f>
        <v>0</v>
      </c>
      <c r="R227" s="16">
        <f>IF(Table378[[#This Row],['#Survival based on Inventory]]=0,Table378['#Survival based on Last Year Estimate],Table378['#Survival based on Inventory])</f>
        <v>0</v>
      </c>
      <c r="S227" s="16">
        <f>Table11[[#This Row],['#Planted]]*Table11[[#This Row],[Canada Allocation %]]*Table11[[#This Row],[2024 Inventory Survival%-master]]</f>
        <v>0</v>
      </c>
      <c r="T227" s="16">
        <f>Table11[[#This Row],['#Planted]]*Table11[[#This Row],[Canada Allocation %]]*Table11[[#This Row],[2024 Estimated Survival%]]</f>
        <v>0</v>
      </c>
      <c r="U227" s="7">
        <f>Table11[[#This Row],[ETP Year]]</f>
        <v>2020</v>
      </c>
      <c r="V227" s="7">
        <f>Table11[[#This Row],[Planting Year]]</f>
        <v>2021</v>
      </c>
      <c r="W227" s="8">
        <f>Table11[[#This Row],[Survival% as of 12/31/23]]</f>
        <v>0.24936868686868685</v>
      </c>
      <c r="X227" s="7">
        <f>Table11[[#This Row],[ETP'#s]]</f>
        <v>1</v>
      </c>
    </row>
    <row r="228" spans="1:24" x14ac:dyDescent="0.25">
      <c r="A228">
        <f>Table11[[#This Row],[Farmer'#]]</f>
        <v>10077</v>
      </c>
      <c r="B228" t="str">
        <f>Table11[[#This Row],[Representative]]</f>
        <v>Andy Thomas</v>
      </c>
      <c r="C228" t="str">
        <f>Table11[[#This Row],[Contract Name]]</f>
        <v>Andy  Thomas</v>
      </c>
      <c r="D228" t="str">
        <f>Table11[[#This Row],[Status]]</f>
        <v>Out of Program</v>
      </c>
      <c r="E228" t="str">
        <f>Table11[[#This Row],[Contract Code]]</f>
        <v>US0089</v>
      </c>
      <c r="F228" s="16">
        <f>Table11[[#This Row],['#TreesContract]]</f>
        <v>1100</v>
      </c>
      <c r="G228" s="16">
        <f>Table11[[#This Row],['#Planted]]</f>
        <v>1100</v>
      </c>
      <c r="H228" s="16">
        <f>Table11[[#This Row],['#TreesContract]]*Table11[[#This Row],[Canada Allocation %]]</f>
        <v>0</v>
      </c>
      <c r="I228" s="16">
        <f>Table11[[#This Row],['#Planted]]*Table11[[#This Row],[Canada Allocation %]]</f>
        <v>0</v>
      </c>
      <c r="J228" s="16">
        <f>Table11[[#This Row],[Contract Amendment]]*Table11[[#This Row],[Canada Allocation %]]</f>
        <v>0</v>
      </c>
      <c r="K228" s="16">
        <f>Table11[[#This Row],['#Trees as of 12/31/23]]*Table11[[#This Row],[Canada Allocation %]]</f>
        <v>0</v>
      </c>
      <c r="L228" s="16">
        <f>Table11[[#This Row],['#Replace 24]]*Table11[[#This Row],[Canada Allocation %]]</f>
        <v>0</v>
      </c>
      <c r="M228" s="16"/>
      <c r="N228" s="16">
        <f>(Table11[[#This Row],[2024 '#Trees Inventory + Estimate]]*Table11[[#This Row],[Canada Allocation %]])-SUM(Table378[[#This Row],['# Trees as of 12/31/23]:[New Trees/Planted in 2024]])</f>
        <v>0</v>
      </c>
      <c r="O228" s="16">
        <f>SUM(Table378[[#This Row],['# Trees as of 12/31/23]:[2024 Tree Losses]])</f>
        <v>0</v>
      </c>
      <c r="P228" s="16">
        <f>SUM(Table378[[#This Row],[Total Trees as of 12/31/24]]-Table378[[#This Row],['# Trees as of 12/31/23]])</f>
        <v>0</v>
      </c>
      <c r="Q228" s="16">
        <f>Table11[[#This Row],['#Total Replacements]]*Table11[[#This Row],[Canada Allocation %]]</f>
        <v>0</v>
      </c>
      <c r="R228" s="16">
        <f>IF(Table378[[#This Row],['#Survival based on Inventory]]=0,Table378['#Survival based on Last Year Estimate],Table378['#Survival based on Inventory])</f>
        <v>0</v>
      </c>
      <c r="S228" s="16">
        <f>Table11[[#This Row],['#Planted]]*Table11[[#This Row],[Canada Allocation %]]*Table11[[#This Row],[2024 Inventory Survival%-master]]</f>
        <v>0</v>
      </c>
      <c r="T228" s="16">
        <f>Table11[[#This Row],['#Planted]]*Table11[[#This Row],[Canada Allocation %]]*Table11[[#This Row],[2024 Estimated Survival%]]</f>
        <v>0</v>
      </c>
      <c r="U228" s="7">
        <f>Table11[[#This Row],[ETP Year]]</f>
        <v>2021</v>
      </c>
      <c r="V228" s="7">
        <f>Table11[[#This Row],[Planting Year]]</f>
        <v>2021</v>
      </c>
      <c r="W228" s="8">
        <f>Table11[[#This Row],[Survival% as of 12/31/23]]</f>
        <v>0</v>
      </c>
      <c r="X228" s="7">
        <f>Table11[[#This Row],[ETP'#s]]</f>
        <v>1</v>
      </c>
    </row>
    <row r="229" spans="1:24" x14ac:dyDescent="0.25">
      <c r="A229">
        <f>Table11[[#This Row],[Farmer'#]]</f>
        <v>10078</v>
      </c>
      <c r="B229" t="str">
        <f>Table11[[#This Row],[Representative]]</f>
        <v>Beau Dixon</v>
      </c>
      <c r="C229" t="str">
        <f>Table11[[#This Row],[Contract Name]]</f>
        <v>Don Dixon</v>
      </c>
      <c r="D229" t="str">
        <f>Table11[[#This Row],[Status]]</f>
        <v>Active</v>
      </c>
      <c r="E229" t="str">
        <f>Table11[[#This Row],[Contract Code]]</f>
        <v>US0090</v>
      </c>
      <c r="F229" s="16">
        <f>Table11[[#This Row],['#TreesContract]]</f>
        <v>1805</v>
      </c>
      <c r="G229" s="16">
        <f>Table11[[#This Row],['#Planted]]</f>
        <v>1805</v>
      </c>
      <c r="H229" s="16">
        <f>Table11[[#This Row],['#TreesContract]]*Table11[[#This Row],[Canada Allocation %]]</f>
        <v>0</v>
      </c>
      <c r="I229" s="16">
        <f>Table11[[#This Row],['#Planted]]*Table11[[#This Row],[Canada Allocation %]]</f>
        <v>0</v>
      </c>
      <c r="J229" s="16">
        <f>Table11[[#This Row],[Contract Amendment]]*Table11[[#This Row],[Canada Allocation %]]</f>
        <v>0</v>
      </c>
      <c r="K229" s="16">
        <f>Table11[[#This Row],['#Trees as of 12/31/23]]*Table11[[#This Row],[Canada Allocation %]]</f>
        <v>0</v>
      </c>
      <c r="L229" s="16">
        <f>Table11[[#This Row],['#Replace 24]]*Table11[[#This Row],[Canada Allocation %]]</f>
        <v>0</v>
      </c>
      <c r="M229" s="16"/>
      <c r="N229" s="16">
        <f>(Table11[[#This Row],[2024 '#Trees Inventory + Estimate]]*Table11[[#This Row],[Canada Allocation %]])-SUM(Table378[[#This Row],['# Trees as of 12/31/23]:[New Trees/Planted in 2024]])</f>
        <v>0</v>
      </c>
      <c r="O229" s="16">
        <f>SUM(Table378[[#This Row],['# Trees as of 12/31/23]:[2024 Tree Losses]])</f>
        <v>0</v>
      </c>
      <c r="P229" s="16">
        <f>SUM(Table378[[#This Row],[Total Trees as of 12/31/24]]-Table378[[#This Row],['# Trees as of 12/31/23]])</f>
        <v>0</v>
      </c>
      <c r="Q229" s="16">
        <f>Table11[[#This Row],['#Total Replacements]]*Table11[[#This Row],[Canada Allocation %]]</f>
        <v>0</v>
      </c>
      <c r="R229" s="16">
        <f>IF(Table378[[#This Row],['#Survival based on Inventory]]=0,Table378['#Survival based on Last Year Estimate],Table378['#Survival based on Inventory])</f>
        <v>0</v>
      </c>
      <c r="S229" s="16">
        <f>Table11[[#This Row],['#Planted]]*Table11[[#This Row],[Canada Allocation %]]*Table11[[#This Row],[2024 Inventory Survival%-master]]</f>
        <v>0</v>
      </c>
      <c r="T229" s="16">
        <f>Table11[[#This Row],['#Planted]]*Table11[[#This Row],[Canada Allocation %]]*Table11[[#This Row],[2024 Estimated Survival%]]</f>
        <v>0</v>
      </c>
      <c r="U229" s="7">
        <f>Table11[[#This Row],[ETP Year]]</f>
        <v>2020</v>
      </c>
      <c r="V229" s="7">
        <f>Table11[[#This Row],[Planting Year]]</f>
        <v>2021</v>
      </c>
      <c r="W229" s="8">
        <f>Table11[[#This Row],[Survival% as of 12/31/23]]</f>
        <v>0.69368546965499878</v>
      </c>
      <c r="X229" s="7">
        <f>Table11[[#This Row],[ETP'#s]]</f>
        <v>1</v>
      </c>
    </row>
    <row r="230" spans="1:24" x14ac:dyDescent="0.25">
      <c r="A230">
        <f>Table11[[#This Row],[Farmer'#]]</f>
        <v>10079</v>
      </c>
      <c r="B230" t="str">
        <f>Table11[[#This Row],[Representative]]</f>
        <v>Billy Gordie</v>
      </c>
      <c r="C230" t="str">
        <f>Table11[[#This Row],[Contract Name]]</f>
        <v>Billy Gordie</v>
      </c>
      <c r="D230" t="str">
        <f>Table11[[#This Row],[Status]]</f>
        <v>Active</v>
      </c>
      <c r="E230" t="str">
        <f>Table11[[#This Row],[Contract Code]]</f>
        <v>US0091</v>
      </c>
      <c r="F230" s="16">
        <f>Table11[[#This Row],['#TreesContract]]</f>
        <v>1100</v>
      </c>
      <c r="G230" s="16">
        <f>Table11[[#This Row],['#Planted]]</f>
        <v>1100</v>
      </c>
      <c r="H230" s="16">
        <f>Table11[[#This Row],['#TreesContract]]*Table11[[#This Row],[Canada Allocation %]]</f>
        <v>0</v>
      </c>
      <c r="I230" s="16">
        <f>Table11[[#This Row],['#Planted]]*Table11[[#This Row],[Canada Allocation %]]</f>
        <v>0</v>
      </c>
      <c r="J230" s="16">
        <f>Table11[[#This Row],[Contract Amendment]]*Table11[[#This Row],[Canada Allocation %]]</f>
        <v>0</v>
      </c>
      <c r="K230" s="16">
        <f>Table11[[#This Row],['#Trees as of 12/31/23]]*Table11[[#This Row],[Canada Allocation %]]</f>
        <v>0</v>
      </c>
      <c r="L230" s="16">
        <f>Table11[[#This Row],['#Replace 24]]*Table11[[#This Row],[Canada Allocation %]]</f>
        <v>0</v>
      </c>
      <c r="M230" s="16"/>
      <c r="N230" s="16">
        <f>(Table11[[#This Row],[2024 '#Trees Inventory + Estimate]]*Table11[[#This Row],[Canada Allocation %]])-SUM(Table378[[#This Row],['# Trees as of 12/31/23]:[New Trees/Planted in 2024]])</f>
        <v>0</v>
      </c>
      <c r="O230" s="16">
        <f>SUM(Table378[[#This Row],['# Trees as of 12/31/23]:[2024 Tree Losses]])</f>
        <v>0</v>
      </c>
      <c r="P230" s="16">
        <f>SUM(Table378[[#This Row],[Total Trees as of 12/31/24]]-Table378[[#This Row],['# Trees as of 12/31/23]])</f>
        <v>0</v>
      </c>
      <c r="Q230" s="16">
        <f>Table11[[#This Row],['#Total Replacements]]*Table11[[#This Row],[Canada Allocation %]]</f>
        <v>0</v>
      </c>
      <c r="R230" s="16">
        <f>IF(Table378[[#This Row],['#Survival based on Inventory]]=0,Table378['#Survival based on Last Year Estimate],Table378['#Survival based on Inventory])</f>
        <v>0</v>
      </c>
      <c r="S230" s="16">
        <f>Table11[[#This Row],['#Planted]]*Table11[[#This Row],[Canada Allocation %]]*Table11[[#This Row],[2024 Inventory Survival%-master]]</f>
        <v>0</v>
      </c>
      <c r="T230" s="16">
        <f>Table11[[#This Row],['#Planted]]*Table11[[#This Row],[Canada Allocation %]]*Table11[[#This Row],[2024 Estimated Survival%]]</f>
        <v>0</v>
      </c>
      <c r="U230" s="7">
        <f>Table11[[#This Row],[ETP Year]]</f>
        <v>2020</v>
      </c>
      <c r="V230" s="7">
        <f>Table11[[#This Row],[Planting Year]]</f>
        <v>2021</v>
      </c>
      <c r="W230" s="8">
        <f>Table11[[#This Row],[Survival% as of 12/31/23]]</f>
        <v>1</v>
      </c>
      <c r="X230" s="7">
        <f>Table11[[#This Row],[ETP'#s]]</f>
        <v>1</v>
      </c>
    </row>
    <row r="231" spans="1:24" x14ac:dyDescent="0.25">
      <c r="A231">
        <f>Table11[[#This Row],[Farmer'#]]</f>
        <v>10080</v>
      </c>
      <c r="B231" t="str">
        <f>Table11[[#This Row],[Representative]]</f>
        <v>Bobby Searcy</v>
      </c>
      <c r="C231" t="str">
        <f>Table11[[#This Row],[Contract Name]]</f>
        <v>Bobby  Searcy</v>
      </c>
      <c r="D231" t="str">
        <f>Table11[[#This Row],[Status]]</f>
        <v>Active</v>
      </c>
      <c r="E231" t="str">
        <f>Table11[[#This Row],[Contract Code]]</f>
        <v>US0094</v>
      </c>
      <c r="F231" s="16">
        <f>Table11[[#This Row],['#TreesContract]]</f>
        <v>1540</v>
      </c>
      <c r="G231" s="16">
        <f>Table11[[#This Row],['#Planted]]</f>
        <v>1540</v>
      </c>
      <c r="H231" s="16">
        <f>Table11[[#This Row],['#TreesContract]]*Table11[[#This Row],[Canada Allocation %]]</f>
        <v>0</v>
      </c>
      <c r="I231" s="16">
        <f>Table11[[#This Row],['#Planted]]*Table11[[#This Row],[Canada Allocation %]]</f>
        <v>0</v>
      </c>
      <c r="J231" s="16">
        <f>Table11[[#This Row],[Contract Amendment]]*Table11[[#This Row],[Canada Allocation %]]</f>
        <v>0</v>
      </c>
      <c r="K231" s="16">
        <f>Table11[[#This Row],['#Trees as of 12/31/23]]*Table11[[#This Row],[Canada Allocation %]]</f>
        <v>0</v>
      </c>
      <c r="L231" s="16">
        <f>Table11[[#This Row],['#Replace 24]]*Table11[[#This Row],[Canada Allocation %]]</f>
        <v>0</v>
      </c>
      <c r="M231" s="16"/>
      <c r="N231" s="16">
        <f>(Table11[[#This Row],[2024 '#Trees Inventory + Estimate]]*Table11[[#This Row],[Canada Allocation %]])-SUM(Table378[[#This Row],['# Trees as of 12/31/23]:[New Trees/Planted in 2024]])</f>
        <v>0</v>
      </c>
      <c r="O231" s="16">
        <f>SUM(Table378[[#This Row],['# Trees as of 12/31/23]:[2024 Tree Losses]])</f>
        <v>0</v>
      </c>
      <c r="P231" s="16">
        <f>SUM(Table378[[#This Row],[Total Trees as of 12/31/24]]-Table378[[#This Row],['# Trees as of 12/31/23]])</f>
        <v>0</v>
      </c>
      <c r="Q231" s="16">
        <f>Table11[[#This Row],['#Total Replacements]]*Table11[[#This Row],[Canada Allocation %]]</f>
        <v>0</v>
      </c>
      <c r="R231" s="16">
        <f>IF(Table378[[#This Row],['#Survival based on Inventory]]=0,Table378['#Survival based on Last Year Estimate],Table378['#Survival based on Inventory])</f>
        <v>0</v>
      </c>
      <c r="S231" s="16">
        <f>Table11[[#This Row],['#Planted]]*Table11[[#This Row],[Canada Allocation %]]*Table11[[#This Row],[2024 Inventory Survival%-master]]</f>
        <v>0</v>
      </c>
      <c r="T231" s="16">
        <f>Table11[[#This Row],['#Planted]]*Table11[[#This Row],[Canada Allocation %]]*Table11[[#This Row],[2024 Estimated Survival%]]</f>
        <v>0</v>
      </c>
      <c r="U231" s="7">
        <f>Table11[[#This Row],[ETP Year]]</f>
        <v>2020</v>
      </c>
      <c r="V231" s="7">
        <f>Table11[[#This Row],[Planting Year]]</f>
        <v>2021</v>
      </c>
      <c r="W231" s="8">
        <f>Table11[[#This Row],[Survival% as of 12/31/23]]</f>
        <v>0.83598053152784135</v>
      </c>
      <c r="X231" s="7">
        <f>Table11[[#This Row],[ETP'#s]]</f>
        <v>1</v>
      </c>
    </row>
    <row r="232" spans="1:24" x14ac:dyDescent="0.25">
      <c r="A232">
        <f>Table11[[#This Row],[Farmer'#]]</f>
        <v>10081</v>
      </c>
      <c r="B232" t="str">
        <f>Table11[[#This Row],[Representative]]</f>
        <v>Brent Stiehl</v>
      </c>
      <c r="C232" t="str">
        <f>Table11[[#This Row],[Contract Name]]</f>
        <v>Brent  Stiehl</v>
      </c>
      <c r="D232" t="str">
        <f>Table11[[#This Row],[Status]]</f>
        <v>Active</v>
      </c>
      <c r="E232" t="str">
        <f>Table11[[#This Row],[Contract Code]]</f>
        <v>US0095</v>
      </c>
      <c r="F232" s="16">
        <f>Table11[[#This Row],['#TreesContract]]</f>
        <v>1100</v>
      </c>
      <c r="G232" s="16">
        <f>Table11[[#This Row],['#Planted]]</f>
        <v>1100</v>
      </c>
      <c r="H232" s="16">
        <f>Table11[[#This Row],['#TreesContract]]*Table11[[#This Row],[Canada Allocation %]]</f>
        <v>0</v>
      </c>
      <c r="I232" s="16">
        <f>Table11[[#This Row],['#Planted]]*Table11[[#This Row],[Canada Allocation %]]</f>
        <v>0</v>
      </c>
      <c r="J232" s="16">
        <f>Table11[[#This Row],[Contract Amendment]]*Table11[[#This Row],[Canada Allocation %]]</f>
        <v>0</v>
      </c>
      <c r="K232" s="16">
        <f>Table11[[#This Row],['#Trees as of 12/31/23]]*Table11[[#This Row],[Canada Allocation %]]</f>
        <v>0</v>
      </c>
      <c r="L232" s="16">
        <f>Table11[[#This Row],['#Replace 24]]*Table11[[#This Row],[Canada Allocation %]]</f>
        <v>0</v>
      </c>
      <c r="M232" s="16"/>
      <c r="N232" s="16">
        <f>(Table11[[#This Row],[2024 '#Trees Inventory + Estimate]]*Table11[[#This Row],[Canada Allocation %]])-SUM(Table378[[#This Row],['# Trees as of 12/31/23]:[New Trees/Planted in 2024]])</f>
        <v>0</v>
      </c>
      <c r="O232" s="16">
        <f>SUM(Table378[[#This Row],['# Trees as of 12/31/23]:[2024 Tree Losses]])</f>
        <v>0</v>
      </c>
      <c r="P232" s="16">
        <f>SUM(Table378[[#This Row],[Total Trees as of 12/31/24]]-Table378[[#This Row],['# Trees as of 12/31/23]])</f>
        <v>0</v>
      </c>
      <c r="Q232" s="16">
        <f>Table11[[#This Row],['#Total Replacements]]*Table11[[#This Row],[Canada Allocation %]]</f>
        <v>0</v>
      </c>
      <c r="R232" s="16">
        <f>IF(Table378[[#This Row],['#Survival based on Inventory]]=0,Table378['#Survival based on Last Year Estimate],Table378['#Survival based on Inventory])</f>
        <v>0</v>
      </c>
      <c r="S232" s="16">
        <f>Table11[[#This Row],['#Planted]]*Table11[[#This Row],[Canada Allocation %]]*Table11[[#This Row],[2024 Inventory Survival%-master]]</f>
        <v>0</v>
      </c>
      <c r="T232" s="16">
        <f>Table11[[#This Row],['#Planted]]*Table11[[#This Row],[Canada Allocation %]]*Table11[[#This Row],[2024 Estimated Survival%]]</f>
        <v>0</v>
      </c>
      <c r="U232" s="7">
        <f>Table11[[#This Row],[ETP Year]]</f>
        <v>2020</v>
      </c>
      <c r="V232" s="7">
        <f>Table11[[#This Row],[Planting Year]]</f>
        <v>2021</v>
      </c>
      <c r="W232" s="8">
        <f>Table11[[#This Row],[Survival% as of 12/31/23]]</f>
        <v>0.75911976911976908</v>
      </c>
      <c r="X232" s="7">
        <f>Table11[[#This Row],[ETP'#s]]</f>
        <v>1</v>
      </c>
    </row>
    <row r="233" spans="1:24" x14ac:dyDescent="0.25">
      <c r="A233">
        <f>Table11[[#This Row],[Farmer'#]]</f>
        <v>10082</v>
      </c>
      <c r="B233" t="str">
        <f>Table11[[#This Row],[Representative]]</f>
        <v>Chris Bolen</v>
      </c>
      <c r="C233" t="str">
        <f>Table11[[#This Row],[Contract Name]]</f>
        <v>Chris  Bolen</v>
      </c>
      <c r="D233" t="str">
        <f>Table11[[#This Row],[Status]]</f>
        <v>Active</v>
      </c>
      <c r="E233" t="str">
        <f>Table11[[#This Row],[Contract Code]]</f>
        <v>US0096</v>
      </c>
      <c r="F233" s="16">
        <f>Table11[[#This Row],['#TreesContract]]</f>
        <v>1100</v>
      </c>
      <c r="G233" s="16">
        <f>Table11[[#This Row],['#Planted]]</f>
        <v>1100</v>
      </c>
      <c r="H233" s="16">
        <f>Table11[[#This Row],['#TreesContract]]*Table11[[#This Row],[Canada Allocation %]]</f>
        <v>0</v>
      </c>
      <c r="I233" s="16">
        <f>Table11[[#This Row],['#Planted]]*Table11[[#This Row],[Canada Allocation %]]</f>
        <v>0</v>
      </c>
      <c r="J233" s="16">
        <f>Table11[[#This Row],[Contract Amendment]]*Table11[[#This Row],[Canada Allocation %]]</f>
        <v>0</v>
      </c>
      <c r="K233" s="16">
        <f>Table11[[#This Row],['#Trees as of 12/31/23]]*Table11[[#This Row],[Canada Allocation %]]</f>
        <v>0</v>
      </c>
      <c r="L233" s="16">
        <f>Table11[[#This Row],['#Replace 24]]*Table11[[#This Row],[Canada Allocation %]]</f>
        <v>0</v>
      </c>
      <c r="M233" s="16"/>
      <c r="N233" s="16">
        <f>(Table11[[#This Row],[2024 '#Trees Inventory + Estimate]]*Table11[[#This Row],[Canada Allocation %]])-SUM(Table378[[#This Row],['# Trees as of 12/31/23]:[New Trees/Planted in 2024]])</f>
        <v>0</v>
      </c>
      <c r="O233" s="16">
        <f>SUM(Table378[[#This Row],['# Trees as of 12/31/23]:[2024 Tree Losses]])</f>
        <v>0</v>
      </c>
      <c r="P233" s="16">
        <f>SUM(Table378[[#This Row],[Total Trees as of 12/31/24]]-Table378[[#This Row],['# Trees as of 12/31/23]])</f>
        <v>0</v>
      </c>
      <c r="Q233" s="16">
        <f>Table11[[#This Row],['#Total Replacements]]*Table11[[#This Row],[Canada Allocation %]]</f>
        <v>0</v>
      </c>
      <c r="R233" s="16">
        <f>IF(Table378[[#This Row],['#Survival based on Inventory]]=0,Table378['#Survival based on Last Year Estimate],Table378['#Survival based on Inventory])</f>
        <v>0</v>
      </c>
      <c r="S233" s="16">
        <f>Table11[[#This Row],['#Planted]]*Table11[[#This Row],[Canada Allocation %]]*Table11[[#This Row],[2024 Inventory Survival%-master]]</f>
        <v>0</v>
      </c>
      <c r="T233" s="16">
        <f>Table11[[#This Row],['#Planted]]*Table11[[#This Row],[Canada Allocation %]]*Table11[[#This Row],[2024 Estimated Survival%]]</f>
        <v>0</v>
      </c>
      <c r="U233" s="7">
        <f>Table11[[#This Row],[ETP Year]]</f>
        <v>2020</v>
      </c>
      <c r="V233" s="7">
        <f>Table11[[#This Row],[Planting Year]]</f>
        <v>2021</v>
      </c>
      <c r="W233" s="8">
        <f>Table11[[#This Row],[Survival% as of 12/31/23]]</f>
        <v>0.9412066115702481</v>
      </c>
      <c r="X233" s="7">
        <f>Table11[[#This Row],[ETP'#s]]</f>
        <v>1</v>
      </c>
    </row>
    <row r="234" spans="1:24" x14ac:dyDescent="0.25">
      <c r="A234">
        <f>Table11[[#This Row],[Farmer'#]]</f>
        <v>10083</v>
      </c>
      <c r="B234" t="str">
        <f>Table11[[#This Row],[Representative]]</f>
        <v>Chris Hoehn</v>
      </c>
      <c r="C234" t="str">
        <f>Table11[[#This Row],[Contract Name]]</f>
        <v>Chris  Hoehn</v>
      </c>
      <c r="D234" t="str">
        <f>Table11[[#This Row],[Status]]</f>
        <v>Active</v>
      </c>
      <c r="E234" t="str">
        <f>Table11[[#This Row],[Contract Code]]</f>
        <v>US0097</v>
      </c>
      <c r="F234" s="16">
        <f>Table11[[#This Row],['#TreesContract]]</f>
        <v>2800</v>
      </c>
      <c r="G234" s="16">
        <f>Table11[[#This Row],['#Planted]]</f>
        <v>2800</v>
      </c>
      <c r="H234" s="16">
        <f>Table11[[#This Row],['#TreesContract]]*Table11[[#This Row],[Canada Allocation %]]</f>
        <v>0</v>
      </c>
      <c r="I234" s="16">
        <f>Table11[[#This Row],['#Planted]]*Table11[[#This Row],[Canada Allocation %]]</f>
        <v>0</v>
      </c>
      <c r="J234" s="16">
        <f>Table11[[#This Row],[Contract Amendment]]*Table11[[#This Row],[Canada Allocation %]]</f>
        <v>0</v>
      </c>
      <c r="K234" s="16">
        <f>Table11[[#This Row],['#Trees as of 12/31/23]]*Table11[[#This Row],[Canada Allocation %]]</f>
        <v>0</v>
      </c>
      <c r="L234" s="16">
        <f>Table11[[#This Row],['#Replace 24]]*Table11[[#This Row],[Canada Allocation %]]</f>
        <v>0</v>
      </c>
      <c r="M234" s="16"/>
      <c r="N234" s="16">
        <f>(Table11[[#This Row],[2024 '#Trees Inventory + Estimate]]*Table11[[#This Row],[Canada Allocation %]])-SUM(Table378[[#This Row],['# Trees as of 12/31/23]:[New Trees/Planted in 2024]])</f>
        <v>0</v>
      </c>
      <c r="O234" s="16">
        <f>SUM(Table378[[#This Row],['# Trees as of 12/31/23]:[2024 Tree Losses]])</f>
        <v>0</v>
      </c>
      <c r="P234" s="16">
        <f>SUM(Table378[[#This Row],[Total Trees as of 12/31/24]]-Table378[[#This Row],['# Trees as of 12/31/23]])</f>
        <v>0</v>
      </c>
      <c r="Q234" s="16">
        <f>Table11[[#This Row],['#Total Replacements]]*Table11[[#This Row],[Canada Allocation %]]</f>
        <v>0</v>
      </c>
      <c r="R234" s="16">
        <f>IF(Table378[[#This Row],['#Survival based on Inventory]]=0,Table378['#Survival based on Last Year Estimate],Table378['#Survival based on Inventory])</f>
        <v>0</v>
      </c>
      <c r="S234" s="16">
        <f>Table11[[#This Row],['#Planted]]*Table11[[#This Row],[Canada Allocation %]]*Table11[[#This Row],[2024 Inventory Survival%-master]]</f>
        <v>0</v>
      </c>
      <c r="T234" s="16">
        <f>Table11[[#This Row],['#Planted]]*Table11[[#This Row],[Canada Allocation %]]*Table11[[#This Row],[2024 Estimated Survival%]]</f>
        <v>0</v>
      </c>
      <c r="U234" s="7">
        <f>Table11[[#This Row],[ETP Year]]</f>
        <v>2020</v>
      </c>
      <c r="V234" s="7">
        <f>Table11[[#This Row],[Planting Year]]</f>
        <v>2021</v>
      </c>
      <c r="W234" s="8">
        <f>Table11[[#This Row],[Survival% as of 12/31/23]]</f>
        <v>0.62958758503401357</v>
      </c>
      <c r="X234" s="7">
        <f>Table11[[#This Row],[ETP'#s]]</f>
        <v>1</v>
      </c>
    </row>
    <row r="235" spans="1:24" x14ac:dyDescent="0.25">
      <c r="A235">
        <f>Table11[[#This Row],[Farmer'#]]</f>
        <v>10084</v>
      </c>
      <c r="B235" t="str">
        <f>Table11[[#This Row],[Representative]]</f>
        <v>David Fordham</v>
      </c>
      <c r="C235" t="str">
        <f>Table11[[#This Row],[Contract Name]]</f>
        <v>David  Fordham</v>
      </c>
      <c r="D235" t="str">
        <f>Table11[[#This Row],[Status]]</f>
        <v>RFT</v>
      </c>
      <c r="E235" t="str">
        <f>Table11[[#This Row],[Contract Code]]</f>
        <v>US0098</v>
      </c>
      <c r="F235" s="16">
        <f>Table11[[#This Row],['#TreesContract]]</f>
        <v>1650</v>
      </c>
      <c r="G235" s="16">
        <f>Table11[[#This Row],['#Planted]]</f>
        <v>1650</v>
      </c>
      <c r="H235" s="16">
        <f>Table11[[#This Row],['#TreesContract]]*Table11[[#This Row],[Canada Allocation %]]</f>
        <v>0</v>
      </c>
      <c r="I235" s="16">
        <f>Table11[[#This Row],['#Planted]]*Table11[[#This Row],[Canada Allocation %]]</f>
        <v>0</v>
      </c>
      <c r="J235" s="16">
        <f>Table11[[#This Row],[Contract Amendment]]*Table11[[#This Row],[Canada Allocation %]]</f>
        <v>0</v>
      </c>
      <c r="K235" s="16">
        <f>Table11[[#This Row],['#Trees as of 12/31/23]]*Table11[[#This Row],[Canada Allocation %]]</f>
        <v>0</v>
      </c>
      <c r="L235" s="16">
        <f>Table11[[#This Row],['#Replace 24]]*Table11[[#This Row],[Canada Allocation %]]</f>
        <v>0</v>
      </c>
      <c r="M235" s="16"/>
      <c r="N235" s="16">
        <f>(Table11[[#This Row],[2024 '#Trees Inventory + Estimate]]*Table11[[#This Row],[Canada Allocation %]])-SUM(Table378[[#This Row],['# Trees as of 12/31/23]:[New Trees/Planted in 2024]])</f>
        <v>0</v>
      </c>
      <c r="O235" s="16">
        <f>SUM(Table378[[#This Row],['# Trees as of 12/31/23]:[2024 Tree Losses]])</f>
        <v>0</v>
      </c>
      <c r="P235" s="16">
        <f>SUM(Table378[[#This Row],[Total Trees as of 12/31/24]]-Table378[[#This Row],['# Trees as of 12/31/23]])</f>
        <v>0</v>
      </c>
      <c r="Q235" s="16">
        <f>Table11[[#This Row],['#Total Replacements]]*Table11[[#This Row],[Canada Allocation %]]</f>
        <v>0</v>
      </c>
      <c r="R235" s="16">
        <f>IF(Table378[[#This Row],['#Survival based on Inventory]]=0,Table378['#Survival based on Last Year Estimate],Table378['#Survival based on Inventory])</f>
        <v>0</v>
      </c>
      <c r="S235" s="16">
        <f>Table11[[#This Row],['#Planted]]*Table11[[#This Row],[Canada Allocation %]]*Table11[[#This Row],[2024 Inventory Survival%-master]]</f>
        <v>0</v>
      </c>
      <c r="T235" s="16">
        <f>Table11[[#This Row],['#Planted]]*Table11[[#This Row],[Canada Allocation %]]*Table11[[#This Row],[2024 Estimated Survival%]]</f>
        <v>0</v>
      </c>
      <c r="U235" s="7">
        <f>Table11[[#This Row],[ETP Year]]</f>
        <v>2020</v>
      </c>
      <c r="V235" s="7">
        <f>Table11[[#This Row],[Planting Year]]</f>
        <v>2021</v>
      </c>
      <c r="W235" s="8">
        <f>Table11[[#This Row],[Survival% as of 12/31/23]]</f>
        <v>0.25020633687300353</v>
      </c>
      <c r="X235" s="7">
        <f>Table11[[#This Row],[ETP'#s]]</f>
        <v>1</v>
      </c>
    </row>
    <row r="236" spans="1:24" x14ac:dyDescent="0.25">
      <c r="A236">
        <f>Table11[[#This Row],[Farmer'#]]</f>
        <v>10085</v>
      </c>
      <c r="B236" t="str">
        <f>Table11[[#This Row],[Representative]]</f>
        <v>Ivette Alcoba</v>
      </c>
      <c r="C236" t="str">
        <f>Table11[[#This Row],[Contract Name]]</f>
        <v>Ivette  Alcoba</v>
      </c>
      <c r="D236" t="str">
        <f>Table11[[#This Row],[Status]]</f>
        <v>Active</v>
      </c>
      <c r="E236" t="str">
        <f>Table11[[#This Row],[Contract Code]]</f>
        <v>US0099</v>
      </c>
      <c r="F236" s="16">
        <f>Table11[[#This Row],['#TreesContract]]</f>
        <v>1210</v>
      </c>
      <c r="G236" s="16">
        <f>Table11[[#This Row],['#Planted]]</f>
        <v>1210</v>
      </c>
      <c r="H236" s="16">
        <f>Table11[[#This Row],['#TreesContract]]*Table11[[#This Row],[Canada Allocation %]]</f>
        <v>0</v>
      </c>
      <c r="I236" s="16">
        <f>Table11[[#This Row],['#Planted]]*Table11[[#This Row],[Canada Allocation %]]</f>
        <v>0</v>
      </c>
      <c r="J236" s="16">
        <f>Table11[[#This Row],[Contract Amendment]]*Table11[[#This Row],[Canada Allocation %]]</f>
        <v>0</v>
      </c>
      <c r="K236" s="16">
        <f>Table11[[#This Row],['#Trees as of 12/31/23]]*Table11[[#This Row],[Canada Allocation %]]</f>
        <v>0</v>
      </c>
      <c r="L236" s="16">
        <f>Table11[[#This Row],['#Replace 24]]*Table11[[#This Row],[Canada Allocation %]]</f>
        <v>0</v>
      </c>
      <c r="M236" s="16"/>
      <c r="N236" s="16">
        <f>(Table11[[#This Row],[2024 '#Trees Inventory + Estimate]]*Table11[[#This Row],[Canada Allocation %]])-SUM(Table378[[#This Row],['# Trees as of 12/31/23]:[New Trees/Planted in 2024]])</f>
        <v>0</v>
      </c>
      <c r="O236" s="16">
        <f>SUM(Table378[[#This Row],['# Trees as of 12/31/23]:[2024 Tree Losses]])</f>
        <v>0</v>
      </c>
      <c r="P236" s="16">
        <f>SUM(Table378[[#This Row],[Total Trees as of 12/31/24]]-Table378[[#This Row],['# Trees as of 12/31/23]])</f>
        <v>0</v>
      </c>
      <c r="Q236" s="16">
        <f>Table11[[#This Row],['#Total Replacements]]*Table11[[#This Row],[Canada Allocation %]]</f>
        <v>0</v>
      </c>
      <c r="R236" s="16">
        <f>IF(Table378[[#This Row],['#Survival based on Inventory]]=0,Table378['#Survival based on Last Year Estimate],Table378['#Survival based on Inventory])</f>
        <v>0</v>
      </c>
      <c r="S236" s="16">
        <f>Table11[[#This Row],['#Planted]]*Table11[[#This Row],[Canada Allocation %]]*Table11[[#This Row],[2024 Inventory Survival%-master]]</f>
        <v>0</v>
      </c>
      <c r="T236" s="16">
        <f>Table11[[#This Row],['#Planted]]*Table11[[#This Row],[Canada Allocation %]]*Table11[[#This Row],[2024 Estimated Survival%]]</f>
        <v>0</v>
      </c>
      <c r="U236" s="7">
        <f>Table11[[#This Row],[ETP Year]]</f>
        <v>2021</v>
      </c>
      <c r="V236" s="7">
        <f>Table11[[#This Row],[Planting Year]]</f>
        <v>2021</v>
      </c>
      <c r="W236" s="8">
        <f>Table11[[#This Row],[Survival% as of 12/31/23]]</f>
        <v>0.28859595200692123</v>
      </c>
      <c r="X236" s="7">
        <f>Table11[[#This Row],[ETP'#s]]</f>
        <v>1</v>
      </c>
    </row>
    <row r="237" spans="1:24" x14ac:dyDescent="0.25">
      <c r="A237">
        <f>Table11[[#This Row],[Farmer'#]]</f>
        <v>10086</v>
      </c>
      <c r="B237" t="str">
        <f>Table11[[#This Row],[Representative]]</f>
        <v>James Cochran</v>
      </c>
      <c r="C237" t="str">
        <f>Table11[[#This Row],[Contract Name]]</f>
        <v>James  Cochran</v>
      </c>
      <c r="D237" t="str">
        <f>Table11[[#This Row],[Status]]</f>
        <v>Active</v>
      </c>
      <c r="E237" t="str">
        <f>Table11[[#This Row],[Contract Code]]</f>
        <v>US0100</v>
      </c>
      <c r="F237" s="16">
        <f>Table11[[#This Row],['#TreesContract]]</f>
        <v>1100</v>
      </c>
      <c r="G237" s="16">
        <f>Table11[[#This Row],['#Planted]]</f>
        <v>1100</v>
      </c>
      <c r="H237" s="16">
        <f>Table11[[#This Row],['#TreesContract]]*Table11[[#This Row],[Canada Allocation %]]</f>
        <v>0</v>
      </c>
      <c r="I237" s="16">
        <f>Table11[[#This Row],['#Planted]]*Table11[[#This Row],[Canada Allocation %]]</f>
        <v>0</v>
      </c>
      <c r="J237" s="16">
        <f>Table11[[#This Row],[Contract Amendment]]*Table11[[#This Row],[Canada Allocation %]]</f>
        <v>0</v>
      </c>
      <c r="K237" s="16">
        <f>Table11[[#This Row],['#Trees as of 12/31/23]]*Table11[[#This Row],[Canada Allocation %]]</f>
        <v>0</v>
      </c>
      <c r="L237" s="16">
        <f>Table11[[#This Row],['#Replace 24]]*Table11[[#This Row],[Canada Allocation %]]</f>
        <v>0</v>
      </c>
      <c r="M237" s="16"/>
      <c r="N237" s="16">
        <f>(Table11[[#This Row],[2024 '#Trees Inventory + Estimate]]*Table11[[#This Row],[Canada Allocation %]])-SUM(Table378[[#This Row],['# Trees as of 12/31/23]:[New Trees/Planted in 2024]])</f>
        <v>0</v>
      </c>
      <c r="O237" s="16">
        <f>SUM(Table378[[#This Row],['# Trees as of 12/31/23]:[2024 Tree Losses]])</f>
        <v>0</v>
      </c>
      <c r="P237" s="16">
        <f>SUM(Table378[[#This Row],[Total Trees as of 12/31/24]]-Table378[[#This Row],['# Trees as of 12/31/23]])</f>
        <v>0</v>
      </c>
      <c r="Q237" s="16">
        <f>Table11[[#This Row],['#Total Replacements]]*Table11[[#This Row],[Canada Allocation %]]</f>
        <v>0</v>
      </c>
      <c r="R237" s="16">
        <f>IF(Table378[[#This Row],['#Survival based on Inventory]]=0,Table378['#Survival based on Last Year Estimate],Table378['#Survival based on Inventory])</f>
        <v>0</v>
      </c>
      <c r="S237" s="16">
        <f>Table11[[#This Row],['#Planted]]*Table11[[#This Row],[Canada Allocation %]]*Table11[[#This Row],[2024 Inventory Survival%-master]]</f>
        <v>0</v>
      </c>
      <c r="T237" s="16">
        <f>Table11[[#This Row],['#Planted]]*Table11[[#This Row],[Canada Allocation %]]*Table11[[#This Row],[2024 Estimated Survival%]]</f>
        <v>0</v>
      </c>
      <c r="U237" s="7">
        <f>Table11[[#This Row],[ETP Year]]</f>
        <v>2021</v>
      </c>
      <c r="V237" s="7">
        <f>Table11[[#This Row],[Planting Year]]</f>
        <v>2021</v>
      </c>
      <c r="W237" s="8">
        <f>Table11[[#This Row],[Survival% as of 12/31/23]]</f>
        <v>0.98090909090909095</v>
      </c>
      <c r="X237" s="7">
        <f>Table11[[#This Row],[ETP'#s]]</f>
        <v>1</v>
      </c>
    </row>
    <row r="238" spans="1:24" x14ac:dyDescent="0.25">
      <c r="A238">
        <f>Table11[[#This Row],[Farmer'#]]</f>
        <v>10087</v>
      </c>
      <c r="B238" t="str">
        <f>Table11[[#This Row],[Representative]]</f>
        <v>Jamie Hayes</v>
      </c>
      <c r="C238" t="str">
        <f>Table11[[#This Row],[Contract Name]]</f>
        <v>Jamie  Hayes</v>
      </c>
      <c r="D238" t="str">
        <f>Table11[[#This Row],[Status]]</f>
        <v>Active</v>
      </c>
      <c r="E238" t="str">
        <f>Table11[[#This Row],[Contract Code]]</f>
        <v>US0101</v>
      </c>
      <c r="F238" s="16">
        <f>Table11[[#This Row],['#TreesContract]]</f>
        <v>1100</v>
      </c>
      <c r="G238" s="16">
        <f>Table11[[#This Row],['#Planted]]</f>
        <v>1100</v>
      </c>
      <c r="H238" s="16">
        <f>Table11[[#This Row],['#TreesContract]]*Table11[[#This Row],[Canada Allocation %]]</f>
        <v>0</v>
      </c>
      <c r="I238" s="16">
        <f>Table11[[#This Row],['#Planted]]*Table11[[#This Row],[Canada Allocation %]]</f>
        <v>0</v>
      </c>
      <c r="J238" s="16">
        <f>Table11[[#This Row],[Contract Amendment]]*Table11[[#This Row],[Canada Allocation %]]</f>
        <v>0</v>
      </c>
      <c r="K238" s="16">
        <f>Table11[[#This Row],['#Trees as of 12/31/23]]*Table11[[#This Row],[Canada Allocation %]]</f>
        <v>0</v>
      </c>
      <c r="L238" s="16">
        <f>Table11[[#This Row],['#Replace 24]]*Table11[[#This Row],[Canada Allocation %]]</f>
        <v>0</v>
      </c>
      <c r="M238" s="16"/>
      <c r="N238" s="16">
        <f>(Table11[[#This Row],[2024 '#Trees Inventory + Estimate]]*Table11[[#This Row],[Canada Allocation %]])-SUM(Table378[[#This Row],['# Trees as of 12/31/23]:[New Trees/Planted in 2024]])</f>
        <v>0</v>
      </c>
      <c r="O238" s="16">
        <f>SUM(Table378[[#This Row],['# Trees as of 12/31/23]:[2024 Tree Losses]])</f>
        <v>0</v>
      </c>
      <c r="P238" s="16">
        <f>SUM(Table378[[#This Row],[Total Trees as of 12/31/24]]-Table378[[#This Row],['# Trees as of 12/31/23]])</f>
        <v>0</v>
      </c>
      <c r="Q238" s="16">
        <f>Table11[[#This Row],['#Total Replacements]]*Table11[[#This Row],[Canada Allocation %]]</f>
        <v>0</v>
      </c>
      <c r="R238" s="16">
        <f>IF(Table378[[#This Row],['#Survival based on Inventory]]=0,Table378['#Survival based on Last Year Estimate],Table378['#Survival based on Inventory])</f>
        <v>0</v>
      </c>
      <c r="S238" s="16">
        <f>Table11[[#This Row],['#Planted]]*Table11[[#This Row],[Canada Allocation %]]*Table11[[#This Row],[2024 Inventory Survival%-master]]</f>
        <v>0</v>
      </c>
      <c r="T238" s="16">
        <f>Table11[[#This Row],['#Planted]]*Table11[[#This Row],[Canada Allocation %]]*Table11[[#This Row],[2024 Estimated Survival%]]</f>
        <v>0</v>
      </c>
      <c r="U238" s="7">
        <f>Table11[[#This Row],[ETP Year]]</f>
        <v>2020</v>
      </c>
      <c r="V238" s="7">
        <f>Table11[[#This Row],[Planting Year]]</f>
        <v>2021</v>
      </c>
      <c r="W238" s="8">
        <f>Table11[[#This Row],[Survival% as of 12/31/23]]</f>
        <v>0.80335858585858588</v>
      </c>
      <c r="X238" s="7">
        <f>Table11[[#This Row],[ETP'#s]]</f>
        <v>1</v>
      </c>
    </row>
    <row r="239" spans="1:24" x14ac:dyDescent="0.25">
      <c r="A239">
        <f>Table11[[#This Row],[Farmer'#]]</f>
        <v>10088</v>
      </c>
      <c r="B239" t="str">
        <f>Table11[[#This Row],[Representative]]</f>
        <v>Jared Lilly</v>
      </c>
      <c r="C239" t="str">
        <f>Table11[[#This Row],[Contract Name]]</f>
        <v>Jared  Lilly</v>
      </c>
      <c r="D239" t="str">
        <f>Table11[[#This Row],[Status]]</f>
        <v>Active</v>
      </c>
      <c r="E239" t="str">
        <f>Table11[[#This Row],[Contract Code]]</f>
        <v>US0102</v>
      </c>
      <c r="F239" s="16">
        <f>Table11[[#This Row],['#TreesContract]]</f>
        <v>880</v>
      </c>
      <c r="G239" s="16">
        <f>Table11[[#This Row],['#Planted]]</f>
        <v>880</v>
      </c>
      <c r="H239" s="16">
        <f>Table11[[#This Row],['#TreesContract]]*Table11[[#This Row],[Canada Allocation %]]</f>
        <v>0</v>
      </c>
      <c r="I239" s="16">
        <f>Table11[[#This Row],['#Planted]]*Table11[[#This Row],[Canada Allocation %]]</f>
        <v>0</v>
      </c>
      <c r="J239" s="16">
        <f>Table11[[#This Row],[Contract Amendment]]*Table11[[#This Row],[Canada Allocation %]]</f>
        <v>0</v>
      </c>
      <c r="K239" s="16">
        <f>Table11[[#This Row],['#Trees as of 12/31/23]]*Table11[[#This Row],[Canada Allocation %]]</f>
        <v>0</v>
      </c>
      <c r="L239" s="16">
        <f>Table11[[#This Row],['#Replace 24]]*Table11[[#This Row],[Canada Allocation %]]</f>
        <v>0</v>
      </c>
      <c r="M239" s="16"/>
      <c r="N239" s="16">
        <f>(Table11[[#This Row],[2024 '#Trees Inventory + Estimate]]*Table11[[#This Row],[Canada Allocation %]])-SUM(Table378[[#This Row],['# Trees as of 12/31/23]:[New Trees/Planted in 2024]])</f>
        <v>0</v>
      </c>
      <c r="O239" s="16">
        <f>SUM(Table378[[#This Row],['# Trees as of 12/31/23]:[2024 Tree Losses]])</f>
        <v>0</v>
      </c>
      <c r="P239" s="16">
        <f>SUM(Table378[[#This Row],[Total Trees as of 12/31/24]]-Table378[[#This Row],['# Trees as of 12/31/23]])</f>
        <v>0</v>
      </c>
      <c r="Q239" s="16">
        <f>Table11[[#This Row],['#Total Replacements]]*Table11[[#This Row],[Canada Allocation %]]</f>
        <v>0</v>
      </c>
      <c r="R239" s="16">
        <f>IF(Table378[[#This Row],['#Survival based on Inventory]]=0,Table378['#Survival based on Last Year Estimate],Table378['#Survival based on Inventory])</f>
        <v>0</v>
      </c>
      <c r="S239" s="16">
        <f>Table11[[#This Row],['#Planted]]*Table11[[#This Row],[Canada Allocation %]]*Table11[[#This Row],[2024 Inventory Survival%-master]]</f>
        <v>0</v>
      </c>
      <c r="T239" s="16">
        <f>Table11[[#This Row],['#Planted]]*Table11[[#This Row],[Canada Allocation %]]*Table11[[#This Row],[2024 Estimated Survival%]]</f>
        <v>0</v>
      </c>
      <c r="U239" s="7">
        <f>Table11[[#This Row],[ETP Year]]</f>
        <v>2020</v>
      </c>
      <c r="V239" s="7">
        <f>Table11[[#This Row],[Planting Year]]</f>
        <v>2021</v>
      </c>
      <c r="W239" s="8">
        <f>Table11[[#This Row],[Survival% as of 12/31/23]]</f>
        <v>0.90427328353464731</v>
      </c>
      <c r="X239" s="7">
        <f>Table11[[#This Row],[ETP'#s]]</f>
        <v>1</v>
      </c>
    </row>
    <row r="240" spans="1:24" x14ac:dyDescent="0.25">
      <c r="A240">
        <f>Table11[[#This Row],[Farmer'#]]</f>
        <v>10089</v>
      </c>
      <c r="B240" t="str">
        <f>Table11[[#This Row],[Representative]]</f>
        <v>Anthony Lea</v>
      </c>
      <c r="C240" t="str">
        <f>Table11[[#This Row],[Contract Name]]</f>
        <v>Anthony Lea</v>
      </c>
      <c r="D240" t="str">
        <f>Table11[[#This Row],[Status]]</f>
        <v>Active</v>
      </c>
      <c r="E240" t="str">
        <f>Table11[[#This Row],[Contract Code]]</f>
        <v>US0103</v>
      </c>
      <c r="F240" s="16">
        <f>Table11[[#This Row],['#TreesContract]]</f>
        <v>1100</v>
      </c>
      <c r="G240" s="16">
        <f>Table11[[#This Row],['#Planted]]</f>
        <v>1100</v>
      </c>
      <c r="H240" s="16">
        <f>Table11[[#This Row],['#TreesContract]]*Table11[[#This Row],[Canada Allocation %]]</f>
        <v>0</v>
      </c>
      <c r="I240" s="16">
        <f>Table11[[#This Row],['#Planted]]*Table11[[#This Row],[Canada Allocation %]]</f>
        <v>0</v>
      </c>
      <c r="J240" s="16">
        <f>Table11[[#This Row],[Contract Amendment]]*Table11[[#This Row],[Canada Allocation %]]</f>
        <v>0</v>
      </c>
      <c r="K240" s="16">
        <f>Table11[[#This Row],['#Trees as of 12/31/23]]*Table11[[#This Row],[Canada Allocation %]]</f>
        <v>0</v>
      </c>
      <c r="L240" s="16">
        <f>Table11[[#This Row],['#Replace 24]]*Table11[[#This Row],[Canada Allocation %]]</f>
        <v>0</v>
      </c>
      <c r="M240" s="16"/>
      <c r="N240" s="16">
        <f>(Table11[[#This Row],[2024 '#Trees Inventory + Estimate]]*Table11[[#This Row],[Canada Allocation %]])-SUM(Table378[[#This Row],['# Trees as of 12/31/23]:[New Trees/Planted in 2024]])</f>
        <v>0</v>
      </c>
      <c r="O240" s="16">
        <f>SUM(Table378[[#This Row],['# Trees as of 12/31/23]:[2024 Tree Losses]])</f>
        <v>0</v>
      </c>
      <c r="P240" s="16">
        <f>SUM(Table378[[#This Row],[Total Trees as of 12/31/24]]-Table378[[#This Row],['# Trees as of 12/31/23]])</f>
        <v>0</v>
      </c>
      <c r="Q240" s="16">
        <f>Table11[[#This Row],['#Total Replacements]]*Table11[[#This Row],[Canada Allocation %]]</f>
        <v>0</v>
      </c>
      <c r="R240" s="16">
        <f>IF(Table378[[#This Row],['#Survival based on Inventory]]=0,Table378['#Survival based on Last Year Estimate],Table378['#Survival based on Inventory])</f>
        <v>0</v>
      </c>
      <c r="S240" s="16">
        <f>Table11[[#This Row],['#Planted]]*Table11[[#This Row],[Canada Allocation %]]*Table11[[#This Row],[2024 Inventory Survival%-master]]</f>
        <v>0</v>
      </c>
      <c r="T240" s="16">
        <f>Table11[[#This Row],['#Planted]]*Table11[[#This Row],[Canada Allocation %]]*Table11[[#This Row],[2024 Estimated Survival%]]</f>
        <v>0</v>
      </c>
      <c r="U240" s="7">
        <f>Table11[[#This Row],[ETP Year]]</f>
        <v>2020</v>
      </c>
      <c r="V240" s="7">
        <f>Table11[[#This Row],[Planting Year]]</f>
        <v>2021</v>
      </c>
      <c r="W240" s="8">
        <f>Table11[[#This Row],[Survival% as of 12/31/23]]</f>
        <v>1</v>
      </c>
      <c r="X240" s="7">
        <f>Table11[[#This Row],[ETP'#s]]</f>
        <v>1</v>
      </c>
    </row>
    <row r="241" spans="1:24" x14ac:dyDescent="0.25">
      <c r="A241">
        <f>Table11[[#This Row],[Farmer'#]]</f>
        <v>10090</v>
      </c>
      <c r="B241" t="str">
        <f>Table11[[#This Row],[Representative]]</f>
        <v>Joe Lilly</v>
      </c>
      <c r="C241" t="str">
        <f>Table11[[#This Row],[Contract Name]]</f>
        <v>Joe Lilly</v>
      </c>
      <c r="D241" t="str">
        <f>Table11[[#This Row],[Status]]</f>
        <v>Active</v>
      </c>
      <c r="E241" t="str">
        <f>Table11[[#This Row],[Contract Code]]</f>
        <v>US0104</v>
      </c>
      <c r="F241" s="16">
        <f>Table11[[#This Row],['#TreesContract]]</f>
        <v>1210</v>
      </c>
      <c r="G241" s="16">
        <f>Table11[[#This Row],['#Planted]]</f>
        <v>1210</v>
      </c>
      <c r="H241" s="16">
        <f>Table11[[#This Row],['#TreesContract]]*Table11[[#This Row],[Canada Allocation %]]</f>
        <v>0</v>
      </c>
      <c r="I241" s="16">
        <f>Table11[[#This Row],['#Planted]]*Table11[[#This Row],[Canada Allocation %]]</f>
        <v>0</v>
      </c>
      <c r="J241" s="16">
        <f>Table11[[#This Row],[Contract Amendment]]*Table11[[#This Row],[Canada Allocation %]]</f>
        <v>0</v>
      </c>
      <c r="K241" s="16">
        <f>Table11[[#This Row],['#Trees as of 12/31/23]]*Table11[[#This Row],[Canada Allocation %]]</f>
        <v>0</v>
      </c>
      <c r="L241" s="16">
        <f>Table11[[#This Row],['#Replace 24]]*Table11[[#This Row],[Canada Allocation %]]</f>
        <v>0</v>
      </c>
      <c r="M241" s="16"/>
      <c r="N241" s="16">
        <f>(Table11[[#This Row],[2024 '#Trees Inventory + Estimate]]*Table11[[#This Row],[Canada Allocation %]])-SUM(Table378[[#This Row],['# Trees as of 12/31/23]:[New Trees/Planted in 2024]])</f>
        <v>0</v>
      </c>
      <c r="O241" s="16">
        <f>SUM(Table378[[#This Row],['# Trees as of 12/31/23]:[2024 Tree Losses]])</f>
        <v>0</v>
      </c>
      <c r="P241" s="16">
        <f>SUM(Table378[[#This Row],[Total Trees as of 12/31/24]]-Table378[[#This Row],['# Trees as of 12/31/23]])</f>
        <v>0</v>
      </c>
      <c r="Q241" s="16">
        <f>Table11[[#This Row],['#Total Replacements]]*Table11[[#This Row],[Canada Allocation %]]</f>
        <v>0</v>
      </c>
      <c r="R241" s="16">
        <f>IF(Table378[[#This Row],['#Survival based on Inventory]]=0,Table378['#Survival based on Last Year Estimate],Table378['#Survival based on Inventory])</f>
        <v>0</v>
      </c>
      <c r="S241" s="16">
        <f>Table11[[#This Row],['#Planted]]*Table11[[#This Row],[Canada Allocation %]]*Table11[[#This Row],[2024 Inventory Survival%-master]]</f>
        <v>0</v>
      </c>
      <c r="T241" s="16">
        <f>Table11[[#This Row],['#Planted]]*Table11[[#This Row],[Canada Allocation %]]*Table11[[#This Row],[2024 Estimated Survival%]]</f>
        <v>0</v>
      </c>
      <c r="U241" s="7">
        <f>Table11[[#This Row],[ETP Year]]</f>
        <v>2021</v>
      </c>
      <c r="V241" s="7">
        <f>Table11[[#This Row],[Planting Year]]</f>
        <v>2021</v>
      </c>
      <c r="W241" s="8">
        <f>Table11[[#This Row],[Survival% as of 12/31/23]]</f>
        <v>0.98422238918106675</v>
      </c>
      <c r="X241" s="7">
        <f>Table11[[#This Row],[ETP'#s]]</f>
        <v>1</v>
      </c>
    </row>
    <row r="242" spans="1:24" x14ac:dyDescent="0.25">
      <c r="A242">
        <f>Table11[[#This Row],[Farmer'#]]</f>
        <v>10091</v>
      </c>
      <c r="B242" t="str">
        <f>Table11[[#This Row],[Representative]]</f>
        <v>John Wilson</v>
      </c>
      <c r="C242" t="str">
        <f>Table11[[#This Row],[Contract Name]]</f>
        <v>John Wilson</v>
      </c>
      <c r="D242" t="str">
        <f>Table11[[#This Row],[Status]]</f>
        <v>Active</v>
      </c>
      <c r="E242" t="str">
        <f>Table11[[#This Row],[Contract Code]]</f>
        <v>US0106</v>
      </c>
      <c r="F242" s="16">
        <f>Table11[[#This Row],['#TreesContract]]</f>
        <v>1100</v>
      </c>
      <c r="G242" s="16">
        <f>Table11[[#This Row],['#Planted]]</f>
        <v>1100</v>
      </c>
      <c r="H242" s="16">
        <f>Table11[[#This Row],['#TreesContract]]*Table11[[#This Row],[Canada Allocation %]]</f>
        <v>0</v>
      </c>
      <c r="I242" s="16">
        <f>Table11[[#This Row],['#Planted]]*Table11[[#This Row],[Canada Allocation %]]</f>
        <v>0</v>
      </c>
      <c r="J242" s="16">
        <f>Table11[[#This Row],[Contract Amendment]]*Table11[[#This Row],[Canada Allocation %]]</f>
        <v>0</v>
      </c>
      <c r="K242" s="16">
        <f>Table11[[#This Row],['#Trees as of 12/31/23]]*Table11[[#This Row],[Canada Allocation %]]</f>
        <v>0</v>
      </c>
      <c r="L242" s="16">
        <f>Table11[[#This Row],['#Replace 24]]*Table11[[#This Row],[Canada Allocation %]]</f>
        <v>0</v>
      </c>
      <c r="M242" s="16"/>
      <c r="N242" s="16">
        <f>(Table11[[#This Row],[2024 '#Trees Inventory + Estimate]]*Table11[[#This Row],[Canada Allocation %]])-SUM(Table378[[#This Row],['# Trees as of 12/31/23]:[New Trees/Planted in 2024]])</f>
        <v>0</v>
      </c>
      <c r="O242" s="16">
        <f>SUM(Table378[[#This Row],['# Trees as of 12/31/23]:[2024 Tree Losses]])</f>
        <v>0</v>
      </c>
      <c r="P242" s="16">
        <f>SUM(Table378[[#This Row],[Total Trees as of 12/31/24]]-Table378[[#This Row],['# Trees as of 12/31/23]])</f>
        <v>0</v>
      </c>
      <c r="Q242" s="16">
        <f>Table11[[#This Row],['#Total Replacements]]*Table11[[#This Row],[Canada Allocation %]]</f>
        <v>0</v>
      </c>
      <c r="R242" s="16">
        <f>IF(Table378[[#This Row],['#Survival based on Inventory]]=0,Table378['#Survival based on Last Year Estimate],Table378['#Survival based on Inventory])</f>
        <v>0</v>
      </c>
      <c r="S242" s="16">
        <f>Table11[[#This Row],['#Planted]]*Table11[[#This Row],[Canada Allocation %]]*Table11[[#This Row],[2024 Inventory Survival%-master]]</f>
        <v>0</v>
      </c>
      <c r="T242" s="16">
        <f>Table11[[#This Row],['#Planted]]*Table11[[#This Row],[Canada Allocation %]]*Table11[[#This Row],[2024 Estimated Survival%]]</f>
        <v>0</v>
      </c>
      <c r="U242" s="7">
        <f>Table11[[#This Row],[ETP Year]]</f>
        <v>2021</v>
      </c>
      <c r="V242" s="7">
        <f>Table11[[#This Row],[Planting Year]]</f>
        <v>2021</v>
      </c>
      <c r="W242" s="8">
        <f>Table11[[#This Row],[Survival% as of 12/31/23]]</f>
        <v>0.89767355371900837</v>
      </c>
      <c r="X242" s="7">
        <f>Table11[[#This Row],[ETP'#s]]</f>
        <v>1</v>
      </c>
    </row>
    <row r="243" spans="1:24" x14ac:dyDescent="0.25">
      <c r="A243">
        <f>Table11[[#This Row],[Farmer'#]]</f>
        <v>10092</v>
      </c>
      <c r="B243" t="str">
        <f>Table11[[#This Row],[Representative]]</f>
        <v>Jordy McMahan</v>
      </c>
      <c r="C243" t="str">
        <f>Table11[[#This Row],[Contract Name]]</f>
        <v>Jordy and Kim P McMahan</v>
      </c>
      <c r="D243" t="str">
        <f>Table11[[#This Row],[Status]]</f>
        <v>Out of Program</v>
      </c>
      <c r="E243" t="str">
        <f>Table11[[#This Row],[Contract Code]]</f>
        <v>US0107</v>
      </c>
      <c r="F243" s="16">
        <f>Table11[[#This Row],['#TreesContract]]</f>
        <v>550</v>
      </c>
      <c r="G243" s="16">
        <f>Table11[[#This Row],['#Planted]]</f>
        <v>550</v>
      </c>
      <c r="H243" s="16">
        <f>Table11[[#This Row],['#TreesContract]]*Table11[[#This Row],[Canada Allocation %]]</f>
        <v>0</v>
      </c>
      <c r="I243" s="16">
        <f>Table11[[#This Row],['#Planted]]*Table11[[#This Row],[Canada Allocation %]]</f>
        <v>0</v>
      </c>
      <c r="J243" s="16">
        <f>Table11[[#This Row],[Contract Amendment]]*Table11[[#This Row],[Canada Allocation %]]</f>
        <v>0</v>
      </c>
      <c r="K243" s="16">
        <f>Table11[[#This Row],['#Trees as of 12/31/23]]*Table11[[#This Row],[Canada Allocation %]]</f>
        <v>0</v>
      </c>
      <c r="L243" s="16">
        <f>Table11[[#This Row],['#Replace 24]]*Table11[[#This Row],[Canada Allocation %]]</f>
        <v>0</v>
      </c>
      <c r="M243" s="16"/>
      <c r="N243" s="16">
        <f>(Table11[[#This Row],[2024 '#Trees Inventory + Estimate]]*Table11[[#This Row],[Canada Allocation %]])-SUM(Table378[[#This Row],['# Trees as of 12/31/23]:[New Trees/Planted in 2024]])</f>
        <v>0</v>
      </c>
      <c r="O243" s="16">
        <f>SUM(Table378[[#This Row],['# Trees as of 12/31/23]:[2024 Tree Losses]])</f>
        <v>0</v>
      </c>
      <c r="P243" s="16">
        <f>SUM(Table378[[#This Row],[Total Trees as of 12/31/24]]-Table378[[#This Row],['# Trees as of 12/31/23]])</f>
        <v>0</v>
      </c>
      <c r="Q243" s="16">
        <f>Table11[[#This Row],['#Total Replacements]]*Table11[[#This Row],[Canada Allocation %]]</f>
        <v>0</v>
      </c>
      <c r="R243" s="16">
        <f>IF(Table378[[#This Row],['#Survival based on Inventory]]=0,Table378['#Survival based on Last Year Estimate],Table378['#Survival based on Inventory])</f>
        <v>0</v>
      </c>
      <c r="S243" s="16">
        <f>Table11[[#This Row],['#Planted]]*Table11[[#This Row],[Canada Allocation %]]*Table11[[#This Row],[2024 Inventory Survival%-master]]</f>
        <v>0</v>
      </c>
      <c r="T243" s="16">
        <f>Table11[[#This Row],['#Planted]]*Table11[[#This Row],[Canada Allocation %]]*Table11[[#This Row],[2024 Estimated Survival%]]</f>
        <v>0</v>
      </c>
      <c r="U243" s="7">
        <f>Table11[[#This Row],[ETP Year]]</f>
        <v>2020</v>
      </c>
      <c r="V243" s="7">
        <f>Table11[[#This Row],[Planting Year]]</f>
        <v>2021</v>
      </c>
      <c r="W243" s="8">
        <f>Table11[[#This Row],[Survival% as of 12/31/23]]</f>
        <v>0.90649035812672174</v>
      </c>
      <c r="X243" s="7">
        <f>Table11[[#This Row],[ETP'#s]]</f>
        <v>1</v>
      </c>
    </row>
    <row r="244" spans="1:24" x14ac:dyDescent="0.25">
      <c r="A244">
        <f>Table11[[#This Row],[Farmer'#]]</f>
        <v>10092</v>
      </c>
      <c r="B244" t="str">
        <f>Table11[[#This Row],[Representative]]</f>
        <v>Jordy McMahan</v>
      </c>
      <c r="C244" t="str">
        <f>Table11[[#This Row],[Contract Name]]</f>
        <v>Jordy McMahan</v>
      </c>
      <c r="D244" t="str">
        <f>Table11[[#This Row],[Status]]</f>
        <v>Out of Program</v>
      </c>
      <c r="E244" t="str">
        <f>Table11[[#This Row],[Contract Code]]</f>
        <v>US0108</v>
      </c>
      <c r="F244" s="16">
        <f>Table11[[#This Row],['#TreesContract]]</f>
        <v>1100</v>
      </c>
      <c r="G244" s="16">
        <f>Table11[[#This Row],['#Planted]]</f>
        <v>1100</v>
      </c>
      <c r="H244" s="16">
        <f>Table11[[#This Row],['#TreesContract]]*Table11[[#This Row],[Canada Allocation %]]</f>
        <v>0</v>
      </c>
      <c r="I244" s="16">
        <f>Table11[[#This Row],['#Planted]]*Table11[[#This Row],[Canada Allocation %]]</f>
        <v>0</v>
      </c>
      <c r="J244" s="16">
        <f>Table11[[#This Row],[Contract Amendment]]*Table11[[#This Row],[Canada Allocation %]]</f>
        <v>0</v>
      </c>
      <c r="K244" s="16">
        <f>Table11[[#This Row],['#Trees as of 12/31/23]]*Table11[[#This Row],[Canada Allocation %]]</f>
        <v>0</v>
      </c>
      <c r="L244" s="16">
        <f>Table11[[#This Row],['#Replace 24]]*Table11[[#This Row],[Canada Allocation %]]</f>
        <v>0</v>
      </c>
      <c r="M244" s="16"/>
      <c r="N244" s="16">
        <f>(Table11[[#This Row],[2024 '#Trees Inventory + Estimate]]*Table11[[#This Row],[Canada Allocation %]])-SUM(Table378[[#This Row],['# Trees as of 12/31/23]:[New Trees/Planted in 2024]])</f>
        <v>0</v>
      </c>
      <c r="O244" s="16">
        <f>SUM(Table378[[#This Row],['# Trees as of 12/31/23]:[2024 Tree Losses]])</f>
        <v>0</v>
      </c>
      <c r="P244" s="16">
        <f>SUM(Table378[[#This Row],[Total Trees as of 12/31/24]]-Table378[[#This Row],['# Trees as of 12/31/23]])</f>
        <v>0</v>
      </c>
      <c r="Q244" s="16">
        <f>Table11[[#This Row],['#Total Replacements]]*Table11[[#This Row],[Canada Allocation %]]</f>
        <v>0</v>
      </c>
      <c r="R244" s="16">
        <f>IF(Table378[[#This Row],['#Survival based on Inventory]]=0,Table378['#Survival based on Last Year Estimate],Table378['#Survival based on Inventory])</f>
        <v>0</v>
      </c>
      <c r="S244" s="16">
        <f>Table11[[#This Row],['#Planted]]*Table11[[#This Row],[Canada Allocation %]]*Table11[[#This Row],[2024 Inventory Survival%-master]]</f>
        <v>0</v>
      </c>
      <c r="T244" s="16">
        <f>Table11[[#This Row],['#Planted]]*Table11[[#This Row],[Canada Allocation %]]*Table11[[#This Row],[2024 Estimated Survival%]]</f>
        <v>0</v>
      </c>
      <c r="U244" s="7">
        <f>Table11[[#This Row],[ETP Year]]</f>
        <v>2020</v>
      </c>
      <c r="V244" s="7">
        <f>Table11[[#This Row],[Planting Year]]</f>
        <v>2021</v>
      </c>
      <c r="W244" s="8">
        <f>Table11[[#This Row],[Survival% as of 12/31/23]]</f>
        <v>0.89884615384615374</v>
      </c>
      <c r="X244" s="7">
        <f>Table11[[#This Row],[ETP'#s]]</f>
        <v>1</v>
      </c>
    </row>
    <row r="245" spans="1:24" x14ac:dyDescent="0.25">
      <c r="A245">
        <f>Table11[[#This Row],[Farmer'#]]</f>
        <v>10093</v>
      </c>
      <c r="B245" t="str">
        <f>Table11[[#This Row],[Representative]]</f>
        <v>Keith Bell</v>
      </c>
      <c r="C245" t="str">
        <f>Table11[[#This Row],[Contract Name]]</f>
        <v>Keith  Bell</v>
      </c>
      <c r="D245" t="str">
        <f>Table11[[#This Row],[Status]]</f>
        <v>Active</v>
      </c>
      <c r="E245" t="str">
        <f>Table11[[#This Row],[Contract Code]]</f>
        <v>US0109</v>
      </c>
      <c r="F245" s="16">
        <f>Table11[[#This Row],['#TreesContract]]</f>
        <v>1100</v>
      </c>
      <c r="G245" s="16">
        <f>Table11[[#This Row],['#Planted]]</f>
        <v>1100</v>
      </c>
      <c r="H245" s="16">
        <f>Table11[[#This Row],['#TreesContract]]*Table11[[#This Row],[Canada Allocation %]]</f>
        <v>0</v>
      </c>
      <c r="I245" s="16">
        <f>Table11[[#This Row],['#Planted]]*Table11[[#This Row],[Canada Allocation %]]</f>
        <v>0</v>
      </c>
      <c r="J245" s="16">
        <f>Table11[[#This Row],[Contract Amendment]]*Table11[[#This Row],[Canada Allocation %]]</f>
        <v>0</v>
      </c>
      <c r="K245" s="16">
        <f>Table11[[#This Row],['#Trees as of 12/31/23]]*Table11[[#This Row],[Canada Allocation %]]</f>
        <v>0</v>
      </c>
      <c r="L245" s="16">
        <f>Table11[[#This Row],['#Replace 24]]*Table11[[#This Row],[Canada Allocation %]]</f>
        <v>0</v>
      </c>
      <c r="M245" s="16"/>
      <c r="N245" s="16">
        <f>(Table11[[#This Row],[2024 '#Trees Inventory + Estimate]]*Table11[[#This Row],[Canada Allocation %]])-SUM(Table378[[#This Row],['# Trees as of 12/31/23]:[New Trees/Planted in 2024]])</f>
        <v>0</v>
      </c>
      <c r="O245" s="16">
        <f>SUM(Table378[[#This Row],['# Trees as of 12/31/23]:[2024 Tree Losses]])</f>
        <v>0</v>
      </c>
      <c r="P245" s="16">
        <f>SUM(Table378[[#This Row],[Total Trees as of 12/31/24]]-Table378[[#This Row],['# Trees as of 12/31/23]])</f>
        <v>0</v>
      </c>
      <c r="Q245" s="16">
        <f>Table11[[#This Row],['#Total Replacements]]*Table11[[#This Row],[Canada Allocation %]]</f>
        <v>0</v>
      </c>
      <c r="R245" s="16">
        <f>IF(Table378[[#This Row],['#Survival based on Inventory]]=0,Table378['#Survival based on Last Year Estimate],Table378['#Survival based on Inventory])</f>
        <v>0</v>
      </c>
      <c r="S245" s="16">
        <f>Table11[[#This Row],['#Planted]]*Table11[[#This Row],[Canada Allocation %]]*Table11[[#This Row],[2024 Inventory Survival%-master]]</f>
        <v>0</v>
      </c>
      <c r="T245" s="16">
        <f>Table11[[#This Row],['#Planted]]*Table11[[#This Row],[Canada Allocation %]]*Table11[[#This Row],[2024 Estimated Survival%]]</f>
        <v>0</v>
      </c>
      <c r="U245" s="7">
        <f>Table11[[#This Row],[ETP Year]]</f>
        <v>2020</v>
      </c>
      <c r="V245" s="7">
        <f>Table11[[#This Row],[Planting Year]]</f>
        <v>2021</v>
      </c>
      <c r="W245" s="8">
        <f>Table11[[#This Row],[Survival% as of 12/31/23]]</f>
        <v>0.95415977961432497</v>
      </c>
      <c r="X245" s="7">
        <f>Table11[[#This Row],[ETP'#s]]</f>
        <v>1</v>
      </c>
    </row>
    <row r="246" spans="1:24" x14ac:dyDescent="0.25">
      <c r="A246">
        <f>Table11[[#This Row],[Farmer'#]]</f>
        <v>10094</v>
      </c>
      <c r="B246" t="str">
        <f>Table11[[#This Row],[Representative]]</f>
        <v>Kyle Flint</v>
      </c>
      <c r="C246" t="str">
        <f>Table11[[#This Row],[Contract Name]]</f>
        <v>RD Land and Materials LLC</v>
      </c>
      <c r="D246" t="str">
        <f>Table11[[#This Row],[Status]]</f>
        <v>RFT</v>
      </c>
      <c r="E246" t="str">
        <f>Table11[[#This Row],[Contract Code]]</f>
        <v>US0110</v>
      </c>
      <c r="F246" s="16">
        <f>Table11[[#This Row],['#TreesContract]]</f>
        <v>1100</v>
      </c>
      <c r="G246" s="16">
        <f>Table11[[#This Row],['#Planted]]</f>
        <v>1100</v>
      </c>
      <c r="H246" s="16">
        <f>Table11[[#This Row],['#TreesContract]]*Table11[[#This Row],[Canada Allocation %]]</f>
        <v>0</v>
      </c>
      <c r="I246" s="16">
        <f>Table11[[#This Row],['#Planted]]*Table11[[#This Row],[Canada Allocation %]]</f>
        <v>0</v>
      </c>
      <c r="J246" s="16">
        <f>Table11[[#This Row],[Contract Amendment]]*Table11[[#This Row],[Canada Allocation %]]</f>
        <v>0</v>
      </c>
      <c r="K246" s="16">
        <f>Table11[[#This Row],['#Trees as of 12/31/23]]*Table11[[#This Row],[Canada Allocation %]]</f>
        <v>0</v>
      </c>
      <c r="L246" s="16">
        <f>Table11[[#This Row],['#Replace 24]]*Table11[[#This Row],[Canada Allocation %]]</f>
        <v>0</v>
      </c>
      <c r="M246" s="16"/>
      <c r="N246" s="16">
        <f>(Table11[[#This Row],[2024 '#Trees Inventory + Estimate]]*Table11[[#This Row],[Canada Allocation %]])-SUM(Table378[[#This Row],['# Trees as of 12/31/23]:[New Trees/Planted in 2024]])</f>
        <v>0</v>
      </c>
      <c r="O246" s="16">
        <f>SUM(Table378[[#This Row],['# Trees as of 12/31/23]:[2024 Tree Losses]])</f>
        <v>0</v>
      </c>
      <c r="P246" s="16">
        <f>SUM(Table378[[#This Row],[Total Trees as of 12/31/24]]-Table378[[#This Row],['# Trees as of 12/31/23]])</f>
        <v>0</v>
      </c>
      <c r="Q246" s="16">
        <f>Table11[[#This Row],['#Total Replacements]]*Table11[[#This Row],[Canada Allocation %]]</f>
        <v>0</v>
      </c>
      <c r="R246" s="16">
        <f>IF(Table378[[#This Row],['#Survival based on Inventory]]=0,Table378['#Survival based on Last Year Estimate],Table378['#Survival based on Inventory])</f>
        <v>0</v>
      </c>
      <c r="S246" s="16">
        <f>Table11[[#This Row],['#Planted]]*Table11[[#This Row],[Canada Allocation %]]*Table11[[#This Row],[2024 Inventory Survival%-master]]</f>
        <v>0</v>
      </c>
      <c r="T246" s="16">
        <f>Table11[[#This Row],['#Planted]]*Table11[[#This Row],[Canada Allocation %]]*Table11[[#This Row],[2024 Estimated Survival%]]</f>
        <v>0</v>
      </c>
      <c r="U246" s="7">
        <f>Table11[[#This Row],[ETP Year]]</f>
        <v>2021</v>
      </c>
      <c r="V246" s="7">
        <f>Table11[[#This Row],[Planting Year]]</f>
        <v>2021</v>
      </c>
      <c r="W246" s="8">
        <f>Table11[[#This Row],[Survival% as of 12/31/23]]</f>
        <v>0</v>
      </c>
      <c r="X246" s="7">
        <f>Table11[[#This Row],[ETP'#s]]</f>
        <v>1</v>
      </c>
    </row>
    <row r="247" spans="1:24" x14ac:dyDescent="0.25">
      <c r="A247">
        <f>Table11[[#This Row],[Farmer'#]]</f>
        <v>10095</v>
      </c>
      <c r="B247" t="str">
        <f>Table11[[#This Row],[Representative]]</f>
        <v>Loren Raymer</v>
      </c>
      <c r="C247" t="str">
        <f>Table11[[#This Row],[Contract Name]]</f>
        <v>Loren  Raymer</v>
      </c>
      <c r="D247" t="str">
        <f>Table11[[#This Row],[Status]]</f>
        <v>RFT</v>
      </c>
      <c r="E247" t="str">
        <f>Table11[[#This Row],[Contract Code]]</f>
        <v>US0111</v>
      </c>
      <c r="F247" s="16">
        <f>Table11[[#This Row],['#TreesContract]]</f>
        <v>1100</v>
      </c>
      <c r="G247" s="16">
        <f>Table11[[#This Row],['#Planted]]</f>
        <v>1100</v>
      </c>
      <c r="H247" s="16">
        <f>Table11[[#This Row],['#TreesContract]]*Table11[[#This Row],[Canada Allocation %]]</f>
        <v>0</v>
      </c>
      <c r="I247" s="16">
        <f>Table11[[#This Row],['#Planted]]*Table11[[#This Row],[Canada Allocation %]]</f>
        <v>0</v>
      </c>
      <c r="J247" s="16">
        <f>Table11[[#This Row],[Contract Amendment]]*Table11[[#This Row],[Canada Allocation %]]</f>
        <v>0</v>
      </c>
      <c r="K247" s="16">
        <f>Table11[[#This Row],['#Trees as of 12/31/23]]*Table11[[#This Row],[Canada Allocation %]]</f>
        <v>0</v>
      </c>
      <c r="L247" s="16">
        <f>Table11[[#This Row],['#Replace 24]]*Table11[[#This Row],[Canada Allocation %]]</f>
        <v>0</v>
      </c>
      <c r="M247" s="16"/>
      <c r="N247" s="16">
        <f>(Table11[[#This Row],[2024 '#Trees Inventory + Estimate]]*Table11[[#This Row],[Canada Allocation %]])-SUM(Table378[[#This Row],['# Trees as of 12/31/23]:[New Trees/Planted in 2024]])</f>
        <v>0</v>
      </c>
      <c r="O247" s="16">
        <f>SUM(Table378[[#This Row],['# Trees as of 12/31/23]:[2024 Tree Losses]])</f>
        <v>0</v>
      </c>
      <c r="P247" s="16">
        <f>SUM(Table378[[#This Row],[Total Trees as of 12/31/24]]-Table378[[#This Row],['# Trees as of 12/31/23]])</f>
        <v>0</v>
      </c>
      <c r="Q247" s="16">
        <f>Table11[[#This Row],['#Total Replacements]]*Table11[[#This Row],[Canada Allocation %]]</f>
        <v>0</v>
      </c>
      <c r="R247" s="16">
        <f>IF(Table378[[#This Row],['#Survival based on Inventory]]=0,Table378['#Survival based on Last Year Estimate],Table378['#Survival based on Inventory])</f>
        <v>0</v>
      </c>
      <c r="S247" s="16">
        <f>Table11[[#This Row],['#Planted]]*Table11[[#This Row],[Canada Allocation %]]*Table11[[#This Row],[2024 Inventory Survival%-master]]</f>
        <v>0</v>
      </c>
      <c r="T247" s="16">
        <f>Table11[[#This Row],['#Planted]]*Table11[[#This Row],[Canada Allocation %]]*Table11[[#This Row],[2024 Estimated Survival%]]</f>
        <v>0</v>
      </c>
      <c r="U247" s="7">
        <f>Table11[[#This Row],[ETP Year]]</f>
        <v>2021</v>
      </c>
      <c r="V247" s="7">
        <f>Table11[[#This Row],[Planting Year]]</f>
        <v>2021</v>
      </c>
      <c r="W247" s="8">
        <f>Table11[[#This Row],[Survival% as of 12/31/23]]</f>
        <v>0</v>
      </c>
      <c r="X247" s="7">
        <f>Table11[[#This Row],[ETP'#s]]</f>
        <v>1</v>
      </c>
    </row>
    <row r="248" spans="1:24" x14ac:dyDescent="0.25">
      <c r="A248">
        <f>Table11[[#This Row],[Farmer'#]]</f>
        <v>10096</v>
      </c>
      <c r="B248" t="str">
        <f>Table11[[#This Row],[Representative]]</f>
        <v>Lori Fults</v>
      </c>
      <c r="C248" t="str">
        <f>Table11[[#This Row],[Contract Name]]</f>
        <v>Lori &amp; Don Fults</v>
      </c>
      <c r="D248" t="str">
        <f>Table11[[#This Row],[Status]]</f>
        <v>Active</v>
      </c>
      <c r="E248" t="str">
        <f>Table11[[#This Row],[Contract Code]]</f>
        <v>US0112</v>
      </c>
      <c r="F248" s="16">
        <f>Table11[[#This Row],['#TreesContract]]</f>
        <v>1100</v>
      </c>
      <c r="G248" s="16">
        <f>Table11[[#This Row],['#Planted]]</f>
        <v>1100</v>
      </c>
      <c r="H248" s="16">
        <f>Table11[[#This Row],['#TreesContract]]*Table11[[#This Row],[Canada Allocation %]]</f>
        <v>0</v>
      </c>
      <c r="I248" s="16">
        <f>Table11[[#This Row],['#Planted]]*Table11[[#This Row],[Canada Allocation %]]</f>
        <v>0</v>
      </c>
      <c r="J248" s="16">
        <f>Table11[[#This Row],[Contract Amendment]]*Table11[[#This Row],[Canada Allocation %]]</f>
        <v>0</v>
      </c>
      <c r="K248" s="16">
        <f>Table11[[#This Row],['#Trees as of 12/31/23]]*Table11[[#This Row],[Canada Allocation %]]</f>
        <v>0</v>
      </c>
      <c r="L248" s="16">
        <f>Table11[[#This Row],['#Replace 24]]*Table11[[#This Row],[Canada Allocation %]]</f>
        <v>0</v>
      </c>
      <c r="M248" s="16"/>
      <c r="N248" s="16">
        <f>(Table11[[#This Row],[2024 '#Trees Inventory + Estimate]]*Table11[[#This Row],[Canada Allocation %]])-SUM(Table378[[#This Row],['# Trees as of 12/31/23]:[New Trees/Planted in 2024]])</f>
        <v>0</v>
      </c>
      <c r="O248" s="16">
        <f>SUM(Table378[[#This Row],['# Trees as of 12/31/23]:[2024 Tree Losses]])</f>
        <v>0</v>
      </c>
      <c r="P248" s="16">
        <f>SUM(Table378[[#This Row],[Total Trees as of 12/31/24]]-Table378[[#This Row],['# Trees as of 12/31/23]])</f>
        <v>0</v>
      </c>
      <c r="Q248" s="16">
        <f>Table11[[#This Row],['#Total Replacements]]*Table11[[#This Row],[Canada Allocation %]]</f>
        <v>0</v>
      </c>
      <c r="R248" s="16">
        <f>IF(Table378[[#This Row],['#Survival based on Inventory]]=0,Table378['#Survival based on Last Year Estimate],Table378['#Survival based on Inventory])</f>
        <v>0</v>
      </c>
      <c r="S248" s="16">
        <f>Table11[[#This Row],['#Planted]]*Table11[[#This Row],[Canada Allocation %]]*Table11[[#This Row],[2024 Inventory Survival%-master]]</f>
        <v>0</v>
      </c>
      <c r="T248" s="16">
        <f>Table11[[#This Row],['#Planted]]*Table11[[#This Row],[Canada Allocation %]]*Table11[[#This Row],[2024 Estimated Survival%]]</f>
        <v>0</v>
      </c>
      <c r="U248" s="7">
        <f>Table11[[#This Row],[ETP Year]]</f>
        <v>2021</v>
      </c>
      <c r="V248" s="7">
        <f>Table11[[#This Row],[Planting Year]]</f>
        <v>2021</v>
      </c>
      <c r="W248" s="8">
        <f>Table11[[#This Row],[Survival% as of 12/31/23]]</f>
        <v>1</v>
      </c>
      <c r="X248" s="7">
        <f>Table11[[#This Row],[ETP'#s]]</f>
        <v>1</v>
      </c>
    </row>
    <row r="249" spans="1:24" x14ac:dyDescent="0.25">
      <c r="A249">
        <f>Table11[[#This Row],[Farmer'#]]</f>
        <v>10097</v>
      </c>
      <c r="B249" t="str">
        <f>Table11[[#This Row],[Representative]]</f>
        <v>Mac Alexander</v>
      </c>
      <c r="C249" t="str">
        <f>Table11[[#This Row],[Contract Name]]</f>
        <v>Mac  Alexander</v>
      </c>
      <c r="D249" t="str">
        <f>Table11[[#This Row],[Status]]</f>
        <v>Active</v>
      </c>
      <c r="E249" t="str">
        <f>Table11[[#This Row],[Contract Code]]</f>
        <v>US0113</v>
      </c>
      <c r="F249" s="16">
        <f>Table11[[#This Row],['#TreesContract]]</f>
        <v>1100</v>
      </c>
      <c r="G249" s="16">
        <f>Table11[[#This Row],['#Planted]]</f>
        <v>1100</v>
      </c>
      <c r="H249" s="16">
        <f>Table11[[#This Row],['#TreesContract]]*Table11[[#This Row],[Canada Allocation %]]</f>
        <v>0</v>
      </c>
      <c r="I249" s="16">
        <f>Table11[[#This Row],['#Planted]]*Table11[[#This Row],[Canada Allocation %]]</f>
        <v>0</v>
      </c>
      <c r="J249" s="16">
        <f>Table11[[#This Row],[Contract Amendment]]*Table11[[#This Row],[Canada Allocation %]]</f>
        <v>0</v>
      </c>
      <c r="K249" s="16">
        <f>Table11[[#This Row],['#Trees as of 12/31/23]]*Table11[[#This Row],[Canada Allocation %]]</f>
        <v>0</v>
      </c>
      <c r="L249" s="16">
        <f>Table11[[#This Row],['#Replace 24]]*Table11[[#This Row],[Canada Allocation %]]</f>
        <v>0</v>
      </c>
      <c r="M249" s="16"/>
      <c r="N249" s="16">
        <f>(Table11[[#This Row],[2024 '#Trees Inventory + Estimate]]*Table11[[#This Row],[Canada Allocation %]])-SUM(Table378[[#This Row],['# Trees as of 12/31/23]:[New Trees/Planted in 2024]])</f>
        <v>0</v>
      </c>
      <c r="O249" s="16">
        <f>SUM(Table378[[#This Row],['# Trees as of 12/31/23]:[2024 Tree Losses]])</f>
        <v>0</v>
      </c>
      <c r="P249" s="16">
        <f>SUM(Table378[[#This Row],[Total Trees as of 12/31/24]]-Table378[[#This Row],['# Trees as of 12/31/23]])</f>
        <v>0</v>
      </c>
      <c r="Q249" s="16">
        <f>Table11[[#This Row],['#Total Replacements]]*Table11[[#This Row],[Canada Allocation %]]</f>
        <v>0</v>
      </c>
      <c r="R249" s="16">
        <f>IF(Table378[[#This Row],['#Survival based on Inventory]]=0,Table378['#Survival based on Last Year Estimate],Table378['#Survival based on Inventory])</f>
        <v>0</v>
      </c>
      <c r="S249" s="16">
        <f>Table11[[#This Row],['#Planted]]*Table11[[#This Row],[Canada Allocation %]]*Table11[[#This Row],[2024 Inventory Survival%-master]]</f>
        <v>0</v>
      </c>
      <c r="T249" s="16">
        <f>Table11[[#This Row],['#Planted]]*Table11[[#This Row],[Canada Allocation %]]*Table11[[#This Row],[2024 Estimated Survival%]]</f>
        <v>0</v>
      </c>
      <c r="U249" s="7">
        <f>Table11[[#This Row],[ETP Year]]</f>
        <v>2021</v>
      </c>
      <c r="V249" s="7">
        <f>Table11[[#This Row],[Planting Year]]</f>
        <v>2021</v>
      </c>
      <c r="W249" s="8">
        <f>Table11[[#This Row],[Survival% as of 12/31/23]]</f>
        <v>1</v>
      </c>
      <c r="X249" s="7">
        <f>Table11[[#This Row],[ETP'#s]]</f>
        <v>1</v>
      </c>
    </row>
    <row r="250" spans="1:24" x14ac:dyDescent="0.25">
      <c r="A250">
        <f>Table11[[#This Row],[Farmer'#]]</f>
        <v>10098</v>
      </c>
      <c r="B250" t="str">
        <f>Table11[[#This Row],[Representative]]</f>
        <v>Marty Causseaux</v>
      </c>
      <c r="C250" t="str">
        <f>Table11[[#This Row],[Contract Name]]</f>
        <v>Marty  Causseaux</v>
      </c>
      <c r="D250" t="str">
        <f>Table11[[#This Row],[Status]]</f>
        <v>Active</v>
      </c>
      <c r="E250" t="str">
        <f>Table11[[#This Row],[Contract Code]]</f>
        <v>US0114</v>
      </c>
      <c r="F250" s="16">
        <f>Table11[[#This Row],['#TreesContract]]</f>
        <v>1145</v>
      </c>
      <c r="G250" s="16">
        <f>Table11[[#This Row],['#Planted]]</f>
        <v>1145</v>
      </c>
      <c r="H250" s="16">
        <f>Table11[[#This Row],['#TreesContract]]*Table11[[#This Row],[Canada Allocation %]]</f>
        <v>0</v>
      </c>
      <c r="I250" s="16">
        <f>Table11[[#This Row],['#Planted]]*Table11[[#This Row],[Canada Allocation %]]</f>
        <v>0</v>
      </c>
      <c r="J250" s="16">
        <f>Table11[[#This Row],[Contract Amendment]]*Table11[[#This Row],[Canada Allocation %]]</f>
        <v>0</v>
      </c>
      <c r="K250" s="16">
        <f>Table11[[#This Row],['#Trees as of 12/31/23]]*Table11[[#This Row],[Canada Allocation %]]</f>
        <v>0</v>
      </c>
      <c r="L250" s="16">
        <f>Table11[[#This Row],['#Replace 24]]*Table11[[#This Row],[Canada Allocation %]]</f>
        <v>0</v>
      </c>
      <c r="M250" s="16"/>
      <c r="N250" s="16">
        <f>(Table11[[#This Row],[2024 '#Trees Inventory + Estimate]]*Table11[[#This Row],[Canada Allocation %]])-SUM(Table378[[#This Row],['# Trees as of 12/31/23]:[New Trees/Planted in 2024]])</f>
        <v>0</v>
      </c>
      <c r="O250" s="16">
        <f>SUM(Table378[[#This Row],['# Trees as of 12/31/23]:[2024 Tree Losses]])</f>
        <v>0</v>
      </c>
      <c r="P250" s="16">
        <f>SUM(Table378[[#This Row],[Total Trees as of 12/31/24]]-Table378[[#This Row],['# Trees as of 12/31/23]])</f>
        <v>0</v>
      </c>
      <c r="Q250" s="16">
        <f>Table11[[#This Row],['#Total Replacements]]*Table11[[#This Row],[Canada Allocation %]]</f>
        <v>0</v>
      </c>
      <c r="R250" s="16">
        <f>IF(Table378[[#This Row],['#Survival based on Inventory]]=0,Table378['#Survival based on Last Year Estimate],Table378['#Survival based on Inventory])</f>
        <v>0</v>
      </c>
      <c r="S250" s="16">
        <f>Table11[[#This Row],['#Planted]]*Table11[[#This Row],[Canada Allocation %]]*Table11[[#This Row],[2024 Inventory Survival%-master]]</f>
        <v>0</v>
      </c>
      <c r="T250" s="16">
        <f>Table11[[#This Row],['#Planted]]*Table11[[#This Row],[Canada Allocation %]]*Table11[[#This Row],[2024 Estimated Survival%]]</f>
        <v>0</v>
      </c>
      <c r="U250" s="7">
        <f>Table11[[#This Row],[ETP Year]]</f>
        <v>2021</v>
      </c>
      <c r="V250" s="7">
        <f>Table11[[#This Row],[Planting Year]]</f>
        <v>2021</v>
      </c>
      <c r="W250" s="8">
        <f>Table11[[#This Row],[Survival% as of 12/31/23]]</f>
        <v>1</v>
      </c>
      <c r="X250" s="7">
        <f>Table11[[#This Row],[ETP'#s]]</f>
        <v>1</v>
      </c>
    </row>
    <row r="251" spans="1:24" x14ac:dyDescent="0.25">
      <c r="A251">
        <f>Table11[[#This Row],[Farmer'#]]</f>
        <v>10099</v>
      </c>
      <c r="B251" t="str">
        <f>Table11[[#This Row],[Representative]]</f>
        <v>Michael Roe</v>
      </c>
      <c r="C251" t="str">
        <f>Table11[[#This Row],[Contract Name]]</f>
        <v>Michael  Roe</v>
      </c>
      <c r="D251" t="str">
        <f>Table11[[#This Row],[Status]]</f>
        <v>Active</v>
      </c>
      <c r="E251" t="str">
        <f>Table11[[#This Row],[Contract Code]]</f>
        <v>US0115</v>
      </c>
      <c r="F251" s="16">
        <f>Table11[[#This Row],['#TreesContract]]</f>
        <v>1100</v>
      </c>
      <c r="G251" s="16">
        <f>Table11[[#This Row],['#Planted]]</f>
        <v>1100</v>
      </c>
      <c r="H251" s="16">
        <f>Table11[[#This Row],['#TreesContract]]*Table11[[#This Row],[Canada Allocation %]]</f>
        <v>0</v>
      </c>
      <c r="I251" s="16">
        <f>Table11[[#This Row],['#Planted]]*Table11[[#This Row],[Canada Allocation %]]</f>
        <v>0</v>
      </c>
      <c r="J251" s="16">
        <f>Table11[[#This Row],[Contract Amendment]]*Table11[[#This Row],[Canada Allocation %]]</f>
        <v>0</v>
      </c>
      <c r="K251" s="16">
        <f>Table11[[#This Row],['#Trees as of 12/31/23]]*Table11[[#This Row],[Canada Allocation %]]</f>
        <v>0</v>
      </c>
      <c r="L251" s="16">
        <f>Table11[[#This Row],['#Replace 24]]*Table11[[#This Row],[Canada Allocation %]]</f>
        <v>0</v>
      </c>
      <c r="M251" s="16"/>
      <c r="N251" s="16">
        <f>(Table11[[#This Row],[2024 '#Trees Inventory + Estimate]]*Table11[[#This Row],[Canada Allocation %]])-SUM(Table378[[#This Row],['# Trees as of 12/31/23]:[New Trees/Planted in 2024]])</f>
        <v>0</v>
      </c>
      <c r="O251" s="16">
        <f>SUM(Table378[[#This Row],['# Trees as of 12/31/23]:[2024 Tree Losses]])</f>
        <v>0</v>
      </c>
      <c r="P251" s="16">
        <f>SUM(Table378[[#This Row],[Total Trees as of 12/31/24]]-Table378[[#This Row],['# Trees as of 12/31/23]])</f>
        <v>0</v>
      </c>
      <c r="Q251" s="16">
        <f>Table11[[#This Row],['#Total Replacements]]*Table11[[#This Row],[Canada Allocation %]]</f>
        <v>0</v>
      </c>
      <c r="R251" s="16">
        <f>IF(Table378[[#This Row],['#Survival based on Inventory]]=0,Table378['#Survival based on Last Year Estimate],Table378['#Survival based on Inventory])</f>
        <v>0</v>
      </c>
      <c r="S251" s="16">
        <f>Table11[[#This Row],['#Planted]]*Table11[[#This Row],[Canada Allocation %]]*Table11[[#This Row],[2024 Inventory Survival%-master]]</f>
        <v>0</v>
      </c>
      <c r="T251" s="16">
        <f>Table11[[#This Row],['#Planted]]*Table11[[#This Row],[Canada Allocation %]]*Table11[[#This Row],[2024 Estimated Survival%]]</f>
        <v>0</v>
      </c>
      <c r="U251" s="7">
        <f>Table11[[#This Row],[ETP Year]]</f>
        <v>2020</v>
      </c>
      <c r="V251" s="7">
        <f>Table11[[#This Row],[Planting Year]]</f>
        <v>2021</v>
      </c>
      <c r="W251" s="8">
        <f>Table11[[#This Row],[Survival% as of 12/31/23]]</f>
        <v>0.88691470650561566</v>
      </c>
      <c r="X251" s="7">
        <f>Table11[[#This Row],[ETP'#s]]</f>
        <v>1</v>
      </c>
    </row>
    <row r="252" spans="1:24" x14ac:dyDescent="0.25">
      <c r="A252">
        <f>Table11[[#This Row],[Farmer'#]]</f>
        <v>10100</v>
      </c>
      <c r="B252" t="str">
        <f>Table11[[#This Row],[Representative]]</f>
        <v>Roy Price</v>
      </c>
      <c r="C252" t="str">
        <f>Table11[[#This Row],[Contract Name]]</f>
        <v>Roy  Price</v>
      </c>
      <c r="D252" t="str">
        <f>Table11[[#This Row],[Status]]</f>
        <v>Active</v>
      </c>
      <c r="E252" t="str">
        <f>Table11[[#This Row],[Contract Code]]</f>
        <v>US0118</v>
      </c>
      <c r="F252" s="16">
        <f>Table11[[#This Row],['#TreesContract]]</f>
        <v>1980</v>
      </c>
      <c r="G252" s="16">
        <f>Table11[[#This Row],['#Planted]]</f>
        <v>1980</v>
      </c>
      <c r="H252" s="16">
        <f>Table11[[#This Row],['#TreesContract]]*Table11[[#This Row],[Canada Allocation %]]</f>
        <v>0</v>
      </c>
      <c r="I252" s="16">
        <f>Table11[[#This Row],['#Planted]]*Table11[[#This Row],[Canada Allocation %]]</f>
        <v>0</v>
      </c>
      <c r="J252" s="16">
        <f>Table11[[#This Row],[Contract Amendment]]*Table11[[#This Row],[Canada Allocation %]]</f>
        <v>0</v>
      </c>
      <c r="K252" s="16">
        <f>Table11[[#This Row],['#Trees as of 12/31/23]]*Table11[[#This Row],[Canada Allocation %]]</f>
        <v>0</v>
      </c>
      <c r="L252" s="16">
        <f>Table11[[#This Row],['#Replace 24]]*Table11[[#This Row],[Canada Allocation %]]</f>
        <v>0</v>
      </c>
      <c r="M252" s="16"/>
      <c r="N252" s="16">
        <f>(Table11[[#This Row],[2024 '#Trees Inventory + Estimate]]*Table11[[#This Row],[Canada Allocation %]])-SUM(Table378[[#This Row],['# Trees as of 12/31/23]:[New Trees/Planted in 2024]])</f>
        <v>0</v>
      </c>
      <c r="O252" s="16">
        <f>SUM(Table378[[#This Row],['# Trees as of 12/31/23]:[2024 Tree Losses]])</f>
        <v>0</v>
      </c>
      <c r="P252" s="16">
        <f>SUM(Table378[[#This Row],[Total Trees as of 12/31/24]]-Table378[[#This Row],['# Trees as of 12/31/23]])</f>
        <v>0</v>
      </c>
      <c r="Q252" s="16">
        <f>Table11[[#This Row],['#Total Replacements]]*Table11[[#This Row],[Canada Allocation %]]</f>
        <v>0</v>
      </c>
      <c r="R252" s="16">
        <f>IF(Table378[[#This Row],['#Survival based on Inventory]]=0,Table378['#Survival based on Last Year Estimate],Table378['#Survival based on Inventory])</f>
        <v>0</v>
      </c>
      <c r="S252" s="16">
        <f>Table11[[#This Row],['#Planted]]*Table11[[#This Row],[Canada Allocation %]]*Table11[[#This Row],[2024 Inventory Survival%-master]]</f>
        <v>0</v>
      </c>
      <c r="T252" s="16">
        <f>Table11[[#This Row],['#Planted]]*Table11[[#This Row],[Canada Allocation %]]*Table11[[#This Row],[2024 Estimated Survival%]]</f>
        <v>0</v>
      </c>
      <c r="U252" s="7">
        <f>Table11[[#This Row],[ETP Year]]</f>
        <v>2021</v>
      </c>
      <c r="V252" s="7">
        <f>Table11[[#This Row],[Planting Year]]</f>
        <v>2021</v>
      </c>
      <c r="W252" s="8">
        <f>Table11[[#This Row],[Survival% as of 12/31/23]]</f>
        <v>1</v>
      </c>
      <c r="X252" s="7">
        <f>Table11[[#This Row],[ETP'#s]]</f>
        <v>1</v>
      </c>
    </row>
    <row r="253" spans="1:24" x14ac:dyDescent="0.25">
      <c r="A253">
        <f>Table11[[#This Row],[Farmer'#]]</f>
        <v>10101</v>
      </c>
      <c r="B253" t="str">
        <f>Table11[[#This Row],[Representative]]</f>
        <v>Scotty Mckenzie</v>
      </c>
      <c r="C253" t="str">
        <f>Table11[[#This Row],[Contract Name]]</f>
        <v>Scotty  Mckenzie</v>
      </c>
      <c r="D253" t="str">
        <f>Table11[[#This Row],[Status]]</f>
        <v>Active</v>
      </c>
      <c r="E253" t="str">
        <f>Table11[[#This Row],[Contract Code]]</f>
        <v>US0120</v>
      </c>
      <c r="F253" s="16">
        <f>Table11[[#This Row],['#TreesContract]]</f>
        <v>1320</v>
      </c>
      <c r="G253" s="16">
        <f>Table11[[#This Row],['#Planted]]</f>
        <v>1320</v>
      </c>
      <c r="H253" s="16">
        <f>Table11[[#This Row],['#TreesContract]]*Table11[[#This Row],[Canada Allocation %]]</f>
        <v>0</v>
      </c>
      <c r="I253" s="16">
        <f>Table11[[#This Row],['#Planted]]*Table11[[#This Row],[Canada Allocation %]]</f>
        <v>0</v>
      </c>
      <c r="J253" s="16">
        <f>Table11[[#This Row],[Contract Amendment]]*Table11[[#This Row],[Canada Allocation %]]</f>
        <v>0</v>
      </c>
      <c r="K253" s="16">
        <f>Table11[[#This Row],['#Trees as of 12/31/23]]*Table11[[#This Row],[Canada Allocation %]]</f>
        <v>0</v>
      </c>
      <c r="L253" s="16">
        <f>Table11[[#This Row],['#Replace 24]]*Table11[[#This Row],[Canada Allocation %]]</f>
        <v>0</v>
      </c>
      <c r="M253" s="16"/>
      <c r="N253" s="16">
        <f>(Table11[[#This Row],[2024 '#Trees Inventory + Estimate]]*Table11[[#This Row],[Canada Allocation %]])-SUM(Table378[[#This Row],['# Trees as of 12/31/23]:[New Trees/Planted in 2024]])</f>
        <v>0</v>
      </c>
      <c r="O253" s="16">
        <f>SUM(Table378[[#This Row],['# Trees as of 12/31/23]:[2024 Tree Losses]])</f>
        <v>0</v>
      </c>
      <c r="P253" s="16">
        <f>SUM(Table378[[#This Row],[Total Trees as of 12/31/24]]-Table378[[#This Row],['# Trees as of 12/31/23]])</f>
        <v>0</v>
      </c>
      <c r="Q253" s="16">
        <f>Table11[[#This Row],['#Total Replacements]]*Table11[[#This Row],[Canada Allocation %]]</f>
        <v>0</v>
      </c>
      <c r="R253" s="16">
        <f>IF(Table378[[#This Row],['#Survival based on Inventory]]=0,Table378['#Survival based on Last Year Estimate],Table378['#Survival based on Inventory])</f>
        <v>0</v>
      </c>
      <c r="S253" s="16">
        <f>Table11[[#This Row],['#Planted]]*Table11[[#This Row],[Canada Allocation %]]*Table11[[#This Row],[2024 Inventory Survival%-master]]</f>
        <v>0</v>
      </c>
      <c r="T253" s="16">
        <f>Table11[[#This Row],['#Planted]]*Table11[[#This Row],[Canada Allocation %]]*Table11[[#This Row],[2024 Estimated Survival%]]</f>
        <v>0</v>
      </c>
      <c r="U253" s="7">
        <f>Table11[[#This Row],[ETP Year]]</f>
        <v>2020</v>
      </c>
      <c r="V253" s="7">
        <f>Table11[[#This Row],[Planting Year]]</f>
        <v>2021</v>
      </c>
      <c r="W253" s="8">
        <f>Table11[[#This Row],[Survival% as of 12/31/23]]</f>
        <v>0.4554595429822702</v>
      </c>
      <c r="X253" s="7">
        <f>Table11[[#This Row],[ETP'#s]]</f>
        <v>1</v>
      </c>
    </row>
    <row r="254" spans="1:24" x14ac:dyDescent="0.25">
      <c r="A254">
        <f>Table11[[#This Row],[Farmer'#]]</f>
        <v>10102</v>
      </c>
      <c r="B254" t="str">
        <f>Table11[[#This Row],[Representative]]</f>
        <v>Sisay Souphom</v>
      </c>
      <c r="C254" t="str">
        <f>Table11[[#This Row],[Contract Name]]</f>
        <v>Sisay  Souphom</v>
      </c>
      <c r="D254" t="str">
        <f>Table11[[#This Row],[Status]]</f>
        <v>Active</v>
      </c>
      <c r="E254" t="str">
        <f>Table11[[#This Row],[Contract Code]]</f>
        <v>US0121</v>
      </c>
      <c r="F254" s="16">
        <f>Table11[[#This Row],['#TreesContract]]</f>
        <v>1100</v>
      </c>
      <c r="G254" s="16">
        <f>Table11[[#This Row],['#Planted]]</f>
        <v>1100</v>
      </c>
      <c r="H254" s="16">
        <f>Table11[[#This Row],['#TreesContract]]*Table11[[#This Row],[Canada Allocation %]]</f>
        <v>0</v>
      </c>
      <c r="I254" s="16">
        <f>Table11[[#This Row],['#Planted]]*Table11[[#This Row],[Canada Allocation %]]</f>
        <v>0</v>
      </c>
      <c r="J254" s="16">
        <f>Table11[[#This Row],[Contract Amendment]]*Table11[[#This Row],[Canada Allocation %]]</f>
        <v>0</v>
      </c>
      <c r="K254" s="16">
        <f>Table11[[#This Row],['#Trees as of 12/31/23]]*Table11[[#This Row],[Canada Allocation %]]</f>
        <v>0</v>
      </c>
      <c r="L254" s="16">
        <f>Table11[[#This Row],['#Replace 24]]*Table11[[#This Row],[Canada Allocation %]]</f>
        <v>0</v>
      </c>
      <c r="M254" s="16"/>
      <c r="N254" s="16">
        <f>(Table11[[#This Row],[2024 '#Trees Inventory + Estimate]]*Table11[[#This Row],[Canada Allocation %]])-SUM(Table378[[#This Row],['# Trees as of 12/31/23]:[New Trees/Planted in 2024]])</f>
        <v>0</v>
      </c>
      <c r="O254" s="16">
        <f>SUM(Table378[[#This Row],['# Trees as of 12/31/23]:[2024 Tree Losses]])</f>
        <v>0</v>
      </c>
      <c r="P254" s="16">
        <f>SUM(Table378[[#This Row],[Total Trees as of 12/31/24]]-Table378[[#This Row],['# Trees as of 12/31/23]])</f>
        <v>0</v>
      </c>
      <c r="Q254" s="16">
        <f>Table11[[#This Row],['#Total Replacements]]*Table11[[#This Row],[Canada Allocation %]]</f>
        <v>0</v>
      </c>
      <c r="R254" s="16">
        <f>IF(Table378[[#This Row],['#Survival based on Inventory]]=0,Table378['#Survival based on Last Year Estimate],Table378['#Survival based on Inventory])</f>
        <v>0</v>
      </c>
      <c r="S254" s="16">
        <f>Table11[[#This Row],['#Planted]]*Table11[[#This Row],[Canada Allocation %]]*Table11[[#This Row],[2024 Inventory Survival%-master]]</f>
        <v>0</v>
      </c>
      <c r="T254" s="16">
        <f>Table11[[#This Row],['#Planted]]*Table11[[#This Row],[Canada Allocation %]]*Table11[[#This Row],[2024 Estimated Survival%]]</f>
        <v>0</v>
      </c>
      <c r="U254" s="7">
        <f>Table11[[#This Row],[ETP Year]]</f>
        <v>2020</v>
      </c>
      <c r="V254" s="7">
        <f>Table11[[#This Row],[Planting Year]]</f>
        <v>2021</v>
      </c>
      <c r="W254" s="8">
        <f>Table11[[#This Row],[Survival% as of 12/31/23]]</f>
        <v>0.99066942148760306</v>
      </c>
      <c r="X254" s="7">
        <f>Table11[[#This Row],[ETP'#s]]</f>
        <v>1</v>
      </c>
    </row>
    <row r="255" spans="1:24" x14ac:dyDescent="0.25">
      <c r="A255">
        <f>Table11[[#This Row],[Farmer'#]]</f>
        <v>10103</v>
      </c>
      <c r="B255" t="str">
        <f>Table11[[#This Row],[Representative]]</f>
        <v>Stephen Andrews</v>
      </c>
      <c r="C255" t="str">
        <f>Table11[[#This Row],[Contract Name]]</f>
        <v>Stephen  Andrews</v>
      </c>
      <c r="D255" t="str">
        <f>Table11[[#This Row],[Status]]</f>
        <v>Out of Program</v>
      </c>
      <c r="E255" t="str">
        <f>Table11[[#This Row],[Contract Code]]</f>
        <v>US0122</v>
      </c>
      <c r="F255" s="16">
        <f>Table11[[#This Row],['#TreesContract]]</f>
        <v>1100</v>
      </c>
      <c r="G255" s="16">
        <f>Table11[[#This Row],['#Planted]]</f>
        <v>1100</v>
      </c>
      <c r="H255" s="16">
        <f>Table11[[#This Row],['#TreesContract]]*Table11[[#This Row],[Canada Allocation %]]</f>
        <v>0</v>
      </c>
      <c r="I255" s="16">
        <f>Table11[[#This Row],['#Planted]]*Table11[[#This Row],[Canada Allocation %]]</f>
        <v>0</v>
      </c>
      <c r="J255" s="16">
        <f>Table11[[#This Row],[Contract Amendment]]*Table11[[#This Row],[Canada Allocation %]]</f>
        <v>0</v>
      </c>
      <c r="K255" s="16">
        <f>Table11[[#This Row],['#Trees as of 12/31/23]]*Table11[[#This Row],[Canada Allocation %]]</f>
        <v>0</v>
      </c>
      <c r="L255" s="16">
        <f>Table11[[#This Row],['#Replace 24]]*Table11[[#This Row],[Canada Allocation %]]</f>
        <v>0</v>
      </c>
      <c r="M255" s="16"/>
      <c r="N255" s="16">
        <f>(Table11[[#This Row],[2024 '#Trees Inventory + Estimate]]*Table11[[#This Row],[Canada Allocation %]])-SUM(Table378[[#This Row],['# Trees as of 12/31/23]:[New Trees/Planted in 2024]])</f>
        <v>0</v>
      </c>
      <c r="O255" s="16">
        <f>SUM(Table378[[#This Row],['# Trees as of 12/31/23]:[2024 Tree Losses]])</f>
        <v>0</v>
      </c>
      <c r="P255" s="16">
        <f>SUM(Table378[[#This Row],[Total Trees as of 12/31/24]]-Table378[[#This Row],['# Trees as of 12/31/23]])</f>
        <v>0</v>
      </c>
      <c r="Q255" s="16">
        <f>Table11[[#This Row],['#Total Replacements]]*Table11[[#This Row],[Canada Allocation %]]</f>
        <v>0</v>
      </c>
      <c r="R255" s="16">
        <f>IF(Table378[[#This Row],['#Survival based on Inventory]]=0,Table378['#Survival based on Last Year Estimate],Table378['#Survival based on Inventory])</f>
        <v>0</v>
      </c>
      <c r="S255" s="16">
        <f>Table11[[#This Row],['#Planted]]*Table11[[#This Row],[Canada Allocation %]]*Table11[[#This Row],[2024 Inventory Survival%-master]]</f>
        <v>0</v>
      </c>
      <c r="T255" s="16">
        <f>Table11[[#This Row],['#Planted]]*Table11[[#This Row],[Canada Allocation %]]*Table11[[#This Row],[2024 Estimated Survival%]]</f>
        <v>0</v>
      </c>
      <c r="U255" s="7">
        <f>Table11[[#This Row],[ETP Year]]</f>
        <v>2020</v>
      </c>
      <c r="V255" s="7">
        <f>Table11[[#This Row],[Planting Year]]</f>
        <v>2021</v>
      </c>
      <c r="W255" s="8">
        <f>Table11[[#This Row],[Survival% as of 12/31/23]]</f>
        <v>0</v>
      </c>
      <c r="X255" s="7">
        <f>Table11[[#This Row],[ETP'#s]]</f>
        <v>1</v>
      </c>
    </row>
    <row r="256" spans="1:24" x14ac:dyDescent="0.25">
      <c r="A256">
        <f>Table11[[#This Row],[Farmer'#]]</f>
        <v>10104</v>
      </c>
      <c r="B256" t="str">
        <f>Table11[[#This Row],[Representative]]</f>
        <v>Steven Hunter</v>
      </c>
      <c r="C256" t="str">
        <f>Table11[[#This Row],[Contract Name]]</f>
        <v>Steven and Christy Hunter</v>
      </c>
      <c r="D256" t="str">
        <f>Table11[[#This Row],[Status]]</f>
        <v>Active</v>
      </c>
      <c r="E256" t="str">
        <f>Table11[[#This Row],[Contract Code]]</f>
        <v>US0123</v>
      </c>
      <c r="F256" s="16">
        <f>Table11[[#This Row],['#TreesContract]]</f>
        <v>3620</v>
      </c>
      <c r="G256" s="16">
        <f>Table11[[#This Row],['#Planted]]</f>
        <v>3620</v>
      </c>
      <c r="H256" s="16">
        <f>Table11[[#This Row],['#TreesContract]]*Table11[[#This Row],[Canada Allocation %]]</f>
        <v>0</v>
      </c>
      <c r="I256" s="16">
        <f>Table11[[#This Row],['#Planted]]*Table11[[#This Row],[Canada Allocation %]]</f>
        <v>0</v>
      </c>
      <c r="J256" s="16">
        <f>Table11[[#This Row],[Contract Amendment]]*Table11[[#This Row],[Canada Allocation %]]</f>
        <v>0</v>
      </c>
      <c r="K256" s="16">
        <f>Table11[[#This Row],['#Trees as of 12/31/23]]*Table11[[#This Row],[Canada Allocation %]]</f>
        <v>0</v>
      </c>
      <c r="L256" s="16">
        <f>Table11[[#This Row],['#Replace 24]]*Table11[[#This Row],[Canada Allocation %]]</f>
        <v>0</v>
      </c>
      <c r="M256" s="16"/>
      <c r="N256" s="16">
        <f>(Table11[[#This Row],[2024 '#Trees Inventory + Estimate]]*Table11[[#This Row],[Canada Allocation %]])-SUM(Table378[[#This Row],['# Trees as of 12/31/23]:[New Trees/Planted in 2024]])</f>
        <v>0</v>
      </c>
      <c r="O256" s="16">
        <f>SUM(Table378[[#This Row],['# Trees as of 12/31/23]:[2024 Tree Losses]])</f>
        <v>0</v>
      </c>
      <c r="P256" s="16">
        <f>SUM(Table378[[#This Row],[Total Trees as of 12/31/24]]-Table378[[#This Row],['# Trees as of 12/31/23]])</f>
        <v>0</v>
      </c>
      <c r="Q256" s="16">
        <f>Table11[[#This Row],['#Total Replacements]]*Table11[[#This Row],[Canada Allocation %]]</f>
        <v>0</v>
      </c>
      <c r="R256" s="16">
        <f>IF(Table378[[#This Row],['#Survival based on Inventory]]=0,Table378['#Survival based on Last Year Estimate],Table378['#Survival based on Inventory])</f>
        <v>0</v>
      </c>
      <c r="S256" s="16">
        <f>Table11[[#This Row],['#Planted]]*Table11[[#This Row],[Canada Allocation %]]*Table11[[#This Row],[2024 Inventory Survival%-master]]</f>
        <v>0</v>
      </c>
      <c r="T256" s="16">
        <f>Table11[[#This Row],['#Planted]]*Table11[[#This Row],[Canada Allocation %]]*Table11[[#This Row],[2024 Estimated Survival%]]</f>
        <v>0</v>
      </c>
      <c r="U256" s="7">
        <f>Table11[[#This Row],[ETP Year]]</f>
        <v>2020</v>
      </c>
      <c r="V256" s="7">
        <f>Table11[[#This Row],[Planting Year]]</f>
        <v>2021</v>
      </c>
      <c r="W256" s="8">
        <f>Table11[[#This Row],[Survival% as of 12/31/23]]</f>
        <v>0.85214989190487611</v>
      </c>
      <c r="X256" s="7">
        <f>Table11[[#This Row],[ETP'#s]]</f>
        <v>1</v>
      </c>
    </row>
    <row r="257" spans="1:24" x14ac:dyDescent="0.25">
      <c r="A257">
        <f>Table11[[#This Row],[Farmer'#]]</f>
        <v>10105</v>
      </c>
      <c r="B257" t="str">
        <f>Table11[[#This Row],[Representative]]</f>
        <v>Teresa Beam</v>
      </c>
      <c r="C257" t="str">
        <f>Table11[[#This Row],[Contract Name]]</f>
        <v>Teresa and Josh Beam</v>
      </c>
      <c r="D257" t="str">
        <f>Table11[[#This Row],[Status]]</f>
        <v>Active</v>
      </c>
      <c r="E257" t="str">
        <f>Table11[[#This Row],[Contract Code]]</f>
        <v>US0124</v>
      </c>
      <c r="F257" s="16">
        <f>Table11[[#This Row],['#TreesContract]]</f>
        <v>1100</v>
      </c>
      <c r="G257" s="16">
        <f>Table11[[#This Row],['#Planted]]</f>
        <v>1100</v>
      </c>
      <c r="H257" s="16">
        <f>Table11[[#This Row],['#TreesContract]]*Table11[[#This Row],[Canada Allocation %]]</f>
        <v>0</v>
      </c>
      <c r="I257" s="16">
        <f>Table11[[#This Row],['#Planted]]*Table11[[#This Row],[Canada Allocation %]]</f>
        <v>0</v>
      </c>
      <c r="J257" s="16">
        <f>Table11[[#This Row],[Contract Amendment]]*Table11[[#This Row],[Canada Allocation %]]</f>
        <v>0</v>
      </c>
      <c r="K257" s="16">
        <f>Table11[[#This Row],['#Trees as of 12/31/23]]*Table11[[#This Row],[Canada Allocation %]]</f>
        <v>0</v>
      </c>
      <c r="L257" s="16">
        <f>Table11[[#This Row],['#Replace 24]]*Table11[[#This Row],[Canada Allocation %]]</f>
        <v>0</v>
      </c>
      <c r="M257" s="16"/>
      <c r="N257" s="16">
        <f>(Table11[[#This Row],[2024 '#Trees Inventory + Estimate]]*Table11[[#This Row],[Canada Allocation %]])-SUM(Table378[[#This Row],['# Trees as of 12/31/23]:[New Trees/Planted in 2024]])</f>
        <v>0</v>
      </c>
      <c r="O257" s="16">
        <f>SUM(Table378[[#This Row],['# Trees as of 12/31/23]:[2024 Tree Losses]])</f>
        <v>0</v>
      </c>
      <c r="P257" s="16">
        <f>SUM(Table378[[#This Row],[Total Trees as of 12/31/24]]-Table378[[#This Row],['# Trees as of 12/31/23]])</f>
        <v>0</v>
      </c>
      <c r="Q257" s="16">
        <f>Table11[[#This Row],['#Total Replacements]]*Table11[[#This Row],[Canada Allocation %]]</f>
        <v>0</v>
      </c>
      <c r="R257" s="16">
        <f>IF(Table378[[#This Row],['#Survival based on Inventory]]=0,Table378['#Survival based on Last Year Estimate],Table378['#Survival based on Inventory])</f>
        <v>0</v>
      </c>
      <c r="S257" s="16">
        <f>Table11[[#This Row],['#Planted]]*Table11[[#This Row],[Canada Allocation %]]*Table11[[#This Row],[2024 Inventory Survival%-master]]</f>
        <v>0</v>
      </c>
      <c r="T257" s="16">
        <f>Table11[[#This Row],['#Planted]]*Table11[[#This Row],[Canada Allocation %]]*Table11[[#This Row],[2024 Estimated Survival%]]</f>
        <v>0</v>
      </c>
      <c r="U257" s="7">
        <f>Table11[[#This Row],[ETP Year]]</f>
        <v>2020</v>
      </c>
      <c r="V257" s="7">
        <f>Table11[[#This Row],[Planting Year]]</f>
        <v>2021</v>
      </c>
      <c r="W257" s="8">
        <f>Table11[[#This Row],[Survival% as of 12/31/23]]</f>
        <v>0.5412396694214876</v>
      </c>
      <c r="X257" s="7">
        <f>Table11[[#This Row],[ETP'#s]]</f>
        <v>1</v>
      </c>
    </row>
    <row r="258" spans="1:24" x14ac:dyDescent="0.25">
      <c r="A258">
        <f>Table11[[#This Row],[Farmer'#]]</f>
        <v>10106</v>
      </c>
      <c r="B258" t="str">
        <f>Table11[[#This Row],[Representative]]</f>
        <v>Tim Harper</v>
      </c>
      <c r="C258" t="str">
        <f>Table11[[#This Row],[Contract Name]]</f>
        <v>Tim  Harper</v>
      </c>
      <c r="D258" t="str">
        <f>Table11[[#This Row],[Status]]</f>
        <v>RFT</v>
      </c>
      <c r="E258" t="str">
        <f>Table11[[#This Row],[Contract Code]]</f>
        <v>US0125</v>
      </c>
      <c r="F258" s="16">
        <f>Table11[[#This Row],['#TreesContract]]</f>
        <v>1650</v>
      </c>
      <c r="G258" s="16">
        <f>Table11[[#This Row],['#Planted]]</f>
        <v>1650</v>
      </c>
      <c r="H258" s="16">
        <f>Table11[[#This Row],['#TreesContract]]*Table11[[#This Row],[Canada Allocation %]]</f>
        <v>0</v>
      </c>
      <c r="I258" s="16">
        <f>Table11[[#This Row],['#Planted]]*Table11[[#This Row],[Canada Allocation %]]</f>
        <v>0</v>
      </c>
      <c r="J258" s="16">
        <f>Table11[[#This Row],[Contract Amendment]]*Table11[[#This Row],[Canada Allocation %]]</f>
        <v>0</v>
      </c>
      <c r="K258" s="16">
        <f>Table11[[#This Row],['#Trees as of 12/31/23]]*Table11[[#This Row],[Canada Allocation %]]</f>
        <v>0</v>
      </c>
      <c r="L258" s="16">
        <f>Table11[[#This Row],['#Replace 24]]*Table11[[#This Row],[Canada Allocation %]]</f>
        <v>0</v>
      </c>
      <c r="M258" s="16"/>
      <c r="N258" s="16">
        <f>(Table11[[#This Row],[2024 '#Trees Inventory + Estimate]]*Table11[[#This Row],[Canada Allocation %]])-SUM(Table378[[#This Row],['# Trees as of 12/31/23]:[New Trees/Planted in 2024]])</f>
        <v>0</v>
      </c>
      <c r="O258" s="16">
        <f>SUM(Table378[[#This Row],['# Trees as of 12/31/23]:[2024 Tree Losses]])</f>
        <v>0</v>
      </c>
      <c r="P258" s="16">
        <f>SUM(Table378[[#This Row],[Total Trees as of 12/31/24]]-Table378[[#This Row],['# Trees as of 12/31/23]])</f>
        <v>0</v>
      </c>
      <c r="Q258" s="16">
        <f>Table11[[#This Row],['#Total Replacements]]*Table11[[#This Row],[Canada Allocation %]]</f>
        <v>0</v>
      </c>
      <c r="R258" s="16">
        <f>IF(Table378[[#This Row],['#Survival based on Inventory]]=0,Table378['#Survival based on Last Year Estimate],Table378['#Survival based on Inventory])</f>
        <v>0</v>
      </c>
      <c r="S258" s="16">
        <f>Table11[[#This Row],['#Planted]]*Table11[[#This Row],[Canada Allocation %]]*Table11[[#This Row],[2024 Inventory Survival%-master]]</f>
        <v>0</v>
      </c>
      <c r="T258" s="16">
        <f>Table11[[#This Row],['#Planted]]*Table11[[#This Row],[Canada Allocation %]]*Table11[[#This Row],[2024 Estimated Survival%]]</f>
        <v>0</v>
      </c>
      <c r="U258" s="7">
        <f>Table11[[#This Row],[ETP Year]]</f>
        <v>2020</v>
      </c>
      <c r="V258" s="7">
        <f>Table11[[#This Row],[Planting Year]]</f>
        <v>2021</v>
      </c>
      <c r="W258" s="8">
        <f>Table11[[#This Row],[Survival% as of 12/31/23]]</f>
        <v>0</v>
      </c>
      <c r="X258" s="7">
        <f>Table11[[#This Row],[ETP'#s]]</f>
        <v>1</v>
      </c>
    </row>
    <row r="259" spans="1:24" x14ac:dyDescent="0.25">
      <c r="A259">
        <f>Table11[[#This Row],[Farmer'#]]</f>
        <v>10107</v>
      </c>
      <c r="B259" t="str">
        <f>Table11[[#This Row],[Representative]]</f>
        <v>Wendy Muhammad</v>
      </c>
      <c r="C259" t="str">
        <f>Table11[[#This Row],[Contract Name]]</f>
        <v>Wendy Muhammad</v>
      </c>
      <c r="D259" t="str">
        <f>Table11[[#This Row],[Status]]</f>
        <v>Active</v>
      </c>
      <c r="E259" t="str">
        <f>Table11[[#This Row],[Contract Code]]</f>
        <v>US0126</v>
      </c>
      <c r="F259" s="16">
        <f>Table11[[#This Row],['#TreesContract]]</f>
        <v>1100</v>
      </c>
      <c r="G259" s="16">
        <f>Table11[[#This Row],['#Planted]]</f>
        <v>1100</v>
      </c>
      <c r="H259" s="16">
        <f>Table11[[#This Row],['#TreesContract]]*Table11[[#This Row],[Canada Allocation %]]</f>
        <v>0</v>
      </c>
      <c r="I259" s="16">
        <f>Table11[[#This Row],['#Planted]]*Table11[[#This Row],[Canada Allocation %]]</f>
        <v>0</v>
      </c>
      <c r="J259" s="16">
        <f>Table11[[#This Row],[Contract Amendment]]*Table11[[#This Row],[Canada Allocation %]]</f>
        <v>0</v>
      </c>
      <c r="K259" s="16">
        <f>Table11[[#This Row],['#Trees as of 12/31/23]]*Table11[[#This Row],[Canada Allocation %]]</f>
        <v>0</v>
      </c>
      <c r="L259" s="16">
        <f>Table11[[#This Row],['#Replace 24]]*Table11[[#This Row],[Canada Allocation %]]</f>
        <v>0</v>
      </c>
      <c r="M259" s="16"/>
      <c r="N259" s="16">
        <f>(Table11[[#This Row],[2024 '#Trees Inventory + Estimate]]*Table11[[#This Row],[Canada Allocation %]])-SUM(Table378[[#This Row],['# Trees as of 12/31/23]:[New Trees/Planted in 2024]])</f>
        <v>0</v>
      </c>
      <c r="O259" s="16">
        <f>SUM(Table378[[#This Row],['# Trees as of 12/31/23]:[2024 Tree Losses]])</f>
        <v>0</v>
      </c>
      <c r="P259" s="16">
        <f>SUM(Table378[[#This Row],[Total Trees as of 12/31/24]]-Table378[[#This Row],['# Trees as of 12/31/23]])</f>
        <v>0</v>
      </c>
      <c r="Q259" s="16">
        <f>Table11[[#This Row],['#Total Replacements]]*Table11[[#This Row],[Canada Allocation %]]</f>
        <v>0</v>
      </c>
      <c r="R259" s="16">
        <f>IF(Table378[[#This Row],['#Survival based on Inventory]]=0,Table378['#Survival based on Last Year Estimate],Table378['#Survival based on Inventory])</f>
        <v>0</v>
      </c>
      <c r="S259" s="16">
        <f>Table11[[#This Row],['#Planted]]*Table11[[#This Row],[Canada Allocation %]]*Table11[[#This Row],[2024 Inventory Survival%-master]]</f>
        <v>0</v>
      </c>
      <c r="T259" s="16">
        <f>Table11[[#This Row],['#Planted]]*Table11[[#This Row],[Canada Allocation %]]*Table11[[#This Row],[2024 Estimated Survival%]]</f>
        <v>0</v>
      </c>
      <c r="U259" s="7">
        <f>Table11[[#This Row],[ETP Year]]</f>
        <v>2020</v>
      </c>
      <c r="V259" s="7">
        <f>Table11[[#This Row],[Planting Year]]</f>
        <v>2021</v>
      </c>
      <c r="W259" s="8">
        <f>Table11[[#This Row],[Survival% as of 12/31/23]]</f>
        <v>0.96896969696969704</v>
      </c>
      <c r="X259" s="7">
        <f>Table11[[#This Row],[ETP'#s]]</f>
        <v>1</v>
      </c>
    </row>
    <row r="260" spans="1:24" x14ac:dyDescent="0.25">
      <c r="A260">
        <f>Table11[[#This Row],[Farmer'#]]</f>
        <v>10108</v>
      </c>
      <c r="B260" t="str">
        <f>Table11[[#This Row],[Representative]]</f>
        <v>Wesley and Stanley Todd</v>
      </c>
      <c r="C260" t="str">
        <f>Table11[[#This Row],[Contract Name]]</f>
        <v>Wesley and Stanley Todd</v>
      </c>
      <c r="D260" t="str">
        <f>Table11[[#This Row],[Status]]</f>
        <v>Active</v>
      </c>
      <c r="E260" t="str">
        <f>Table11[[#This Row],[Contract Code]]</f>
        <v>US0127</v>
      </c>
      <c r="F260" s="16">
        <f>Table11[[#This Row],['#TreesContract]]</f>
        <v>660</v>
      </c>
      <c r="G260" s="16">
        <f>Table11[[#This Row],['#Planted]]</f>
        <v>660</v>
      </c>
      <c r="H260" s="16">
        <f>Table11[[#This Row],['#TreesContract]]*Table11[[#This Row],[Canada Allocation %]]</f>
        <v>0</v>
      </c>
      <c r="I260" s="16">
        <f>Table11[[#This Row],['#Planted]]*Table11[[#This Row],[Canada Allocation %]]</f>
        <v>0</v>
      </c>
      <c r="J260" s="16">
        <f>Table11[[#This Row],[Contract Amendment]]*Table11[[#This Row],[Canada Allocation %]]</f>
        <v>0</v>
      </c>
      <c r="K260" s="16">
        <f>Table11[[#This Row],['#Trees as of 12/31/23]]*Table11[[#This Row],[Canada Allocation %]]</f>
        <v>0</v>
      </c>
      <c r="L260" s="16">
        <f>Table11[[#This Row],['#Replace 24]]*Table11[[#This Row],[Canada Allocation %]]</f>
        <v>0</v>
      </c>
      <c r="M260" s="16"/>
      <c r="N260" s="16">
        <f>(Table11[[#This Row],[2024 '#Trees Inventory + Estimate]]*Table11[[#This Row],[Canada Allocation %]])-SUM(Table378[[#This Row],['# Trees as of 12/31/23]:[New Trees/Planted in 2024]])</f>
        <v>0</v>
      </c>
      <c r="O260" s="16">
        <f>SUM(Table378[[#This Row],['# Trees as of 12/31/23]:[2024 Tree Losses]])</f>
        <v>0</v>
      </c>
      <c r="P260" s="16">
        <f>SUM(Table378[[#This Row],[Total Trees as of 12/31/24]]-Table378[[#This Row],['# Trees as of 12/31/23]])</f>
        <v>0</v>
      </c>
      <c r="Q260" s="16">
        <f>Table11[[#This Row],['#Total Replacements]]*Table11[[#This Row],[Canada Allocation %]]</f>
        <v>0</v>
      </c>
      <c r="R260" s="16">
        <f>IF(Table378[[#This Row],['#Survival based on Inventory]]=0,Table378['#Survival based on Last Year Estimate],Table378['#Survival based on Inventory])</f>
        <v>0</v>
      </c>
      <c r="S260" s="16">
        <f>Table11[[#This Row],['#Planted]]*Table11[[#This Row],[Canada Allocation %]]*Table11[[#This Row],[2024 Inventory Survival%-master]]</f>
        <v>0</v>
      </c>
      <c r="T260" s="16">
        <f>Table11[[#This Row],['#Planted]]*Table11[[#This Row],[Canada Allocation %]]*Table11[[#This Row],[2024 Estimated Survival%]]</f>
        <v>0</v>
      </c>
      <c r="U260" s="7">
        <f>Table11[[#This Row],[ETP Year]]</f>
        <v>2021</v>
      </c>
      <c r="V260" s="7">
        <f>Table11[[#This Row],[Planting Year]]</f>
        <v>2021</v>
      </c>
      <c r="W260" s="8">
        <f>Table11[[#This Row],[Survival% as of 12/31/23]]</f>
        <v>0.94881118881118898</v>
      </c>
      <c r="X260" s="7">
        <f>Table11[[#This Row],[ETP'#s]]</f>
        <v>1</v>
      </c>
    </row>
    <row r="261" spans="1:24" x14ac:dyDescent="0.25">
      <c r="A261">
        <f>Table11[[#This Row],[Farmer'#]]</f>
        <v>20037</v>
      </c>
      <c r="B261" t="str">
        <f>Table11[[#This Row],[Representative]]</f>
        <v>Carlos Peña</v>
      </c>
      <c r="C261" t="str">
        <f>Table11[[#This Row],[Contract Name]]</f>
        <v>Carlos Peña</v>
      </c>
      <c r="D261" t="str">
        <f>Table11[[#This Row],[Status]]</f>
        <v>Out of Program</v>
      </c>
      <c r="E261" t="str">
        <f>Table11[[#This Row],[Contract Code]]</f>
        <v>CR0071</v>
      </c>
      <c r="F261" s="16">
        <f>Table11[[#This Row],['#TreesContract]]</f>
        <v>1800</v>
      </c>
      <c r="G261" s="16">
        <f>Table11[[#This Row],['#Planted]]</f>
        <v>1800</v>
      </c>
      <c r="H261" s="16">
        <f>Table11[[#This Row],['#TreesContract]]*Table11[[#This Row],[Canada Allocation %]]</f>
        <v>0</v>
      </c>
      <c r="I261" s="16">
        <f>Table11[[#This Row],['#Planted]]*Table11[[#This Row],[Canada Allocation %]]</f>
        <v>0</v>
      </c>
      <c r="J261" s="16">
        <f>Table11[[#This Row],[Contract Amendment]]*Table11[[#This Row],[Canada Allocation %]]</f>
        <v>0</v>
      </c>
      <c r="K261" s="16">
        <f>Table11[[#This Row],['#Trees as of 12/31/23]]*Table11[[#This Row],[Canada Allocation %]]</f>
        <v>0</v>
      </c>
      <c r="L261" s="16">
        <f>Table11[[#This Row],['#Replace 24]]*Table11[[#This Row],[Canada Allocation %]]</f>
        <v>0</v>
      </c>
      <c r="M261" s="16"/>
      <c r="N261" s="16">
        <f>(Table11[[#This Row],[2024 '#Trees Inventory + Estimate]]*Table11[[#This Row],[Canada Allocation %]])-SUM(Table378[[#This Row],['# Trees as of 12/31/23]:[New Trees/Planted in 2024]])</f>
        <v>0</v>
      </c>
      <c r="O261" s="16">
        <f>SUM(Table378[[#This Row],['# Trees as of 12/31/23]:[2024 Tree Losses]])</f>
        <v>0</v>
      </c>
      <c r="P261" s="16">
        <f>SUM(Table378[[#This Row],[Total Trees as of 12/31/24]]-Table378[[#This Row],['# Trees as of 12/31/23]])</f>
        <v>0</v>
      </c>
      <c r="Q261" s="16">
        <f>Table11[[#This Row],['#Total Replacements]]*Table11[[#This Row],[Canada Allocation %]]</f>
        <v>0</v>
      </c>
      <c r="R261" s="16">
        <f>IF(Table378[[#This Row],['#Survival based on Inventory]]=0,Table378['#Survival based on Last Year Estimate],Table378['#Survival based on Inventory])</f>
        <v>0</v>
      </c>
      <c r="S261" s="16">
        <f>Table11[[#This Row],['#Planted]]*Table11[[#This Row],[Canada Allocation %]]*Table11[[#This Row],[2024 Inventory Survival%-master]]</f>
        <v>0</v>
      </c>
      <c r="T261" s="16">
        <f>Table11[[#This Row],['#Planted]]*Table11[[#This Row],[Canada Allocation %]]*Table11[[#This Row],[2024 Estimated Survival%]]</f>
        <v>0</v>
      </c>
      <c r="U261" s="7">
        <f>Table11[[#This Row],[ETP Year]]</f>
        <v>2021</v>
      </c>
      <c r="V261" s="7">
        <f>Table11[[#This Row],[Planting Year]]</f>
        <v>2021</v>
      </c>
      <c r="W261" s="8">
        <f>Table11[[#This Row],[Survival% as of 12/31/23]]</f>
        <v>0</v>
      </c>
      <c r="X261" s="7">
        <f>Table11[[#This Row],[ETP'#s]]</f>
        <v>1</v>
      </c>
    </row>
    <row r="262" spans="1:24" x14ac:dyDescent="0.25">
      <c r="A262">
        <f>Table11[[#This Row],[Farmer'#]]</f>
        <v>20065</v>
      </c>
      <c r="B262" t="str">
        <f>Table11[[#This Row],[Representative]]</f>
        <v>Alfonso Carranza</v>
      </c>
      <c r="C262" t="str">
        <f>Table11[[#This Row],[Contract Name]]</f>
        <v>Alfonso Carranza</v>
      </c>
      <c r="D262" t="str">
        <f>Table11[[#This Row],[Status]]</f>
        <v>RFT</v>
      </c>
      <c r="E262" t="str">
        <f>Table11[[#This Row],[Contract Code]]</f>
        <v>CR0070</v>
      </c>
      <c r="F262" s="16">
        <f>Table11[[#This Row],['#TreesContract]]</f>
        <v>1000</v>
      </c>
      <c r="G262" s="16">
        <f>Table11[[#This Row],['#Planted]]</f>
        <v>1000</v>
      </c>
      <c r="H262" s="16">
        <f>Table11[[#This Row],['#TreesContract]]*Table11[[#This Row],[Canada Allocation %]]</f>
        <v>0</v>
      </c>
      <c r="I262" s="16">
        <f>Table11[[#This Row],['#Planted]]*Table11[[#This Row],[Canada Allocation %]]</f>
        <v>0</v>
      </c>
      <c r="J262" s="16">
        <f>Table11[[#This Row],[Contract Amendment]]*Table11[[#This Row],[Canada Allocation %]]</f>
        <v>0</v>
      </c>
      <c r="K262" s="16">
        <f>Table11[[#This Row],['#Trees as of 12/31/23]]*Table11[[#This Row],[Canada Allocation %]]</f>
        <v>0</v>
      </c>
      <c r="L262" s="16">
        <f>Table11[[#This Row],['#Replace 24]]*Table11[[#This Row],[Canada Allocation %]]</f>
        <v>0</v>
      </c>
      <c r="M262" s="16"/>
      <c r="N262" s="16">
        <f>(Table11[[#This Row],[2024 '#Trees Inventory + Estimate]]*Table11[[#This Row],[Canada Allocation %]])-SUM(Table378[[#This Row],['# Trees as of 12/31/23]:[New Trees/Planted in 2024]])</f>
        <v>0</v>
      </c>
      <c r="O262" s="16">
        <f>SUM(Table378[[#This Row],['# Trees as of 12/31/23]:[2024 Tree Losses]])</f>
        <v>0</v>
      </c>
      <c r="P262" s="16">
        <f>SUM(Table378[[#This Row],[Total Trees as of 12/31/24]]-Table378[[#This Row],['# Trees as of 12/31/23]])</f>
        <v>0</v>
      </c>
      <c r="Q262" s="16">
        <f>Table11[[#This Row],['#Total Replacements]]*Table11[[#This Row],[Canada Allocation %]]</f>
        <v>0</v>
      </c>
      <c r="R262" s="16">
        <f>IF(Table378[[#This Row],['#Survival based on Inventory]]=0,Table378['#Survival based on Last Year Estimate],Table378['#Survival based on Inventory])</f>
        <v>0</v>
      </c>
      <c r="S262" s="16">
        <f>Table11[[#This Row],['#Planted]]*Table11[[#This Row],[Canada Allocation %]]*Table11[[#This Row],[2024 Inventory Survival%-master]]</f>
        <v>0</v>
      </c>
      <c r="T262" s="16">
        <f>Table11[[#This Row],['#Planted]]*Table11[[#This Row],[Canada Allocation %]]*Table11[[#This Row],[2024 Estimated Survival%]]</f>
        <v>0</v>
      </c>
      <c r="U262" s="7">
        <f>Table11[[#This Row],[ETP Year]]</f>
        <v>2021</v>
      </c>
      <c r="V262" s="7">
        <f>Table11[[#This Row],[Planting Year]]</f>
        <v>2021</v>
      </c>
      <c r="W262" s="8">
        <f>Table11[[#This Row],[Survival% as of 12/31/23]]</f>
        <v>1</v>
      </c>
      <c r="X262" s="7">
        <f>Table11[[#This Row],[ETP'#s]]</f>
        <v>1</v>
      </c>
    </row>
    <row r="263" spans="1:24" x14ac:dyDescent="0.25">
      <c r="A263">
        <f>Table11[[#This Row],[Farmer'#]]</f>
        <v>20066</v>
      </c>
      <c r="B263" t="str">
        <f>Table11[[#This Row],[Representative]]</f>
        <v>Christian Miranda</v>
      </c>
      <c r="C263" t="str">
        <f>Table11[[#This Row],[Contract Name]]</f>
        <v>Colegio Tecnico Ricardo Beer</v>
      </c>
      <c r="D263" t="str">
        <f>Table11[[#This Row],[Status]]</f>
        <v>RFT</v>
      </c>
      <c r="E263" t="str">
        <f>Table11[[#This Row],[Contract Code]]</f>
        <v>CR0072</v>
      </c>
      <c r="F263" s="16">
        <f>Table11[[#This Row],['#TreesContract]]</f>
        <v>650</v>
      </c>
      <c r="G263" s="16">
        <f>Table11[[#This Row],['#Planted]]</f>
        <v>650</v>
      </c>
      <c r="H263" s="16">
        <f>Table11[[#This Row],['#TreesContract]]*Table11[[#This Row],[Canada Allocation %]]</f>
        <v>0</v>
      </c>
      <c r="I263" s="16">
        <f>Table11[[#This Row],['#Planted]]*Table11[[#This Row],[Canada Allocation %]]</f>
        <v>0</v>
      </c>
      <c r="J263" s="16">
        <f>Table11[[#This Row],[Contract Amendment]]*Table11[[#This Row],[Canada Allocation %]]</f>
        <v>0</v>
      </c>
      <c r="K263" s="16">
        <f>Table11[[#This Row],['#Trees as of 12/31/23]]*Table11[[#This Row],[Canada Allocation %]]</f>
        <v>0</v>
      </c>
      <c r="L263" s="16">
        <f>Table11[[#This Row],['#Replace 24]]*Table11[[#This Row],[Canada Allocation %]]</f>
        <v>0</v>
      </c>
      <c r="M263" s="16"/>
      <c r="N263" s="16">
        <f>(Table11[[#This Row],[2024 '#Trees Inventory + Estimate]]*Table11[[#This Row],[Canada Allocation %]])-SUM(Table378[[#This Row],['# Trees as of 12/31/23]:[New Trees/Planted in 2024]])</f>
        <v>0</v>
      </c>
      <c r="O263" s="16">
        <f>SUM(Table378[[#This Row],['# Trees as of 12/31/23]:[2024 Tree Losses]])</f>
        <v>0</v>
      </c>
      <c r="P263" s="16">
        <f>SUM(Table378[[#This Row],[Total Trees as of 12/31/24]]-Table378[[#This Row],['# Trees as of 12/31/23]])</f>
        <v>0</v>
      </c>
      <c r="Q263" s="16">
        <f>Table11[[#This Row],['#Total Replacements]]*Table11[[#This Row],[Canada Allocation %]]</f>
        <v>0</v>
      </c>
      <c r="R263" s="16">
        <f>IF(Table378[[#This Row],['#Survival based on Inventory]]=0,Table378['#Survival based on Last Year Estimate],Table378['#Survival based on Inventory])</f>
        <v>0</v>
      </c>
      <c r="S263" s="16">
        <f>Table11[[#This Row],['#Planted]]*Table11[[#This Row],[Canada Allocation %]]*Table11[[#This Row],[2024 Inventory Survival%-master]]</f>
        <v>0</v>
      </c>
      <c r="T263" s="16">
        <f>Table11[[#This Row],['#Planted]]*Table11[[#This Row],[Canada Allocation %]]*Table11[[#This Row],[2024 Estimated Survival%]]</f>
        <v>0</v>
      </c>
      <c r="U263" s="7">
        <f>Table11[[#This Row],[ETP Year]]</f>
        <v>2021</v>
      </c>
      <c r="V263" s="7">
        <f>Table11[[#This Row],[Planting Year]]</f>
        <v>2021</v>
      </c>
      <c r="W263" s="8">
        <f>Table11[[#This Row],[Survival% as of 12/31/23]]</f>
        <v>1</v>
      </c>
      <c r="X263" s="7">
        <f>Table11[[#This Row],[ETP'#s]]</f>
        <v>1</v>
      </c>
    </row>
    <row r="264" spans="1:24" x14ac:dyDescent="0.25">
      <c r="A264">
        <f>Table11[[#This Row],[Farmer'#]]</f>
        <v>20067</v>
      </c>
      <c r="B264" t="str">
        <f>Table11[[#This Row],[Representative]]</f>
        <v>Geiner Araya Guzman</v>
      </c>
      <c r="C264" t="str">
        <f>Table11[[#This Row],[Contract Name]]</f>
        <v>Geiner Araya Guzman</v>
      </c>
      <c r="D264" t="str">
        <f>Table11[[#This Row],[Status]]</f>
        <v>Active</v>
      </c>
      <c r="E264" t="str">
        <f>Table11[[#This Row],[Contract Code]]</f>
        <v>CR0073</v>
      </c>
      <c r="F264" s="16">
        <f>Table11[[#This Row],['#TreesContract]]</f>
        <v>1000</v>
      </c>
      <c r="G264" s="16">
        <f>Table11[[#This Row],['#Planted]]</f>
        <v>1000</v>
      </c>
      <c r="H264" s="16">
        <f>Table11[[#This Row],['#TreesContract]]*Table11[[#This Row],[Canada Allocation %]]</f>
        <v>0</v>
      </c>
      <c r="I264" s="16">
        <f>Table11[[#This Row],['#Planted]]*Table11[[#This Row],[Canada Allocation %]]</f>
        <v>0</v>
      </c>
      <c r="J264" s="16">
        <f>Table11[[#This Row],[Contract Amendment]]*Table11[[#This Row],[Canada Allocation %]]</f>
        <v>0</v>
      </c>
      <c r="K264" s="16">
        <f>Table11[[#This Row],['#Trees as of 12/31/23]]*Table11[[#This Row],[Canada Allocation %]]</f>
        <v>0</v>
      </c>
      <c r="L264" s="16">
        <f>Table11[[#This Row],['#Replace 24]]*Table11[[#This Row],[Canada Allocation %]]</f>
        <v>0</v>
      </c>
      <c r="M264" s="16"/>
      <c r="N264" s="16">
        <f>(Table11[[#This Row],[2024 '#Trees Inventory + Estimate]]*Table11[[#This Row],[Canada Allocation %]])-SUM(Table378[[#This Row],['# Trees as of 12/31/23]:[New Trees/Planted in 2024]])</f>
        <v>0</v>
      </c>
      <c r="O264" s="16">
        <f>SUM(Table378[[#This Row],['# Trees as of 12/31/23]:[2024 Tree Losses]])</f>
        <v>0</v>
      </c>
      <c r="P264" s="16">
        <f>SUM(Table378[[#This Row],[Total Trees as of 12/31/24]]-Table378[[#This Row],['# Trees as of 12/31/23]])</f>
        <v>0</v>
      </c>
      <c r="Q264" s="16">
        <f>Table11[[#This Row],['#Total Replacements]]*Table11[[#This Row],[Canada Allocation %]]</f>
        <v>0</v>
      </c>
      <c r="R264" s="16">
        <f>IF(Table378[[#This Row],['#Survival based on Inventory]]=0,Table378['#Survival based on Last Year Estimate],Table378['#Survival based on Inventory])</f>
        <v>0</v>
      </c>
      <c r="S264" s="16">
        <f>Table11[[#This Row],['#Planted]]*Table11[[#This Row],[Canada Allocation %]]*Table11[[#This Row],[2024 Inventory Survival%-master]]</f>
        <v>0</v>
      </c>
      <c r="T264" s="16">
        <f>Table11[[#This Row],['#Planted]]*Table11[[#This Row],[Canada Allocation %]]*Table11[[#This Row],[2024 Estimated Survival%]]</f>
        <v>0</v>
      </c>
      <c r="U264" s="7">
        <f>Table11[[#This Row],[ETP Year]]</f>
        <v>2021</v>
      </c>
      <c r="V264" s="7">
        <f>Table11[[#This Row],[Planting Year]]</f>
        <v>2021</v>
      </c>
      <c r="W264" s="8">
        <f>Table11[[#This Row],[Survival% as of 12/31/23]]</f>
        <v>1</v>
      </c>
      <c r="X264" s="7">
        <f>Table11[[#This Row],[ETP'#s]]</f>
        <v>1</v>
      </c>
    </row>
    <row r="265" spans="1:24" x14ac:dyDescent="0.25">
      <c r="A265">
        <f>Table11[[#This Row],[Farmer'#]]</f>
        <v>20068</v>
      </c>
      <c r="B265" t="str">
        <f>Table11[[#This Row],[Representative]]</f>
        <v xml:space="preserve">Luis Alonso Garita Hidalgo </v>
      </c>
      <c r="C265" t="str">
        <f>Table11[[#This Row],[Contract Name]]</f>
        <v>Ubuntu GH  S.A</v>
      </c>
      <c r="D265" t="str">
        <f>Table11[[#This Row],[Status]]</f>
        <v>Active</v>
      </c>
      <c r="E265" t="str">
        <f>Table11[[#This Row],[Contract Code]]</f>
        <v>CR0074</v>
      </c>
      <c r="F265" s="16">
        <f>Table11[[#This Row],['#TreesContract]]</f>
        <v>1730</v>
      </c>
      <c r="G265" s="16">
        <f>Table11[[#This Row],['#Planted]]</f>
        <v>1730</v>
      </c>
      <c r="H265" s="16">
        <f>Table11[[#This Row],['#TreesContract]]*Table11[[#This Row],[Canada Allocation %]]</f>
        <v>0</v>
      </c>
      <c r="I265" s="16">
        <f>Table11[[#This Row],['#Planted]]*Table11[[#This Row],[Canada Allocation %]]</f>
        <v>0</v>
      </c>
      <c r="J265" s="16">
        <f>Table11[[#This Row],[Contract Amendment]]*Table11[[#This Row],[Canada Allocation %]]</f>
        <v>0</v>
      </c>
      <c r="K265" s="16">
        <f>Table11[[#This Row],['#Trees as of 12/31/23]]*Table11[[#This Row],[Canada Allocation %]]</f>
        <v>0</v>
      </c>
      <c r="L265" s="16">
        <f>Table11[[#This Row],['#Replace 24]]*Table11[[#This Row],[Canada Allocation %]]</f>
        <v>0</v>
      </c>
      <c r="M265" s="16"/>
      <c r="N265" s="16">
        <f>(Table11[[#This Row],[2024 '#Trees Inventory + Estimate]]*Table11[[#This Row],[Canada Allocation %]])-SUM(Table378[[#This Row],['# Trees as of 12/31/23]:[New Trees/Planted in 2024]])</f>
        <v>0</v>
      </c>
      <c r="O265" s="16">
        <f>SUM(Table378[[#This Row],['# Trees as of 12/31/23]:[2024 Tree Losses]])</f>
        <v>0</v>
      </c>
      <c r="P265" s="16">
        <f>SUM(Table378[[#This Row],[Total Trees as of 12/31/24]]-Table378[[#This Row],['# Trees as of 12/31/23]])</f>
        <v>0</v>
      </c>
      <c r="Q265" s="16">
        <f>Table11[[#This Row],['#Total Replacements]]*Table11[[#This Row],[Canada Allocation %]]</f>
        <v>0</v>
      </c>
      <c r="R265" s="16">
        <f>IF(Table378[[#This Row],['#Survival based on Inventory]]=0,Table378['#Survival based on Last Year Estimate],Table378['#Survival based on Inventory])</f>
        <v>0</v>
      </c>
      <c r="S265" s="16">
        <f>Table11[[#This Row],['#Planted]]*Table11[[#This Row],[Canada Allocation %]]*Table11[[#This Row],[2024 Inventory Survival%-master]]</f>
        <v>0</v>
      </c>
      <c r="T265" s="16">
        <f>Table11[[#This Row],['#Planted]]*Table11[[#This Row],[Canada Allocation %]]*Table11[[#This Row],[2024 Estimated Survival%]]</f>
        <v>0</v>
      </c>
      <c r="U265" s="7">
        <f>Table11[[#This Row],[ETP Year]]</f>
        <v>2021</v>
      </c>
      <c r="V265" s="7">
        <f>Table11[[#This Row],[Planting Year]]</f>
        <v>2021</v>
      </c>
      <c r="W265" s="8">
        <f>Table11[[#This Row],[Survival% as of 12/31/23]]</f>
        <v>0.97687861271676302</v>
      </c>
      <c r="X265" s="7">
        <f>Table11[[#This Row],[ETP'#s]]</f>
        <v>1</v>
      </c>
    </row>
    <row r="266" spans="1:24" x14ac:dyDescent="0.25">
      <c r="A266">
        <f>Table11[[#This Row],[Farmer'#]]</f>
        <v>20069</v>
      </c>
      <c r="B266" t="str">
        <f>Table11[[#This Row],[Representative]]</f>
        <v>Oldemar Perez</v>
      </c>
      <c r="C266" t="str">
        <f>Table11[[#This Row],[Contract Name]]</f>
        <v>Oldemar Perez</v>
      </c>
      <c r="D266" t="str">
        <f>Table11[[#This Row],[Status]]</f>
        <v>Active</v>
      </c>
      <c r="E266" t="str">
        <f>Table11[[#This Row],[Contract Code]]</f>
        <v>CR0075</v>
      </c>
      <c r="F266" s="16">
        <f>Table11[[#This Row],['#TreesContract]]</f>
        <v>1000</v>
      </c>
      <c r="G266" s="16">
        <f>Table11[[#This Row],['#Planted]]</f>
        <v>1000</v>
      </c>
      <c r="H266" s="16">
        <f>Table11[[#This Row],['#TreesContract]]*Table11[[#This Row],[Canada Allocation %]]</f>
        <v>0</v>
      </c>
      <c r="I266" s="16">
        <f>Table11[[#This Row],['#Planted]]*Table11[[#This Row],[Canada Allocation %]]</f>
        <v>0</v>
      </c>
      <c r="J266" s="16">
        <f>Table11[[#This Row],[Contract Amendment]]*Table11[[#This Row],[Canada Allocation %]]</f>
        <v>0</v>
      </c>
      <c r="K266" s="16">
        <f>Table11[[#This Row],['#Trees as of 12/31/23]]*Table11[[#This Row],[Canada Allocation %]]</f>
        <v>0</v>
      </c>
      <c r="L266" s="16">
        <f>Table11[[#This Row],['#Replace 24]]*Table11[[#This Row],[Canada Allocation %]]</f>
        <v>0</v>
      </c>
      <c r="M266" s="16"/>
      <c r="N266" s="16">
        <f>(Table11[[#This Row],[2024 '#Trees Inventory + Estimate]]*Table11[[#This Row],[Canada Allocation %]])-SUM(Table378[[#This Row],['# Trees as of 12/31/23]:[New Trees/Planted in 2024]])</f>
        <v>0</v>
      </c>
      <c r="O266" s="16">
        <f>SUM(Table378[[#This Row],['# Trees as of 12/31/23]:[2024 Tree Losses]])</f>
        <v>0</v>
      </c>
      <c r="P266" s="16">
        <f>SUM(Table378[[#This Row],[Total Trees as of 12/31/24]]-Table378[[#This Row],['# Trees as of 12/31/23]])</f>
        <v>0</v>
      </c>
      <c r="Q266" s="16">
        <f>Table11[[#This Row],['#Total Replacements]]*Table11[[#This Row],[Canada Allocation %]]</f>
        <v>0</v>
      </c>
      <c r="R266" s="16">
        <f>IF(Table378[[#This Row],['#Survival based on Inventory]]=0,Table378['#Survival based on Last Year Estimate],Table378['#Survival based on Inventory])</f>
        <v>0</v>
      </c>
      <c r="S266" s="16">
        <f>Table11[[#This Row],['#Planted]]*Table11[[#This Row],[Canada Allocation %]]*Table11[[#This Row],[2024 Inventory Survival%-master]]</f>
        <v>0</v>
      </c>
      <c r="T266" s="16">
        <f>Table11[[#This Row],['#Planted]]*Table11[[#This Row],[Canada Allocation %]]*Table11[[#This Row],[2024 Estimated Survival%]]</f>
        <v>0</v>
      </c>
      <c r="U266" s="7">
        <f>Table11[[#This Row],[ETP Year]]</f>
        <v>2021</v>
      </c>
      <c r="V266" s="7">
        <f>Table11[[#This Row],[Planting Year]]</f>
        <v>2021</v>
      </c>
      <c r="W266" s="8">
        <f>Table11[[#This Row],[Survival% as of 12/31/23]]</f>
        <v>0.79738117283950627</v>
      </c>
      <c r="X266" s="7">
        <f>Table11[[#This Row],[ETP'#s]]</f>
        <v>1</v>
      </c>
    </row>
    <row r="267" spans="1:24" x14ac:dyDescent="0.25">
      <c r="A267">
        <f>Table11[[#This Row],[Farmer'#]]</f>
        <v>20070</v>
      </c>
      <c r="B267" t="str">
        <f>Table11[[#This Row],[Representative]]</f>
        <v xml:space="preserve">Olga Chavarria </v>
      </c>
      <c r="C267" t="str">
        <f>Table11[[#This Row],[Contract Name]]</f>
        <v xml:space="preserve">Olga Chavarria </v>
      </c>
      <c r="D267" t="str">
        <f>Table11[[#This Row],[Status]]</f>
        <v>Active</v>
      </c>
      <c r="E267" t="str">
        <f>Table11[[#This Row],[Contract Code]]</f>
        <v>CR0076</v>
      </c>
      <c r="F267" s="16">
        <f>Table11[[#This Row],['#TreesContract]]</f>
        <v>1000</v>
      </c>
      <c r="G267" s="16">
        <f>Table11[[#This Row],['#Planted]]</f>
        <v>1000</v>
      </c>
      <c r="H267" s="16">
        <f>Table11[[#This Row],['#TreesContract]]*Table11[[#This Row],[Canada Allocation %]]</f>
        <v>0</v>
      </c>
      <c r="I267" s="16">
        <f>Table11[[#This Row],['#Planted]]*Table11[[#This Row],[Canada Allocation %]]</f>
        <v>0</v>
      </c>
      <c r="J267" s="16">
        <f>Table11[[#This Row],[Contract Amendment]]*Table11[[#This Row],[Canada Allocation %]]</f>
        <v>0</v>
      </c>
      <c r="K267" s="16">
        <f>Table11[[#This Row],['#Trees as of 12/31/23]]*Table11[[#This Row],[Canada Allocation %]]</f>
        <v>0</v>
      </c>
      <c r="L267" s="16">
        <f>Table11[[#This Row],['#Replace 24]]*Table11[[#This Row],[Canada Allocation %]]</f>
        <v>0</v>
      </c>
      <c r="M267" s="16"/>
      <c r="N267" s="16">
        <f>(Table11[[#This Row],[2024 '#Trees Inventory + Estimate]]*Table11[[#This Row],[Canada Allocation %]])-SUM(Table378[[#This Row],['# Trees as of 12/31/23]:[New Trees/Planted in 2024]])</f>
        <v>0</v>
      </c>
      <c r="O267" s="16">
        <f>SUM(Table378[[#This Row],['# Trees as of 12/31/23]:[2024 Tree Losses]])</f>
        <v>0</v>
      </c>
      <c r="P267" s="16">
        <f>SUM(Table378[[#This Row],[Total Trees as of 12/31/24]]-Table378[[#This Row],['# Trees as of 12/31/23]])</f>
        <v>0</v>
      </c>
      <c r="Q267" s="16">
        <f>Table11[[#This Row],['#Total Replacements]]*Table11[[#This Row],[Canada Allocation %]]</f>
        <v>0</v>
      </c>
      <c r="R267" s="16">
        <f>IF(Table378[[#This Row],['#Survival based on Inventory]]=0,Table378['#Survival based on Last Year Estimate],Table378['#Survival based on Inventory])</f>
        <v>0</v>
      </c>
      <c r="S267" s="16">
        <f>Table11[[#This Row],['#Planted]]*Table11[[#This Row],[Canada Allocation %]]*Table11[[#This Row],[2024 Inventory Survival%-master]]</f>
        <v>0</v>
      </c>
      <c r="T267" s="16">
        <f>Table11[[#This Row],['#Planted]]*Table11[[#This Row],[Canada Allocation %]]*Table11[[#This Row],[2024 Estimated Survival%]]</f>
        <v>0</v>
      </c>
      <c r="U267" s="7">
        <f>Table11[[#This Row],[ETP Year]]</f>
        <v>2021</v>
      </c>
      <c r="V267" s="7">
        <f>Table11[[#This Row],[Planting Year]]</f>
        <v>2021</v>
      </c>
      <c r="W267" s="8">
        <f>Table11[[#This Row],[Survival% as of 12/31/23]]</f>
        <v>0.99199999999999999</v>
      </c>
      <c r="X267" s="7">
        <f>Table11[[#This Row],[ETP'#s]]</f>
        <v>1</v>
      </c>
    </row>
    <row r="268" spans="1:24" x14ac:dyDescent="0.25">
      <c r="A268">
        <f>Table11[[#This Row],[Farmer'#]]</f>
        <v>20071</v>
      </c>
      <c r="B268" t="str">
        <f>Table11[[#This Row],[Representative]]</f>
        <v>Rafael Quiroz</v>
      </c>
      <c r="C268" t="str">
        <f>Table11[[#This Row],[Contract Name]]</f>
        <v>Rafael Quiroz</v>
      </c>
      <c r="D268" t="str">
        <f>Table11[[#This Row],[Status]]</f>
        <v>Active</v>
      </c>
      <c r="E268" t="str">
        <f>Table11[[#This Row],[Contract Code]]</f>
        <v>CR0077</v>
      </c>
      <c r="F268" s="16">
        <f>Table11[[#This Row],['#TreesContract]]</f>
        <v>2875</v>
      </c>
      <c r="G268" s="16">
        <f>Table11[[#This Row],['#Planted]]</f>
        <v>2875</v>
      </c>
      <c r="H268" s="16">
        <f>Table11[[#This Row],['#TreesContract]]*Table11[[#This Row],[Canada Allocation %]]</f>
        <v>0</v>
      </c>
      <c r="I268" s="16">
        <f>Table11[[#This Row],['#Planted]]*Table11[[#This Row],[Canada Allocation %]]</f>
        <v>0</v>
      </c>
      <c r="J268" s="16">
        <f>Table11[[#This Row],[Contract Amendment]]*Table11[[#This Row],[Canada Allocation %]]</f>
        <v>0</v>
      </c>
      <c r="K268" s="16">
        <f>Table11[[#This Row],['#Trees as of 12/31/23]]*Table11[[#This Row],[Canada Allocation %]]</f>
        <v>0</v>
      </c>
      <c r="L268" s="16">
        <f>Table11[[#This Row],['#Replace 24]]*Table11[[#This Row],[Canada Allocation %]]</f>
        <v>0</v>
      </c>
      <c r="M268" s="16"/>
      <c r="N268" s="16">
        <f>(Table11[[#This Row],[2024 '#Trees Inventory + Estimate]]*Table11[[#This Row],[Canada Allocation %]])-SUM(Table378[[#This Row],['# Trees as of 12/31/23]:[New Trees/Planted in 2024]])</f>
        <v>0</v>
      </c>
      <c r="O268" s="32">
        <f>SUM(Table378[[#This Row],['# Trees as of 12/31/23]:[2024 Tree Losses]])</f>
        <v>0</v>
      </c>
      <c r="P268" s="32">
        <f>SUM(Table378[[#This Row],[Total Trees as of 12/31/24]]-Table378[[#This Row],['# Trees as of 12/31/23]])</f>
        <v>0</v>
      </c>
      <c r="Q268" s="16">
        <f>Table11[[#This Row],['#Total Replacements]]*Table11[[#This Row],[Canada Allocation %]]</f>
        <v>0</v>
      </c>
      <c r="R268" s="32">
        <f>IF(Table378[[#This Row],['#Survival based on Inventory]]=0,Table378['#Survival based on Last Year Estimate],Table378['#Survival based on Inventory])</f>
        <v>0</v>
      </c>
      <c r="S268" s="16">
        <f>Table11[[#This Row],['#Planted]]*Table11[[#This Row],[Canada Allocation %]]*Table11[[#This Row],[2024 Inventory Survival%-master]]</f>
        <v>0</v>
      </c>
      <c r="T268" s="16">
        <f>Table11[[#This Row],['#Planted]]*Table11[[#This Row],[Canada Allocation %]]*Table11[[#This Row],[2024 Estimated Survival%]]</f>
        <v>0</v>
      </c>
      <c r="U268" s="7">
        <f>Table11[[#This Row],[ETP Year]]</f>
        <v>2021</v>
      </c>
      <c r="V268" s="7">
        <f>Table11[[#This Row],[Planting Year]]</f>
        <v>2021</v>
      </c>
      <c r="W268" s="8">
        <f>Table11[[#This Row],[Survival% as of 12/31/23]]</f>
        <v>1</v>
      </c>
      <c r="X268" s="7">
        <f>Table11[[#This Row],[ETP'#s]]</f>
        <v>1</v>
      </c>
    </row>
    <row r="269" spans="1:24" x14ac:dyDescent="0.25">
      <c r="A269">
        <f>Table11[[#This Row],[Farmer'#]]</f>
        <v>20072</v>
      </c>
      <c r="B269" t="str">
        <f>Table11[[#This Row],[Representative]]</f>
        <v>Xinia Moya</v>
      </c>
      <c r="C269" t="str">
        <f>Table11[[#This Row],[Contract Name]]</f>
        <v>Xinia Moya</v>
      </c>
      <c r="D269" t="str">
        <f>Table11[[#This Row],[Status]]</f>
        <v>Active</v>
      </c>
      <c r="E269" t="str">
        <f>Table11[[#This Row],[Contract Code]]</f>
        <v>CR0078</v>
      </c>
      <c r="F269" s="16">
        <f>Table11[[#This Row],['#TreesContract]]</f>
        <v>1000</v>
      </c>
      <c r="G269" s="16">
        <f>Table11[[#This Row],['#Planted]]</f>
        <v>1000</v>
      </c>
      <c r="H269" s="16">
        <f>Table11[[#This Row],['#TreesContract]]*Table11[[#This Row],[Canada Allocation %]]</f>
        <v>0</v>
      </c>
      <c r="I269" s="16">
        <f>Table11[[#This Row],['#Planted]]*Table11[[#This Row],[Canada Allocation %]]</f>
        <v>0</v>
      </c>
      <c r="J269" s="16">
        <f>Table11[[#This Row],[Contract Amendment]]*Table11[[#This Row],[Canada Allocation %]]</f>
        <v>0</v>
      </c>
      <c r="K269" s="16">
        <f>Table11[[#This Row],['#Trees as of 12/31/23]]*Table11[[#This Row],[Canada Allocation %]]</f>
        <v>0</v>
      </c>
      <c r="L269" s="16">
        <f>Table11[[#This Row],['#Replace 24]]*Table11[[#This Row],[Canada Allocation %]]</f>
        <v>0</v>
      </c>
      <c r="M269" s="16"/>
      <c r="N269" s="16">
        <f>(Table11[[#This Row],[2024 '#Trees Inventory + Estimate]]*Table11[[#This Row],[Canada Allocation %]])-SUM(Table378[[#This Row],['# Trees as of 12/31/23]:[New Trees/Planted in 2024]])</f>
        <v>0</v>
      </c>
      <c r="O269" s="32">
        <f>SUM(Table378[[#This Row],['# Trees as of 12/31/23]:[2024 Tree Losses]])</f>
        <v>0</v>
      </c>
      <c r="P269" s="32">
        <f>SUM(Table378[[#This Row],[Total Trees as of 12/31/24]]-Table378[[#This Row],['# Trees as of 12/31/23]])</f>
        <v>0</v>
      </c>
      <c r="Q269" s="16">
        <f>Table11[[#This Row],['#Total Replacements]]*Table11[[#This Row],[Canada Allocation %]]</f>
        <v>0</v>
      </c>
      <c r="R269" s="32">
        <f>IF(Table378[[#This Row],['#Survival based on Inventory]]=0,Table378['#Survival based on Last Year Estimate],Table378['#Survival based on Inventory])</f>
        <v>0</v>
      </c>
      <c r="S269" s="16">
        <f>Table11[[#This Row],['#Planted]]*Table11[[#This Row],[Canada Allocation %]]*Table11[[#This Row],[2024 Inventory Survival%-master]]</f>
        <v>0</v>
      </c>
      <c r="T269" s="16">
        <f>Table11[[#This Row],['#Planted]]*Table11[[#This Row],[Canada Allocation %]]*Table11[[#This Row],[2024 Estimated Survival%]]</f>
        <v>0</v>
      </c>
      <c r="U269" s="7">
        <f>Table11[[#This Row],[ETP Year]]</f>
        <v>2021</v>
      </c>
      <c r="V269" s="7">
        <f>Table11[[#This Row],[Planting Year]]</f>
        <v>2021</v>
      </c>
      <c r="W269" s="8">
        <f>Table11[[#This Row],[Survival% as of 12/31/23]]</f>
        <v>0.91214444444444442</v>
      </c>
      <c r="X269" s="7">
        <f>Table11[[#This Row],[ETP'#s]]</f>
        <v>1</v>
      </c>
    </row>
    <row r="270" spans="1:24" x14ac:dyDescent="0.25">
      <c r="A270">
        <f>Table11[[#This Row],[Farmer'#]]</f>
        <v>20084</v>
      </c>
      <c r="B270" t="str">
        <f>Table11[[#This Row],[Representative]]</f>
        <v>Christian Araya</v>
      </c>
      <c r="C270" t="str">
        <f>Table11[[#This Row],[Contract Name]]</f>
        <v>Christian Araya</v>
      </c>
      <c r="D270" t="str">
        <f>Table11[[#This Row],[Status]]</f>
        <v>Active</v>
      </c>
      <c r="E270" t="str">
        <f>Table11[[#This Row],[Contract Code]]</f>
        <v>CR0092</v>
      </c>
      <c r="F270" s="16">
        <f>Table11[[#This Row],['#TreesContract]]</f>
        <v>1000</v>
      </c>
      <c r="G270" s="16">
        <f>Table11[[#This Row],['#Planted]]</f>
        <v>1000</v>
      </c>
      <c r="H270" s="16">
        <f>Table11[[#This Row],['#TreesContract]]*Table11[[#This Row],[Canada Allocation %]]</f>
        <v>0</v>
      </c>
      <c r="I270" s="16">
        <f>Table11[[#This Row],['#Planted]]*Table11[[#This Row],[Canada Allocation %]]</f>
        <v>0</v>
      </c>
      <c r="J270" s="16">
        <f>Table11[[#This Row],[Contract Amendment]]*Table11[[#This Row],[Canada Allocation %]]</f>
        <v>0</v>
      </c>
      <c r="K270" s="16">
        <f>Table11[[#This Row],['#Trees as of 12/31/23]]*Table11[[#This Row],[Canada Allocation %]]</f>
        <v>0</v>
      </c>
      <c r="L270" s="16">
        <f>Table11[[#This Row],['#Replace 24]]*Table11[[#This Row],[Canada Allocation %]]</f>
        <v>0</v>
      </c>
      <c r="M270" s="16"/>
      <c r="N270" s="16">
        <f>(Table11[[#This Row],[2024 '#Trees Inventory + Estimate]]*Table11[[#This Row],[Canada Allocation %]])-SUM(Table378[[#This Row],['# Trees as of 12/31/23]:[New Trees/Planted in 2024]])</f>
        <v>0</v>
      </c>
      <c r="O270" s="16">
        <f>SUM(Table378[[#This Row],['# Trees as of 12/31/23]:[2024 Tree Losses]])</f>
        <v>0</v>
      </c>
      <c r="P270" s="16">
        <f>SUM(Table378[[#This Row],[Total Trees as of 12/31/24]]-Table378[[#This Row],['# Trees as of 12/31/23]])</f>
        <v>0</v>
      </c>
      <c r="Q270" s="16">
        <f>Table11[[#This Row],['#Total Replacements]]*Table11[[#This Row],[Canada Allocation %]]</f>
        <v>0</v>
      </c>
      <c r="R270" s="16">
        <f>IF(Table378[[#This Row],['#Survival based on Inventory]]=0,Table378['#Survival based on Last Year Estimate],Table378['#Survival based on Inventory])</f>
        <v>0</v>
      </c>
      <c r="S270" s="16">
        <f>Table11[[#This Row],['#Planted]]*Table11[[#This Row],[Canada Allocation %]]*Table11[[#This Row],[2024 Inventory Survival%-master]]</f>
        <v>0</v>
      </c>
      <c r="T270" s="16">
        <f>Table11[[#This Row],['#Planted]]*Table11[[#This Row],[Canada Allocation %]]*Table11[[#This Row],[2024 Estimated Survival%]]</f>
        <v>0</v>
      </c>
      <c r="U270" s="7">
        <f>Table11[[#This Row],[ETP Year]]</f>
        <v>2021</v>
      </c>
      <c r="V270" s="7">
        <f>Table11[[#This Row],[Planting Year]]</f>
        <v>2021</v>
      </c>
      <c r="W270" s="8">
        <f>Table11[[#This Row],[Survival% as of 12/31/23]]</f>
        <v>0.89531611111111109</v>
      </c>
      <c r="X270" s="7">
        <f>Table11[[#This Row],[ETP'#s]]</f>
        <v>1</v>
      </c>
    </row>
    <row r="271" spans="1:24" x14ac:dyDescent="0.25">
      <c r="A271">
        <f>Table11[[#This Row],[Farmer'#]]</f>
        <v>30001</v>
      </c>
      <c r="B271" t="str">
        <f>Table11[[#This Row],[Representative]]</f>
        <v>Ada Patricia Scheel Bartlett</v>
      </c>
      <c r="C271" t="str">
        <f>Table11[[#This Row],[Contract Name]]</f>
        <v>Ada Patricia Scheel Bartlett</v>
      </c>
      <c r="D271" t="str">
        <f>Table11[[#This Row],[Status]]</f>
        <v>Active</v>
      </c>
      <c r="E271" t="str">
        <f>Table11[[#This Row],[Contract Code]]</f>
        <v>GT0030</v>
      </c>
      <c r="F271" s="16">
        <f>Table11[[#This Row],['#TreesContract]]</f>
        <v>2000</v>
      </c>
      <c r="G271" s="16">
        <f>Table11[[#This Row],['#Planted]]</f>
        <v>2000</v>
      </c>
      <c r="H271" s="16">
        <f>Table11[[#This Row],['#TreesContract]]*Table11[[#This Row],[Canada Allocation %]]</f>
        <v>0</v>
      </c>
      <c r="I271" s="16">
        <f>Table11[[#This Row],['#Planted]]*Table11[[#This Row],[Canada Allocation %]]</f>
        <v>0</v>
      </c>
      <c r="J271" s="16">
        <f>Table11[[#This Row],[Contract Amendment]]*Table11[[#This Row],[Canada Allocation %]]</f>
        <v>0</v>
      </c>
      <c r="K271" s="16">
        <f>Table11[[#This Row],['#Trees as of 12/31/23]]*Table11[[#This Row],[Canada Allocation %]]</f>
        <v>0</v>
      </c>
      <c r="L271" s="16">
        <f>Table11[[#This Row],['#Replace 24]]*Table11[[#This Row],[Canada Allocation %]]</f>
        <v>0</v>
      </c>
      <c r="M271" s="16"/>
      <c r="N271" s="16">
        <f>(Table11[[#This Row],[2024 '#Trees Inventory + Estimate]]*Table11[[#This Row],[Canada Allocation %]])-SUM(Table378[[#This Row],['# Trees as of 12/31/23]:[New Trees/Planted in 2024]])</f>
        <v>0</v>
      </c>
      <c r="O271" s="16">
        <f>SUM(Table378[[#This Row],['# Trees as of 12/31/23]:[2024 Tree Losses]])</f>
        <v>0</v>
      </c>
      <c r="P271" s="16">
        <f>SUM(Table378[[#This Row],[Total Trees as of 12/31/24]]-Table378[[#This Row],['# Trees as of 12/31/23]])</f>
        <v>0</v>
      </c>
      <c r="Q271" s="16">
        <f>Table11[[#This Row],['#Total Replacements]]*Table11[[#This Row],[Canada Allocation %]]</f>
        <v>0</v>
      </c>
      <c r="R271" s="16">
        <f>IF(Table378[[#This Row],['#Survival based on Inventory]]=0,Table378['#Survival based on Last Year Estimate],Table378['#Survival based on Inventory])</f>
        <v>0</v>
      </c>
      <c r="S271" s="16">
        <f>Table11[[#This Row],['#Planted]]*Table11[[#This Row],[Canada Allocation %]]*Table11[[#This Row],[2024 Inventory Survival%-master]]</f>
        <v>0</v>
      </c>
      <c r="T271" s="16">
        <f>Table11[[#This Row],['#Planted]]*Table11[[#This Row],[Canada Allocation %]]*Table11[[#This Row],[2024 Estimated Survival%]]</f>
        <v>0</v>
      </c>
      <c r="U271" s="7">
        <f>Table11[[#This Row],[ETP Year]]</f>
        <v>2021</v>
      </c>
      <c r="V271" s="7">
        <f>Table11[[#This Row],[Planting Year]]</f>
        <v>2021</v>
      </c>
      <c r="W271" s="8">
        <f>Table11[[#This Row],[Survival% as of 12/31/23]]</f>
        <v>0.47639943192307688</v>
      </c>
      <c r="X271" s="7">
        <f>Table11[[#This Row],[ETP'#s]]</f>
        <v>1</v>
      </c>
    </row>
    <row r="272" spans="1:24" x14ac:dyDescent="0.25">
      <c r="A272">
        <f>Table11[[#This Row],[Farmer'#]]</f>
        <v>30006</v>
      </c>
      <c r="B272" t="str">
        <f>Table11[[#This Row],[Representative]]</f>
        <v>Luis Fernando Morán Peréz</v>
      </c>
      <c r="C272" t="str">
        <f>Table11[[#This Row],[Contract Name]]</f>
        <v>Luis Fernando Morán Peréz</v>
      </c>
      <c r="D272" t="str">
        <f>Table11[[#This Row],[Status]]</f>
        <v>Active</v>
      </c>
      <c r="E272" t="str">
        <f>Table11[[#This Row],[Contract Code]]</f>
        <v>GT0038</v>
      </c>
      <c r="F272" s="16">
        <f>Table11[[#This Row],['#TreesContract]]</f>
        <v>3795</v>
      </c>
      <c r="G272" s="16">
        <f>Table11[[#This Row],['#Planted]]</f>
        <v>3795</v>
      </c>
      <c r="H272" s="16">
        <f>Table11[[#This Row],['#TreesContract]]*Table11[[#This Row],[Canada Allocation %]]</f>
        <v>0</v>
      </c>
      <c r="I272" s="16">
        <f>Table11[[#This Row],['#Planted]]*Table11[[#This Row],[Canada Allocation %]]</f>
        <v>0</v>
      </c>
      <c r="J272" s="16">
        <f>Table11[[#This Row],[Contract Amendment]]*Table11[[#This Row],[Canada Allocation %]]</f>
        <v>0</v>
      </c>
      <c r="K272" s="16">
        <f>Table11[[#This Row],['#Trees as of 12/31/23]]*Table11[[#This Row],[Canada Allocation %]]</f>
        <v>0</v>
      </c>
      <c r="L272" s="16">
        <f>Table11[[#This Row],['#Replace 24]]*Table11[[#This Row],[Canada Allocation %]]</f>
        <v>0</v>
      </c>
      <c r="M272" s="16"/>
      <c r="N272" s="16">
        <f>(Table11[[#This Row],[2024 '#Trees Inventory + Estimate]]*Table11[[#This Row],[Canada Allocation %]])-SUM(Table378[[#This Row],['# Trees as of 12/31/23]:[New Trees/Planted in 2024]])</f>
        <v>0</v>
      </c>
      <c r="O272" s="16">
        <f>SUM(Table378[[#This Row],['# Trees as of 12/31/23]:[2024 Tree Losses]])</f>
        <v>0</v>
      </c>
      <c r="P272" s="16">
        <f>SUM(Table378[[#This Row],[Total Trees as of 12/31/24]]-Table378[[#This Row],['# Trees as of 12/31/23]])</f>
        <v>0</v>
      </c>
      <c r="Q272" s="16">
        <f>Table11[[#This Row],['#Total Replacements]]*Table11[[#This Row],[Canada Allocation %]]</f>
        <v>0</v>
      </c>
      <c r="R272" s="16">
        <f>IF(Table378[[#This Row],['#Survival based on Inventory]]=0,Table378['#Survival based on Last Year Estimate],Table378['#Survival based on Inventory])</f>
        <v>0</v>
      </c>
      <c r="S272" s="16">
        <f>Table11[[#This Row],['#Planted]]*Table11[[#This Row],[Canada Allocation %]]*Table11[[#This Row],[2024 Inventory Survival%-master]]</f>
        <v>0</v>
      </c>
      <c r="T272" s="16">
        <f>Table11[[#This Row],['#Planted]]*Table11[[#This Row],[Canada Allocation %]]*Table11[[#This Row],[2024 Estimated Survival%]]</f>
        <v>0</v>
      </c>
      <c r="U272" s="7">
        <f>Table11[[#This Row],[ETP Year]]</f>
        <v>2021</v>
      </c>
      <c r="V272" s="7">
        <f>Table11[[#This Row],[Planting Year]]</f>
        <v>2021</v>
      </c>
      <c r="W272" s="8">
        <f>Table11[[#This Row],[Survival% as of 12/31/23]]</f>
        <v>0.79658714839778522</v>
      </c>
      <c r="X272" s="7">
        <f>Table11[[#This Row],[ETP'#s]]</f>
        <v>1</v>
      </c>
    </row>
    <row r="273" spans="1:24" x14ac:dyDescent="0.25">
      <c r="A273">
        <f>Table11[[#This Row],[Farmer'#]]</f>
        <v>30007</v>
      </c>
      <c r="B273" t="str">
        <f>Table11[[#This Row],[Representative]]</f>
        <v>Miguel Roberto Mombiela Bruni</v>
      </c>
      <c r="C273" t="str">
        <f>Table11[[#This Row],[Contract Name]]</f>
        <v>Miguel Roberto Mombiela Bruni</v>
      </c>
      <c r="D273" t="str">
        <f>Table11[[#This Row],[Status]]</f>
        <v>Active</v>
      </c>
      <c r="E273" t="str">
        <f>Table11[[#This Row],[Contract Code]]</f>
        <v>GT0040</v>
      </c>
      <c r="F273" s="16">
        <f>Table11[[#This Row],['#TreesContract]]</f>
        <v>690</v>
      </c>
      <c r="G273" s="16">
        <f>Table11[[#This Row],['#Planted]]</f>
        <v>690</v>
      </c>
      <c r="H273" s="16">
        <f>Table11[[#This Row],['#TreesContract]]*Table11[[#This Row],[Canada Allocation %]]</f>
        <v>0</v>
      </c>
      <c r="I273" s="16">
        <f>Table11[[#This Row],['#Planted]]*Table11[[#This Row],[Canada Allocation %]]</f>
        <v>0</v>
      </c>
      <c r="J273" s="16">
        <f>Table11[[#This Row],[Contract Amendment]]*Table11[[#This Row],[Canada Allocation %]]</f>
        <v>0</v>
      </c>
      <c r="K273" s="16">
        <f>Table11[[#This Row],['#Trees as of 12/31/23]]*Table11[[#This Row],[Canada Allocation %]]</f>
        <v>0</v>
      </c>
      <c r="L273" s="16">
        <f>Table11[[#This Row],['#Replace 24]]*Table11[[#This Row],[Canada Allocation %]]</f>
        <v>0</v>
      </c>
      <c r="M273" s="16"/>
      <c r="N273" s="16">
        <f>(Table11[[#This Row],[2024 '#Trees Inventory + Estimate]]*Table11[[#This Row],[Canada Allocation %]])-SUM(Table378[[#This Row],['# Trees as of 12/31/23]:[New Trees/Planted in 2024]])</f>
        <v>0</v>
      </c>
      <c r="O273" s="16">
        <f>SUM(Table378[[#This Row],['# Trees as of 12/31/23]:[2024 Tree Losses]])</f>
        <v>0</v>
      </c>
      <c r="P273" s="16">
        <f>SUM(Table378[[#This Row],[Total Trees as of 12/31/24]]-Table378[[#This Row],['# Trees as of 12/31/23]])</f>
        <v>0</v>
      </c>
      <c r="Q273" s="16">
        <f>Table11[[#This Row],['#Total Replacements]]*Table11[[#This Row],[Canada Allocation %]]</f>
        <v>0</v>
      </c>
      <c r="R273" s="16">
        <f>IF(Table378[[#This Row],['#Survival based on Inventory]]=0,Table378['#Survival based on Last Year Estimate],Table378['#Survival based on Inventory])</f>
        <v>0</v>
      </c>
      <c r="S273" s="16">
        <f>Table11[[#This Row],['#Planted]]*Table11[[#This Row],[Canada Allocation %]]*Table11[[#This Row],[2024 Inventory Survival%-master]]</f>
        <v>0</v>
      </c>
      <c r="T273" s="16">
        <f>Table11[[#This Row],['#Planted]]*Table11[[#This Row],[Canada Allocation %]]*Table11[[#This Row],[2024 Estimated Survival%]]</f>
        <v>0</v>
      </c>
      <c r="U273" s="7">
        <f>Table11[[#This Row],[ETP Year]]</f>
        <v>2020</v>
      </c>
      <c r="V273" s="7">
        <f>Table11[[#This Row],[Planting Year]]</f>
        <v>2021</v>
      </c>
      <c r="W273" s="8">
        <f>Table11[[#This Row],[Survival% as of 12/31/23]]</f>
        <v>0.9735441137123747</v>
      </c>
      <c r="X273" s="7">
        <f>Table11[[#This Row],[ETP'#s]]</f>
        <v>1</v>
      </c>
    </row>
    <row r="274" spans="1:24" x14ac:dyDescent="0.25">
      <c r="A274">
        <f>Table11[[#This Row],[Farmer'#]]</f>
        <v>30011</v>
      </c>
      <c r="B274" t="str">
        <f>Table11[[#This Row],[Representative]]</f>
        <v xml:space="preserve">Erick Cienfuegos </v>
      </c>
      <c r="C274" t="str">
        <f>Table11[[#This Row],[Contract Name]]</f>
        <v>Rudy Israel Cienfuegos Cordón</v>
      </c>
      <c r="D274" t="str">
        <f>Table11[[#This Row],[Status]]</f>
        <v>Active</v>
      </c>
      <c r="E274" t="str">
        <f>Table11[[#This Row],[Contract Code]]</f>
        <v>GT0029</v>
      </c>
      <c r="F274" s="16">
        <f>Table11[[#This Row],['#TreesContract]]</f>
        <v>4050</v>
      </c>
      <c r="G274" s="16">
        <f>Table11[[#This Row],['#Planted]]</f>
        <v>4050</v>
      </c>
      <c r="H274" s="16">
        <f>Table11[[#This Row],['#TreesContract]]*Table11[[#This Row],[Canada Allocation %]]</f>
        <v>0</v>
      </c>
      <c r="I274" s="16">
        <f>Table11[[#This Row],['#Planted]]*Table11[[#This Row],[Canada Allocation %]]</f>
        <v>0</v>
      </c>
      <c r="J274" s="16">
        <f>Table11[[#This Row],[Contract Amendment]]*Table11[[#This Row],[Canada Allocation %]]</f>
        <v>0</v>
      </c>
      <c r="K274" s="16">
        <f>Table11[[#This Row],['#Trees as of 12/31/23]]*Table11[[#This Row],[Canada Allocation %]]</f>
        <v>0</v>
      </c>
      <c r="L274" s="16">
        <f>Table11[[#This Row],['#Replace 24]]*Table11[[#This Row],[Canada Allocation %]]</f>
        <v>0</v>
      </c>
      <c r="M274" s="16"/>
      <c r="N274" s="16">
        <f>(Table11[[#This Row],[2024 '#Trees Inventory + Estimate]]*Table11[[#This Row],[Canada Allocation %]])-SUM(Table378[[#This Row],['# Trees as of 12/31/23]:[New Trees/Planted in 2024]])</f>
        <v>0</v>
      </c>
      <c r="O274" s="16">
        <f>SUM(Table378[[#This Row],['# Trees as of 12/31/23]:[2024 Tree Losses]])</f>
        <v>0</v>
      </c>
      <c r="P274" s="16">
        <f>SUM(Table378[[#This Row],[Total Trees as of 12/31/24]]-Table378[[#This Row],['# Trees as of 12/31/23]])</f>
        <v>0</v>
      </c>
      <c r="Q274" s="16">
        <f>Table11[[#This Row],['#Total Replacements]]*Table11[[#This Row],[Canada Allocation %]]</f>
        <v>0</v>
      </c>
      <c r="R274" s="16">
        <f>IF(Table378[[#This Row],['#Survival based on Inventory]]=0,Table378['#Survival based on Last Year Estimate],Table378['#Survival based on Inventory])</f>
        <v>0</v>
      </c>
      <c r="S274" s="16">
        <f>Table11[[#This Row],['#Planted]]*Table11[[#This Row],[Canada Allocation %]]*Table11[[#This Row],[2024 Inventory Survival%-master]]</f>
        <v>0</v>
      </c>
      <c r="T274" s="16">
        <f>Table11[[#This Row],['#Planted]]*Table11[[#This Row],[Canada Allocation %]]*Table11[[#This Row],[2024 Estimated Survival%]]</f>
        <v>0</v>
      </c>
      <c r="U274" s="7">
        <f>Table11[[#This Row],[ETP Year]]</f>
        <v>2020</v>
      </c>
      <c r="V274" s="7">
        <f>Table11[[#This Row],[Planting Year]]</f>
        <v>2021</v>
      </c>
      <c r="W274" s="8">
        <f>Table11[[#This Row],[Survival% as of 12/31/23]]</f>
        <v>0.63782465185185189</v>
      </c>
      <c r="X274" s="7">
        <f>Table11[[#This Row],[ETP'#s]]</f>
        <v>1</v>
      </c>
    </row>
    <row r="275" spans="1:24" x14ac:dyDescent="0.25">
      <c r="A275">
        <f>Table11[[#This Row],[Farmer'#]]</f>
        <v>30014</v>
      </c>
      <c r="B275" t="str">
        <f>Table11[[#This Row],[Representative]]</f>
        <v>Boris Garza</v>
      </c>
      <c r="C275" t="str">
        <f>Table11[[#This Row],[Contract Name]]</f>
        <v>Borigar S.A. Carmen Lucía Garza López</v>
      </c>
      <c r="D275" t="str">
        <f>Table11[[#This Row],[Status]]</f>
        <v>RFT</v>
      </c>
      <c r="E275" t="str">
        <f>Table11[[#This Row],[Contract Code]]</f>
        <v>GT0032</v>
      </c>
      <c r="F275" s="16">
        <f>Table11[[#This Row],['#TreesContract]]</f>
        <v>2000</v>
      </c>
      <c r="G275" s="16">
        <f>Table11[[#This Row],['#Planted]]</f>
        <v>2000</v>
      </c>
      <c r="H275" s="16">
        <f>Table11[[#This Row],['#TreesContract]]*Table11[[#This Row],[Canada Allocation %]]</f>
        <v>0</v>
      </c>
      <c r="I275" s="16">
        <f>Table11[[#This Row],['#Planted]]*Table11[[#This Row],[Canada Allocation %]]</f>
        <v>0</v>
      </c>
      <c r="J275" s="16">
        <f>Table11[[#This Row],[Contract Amendment]]*Table11[[#This Row],[Canada Allocation %]]</f>
        <v>0</v>
      </c>
      <c r="K275" s="16">
        <f>Table11[[#This Row],['#Trees as of 12/31/23]]*Table11[[#This Row],[Canada Allocation %]]</f>
        <v>0</v>
      </c>
      <c r="L275" s="16">
        <f>Table11[[#This Row],['#Replace 24]]*Table11[[#This Row],[Canada Allocation %]]</f>
        <v>0</v>
      </c>
      <c r="M275" s="16"/>
      <c r="N275" s="16">
        <f>(Table11[[#This Row],[2024 '#Trees Inventory + Estimate]]*Table11[[#This Row],[Canada Allocation %]])-SUM(Table378[[#This Row],['# Trees as of 12/31/23]:[New Trees/Planted in 2024]])</f>
        <v>0</v>
      </c>
      <c r="O275" s="16">
        <f>SUM(Table378[[#This Row],['# Trees as of 12/31/23]:[2024 Tree Losses]])</f>
        <v>0</v>
      </c>
      <c r="P275" s="16">
        <f>SUM(Table378[[#This Row],[Total Trees as of 12/31/24]]-Table378[[#This Row],['# Trees as of 12/31/23]])</f>
        <v>0</v>
      </c>
      <c r="Q275" s="16">
        <f>Table11[[#This Row],['#Total Replacements]]*Table11[[#This Row],[Canada Allocation %]]</f>
        <v>0</v>
      </c>
      <c r="R275" s="16">
        <f>IF(Table378[[#This Row],['#Survival based on Inventory]]=0,Table378['#Survival based on Last Year Estimate],Table378['#Survival based on Inventory])</f>
        <v>0</v>
      </c>
      <c r="S275" s="16">
        <f>Table11[[#This Row],['#Planted]]*Table11[[#This Row],[Canada Allocation %]]*Table11[[#This Row],[2024 Inventory Survival%-master]]</f>
        <v>0</v>
      </c>
      <c r="T275" s="16">
        <f>Table11[[#This Row],['#Planted]]*Table11[[#This Row],[Canada Allocation %]]*Table11[[#This Row],[2024 Estimated Survival%]]</f>
        <v>0</v>
      </c>
      <c r="U275" s="7">
        <f>Table11[[#This Row],[ETP Year]]</f>
        <v>2021</v>
      </c>
      <c r="V275" s="7">
        <f>Table11[[#This Row],[Planting Year]]</f>
        <v>2021</v>
      </c>
      <c r="W275" s="8">
        <f>Table11[[#This Row],[Survival% as of 12/31/23]]</f>
        <v>0</v>
      </c>
      <c r="X275" s="7">
        <f>Table11[[#This Row],[ETP'#s]]</f>
        <v>1</v>
      </c>
    </row>
    <row r="276" spans="1:24" x14ac:dyDescent="0.25">
      <c r="A276">
        <f>Table11[[#This Row],[Farmer'#]]</f>
        <v>30015</v>
      </c>
      <c r="B276" t="str">
        <f>Table11[[#This Row],[Representative]]</f>
        <v>Carlos Adolfo López Letona</v>
      </c>
      <c r="C276" t="str">
        <f>Table11[[#This Row],[Contract Name]]</f>
        <v>Carlos Adolfo López Letona</v>
      </c>
      <c r="D276" t="str">
        <f>Table11[[#This Row],[Status]]</f>
        <v>Active</v>
      </c>
      <c r="E276" t="str">
        <f>Table11[[#This Row],[Contract Code]]</f>
        <v>GT0033</v>
      </c>
      <c r="F276" s="16">
        <f>Table11[[#This Row],['#TreesContract]]</f>
        <v>2650</v>
      </c>
      <c r="G276" s="16">
        <f>Table11[[#This Row],['#Planted]]</f>
        <v>2650</v>
      </c>
      <c r="H276" s="16">
        <f>Table11[[#This Row],['#TreesContract]]*Table11[[#This Row],[Canada Allocation %]]</f>
        <v>0</v>
      </c>
      <c r="I276" s="16">
        <f>Table11[[#This Row],['#Planted]]*Table11[[#This Row],[Canada Allocation %]]</f>
        <v>0</v>
      </c>
      <c r="J276" s="16">
        <f>Table11[[#This Row],[Contract Amendment]]*Table11[[#This Row],[Canada Allocation %]]</f>
        <v>0</v>
      </c>
      <c r="K276" s="16">
        <f>Table11[[#This Row],['#Trees as of 12/31/23]]*Table11[[#This Row],[Canada Allocation %]]</f>
        <v>0</v>
      </c>
      <c r="L276" s="16">
        <f>Table11[[#This Row],['#Replace 24]]*Table11[[#This Row],[Canada Allocation %]]</f>
        <v>0</v>
      </c>
      <c r="M276" s="16"/>
      <c r="N276" s="16">
        <f>(Table11[[#This Row],[2024 '#Trees Inventory + Estimate]]*Table11[[#This Row],[Canada Allocation %]])-SUM(Table378[[#This Row],['# Trees as of 12/31/23]:[New Trees/Planted in 2024]])</f>
        <v>0</v>
      </c>
      <c r="O276" s="16">
        <f>SUM(Table378[[#This Row],['# Trees as of 12/31/23]:[2024 Tree Losses]])</f>
        <v>0</v>
      </c>
      <c r="P276" s="16">
        <f>SUM(Table378[[#This Row],[Total Trees as of 12/31/24]]-Table378[[#This Row],['# Trees as of 12/31/23]])</f>
        <v>0</v>
      </c>
      <c r="Q276" s="16">
        <f>Table11[[#This Row],['#Total Replacements]]*Table11[[#This Row],[Canada Allocation %]]</f>
        <v>0</v>
      </c>
      <c r="R276" s="16">
        <f>IF(Table378[[#This Row],['#Survival based on Inventory]]=0,Table378['#Survival based on Last Year Estimate],Table378['#Survival based on Inventory])</f>
        <v>0</v>
      </c>
      <c r="S276" s="16">
        <f>Table11[[#This Row],['#Planted]]*Table11[[#This Row],[Canada Allocation %]]*Table11[[#This Row],[2024 Inventory Survival%-master]]</f>
        <v>0</v>
      </c>
      <c r="T276" s="16">
        <f>Table11[[#This Row],['#Planted]]*Table11[[#This Row],[Canada Allocation %]]*Table11[[#This Row],[2024 Estimated Survival%]]</f>
        <v>0</v>
      </c>
      <c r="U276" s="7">
        <f>Table11[[#This Row],[ETP Year]]</f>
        <v>2020</v>
      </c>
      <c r="V276" s="7">
        <f>Table11[[#This Row],[Planting Year]]</f>
        <v>2021</v>
      </c>
      <c r="W276" s="8">
        <f>Table11[[#This Row],[Survival% as of 12/31/23]]</f>
        <v>0.40309903807890224</v>
      </c>
      <c r="X276" s="7">
        <f>Table11[[#This Row],[ETP'#s]]</f>
        <v>1</v>
      </c>
    </row>
    <row r="277" spans="1:24" x14ac:dyDescent="0.25">
      <c r="A277">
        <f>Table11[[#This Row],[Farmer'#]]</f>
        <v>30023</v>
      </c>
      <c r="B277" t="str">
        <f>Table11[[#This Row],[Representative]]</f>
        <v>Julio Francisco Morán Pérez</v>
      </c>
      <c r="C277" t="str">
        <f>Table11[[#This Row],[Contract Name]]</f>
        <v>Julio Francisco Morán Pérez</v>
      </c>
      <c r="D277" t="str">
        <f>Table11[[#This Row],[Status]]</f>
        <v>Active</v>
      </c>
      <c r="E277" t="str">
        <f>Table11[[#This Row],[Contract Code]]</f>
        <v>GT0024b</v>
      </c>
      <c r="F277" s="16">
        <f>Table11[[#This Row],['#TreesContract]]</f>
        <v>1433</v>
      </c>
      <c r="G277" s="16">
        <f>Table11[[#This Row],['#Planted]]</f>
        <v>1433</v>
      </c>
      <c r="H277" s="16">
        <f>Table11[[#This Row],['#TreesContract]]*Table11[[#This Row],[Canada Allocation %]]</f>
        <v>0</v>
      </c>
      <c r="I277" s="16">
        <f>Table11[[#This Row],['#Planted]]*Table11[[#This Row],[Canada Allocation %]]</f>
        <v>0</v>
      </c>
      <c r="J277" s="16">
        <f>Table11[[#This Row],[Contract Amendment]]*Table11[[#This Row],[Canada Allocation %]]</f>
        <v>0</v>
      </c>
      <c r="K277" s="16">
        <f>Table11[[#This Row],['#Trees as of 12/31/23]]*Table11[[#This Row],[Canada Allocation %]]</f>
        <v>0</v>
      </c>
      <c r="L277" s="16">
        <f>Table11[[#This Row],['#Replace 24]]*Table11[[#This Row],[Canada Allocation %]]</f>
        <v>0</v>
      </c>
      <c r="M277" s="16"/>
      <c r="N277" s="16">
        <f>(Table11[[#This Row],[2024 '#Trees Inventory + Estimate]]*Table11[[#This Row],[Canada Allocation %]])-SUM(Table378[[#This Row],['# Trees as of 12/31/23]:[New Trees/Planted in 2024]])</f>
        <v>0</v>
      </c>
      <c r="O277" s="16">
        <f>SUM(Table378[[#This Row],['# Trees as of 12/31/23]:[2024 Tree Losses]])</f>
        <v>0</v>
      </c>
      <c r="P277" s="16">
        <f>SUM(Table378[[#This Row],[Total Trees as of 12/31/24]]-Table378[[#This Row],['# Trees as of 12/31/23]])</f>
        <v>0</v>
      </c>
      <c r="Q277" s="16">
        <f>Table11[[#This Row],['#Total Replacements]]*Table11[[#This Row],[Canada Allocation %]]</f>
        <v>0</v>
      </c>
      <c r="R277" s="16">
        <f>IF(Table378[[#This Row],['#Survival based on Inventory]]=0,Table378['#Survival based on Last Year Estimate],Table378['#Survival based on Inventory])</f>
        <v>0</v>
      </c>
      <c r="S277" s="16">
        <f>Table11[[#This Row],['#Planted]]*Table11[[#This Row],[Canada Allocation %]]*Table11[[#This Row],[2024 Inventory Survival%-master]]</f>
        <v>0</v>
      </c>
      <c r="T277" s="16">
        <f>Table11[[#This Row],['#Planted]]*Table11[[#This Row],[Canada Allocation %]]*Table11[[#This Row],[2024 Estimated Survival%]]</f>
        <v>0</v>
      </c>
      <c r="U277" s="7">
        <f>Table11[[#This Row],[ETP Year]]</f>
        <v>2020</v>
      </c>
      <c r="V277" s="7">
        <f>Table11[[#This Row],[Planting Year]]</f>
        <v>2021</v>
      </c>
      <c r="W277" s="8">
        <f>Table11[[#This Row],[Survival% as of 12/31/23]]</f>
        <v>0.82858216683583918</v>
      </c>
      <c r="X277" s="7">
        <f>Table11[[#This Row],[ETP'#s]]</f>
        <v>1</v>
      </c>
    </row>
    <row r="278" spans="1:24" x14ac:dyDescent="0.25">
      <c r="A278">
        <f>Table11[[#This Row],[Farmer'#]]</f>
        <v>30024</v>
      </c>
      <c r="B278" t="str">
        <f>Table11[[#This Row],[Representative]]</f>
        <v>Marvin Rodolfo Porras Calderón</v>
      </c>
      <c r="C278" t="str">
        <f>Table11[[#This Row],[Contract Name]]</f>
        <v>Marvin Rodolfo Porras Calderón</v>
      </c>
      <c r="D278" t="str">
        <f>Table11[[#This Row],[Status]]</f>
        <v>RFT</v>
      </c>
      <c r="E278" t="str">
        <f>Table11[[#This Row],[Contract Code]]</f>
        <v>GT0039</v>
      </c>
      <c r="F278" s="16">
        <f>Table11[[#This Row],['#TreesContract]]</f>
        <v>2350</v>
      </c>
      <c r="G278" s="16">
        <f>Table11[[#This Row],['#Planted]]</f>
        <v>2350</v>
      </c>
      <c r="H278" s="16">
        <f>Table11[[#This Row],['#TreesContract]]*Table11[[#This Row],[Canada Allocation %]]</f>
        <v>0</v>
      </c>
      <c r="I278" s="16">
        <f>Table11[[#This Row],['#Planted]]*Table11[[#This Row],[Canada Allocation %]]</f>
        <v>0</v>
      </c>
      <c r="J278" s="16">
        <f>Table11[[#This Row],[Contract Amendment]]*Table11[[#This Row],[Canada Allocation %]]</f>
        <v>0</v>
      </c>
      <c r="K278" s="16">
        <f>Table11[[#This Row],['#Trees as of 12/31/23]]*Table11[[#This Row],[Canada Allocation %]]</f>
        <v>0</v>
      </c>
      <c r="L278" s="16">
        <f>Table11[[#This Row],['#Replace 24]]*Table11[[#This Row],[Canada Allocation %]]</f>
        <v>0</v>
      </c>
      <c r="M278" s="16"/>
      <c r="N278" s="16">
        <f>(Table11[[#This Row],[2024 '#Trees Inventory + Estimate]]*Table11[[#This Row],[Canada Allocation %]])-SUM(Table378[[#This Row],['# Trees as of 12/31/23]:[New Trees/Planted in 2024]])</f>
        <v>0</v>
      </c>
      <c r="O278" s="16">
        <f>SUM(Table378[[#This Row],['# Trees as of 12/31/23]:[2024 Tree Losses]])</f>
        <v>0</v>
      </c>
      <c r="P278" s="16">
        <f>SUM(Table378[[#This Row],[Total Trees as of 12/31/24]]-Table378[[#This Row],['# Trees as of 12/31/23]])</f>
        <v>0</v>
      </c>
      <c r="Q278" s="16">
        <f>Table11[[#This Row],['#Total Replacements]]*Table11[[#This Row],[Canada Allocation %]]</f>
        <v>0</v>
      </c>
      <c r="R278" s="16">
        <f>IF(Table378[[#This Row],['#Survival based on Inventory]]=0,Table378['#Survival based on Last Year Estimate],Table378['#Survival based on Inventory])</f>
        <v>0</v>
      </c>
      <c r="S278" s="16">
        <f>Table11[[#This Row],['#Planted]]*Table11[[#This Row],[Canada Allocation %]]*Table11[[#This Row],[2024 Inventory Survival%-master]]</f>
        <v>0</v>
      </c>
      <c r="T278" s="16">
        <f>Table11[[#This Row],['#Planted]]*Table11[[#This Row],[Canada Allocation %]]*Table11[[#This Row],[2024 Estimated Survival%]]</f>
        <v>0</v>
      </c>
      <c r="U278" s="7">
        <f>Table11[[#This Row],[ETP Year]]</f>
        <v>2020</v>
      </c>
      <c r="V278" s="7">
        <f>Table11[[#This Row],[Planting Year]]</f>
        <v>2021</v>
      </c>
      <c r="W278" s="8">
        <f>Table11[[#This Row],[Survival% as of 12/31/23]]</f>
        <v>0.569907813742912</v>
      </c>
      <c r="X278" s="7">
        <f>Table11[[#This Row],[ETP'#s]]</f>
        <v>1</v>
      </c>
    </row>
    <row r="279" spans="1:24" x14ac:dyDescent="0.25">
      <c r="A279">
        <f>Table11[[#This Row],[Farmer'#]]</f>
        <v>30028</v>
      </c>
      <c r="B279" t="str">
        <f>Table11[[#This Row],[Representative]]</f>
        <v>Derek José Herman Gordillo</v>
      </c>
      <c r="C279" t="str">
        <f>Table11[[#This Row],[Contract Name]]</f>
        <v>Agroindustrias Nativa S.A./Derek José Herman Gordillo</v>
      </c>
      <c r="D279" t="str">
        <f>Table11[[#This Row],[Status]]</f>
        <v>Active</v>
      </c>
      <c r="E279" t="str">
        <f>Table11[[#This Row],[Contract Code]]</f>
        <v>GT0031a</v>
      </c>
      <c r="F279" s="16">
        <f>Table11[[#This Row],['#TreesContract]]</f>
        <v>18000</v>
      </c>
      <c r="G279" s="16">
        <f>Table11[[#This Row],['#Planted]]</f>
        <v>18000</v>
      </c>
      <c r="H279" s="16">
        <f>Table11[[#This Row],['#TreesContract]]*Table11[[#This Row],[Canada Allocation %]]</f>
        <v>0</v>
      </c>
      <c r="I279" s="16">
        <f>Table11[[#This Row],['#Planted]]*Table11[[#This Row],[Canada Allocation %]]</f>
        <v>0</v>
      </c>
      <c r="J279" s="16">
        <f>Table11[[#This Row],[Contract Amendment]]*Table11[[#This Row],[Canada Allocation %]]</f>
        <v>0</v>
      </c>
      <c r="K279" s="16">
        <f>Table11[[#This Row],['#Trees as of 12/31/23]]*Table11[[#This Row],[Canada Allocation %]]</f>
        <v>0</v>
      </c>
      <c r="L279" s="16">
        <f>Table11[[#This Row],['#Replace 24]]*Table11[[#This Row],[Canada Allocation %]]</f>
        <v>0</v>
      </c>
      <c r="M279" s="16"/>
      <c r="N279" s="16">
        <f>(Table11[[#This Row],[2024 '#Trees Inventory + Estimate]]*Table11[[#This Row],[Canada Allocation %]])-SUM(Table378[[#This Row],['# Trees as of 12/31/23]:[New Trees/Planted in 2024]])</f>
        <v>0</v>
      </c>
      <c r="O279" s="16">
        <f>SUM(Table378[[#This Row],['# Trees as of 12/31/23]:[2024 Tree Losses]])</f>
        <v>0</v>
      </c>
      <c r="P279" s="16">
        <f>SUM(Table378[[#This Row],[Total Trees as of 12/31/24]]-Table378[[#This Row],['# Trees as of 12/31/23]])</f>
        <v>0</v>
      </c>
      <c r="Q279" s="16">
        <f>Table11[[#This Row],['#Total Replacements]]*Table11[[#This Row],[Canada Allocation %]]</f>
        <v>0</v>
      </c>
      <c r="R279" s="16">
        <f>IF(Table378[[#This Row],['#Survival based on Inventory]]=0,Table378['#Survival based on Last Year Estimate],Table378['#Survival based on Inventory])</f>
        <v>0</v>
      </c>
      <c r="S279" s="16">
        <f>Table11[[#This Row],['#Planted]]*Table11[[#This Row],[Canada Allocation %]]*Table11[[#This Row],[2024 Inventory Survival%-master]]</f>
        <v>0</v>
      </c>
      <c r="T279" s="16">
        <f>Table11[[#This Row],['#Planted]]*Table11[[#This Row],[Canada Allocation %]]*Table11[[#This Row],[2024 Estimated Survival%]]</f>
        <v>0</v>
      </c>
      <c r="U279" s="7">
        <f>Table11[[#This Row],[ETP Year]]</f>
        <v>2021</v>
      </c>
      <c r="V279" s="7">
        <f>Table11[[#This Row],[Planting Year]]</f>
        <v>2021</v>
      </c>
      <c r="W279" s="8">
        <f>Table11[[#This Row],[Survival% as of 12/31/23]]</f>
        <v>0.42083333333333334</v>
      </c>
      <c r="X279" s="7">
        <f>Table11[[#This Row],[ETP'#s]]</f>
        <v>1</v>
      </c>
    </row>
    <row r="280" spans="1:24" x14ac:dyDescent="0.25">
      <c r="A280">
        <f>Table11[[#This Row],[Farmer'#]]</f>
        <v>30029</v>
      </c>
      <c r="B280" t="str">
        <f>Table11[[#This Row],[Representative]]</f>
        <v>Edin Leonel Chávez Rodriguez</v>
      </c>
      <c r="C280" t="str">
        <f>Table11[[#This Row],[Contract Name]]</f>
        <v>Edin Leonel Chávez Rodriguez</v>
      </c>
      <c r="D280" t="str">
        <f>Table11[[#This Row],[Status]]</f>
        <v>Active</v>
      </c>
      <c r="E280" t="str">
        <f>Table11[[#This Row],[Contract Code]]</f>
        <v>GT0034</v>
      </c>
      <c r="F280" s="16">
        <f>Table11[[#This Row],['#TreesContract]]</f>
        <v>1000</v>
      </c>
      <c r="G280" s="16">
        <f>Table11[[#This Row],['#Planted]]</f>
        <v>1000</v>
      </c>
      <c r="H280" s="16">
        <f>Table11[[#This Row],['#TreesContract]]*Table11[[#This Row],[Canada Allocation %]]</f>
        <v>0</v>
      </c>
      <c r="I280" s="16">
        <f>Table11[[#This Row],['#Planted]]*Table11[[#This Row],[Canada Allocation %]]</f>
        <v>0</v>
      </c>
      <c r="J280" s="16">
        <f>Table11[[#This Row],[Contract Amendment]]*Table11[[#This Row],[Canada Allocation %]]</f>
        <v>0</v>
      </c>
      <c r="K280" s="16">
        <f>Table11[[#This Row],['#Trees as of 12/31/23]]*Table11[[#This Row],[Canada Allocation %]]</f>
        <v>0</v>
      </c>
      <c r="L280" s="16">
        <f>Table11[[#This Row],['#Replace 24]]*Table11[[#This Row],[Canada Allocation %]]</f>
        <v>0</v>
      </c>
      <c r="M280" s="16"/>
      <c r="N280" s="16">
        <f>(Table11[[#This Row],[2024 '#Trees Inventory + Estimate]]*Table11[[#This Row],[Canada Allocation %]])-SUM(Table378[[#This Row],['# Trees as of 12/31/23]:[New Trees/Planted in 2024]])</f>
        <v>0</v>
      </c>
      <c r="O280" s="16">
        <f>SUM(Table378[[#This Row],['# Trees as of 12/31/23]:[2024 Tree Losses]])</f>
        <v>0</v>
      </c>
      <c r="P280" s="16">
        <f>SUM(Table378[[#This Row],[Total Trees as of 12/31/24]]-Table378[[#This Row],['# Trees as of 12/31/23]])</f>
        <v>0</v>
      </c>
      <c r="Q280" s="16">
        <f>Table11[[#This Row],['#Total Replacements]]*Table11[[#This Row],[Canada Allocation %]]</f>
        <v>0</v>
      </c>
      <c r="R280" s="16">
        <f>IF(Table378[[#This Row],['#Survival based on Inventory]]=0,Table378['#Survival based on Last Year Estimate],Table378['#Survival based on Inventory])</f>
        <v>0</v>
      </c>
      <c r="S280" s="16">
        <f>Table11[[#This Row],['#Planted]]*Table11[[#This Row],[Canada Allocation %]]*Table11[[#This Row],[2024 Inventory Survival%-master]]</f>
        <v>0</v>
      </c>
      <c r="T280" s="16">
        <f>Table11[[#This Row],['#Planted]]*Table11[[#This Row],[Canada Allocation %]]*Table11[[#This Row],[2024 Estimated Survival%]]</f>
        <v>0</v>
      </c>
      <c r="U280" s="7">
        <f>Table11[[#This Row],[ETP Year]]</f>
        <v>2020</v>
      </c>
      <c r="V280" s="7">
        <f>Table11[[#This Row],[Planting Year]]</f>
        <v>2021</v>
      </c>
      <c r="W280" s="8">
        <f>Table11[[#This Row],[Survival% as of 12/31/23]]</f>
        <v>0.88318954662680671</v>
      </c>
      <c r="X280" s="7">
        <f>Table11[[#This Row],[ETP'#s]]</f>
        <v>1</v>
      </c>
    </row>
    <row r="281" spans="1:24" x14ac:dyDescent="0.25">
      <c r="A281">
        <f>Table11[[#This Row],[Farmer'#]]</f>
        <v>30030</v>
      </c>
      <c r="B281" t="str">
        <f>Table11[[#This Row],[Representative]]</f>
        <v>Sergio Gordillo</v>
      </c>
      <c r="C281" t="str">
        <f>Table11[[#This Row],[Contract Name]]</f>
        <v>El Paste S.A./Elisa Janeth Salguero Pineda De Gordillo</v>
      </c>
      <c r="D281" t="str">
        <f>Table11[[#This Row],[Status]]</f>
        <v>Active</v>
      </c>
      <c r="E281" t="str">
        <f>Table11[[#This Row],[Contract Code]]</f>
        <v>GT0035</v>
      </c>
      <c r="F281" s="16">
        <f>Table11[[#This Row],['#TreesContract]]</f>
        <v>1000</v>
      </c>
      <c r="G281" s="16">
        <f>Table11[[#This Row],['#Planted]]</f>
        <v>1000</v>
      </c>
      <c r="H281" s="16">
        <f>Table11[[#This Row],['#TreesContract]]*Table11[[#This Row],[Canada Allocation %]]</f>
        <v>0</v>
      </c>
      <c r="I281" s="16">
        <f>Table11[[#This Row],['#Planted]]*Table11[[#This Row],[Canada Allocation %]]</f>
        <v>0</v>
      </c>
      <c r="J281" s="16">
        <f>Table11[[#This Row],[Contract Amendment]]*Table11[[#This Row],[Canada Allocation %]]</f>
        <v>0</v>
      </c>
      <c r="K281" s="16">
        <f>Table11[[#This Row],['#Trees as of 12/31/23]]*Table11[[#This Row],[Canada Allocation %]]</f>
        <v>0</v>
      </c>
      <c r="L281" s="16">
        <f>Table11[[#This Row],['#Replace 24]]*Table11[[#This Row],[Canada Allocation %]]</f>
        <v>0</v>
      </c>
      <c r="M281" s="16"/>
      <c r="N281" s="16">
        <f>(Table11[[#This Row],[2024 '#Trees Inventory + Estimate]]*Table11[[#This Row],[Canada Allocation %]])-SUM(Table378[[#This Row],['# Trees as of 12/31/23]:[New Trees/Planted in 2024]])</f>
        <v>0</v>
      </c>
      <c r="O281" s="16">
        <f>SUM(Table378[[#This Row],['# Trees as of 12/31/23]:[2024 Tree Losses]])</f>
        <v>0</v>
      </c>
      <c r="P281" s="16">
        <f>SUM(Table378[[#This Row],[Total Trees as of 12/31/24]]-Table378[[#This Row],['# Trees as of 12/31/23]])</f>
        <v>0</v>
      </c>
      <c r="Q281" s="16">
        <f>Table11[[#This Row],['#Total Replacements]]*Table11[[#This Row],[Canada Allocation %]]</f>
        <v>0</v>
      </c>
      <c r="R281" s="16">
        <f>IF(Table378[[#This Row],['#Survival based on Inventory]]=0,Table378['#Survival based on Last Year Estimate],Table378['#Survival based on Inventory])</f>
        <v>0</v>
      </c>
      <c r="S281" s="16">
        <f>Table11[[#This Row],['#Planted]]*Table11[[#This Row],[Canada Allocation %]]*Table11[[#This Row],[2024 Inventory Survival%-master]]</f>
        <v>0</v>
      </c>
      <c r="T281" s="16">
        <f>Table11[[#This Row],['#Planted]]*Table11[[#This Row],[Canada Allocation %]]*Table11[[#This Row],[2024 Estimated Survival%]]</f>
        <v>0</v>
      </c>
      <c r="U281" s="7">
        <f>Table11[[#This Row],[ETP Year]]</f>
        <v>2020</v>
      </c>
      <c r="V281" s="7">
        <f>Table11[[#This Row],[Planting Year]]</f>
        <v>2021</v>
      </c>
      <c r="W281" s="8">
        <f>Table11[[#This Row],[Survival% as of 12/31/23]]</f>
        <v>0.89730003125000013</v>
      </c>
      <c r="X281" s="7">
        <f>Table11[[#This Row],[ETP'#s]]</f>
        <v>1</v>
      </c>
    </row>
    <row r="282" spans="1:24" x14ac:dyDescent="0.25">
      <c r="A282">
        <f>Table11[[#This Row],[Farmer'#]]</f>
        <v>30031</v>
      </c>
      <c r="B282" t="str">
        <f>Table11[[#This Row],[Representative]]</f>
        <v>Edilsar García</v>
      </c>
      <c r="C282" t="str">
        <f>Table11[[#This Row],[Contract Name]]</f>
        <v>Eloisa Amparo García Barrios</v>
      </c>
      <c r="D282" t="str">
        <f>Table11[[#This Row],[Status]]</f>
        <v>Active</v>
      </c>
      <c r="E282" t="str">
        <f>Table11[[#This Row],[Contract Code]]</f>
        <v>GT0036</v>
      </c>
      <c r="F282" s="16">
        <f>Table11[[#This Row],['#TreesContract]]</f>
        <v>2907</v>
      </c>
      <c r="G282" s="16">
        <f>Table11[[#This Row],['#Planted]]</f>
        <v>2907</v>
      </c>
      <c r="H282" s="16">
        <f>Table11[[#This Row],['#TreesContract]]*Table11[[#This Row],[Canada Allocation %]]</f>
        <v>0</v>
      </c>
      <c r="I282" s="16">
        <f>Table11[[#This Row],['#Planted]]*Table11[[#This Row],[Canada Allocation %]]</f>
        <v>0</v>
      </c>
      <c r="J282" s="16">
        <f>Table11[[#This Row],[Contract Amendment]]*Table11[[#This Row],[Canada Allocation %]]</f>
        <v>0</v>
      </c>
      <c r="K282" s="16">
        <f>Table11[[#This Row],['#Trees as of 12/31/23]]*Table11[[#This Row],[Canada Allocation %]]</f>
        <v>0</v>
      </c>
      <c r="L282" s="16">
        <f>Table11[[#This Row],['#Replace 24]]*Table11[[#This Row],[Canada Allocation %]]</f>
        <v>0</v>
      </c>
      <c r="M282" s="16"/>
      <c r="N282" s="16">
        <f>(Table11[[#This Row],[2024 '#Trees Inventory + Estimate]]*Table11[[#This Row],[Canada Allocation %]])-SUM(Table378[[#This Row],['# Trees as of 12/31/23]:[New Trees/Planted in 2024]])</f>
        <v>0</v>
      </c>
      <c r="O282" s="16">
        <f>SUM(Table378[[#This Row],['# Trees as of 12/31/23]:[2024 Tree Losses]])</f>
        <v>0</v>
      </c>
      <c r="P282" s="16">
        <f>SUM(Table378[[#This Row],[Total Trees as of 12/31/24]]-Table378[[#This Row],['# Trees as of 12/31/23]])</f>
        <v>0</v>
      </c>
      <c r="Q282" s="16">
        <f>Table11[[#This Row],['#Total Replacements]]*Table11[[#This Row],[Canada Allocation %]]</f>
        <v>0</v>
      </c>
      <c r="R282" s="16">
        <f>IF(Table378[[#This Row],['#Survival based on Inventory]]=0,Table378['#Survival based on Last Year Estimate],Table378['#Survival based on Inventory])</f>
        <v>0</v>
      </c>
      <c r="S282" s="16">
        <f>Table11[[#This Row],['#Planted]]*Table11[[#This Row],[Canada Allocation %]]*Table11[[#This Row],[2024 Inventory Survival%-master]]</f>
        <v>0</v>
      </c>
      <c r="T282" s="16">
        <f>Table11[[#This Row],['#Planted]]*Table11[[#This Row],[Canada Allocation %]]*Table11[[#This Row],[2024 Estimated Survival%]]</f>
        <v>0</v>
      </c>
      <c r="U282" s="7">
        <f>Table11[[#This Row],[ETP Year]]</f>
        <v>2021</v>
      </c>
      <c r="V282" s="7">
        <f>Table11[[#This Row],[Planting Year]]</f>
        <v>2021</v>
      </c>
      <c r="W282" s="8">
        <f>Table11[[#This Row],[Survival% as of 12/31/23]]</f>
        <v>0.99556028895768844</v>
      </c>
      <c r="X282" s="7">
        <f>Table11[[#This Row],[ETP'#s]]</f>
        <v>1</v>
      </c>
    </row>
    <row r="283" spans="1:24" x14ac:dyDescent="0.25">
      <c r="A283">
        <f>Table11[[#This Row],[Farmer'#]]</f>
        <v>30032</v>
      </c>
      <c r="B283" t="str">
        <f>Table11[[#This Row],[Representative]]</f>
        <v>Jorge Mario De León Alconero</v>
      </c>
      <c r="C283" t="str">
        <f>Table11[[#This Row],[Contract Name]]</f>
        <v>Jorge Mario De León Alconero</v>
      </c>
      <c r="D283" t="str">
        <f>Table11[[#This Row],[Status]]</f>
        <v>Active</v>
      </c>
      <c r="E283" t="str">
        <f>Table11[[#This Row],[Contract Code]]</f>
        <v>GT0037</v>
      </c>
      <c r="F283" s="16">
        <f>Table11[[#This Row],['#TreesContract]]</f>
        <v>1500</v>
      </c>
      <c r="G283" s="16">
        <f>Table11[[#This Row],['#Planted]]</f>
        <v>1500</v>
      </c>
      <c r="H283" s="16">
        <f>Table11[[#This Row],['#TreesContract]]*Table11[[#This Row],[Canada Allocation %]]</f>
        <v>0</v>
      </c>
      <c r="I283" s="16">
        <f>Table11[[#This Row],['#Planted]]*Table11[[#This Row],[Canada Allocation %]]</f>
        <v>0</v>
      </c>
      <c r="J283" s="16">
        <f>Table11[[#This Row],[Contract Amendment]]*Table11[[#This Row],[Canada Allocation %]]</f>
        <v>0</v>
      </c>
      <c r="K283" s="16">
        <f>Table11[[#This Row],['#Trees as of 12/31/23]]*Table11[[#This Row],[Canada Allocation %]]</f>
        <v>0</v>
      </c>
      <c r="L283" s="16">
        <f>Table11[[#This Row],['#Replace 24]]*Table11[[#This Row],[Canada Allocation %]]</f>
        <v>0</v>
      </c>
      <c r="M283" s="16"/>
      <c r="N283" s="16">
        <f>(Table11[[#This Row],[2024 '#Trees Inventory + Estimate]]*Table11[[#This Row],[Canada Allocation %]])-SUM(Table378[[#This Row],['# Trees as of 12/31/23]:[New Trees/Planted in 2024]])</f>
        <v>0</v>
      </c>
      <c r="O283" s="16">
        <f>SUM(Table378[[#This Row],['# Trees as of 12/31/23]:[2024 Tree Losses]])</f>
        <v>0</v>
      </c>
      <c r="P283" s="16">
        <f>SUM(Table378[[#This Row],[Total Trees as of 12/31/24]]-Table378[[#This Row],['# Trees as of 12/31/23]])</f>
        <v>0</v>
      </c>
      <c r="Q283" s="16">
        <f>Table11[[#This Row],['#Total Replacements]]*Table11[[#This Row],[Canada Allocation %]]</f>
        <v>0</v>
      </c>
      <c r="R283" s="16">
        <f>IF(Table378[[#This Row],['#Survival based on Inventory]]=0,Table378['#Survival based on Last Year Estimate],Table378['#Survival based on Inventory])</f>
        <v>0</v>
      </c>
      <c r="S283" s="16">
        <f>Table11[[#This Row],['#Planted]]*Table11[[#This Row],[Canada Allocation %]]*Table11[[#This Row],[2024 Inventory Survival%-master]]</f>
        <v>0</v>
      </c>
      <c r="T283" s="16">
        <f>Table11[[#This Row],['#Planted]]*Table11[[#This Row],[Canada Allocation %]]*Table11[[#This Row],[2024 Estimated Survival%]]</f>
        <v>0</v>
      </c>
      <c r="U283" s="7">
        <f>Table11[[#This Row],[ETP Year]]</f>
        <v>2021</v>
      </c>
      <c r="V283" s="7">
        <f>Table11[[#This Row],[Planting Year]]</f>
        <v>2021</v>
      </c>
      <c r="W283" s="8">
        <f>Table11[[#This Row],[Survival% as of 12/31/23]]</f>
        <v>0.77819284158241753</v>
      </c>
      <c r="X283" s="7">
        <f>Table11[[#This Row],[ETP'#s]]</f>
        <v>1</v>
      </c>
    </row>
    <row r="284" spans="1:24" x14ac:dyDescent="0.25">
      <c r="A284">
        <f>Table11[[#This Row],[Farmer'#]]</f>
        <v>40003</v>
      </c>
      <c r="B284" t="str">
        <f>Table11[[#This Row],[Representative]]</f>
        <v>Ana Paulina Hurtado Castro</v>
      </c>
      <c r="C284" t="str">
        <f>Table11[[#This Row],[Contract Name]]</f>
        <v>Ana Paulina Hurtado Castro</v>
      </c>
      <c r="D284" t="str">
        <f>Table11[[#This Row],[Status]]</f>
        <v>RFT</v>
      </c>
      <c r="E284" t="str">
        <f>Table11[[#This Row],[Contract Code]]</f>
        <v>MX0003</v>
      </c>
      <c r="F284" s="16">
        <f>Table11[[#This Row],['#TreesContract]]</f>
        <v>1100</v>
      </c>
      <c r="G284" s="16">
        <f>Table11[[#This Row],['#Planted]]</f>
        <v>1100</v>
      </c>
      <c r="H284" s="16">
        <f>Table11[[#This Row],['#TreesContract]]*Table11[[#This Row],[Canada Allocation %]]</f>
        <v>0</v>
      </c>
      <c r="I284" s="16">
        <f>Table11[[#This Row],['#Planted]]*Table11[[#This Row],[Canada Allocation %]]</f>
        <v>0</v>
      </c>
      <c r="J284" s="16">
        <f>Table11[[#This Row],[Contract Amendment]]*Table11[[#This Row],[Canada Allocation %]]</f>
        <v>0</v>
      </c>
      <c r="K284" s="16">
        <f>Table11[[#This Row],['#Trees as of 12/31/23]]*Table11[[#This Row],[Canada Allocation %]]</f>
        <v>0</v>
      </c>
      <c r="L284" s="16">
        <f>Table11[[#This Row],['#Replace 24]]*Table11[[#This Row],[Canada Allocation %]]</f>
        <v>0</v>
      </c>
      <c r="M284" s="16"/>
      <c r="N284" s="16">
        <f>(Table11[[#This Row],[2024 '#Trees Inventory + Estimate]]*Table11[[#This Row],[Canada Allocation %]])-SUM(Table378[[#This Row],['# Trees as of 12/31/23]:[New Trees/Planted in 2024]])</f>
        <v>0</v>
      </c>
      <c r="O284" s="16">
        <f>SUM(Table378[[#This Row],['# Trees as of 12/31/23]:[2024 Tree Losses]])</f>
        <v>0</v>
      </c>
      <c r="P284" s="16">
        <f>SUM(Table378[[#This Row],[Total Trees as of 12/31/24]]-Table378[[#This Row],['# Trees as of 12/31/23]])</f>
        <v>0</v>
      </c>
      <c r="Q284" s="16">
        <f>Table11[[#This Row],['#Total Replacements]]*Table11[[#This Row],[Canada Allocation %]]</f>
        <v>0</v>
      </c>
      <c r="R284" s="16">
        <f>IF(Table378[[#This Row],['#Survival based on Inventory]]=0,Table378['#Survival based on Last Year Estimate],Table378['#Survival based on Inventory])</f>
        <v>0</v>
      </c>
      <c r="S284" s="16">
        <f>Table11[[#This Row],['#Planted]]*Table11[[#This Row],[Canada Allocation %]]*Table11[[#This Row],[2024 Inventory Survival%-master]]</f>
        <v>0</v>
      </c>
      <c r="T284" s="16">
        <f>Table11[[#This Row],['#Planted]]*Table11[[#This Row],[Canada Allocation %]]*Table11[[#This Row],[2024 Estimated Survival%]]</f>
        <v>0</v>
      </c>
      <c r="U284" s="7">
        <f>Table11[[#This Row],[ETP Year]]</f>
        <v>2020</v>
      </c>
      <c r="V284" s="7">
        <f>Table11[[#This Row],[Planting Year]]</f>
        <v>2021</v>
      </c>
      <c r="W284" s="8">
        <f>Table11[[#This Row],[Survival% as of 12/31/23]]</f>
        <v>0.99</v>
      </c>
      <c r="X284" s="7">
        <f>Table11[[#This Row],[ETP'#s]]</f>
        <v>1</v>
      </c>
    </row>
    <row r="285" spans="1:24" x14ac:dyDescent="0.25">
      <c r="A285">
        <f>Table11[[#This Row],[Farmer'#]]</f>
        <v>40008</v>
      </c>
      <c r="B285" t="str">
        <f>Table11[[#This Row],[Representative]]</f>
        <v>Dolores Ramirez Rodriguez</v>
      </c>
      <c r="C285" t="str">
        <f>Table11[[#This Row],[Contract Name]]</f>
        <v>Dolores Ramirez Rodriguez</v>
      </c>
      <c r="D285" t="str">
        <f>Table11[[#This Row],[Status]]</f>
        <v>Active</v>
      </c>
      <c r="E285" t="str">
        <f>Table11[[#This Row],[Contract Code]]</f>
        <v>MX0009</v>
      </c>
      <c r="F285" s="16">
        <f>Table11[[#This Row],['#TreesContract]]</f>
        <v>2750</v>
      </c>
      <c r="G285" s="16">
        <f>Table11[[#This Row],['#Planted]]</f>
        <v>2750</v>
      </c>
      <c r="H285" s="16">
        <f>Table11[[#This Row],['#TreesContract]]*Table11[[#This Row],[Canada Allocation %]]</f>
        <v>0</v>
      </c>
      <c r="I285" s="16">
        <f>Table11[[#This Row],['#Planted]]*Table11[[#This Row],[Canada Allocation %]]</f>
        <v>0</v>
      </c>
      <c r="J285" s="16">
        <f>Table11[[#This Row],[Contract Amendment]]*Table11[[#This Row],[Canada Allocation %]]</f>
        <v>0</v>
      </c>
      <c r="K285" s="16">
        <f>Table11[[#This Row],['#Trees as of 12/31/23]]*Table11[[#This Row],[Canada Allocation %]]</f>
        <v>0</v>
      </c>
      <c r="L285" s="16">
        <f>Table11[[#This Row],['#Replace 24]]*Table11[[#This Row],[Canada Allocation %]]</f>
        <v>0</v>
      </c>
      <c r="M285" s="16"/>
      <c r="N285" s="16">
        <f>(Table11[[#This Row],[2024 '#Trees Inventory + Estimate]]*Table11[[#This Row],[Canada Allocation %]])-SUM(Table378[[#This Row],['# Trees as of 12/31/23]:[New Trees/Planted in 2024]])</f>
        <v>0</v>
      </c>
      <c r="O285" s="16">
        <f>SUM(Table378[[#This Row],['# Trees as of 12/31/23]:[2024 Tree Losses]])</f>
        <v>0</v>
      </c>
      <c r="P285" s="16">
        <f>SUM(Table378[[#This Row],[Total Trees as of 12/31/24]]-Table378[[#This Row],['# Trees as of 12/31/23]])</f>
        <v>0</v>
      </c>
      <c r="Q285" s="16">
        <f>Table11[[#This Row],['#Total Replacements]]*Table11[[#This Row],[Canada Allocation %]]</f>
        <v>0</v>
      </c>
      <c r="R285" s="16">
        <f>IF(Table378[[#This Row],['#Survival based on Inventory]]=0,Table378['#Survival based on Last Year Estimate],Table378['#Survival based on Inventory])</f>
        <v>0</v>
      </c>
      <c r="S285" s="16">
        <f>Table11[[#This Row],['#Planted]]*Table11[[#This Row],[Canada Allocation %]]*Table11[[#This Row],[2024 Inventory Survival%-master]]</f>
        <v>0</v>
      </c>
      <c r="T285" s="16">
        <f>Table11[[#This Row],['#Planted]]*Table11[[#This Row],[Canada Allocation %]]*Table11[[#This Row],[2024 Estimated Survival%]]</f>
        <v>0</v>
      </c>
      <c r="U285" s="7">
        <f>Table11[[#This Row],[ETP Year]]</f>
        <v>2021</v>
      </c>
      <c r="V285" s="7">
        <f>Table11[[#This Row],[Planting Year]]</f>
        <v>2021</v>
      </c>
      <c r="W285" s="8">
        <f>Table11[[#This Row],[Survival% as of 12/31/23]]</f>
        <v>0.75180051860701436</v>
      </c>
      <c r="X285" s="7">
        <f>Table11[[#This Row],[ETP'#s]]</f>
        <v>1</v>
      </c>
    </row>
    <row r="286" spans="1:24" x14ac:dyDescent="0.25">
      <c r="A286">
        <f>Table11[[#This Row],[Farmer'#]]</f>
        <v>40020</v>
      </c>
      <c r="B286" t="str">
        <f>Table11[[#This Row],[Representative]]</f>
        <v>Alvaro Hernandez Suarez</v>
      </c>
      <c r="C286" t="str">
        <f>Table11[[#This Row],[Contract Name]]</f>
        <v>Alvaro Hernandez Suarez</v>
      </c>
      <c r="D286" t="str">
        <f>Table11[[#This Row],[Status]]</f>
        <v>RFT</v>
      </c>
      <c r="E286" t="str">
        <f>Table11[[#This Row],[Contract Code]]</f>
        <v>MX0021</v>
      </c>
      <c r="F286" s="16">
        <f>Table11[[#This Row],['#TreesContract]]</f>
        <v>2750</v>
      </c>
      <c r="G286" s="16">
        <f>Table11[[#This Row],['#Planted]]</f>
        <v>2750</v>
      </c>
      <c r="H286" s="16">
        <f>Table11[[#This Row],['#TreesContract]]*Table11[[#This Row],[Canada Allocation %]]</f>
        <v>0</v>
      </c>
      <c r="I286" s="16">
        <f>Table11[[#This Row],['#Planted]]*Table11[[#This Row],[Canada Allocation %]]</f>
        <v>0</v>
      </c>
      <c r="J286" s="16">
        <f>Table11[[#This Row],[Contract Amendment]]*Table11[[#This Row],[Canada Allocation %]]</f>
        <v>0</v>
      </c>
      <c r="K286" s="16">
        <f>Table11[[#This Row],['#Trees as of 12/31/23]]*Table11[[#This Row],[Canada Allocation %]]</f>
        <v>0</v>
      </c>
      <c r="L286" s="16">
        <f>Table11[[#This Row],['#Replace 24]]*Table11[[#This Row],[Canada Allocation %]]</f>
        <v>0</v>
      </c>
      <c r="M286" s="16"/>
      <c r="N286" s="16">
        <f>(Table11[[#This Row],[2024 '#Trees Inventory + Estimate]]*Table11[[#This Row],[Canada Allocation %]])-SUM(Table378[[#This Row],['# Trees as of 12/31/23]:[New Trees/Planted in 2024]])</f>
        <v>0</v>
      </c>
      <c r="O286" s="16">
        <f>SUM(Table378[[#This Row],['# Trees as of 12/31/23]:[2024 Tree Losses]])</f>
        <v>0</v>
      </c>
      <c r="P286" s="16">
        <f>SUM(Table378[[#This Row],[Total Trees as of 12/31/24]]-Table378[[#This Row],['# Trees as of 12/31/23]])</f>
        <v>0</v>
      </c>
      <c r="Q286" s="16">
        <f>Table11[[#This Row],['#Total Replacements]]*Table11[[#This Row],[Canada Allocation %]]</f>
        <v>0</v>
      </c>
      <c r="R286" s="16">
        <f>IF(Table378[[#This Row],['#Survival based on Inventory]]=0,Table378['#Survival based on Last Year Estimate],Table378['#Survival based on Inventory])</f>
        <v>0</v>
      </c>
      <c r="S286" s="16">
        <f>Table11[[#This Row],['#Planted]]*Table11[[#This Row],[Canada Allocation %]]*Table11[[#This Row],[2024 Inventory Survival%-master]]</f>
        <v>0</v>
      </c>
      <c r="T286" s="16">
        <f>Table11[[#This Row],['#Planted]]*Table11[[#This Row],[Canada Allocation %]]*Table11[[#This Row],[2024 Estimated Survival%]]</f>
        <v>0</v>
      </c>
      <c r="U286" s="7">
        <f>Table11[[#This Row],[ETP Year]]</f>
        <v>2021</v>
      </c>
      <c r="V286" s="7">
        <f>Table11[[#This Row],[Planting Year]]</f>
        <v>2021</v>
      </c>
      <c r="W286" s="8">
        <f>Table11[[#This Row],[Survival% as of 12/31/23]]</f>
        <v>0.49865233400236858</v>
      </c>
      <c r="X286" s="7">
        <f>Table11[[#This Row],[ETP'#s]]</f>
        <v>1</v>
      </c>
    </row>
    <row r="287" spans="1:24" x14ac:dyDescent="0.25">
      <c r="A287">
        <f>Table11[[#This Row],[Farmer'#]]</f>
        <v>40021</v>
      </c>
      <c r="B287" t="str">
        <f>Table11[[#This Row],[Representative]]</f>
        <v>Gregorio Martinez Sebastian</v>
      </c>
      <c r="C287" t="str">
        <f>Table11[[#This Row],[Contract Name]]</f>
        <v>Gregorio Martinez Sebastian</v>
      </c>
      <c r="D287" t="str">
        <f>Table11[[#This Row],[Status]]</f>
        <v>Active</v>
      </c>
      <c r="E287" t="str">
        <f>Table11[[#This Row],[Contract Code]]</f>
        <v>MX0022</v>
      </c>
      <c r="F287" s="16">
        <f>Table11[[#This Row],['#TreesContract]]</f>
        <v>2750</v>
      </c>
      <c r="G287" s="16">
        <f>Table11[[#This Row],['#Planted]]</f>
        <v>2750</v>
      </c>
      <c r="H287" s="16">
        <f>Table11[[#This Row],['#TreesContract]]*Table11[[#This Row],[Canada Allocation %]]</f>
        <v>0</v>
      </c>
      <c r="I287" s="16">
        <f>Table11[[#This Row],['#Planted]]*Table11[[#This Row],[Canada Allocation %]]</f>
        <v>0</v>
      </c>
      <c r="J287" s="16">
        <f>Table11[[#This Row],[Contract Amendment]]*Table11[[#This Row],[Canada Allocation %]]</f>
        <v>0</v>
      </c>
      <c r="K287" s="16">
        <f>Table11[[#This Row],['#Trees as of 12/31/23]]*Table11[[#This Row],[Canada Allocation %]]</f>
        <v>0</v>
      </c>
      <c r="L287" s="16">
        <f>Table11[[#This Row],['#Replace 24]]*Table11[[#This Row],[Canada Allocation %]]</f>
        <v>0</v>
      </c>
      <c r="M287" s="16"/>
      <c r="N287" s="16">
        <f>(Table11[[#This Row],[2024 '#Trees Inventory + Estimate]]*Table11[[#This Row],[Canada Allocation %]])-SUM(Table378[[#This Row],['# Trees as of 12/31/23]:[New Trees/Planted in 2024]])</f>
        <v>0</v>
      </c>
      <c r="O287" s="16">
        <f>SUM(Table378[[#This Row],['# Trees as of 12/31/23]:[2024 Tree Losses]])</f>
        <v>0</v>
      </c>
      <c r="P287" s="16">
        <f>SUM(Table378[[#This Row],[Total Trees as of 12/31/24]]-Table378[[#This Row],['# Trees as of 12/31/23]])</f>
        <v>0</v>
      </c>
      <c r="Q287" s="16">
        <f>Table11[[#This Row],['#Total Replacements]]*Table11[[#This Row],[Canada Allocation %]]</f>
        <v>0</v>
      </c>
      <c r="R287" s="16">
        <f>IF(Table378[[#This Row],['#Survival based on Inventory]]=0,Table378['#Survival based on Last Year Estimate],Table378['#Survival based on Inventory])</f>
        <v>0</v>
      </c>
      <c r="S287" s="16">
        <f>Table11[[#This Row],['#Planted]]*Table11[[#This Row],[Canada Allocation %]]*Table11[[#This Row],[2024 Inventory Survival%-master]]</f>
        <v>0</v>
      </c>
      <c r="T287" s="16">
        <f>Table11[[#This Row],['#Planted]]*Table11[[#This Row],[Canada Allocation %]]*Table11[[#This Row],[2024 Estimated Survival%]]</f>
        <v>0</v>
      </c>
      <c r="U287" s="7">
        <f>Table11[[#This Row],[ETP Year]]</f>
        <v>2021</v>
      </c>
      <c r="V287" s="7">
        <f>Table11[[#This Row],[Planting Year]]</f>
        <v>2021</v>
      </c>
      <c r="W287" s="8">
        <f>Table11[[#This Row],[Survival% as of 12/31/23]]</f>
        <v>0.98381437317028064</v>
      </c>
      <c r="X287" s="7">
        <f>Table11[[#This Row],[ETP'#s]]</f>
        <v>1</v>
      </c>
    </row>
    <row r="288" spans="1:24" x14ac:dyDescent="0.25">
      <c r="A288">
        <f>Table11[[#This Row],[Farmer'#]]</f>
        <v>40022</v>
      </c>
      <c r="B288" t="str">
        <f>Table11[[#This Row],[Representative]]</f>
        <v>Guadelupe Morales Cordova</v>
      </c>
      <c r="C288" t="str">
        <f>Table11[[#This Row],[Contract Name]]</f>
        <v>Guadelupe Morales Cordova</v>
      </c>
      <c r="D288" t="str">
        <f>Table11[[#This Row],[Status]]</f>
        <v>Active</v>
      </c>
      <c r="E288" t="str">
        <f>Table11[[#This Row],[Contract Code]]</f>
        <v>MX0023</v>
      </c>
      <c r="F288" s="16">
        <f>Table11[[#This Row],['#TreesContract]]</f>
        <v>2200</v>
      </c>
      <c r="G288" s="16">
        <f>Table11[[#This Row],['#Planted]]</f>
        <v>2200</v>
      </c>
      <c r="H288" s="16">
        <f>Table11[[#This Row],['#TreesContract]]*Table11[[#This Row],[Canada Allocation %]]</f>
        <v>0</v>
      </c>
      <c r="I288" s="16">
        <f>Table11[[#This Row],['#Planted]]*Table11[[#This Row],[Canada Allocation %]]</f>
        <v>0</v>
      </c>
      <c r="J288" s="16">
        <f>Table11[[#This Row],[Contract Amendment]]*Table11[[#This Row],[Canada Allocation %]]</f>
        <v>0</v>
      </c>
      <c r="K288" s="16">
        <f>Table11[[#This Row],['#Trees as of 12/31/23]]*Table11[[#This Row],[Canada Allocation %]]</f>
        <v>0</v>
      </c>
      <c r="L288" s="16">
        <f>Table11[[#This Row],['#Replace 24]]*Table11[[#This Row],[Canada Allocation %]]</f>
        <v>0</v>
      </c>
      <c r="M288" s="16"/>
      <c r="N288" s="16">
        <f>(Table11[[#This Row],[2024 '#Trees Inventory + Estimate]]*Table11[[#This Row],[Canada Allocation %]])-SUM(Table378[[#This Row],['# Trees as of 12/31/23]:[New Trees/Planted in 2024]])</f>
        <v>0</v>
      </c>
      <c r="O288" s="16">
        <f>SUM(Table378[[#This Row],['# Trees as of 12/31/23]:[2024 Tree Losses]])</f>
        <v>0</v>
      </c>
      <c r="P288" s="16">
        <f>SUM(Table378[[#This Row],[Total Trees as of 12/31/24]]-Table378[[#This Row],['# Trees as of 12/31/23]])</f>
        <v>0</v>
      </c>
      <c r="Q288" s="16">
        <f>Table11[[#This Row],['#Total Replacements]]*Table11[[#This Row],[Canada Allocation %]]</f>
        <v>0</v>
      </c>
      <c r="R288" s="16">
        <f>IF(Table378[[#This Row],['#Survival based on Inventory]]=0,Table378['#Survival based on Last Year Estimate],Table378['#Survival based on Inventory])</f>
        <v>0</v>
      </c>
      <c r="S288" s="16">
        <f>Table11[[#This Row],['#Planted]]*Table11[[#This Row],[Canada Allocation %]]*Table11[[#This Row],[2024 Inventory Survival%-master]]</f>
        <v>0</v>
      </c>
      <c r="T288" s="16">
        <f>Table11[[#This Row],['#Planted]]*Table11[[#This Row],[Canada Allocation %]]*Table11[[#This Row],[2024 Estimated Survival%]]</f>
        <v>0</v>
      </c>
      <c r="U288" s="7">
        <f>Table11[[#This Row],[ETP Year]]</f>
        <v>2021</v>
      </c>
      <c r="V288" s="7">
        <f>Table11[[#This Row],[Planting Year]]</f>
        <v>2021</v>
      </c>
      <c r="W288" s="8">
        <f>Table11[[#This Row],[Survival% as of 12/31/23]]</f>
        <v>0.76766132076147975</v>
      </c>
      <c r="X288" s="7">
        <f>Table11[[#This Row],[ETP'#s]]</f>
        <v>1</v>
      </c>
    </row>
    <row r="289" spans="1:24" x14ac:dyDescent="0.25">
      <c r="A289">
        <f>Table11[[#This Row],[Farmer'#]]</f>
        <v>40023</v>
      </c>
      <c r="B289" t="str">
        <f>Table11[[#This Row],[Representative]]</f>
        <v>José Baruche Rodríguez Zuñiga</v>
      </c>
      <c r="C289" t="str">
        <f>Table11[[#This Row],[Contract Name]]</f>
        <v>Mayolo Rodríguez Mendoza</v>
      </c>
      <c r="D289" t="str">
        <f>Table11[[#This Row],[Status]]</f>
        <v>RFT</v>
      </c>
      <c r="E289" t="str">
        <f>Table11[[#This Row],[Contract Code]]</f>
        <v>MX0024</v>
      </c>
      <c r="F289" s="16">
        <f>Table11[[#This Row],['#TreesContract]]</f>
        <v>1100</v>
      </c>
      <c r="G289" s="16">
        <f>Table11[[#This Row],['#Planted]]</f>
        <v>1100</v>
      </c>
      <c r="H289" s="16">
        <f>Table11[[#This Row],['#TreesContract]]*Table11[[#This Row],[Canada Allocation %]]</f>
        <v>0</v>
      </c>
      <c r="I289" s="16">
        <f>Table11[[#This Row],['#Planted]]*Table11[[#This Row],[Canada Allocation %]]</f>
        <v>0</v>
      </c>
      <c r="J289" s="16">
        <f>Table11[[#This Row],[Contract Amendment]]*Table11[[#This Row],[Canada Allocation %]]</f>
        <v>0</v>
      </c>
      <c r="K289" s="16">
        <f>Table11[[#This Row],['#Trees as of 12/31/23]]*Table11[[#This Row],[Canada Allocation %]]</f>
        <v>0</v>
      </c>
      <c r="L289" s="16">
        <f>Table11[[#This Row],['#Replace 24]]*Table11[[#This Row],[Canada Allocation %]]</f>
        <v>0</v>
      </c>
      <c r="M289" s="16"/>
      <c r="N289" s="16">
        <f>(Table11[[#This Row],[2024 '#Trees Inventory + Estimate]]*Table11[[#This Row],[Canada Allocation %]])-SUM(Table378[[#This Row],['# Trees as of 12/31/23]:[New Trees/Planted in 2024]])</f>
        <v>0</v>
      </c>
      <c r="O289" s="16">
        <f>SUM(Table378[[#This Row],['# Trees as of 12/31/23]:[2024 Tree Losses]])</f>
        <v>0</v>
      </c>
      <c r="P289" s="16">
        <f>SUM(Table378[[#This Row],[Total Trees as of 12/31/24]]-Table378[[#This Row],['# Trees as of 12/31/23]])</f>
        <v>0</v>
      </c>
      <c r="Q289" s="16">
        <f>Table11[[#This Row],['#Total Replacements]]*Table11[[#This Row],[Canada Allocation %]]</f>
        <v>0</v>
      </c>
      <c r="R289" s="16">
        <f>IF(Table378[[#This Row],['#Survival based on Inventory]]=0,Table378['#Survival based on Last Year Estimate],Table378['#Survival based on Inventory])</f>
        <v>0</v>
      </c>
      <c r="S289" s="16">
        <f>Table11[[#This Row],['#Planted]]*Table11[[#This Row],[Canada Allocation %]]*Table11[[#This Row],[2024 Inventory Survival%-master]]</f>
        <v>0</v>
      </c>
      <c r="T289" s="16">
        <f>Table11[[#This Row],['#Planted]]*Table11[[#This Row],[Canada Allocation %]]*Table11[[#This Row],[2024 Estimated Survival%]]</f>
        <v>0</v>
      </c>
      <c r="U289" s="7">
        <f>Table11[[#This Row],[ETP Year]]</f>
        <v>2021</v>
      </c>
      <c r="V289" s="7">
        <f>Table11[[#This Row],[Planting Year]]</f>
        <v>2021</v>
      </c>
      <c r="W289" s="8">
        <f>Table11[[#This Row],[Survival% as of 12/31/23]]</f>
        <v>0.95</v>
      </c>
      <c r="X289" s="7">
        <f>Table11[[#This Row],[ETP'#s]]</f>
        <v>1</v>
      </c>
    </row>
    <row r="290" spans="1:24" x14ac:dyDescent="0.25">
      <c r="A290">
        <f>Table11[[#This Row],[Farmer'#]]</f>
        <v>40024</v>
      </c>
      <c r="B290" t="str">
        <f>Table11[[#This Row],[Representative]]</f>
        <v>Francisco Crivelli</v>
      </c>
      <c r="C290" t="str">
        <f>Table11[[#This Row],[Contract Name]]</f>
        <v>Teresa Morales Román</v>
      </c>
      <c r="D290" t="str">
        <f>Table11[[#This Row],[Status]]</f>
        <v>RFT</v>
      </c>
      <c r="E290" t="str">
        <f>Table11[[#This Row],[Contract Code]]</f>
        <v>MX0025</v>
      </c>
      <c r="F290" s="16">
        <f>Table11[[#This Row],['#TreesContract]]</f>
        <v>2750</v>
      </c>
      <c r="G290" s="16">
        <f>Table11[[#This Row],['#Planted]]</f>
        <v>2750</v>
      </c>
      <c r="H290" s="16">
        <f>Table11[[#This Row],['#TreesContract]]*Table11[[#This Row],[Canada Allocation %]]</f>
        <v>0</v>
      </c>
      <c r="I290" s="16">
        <f>Table11[[#This Row],['#Planted]]*Table11[[#This Row],[Canada Allocation %]]</f>
        <v>0</v>
      </c>
      <c r="J290" s="16">
        <f>Table11[[#This Row],[Contract Amendment]]*Table11[[#This Row],[Canada Allocation %]]</f>
        <v>0</v>
      </c>
      <c r="K290" s="16">
        <f>Table11[[#This Row],['#Trees as of 12/31/23]]*Table11[[#This Row],[Canada Allocation %]]</f>
        <v>0</v>
      </c>
      <c r="L290" s="16">
        <f>Table11[[#This Row],['#Replace 24]]*Table11[[#This Row],[Canada Allocation %]]</f>
        <v>0</v>
      </c>
      <c r="M290" s="16"/>
      <c r="N290" s="16">
        <f>(Table11[[#This Row],[2024 '#Trees Inventory + Estimate]]*Table11[[#This Row],[Canada Allocation %]])-SUM(Table378[[#This Row],['# Trees as of 12/31/23]:[New Trees/Planted in 2024]])</f>
        <v>0</v>
      </c>
      <c r="O290" s="16">
        <f>SUM(Table378[[#This Row],['# Trees as of 12/31/23]:[2024 Tree Losses]])</f>
        <v>0</v>
      </c>
      <c r="P290" s="16">
        <f>SUM(Table378[[#This Row],[Total Trees as of 12/31/24]]-Table378[[#This Row],['# Trees as of 12/31/23]])</f>
        <v>0</v>
      </c>
      <c r="Q290" s="16">
        <f>Table11[[#This Row],['#Total Replacements]]*Table11[[#This Row],[Canada Allocation %]]</f>
        <v>0</v>
      </c>
      <c r="R290" s="16">
        <f>IF(Table378[[#This Row],['#Survival based on Inventory]]=0,Table378['#Survival based on Last Year Estimate],Table378['#Survival based on Inventory])</f>
        <v>0</v>
      </c>
      <c r="S290" s="16">
        <f>Table11[[#This Row],['#Planted]]*Table11[[#This Row],[Canada Allocation %]]*Table11[[#This Row],[2024 Inventory Survival%-master]]</f>
        <v>0</v>
      </c>
      <c r="T290" s="16">
        <f>Table11[[#This Row],['#Planted]]*Table11[[#This Row],[Canada Allocation %]]*Table11[[#This Row],[2024 Estimated Survival%]]</f>
        <v>0</v>
      </c>
      <c r="U290" s="7">
        <f>Table11[[#This Row],[ETP Year]]</f>
        <v>2021</v>
      </c>
      <c r="V290" s="7">
        <f>Table11[[#This Row],[Planting Year]]</f>
        <v>2021</v>
      </c>
      <c r="W290" s="8">
        <f>Table11[[#This Row],[Survival% as of 12/31/23]]</f>
        <v>0.14065963545930102</v>
      </c>
      <c r="X290" s="7">
        <f>Table11[[#This Row],[ETP'#s]]</f>
        <v>1</v>
      </c>
    </row>
    <row r="291" spans="1:24" x14ac:dyDescent="0.25">
      <c r="A291">
        <f>Table11[[#This Row],[Farmer'#]]</f>
        <v>10068</v>
      </c>
      <c r="B291" t="str">
        <f>Table11[[#This Row],[Representative]]</f>
        <v>Pete Preskitt</v>
      </c>
      <c r="C291" t="str">
        <f>Table11[[#This Row],[Contract Name]]</f>
        <v>Pete Preskitt</v>
      </c>
      <c r="D291" t="str">
        <f>Table11[[#This Row],[Status]]</f>
        <v>RFT</v>
      </c>
      <c r="E291" t="str">
        <f>Table11[[#This Row],[Contract Code]]</f>
        <v>US0137</v>
      </c>
      <c r="F291" s="16">
        <f>Table11[[#This Row],['#TreesContract]]</f>
        <v>1100</v>
      </c>
      <c r="G291" s="16">
        <f>Table11[[#This Row],['#Planted]]</f>
        <v>1100</v>
      </c>
      <c r="H291" s="16">
        <f>Table11[[#This Row],['#TreesContract]]*Table11[[#This Row],[Canada Allocation %]]</f>
        <v>0</v>
      </c>
      <c r="I291" s="16">
        <f>Table11[[#This Row],['#Planted]]*Table11[[#This Row],[Canada Allocation %]]</f>
        <v>0</v>
      </c>
      <c r="J291" s="16">
        <f>Table11[[#This Row],[Contract Amendment]]*Table11[[#This Row],[Canada Allocation %]]</f>
        <v>0</v>
      </c>
      <c r="K291" s="16">
        <f>Table11[[#This Row],['#Trees as of 12/31/23]]*Table11[[#This Row],[Canada Allocation %]]</f>
        <v>0</v>
      </c>
      <c r="L291" s="16">
        <f>Table11[[#This Row],['#Replace 24]]*Table11[[#This Row],[Canada Allocation %]]</f>
        <v>0</v>
      </c>
      <c r="M291" s="16"/>
      <c r="N291" s="16">
        <f>(Table11[[#This Row],[2024 '#Trees Inventory + Estimate]]*Table11[[#This Row],[Canada Allocation %]])-SUM(Table378[[#This Row],['# Trees as of 12/31/23]:[New Trees/Planted in 2024]])</f>
        <v>0</v>
      </c>
      <c r="O291" s="16">
        <f>SUM(Table378[[#This Row],['# Trees as of 12/31/23]:[2024 Tree Losses]])</f>
        <v>0</v>
      </c>
      <c r="P291" s="16">
        <f>SUM(Table378[[#This Row],[Total Trees as of 12/31/24]]-Table378[[#This Row],['# Trees as of 12/31/23]])</f>
        <v>0</v>
      </c>
      <c r="Q291" s="16">
        <f>Table11[[#This Row],['#Total Replacements]]*Table11[[#This Row],[Canada Allocation %]]</f>
        <v>0</v>
      </c>
      <c r="R291" s="16">
        <f>IF(Table378[[#This Row],['#Survival based on Inventory]]=0,Table378['#Survival based on Last Year Estimate],Table378['#Survival based on Inventory])</f>
        <v>0</v>
      </c>
      <c r="S291" s="16">
        <f>Table11[[#This Row],['#Planted]]*Table11[[#This Row],[Canada Allocation %]]*Table11[[#This Row],[2024 Inventory Survival%-master]]</f>
        <v>0</v>
      </c>
      <c r="T291" s="16">
        <f>Table11[[#This Row],['#Planted]]*Table11[[#This Row],[Canada Allocation %]]*Table11[[#This Row],[2024 Estimated Survival%]]</f>
        <v>0</v>
      </c>
      <c r="U291" s="7">
        <f>Table11[[#This Row],[ETP Year]]</f>
        <v>2021</v>
      </c>
      <c r="V291" s="7">
        <f>Table11[[#This Row],[Planting Year]]</f>
        <v>2022</v>
      </c>
      <c r="W291" s="8">
        <f>Table11[[#This Row],[Survival% as of 12/31/23]]</f>
        <v>1</v>
      </c>
      <c r="X291" s="7">
        <f>Table11[[#This Row],[ETP'#s]]</f>
        <v>1</v>
      </c>
    </row>
    <row r="292" spans="1:24" x14ac:dyDescent="0.25">
      <c r="A292">
        <f>Table11[[#This Row],[Farmer'#]]</f>
        <v>10080</v>
      </c>
      <c r="B292" t="str">
        <f>Table11[[#This Row],[Representative]]</f>
        <v>Bobby Searcy</v>
      </c>
      <c r="C292" t="str">
        <f>Table11[[#This Row],[Contract Name]]</f>
        <v>Bobby Searcy</v>
      </c>
      <c r="D292" t="str">
        <f>Table11[[#This Row],[Status]]</f>
        <v>Active</v>
      </c>
      <c r="E292" t="str">
        <f>Table11[[#This Row],[Contract Code]]</f>
        <v>US0129</v>
      </c>
      <c r="F292" s="16">
        <f>Table11[[#This Row],['#TreesContract]]</f>
        <v>550</v>
      </c>
      <c r="G292" s="16">
        <f>Table11[[#This Row],['#Planted]]</f>
        <v>550</v>
      </c>
      <c r="H292" s="16">
        <f>Table11[[#This Row],['#TreesContract]]*Table11[[#This Row],[Canada Allocation %]]</f>
        <v>0</v>
      </c>
      <c r="I292" s="16">
        <f>Table11[[#This Row],['#Planted]]*Table11[[#This Row],[Canada Allocation %]]</f>
        <v>0</v>
      </c>
      <c r="J292" s="16">
        <f>Table11[[#This Row],[Contract Amendment]]*Table11[[#This Row],[Canada Allocation %]]</f>
        <v>0</v>
      </c>
      <c r="K292" s="16">
        <f>Table11[[#This Row],['#Trees as of 12/31/23]]*Table11[[#This Row],[Canada Allocation %]]</f>
        <v>0</v>
      </c>
      <c r="L292" s="16">
        <f>Table11[[#This Row],['#Replace 24]]*Table11[[#This Row],[Canada Allocation %]]</f>
        <v>0</v>
      </c>
      <c r="M292" s="16"/>
      <c r="N292" s="16">
        <f>(Table11[[#This Row],[2024 '#Trees Inventory + Estimate]]*Table11[[#This Row],[Canada Allocation %]])-SUM(Table378[[#This Row],['# Trees as of 12/31/23]:[New Trees/Planted in 2024]])</f>
        <v>0</v>
      </c>
      <c r="O292" s="16">
        <f>SUM(Table378[[#This Row],['# Trees as of 12/31/23]:[2024 Tree Losses]])</f>
        <v>0</v>
      </c>
      <c r="P292" s="16">
        <f>SUM(Table378[[#This Row],[Total Trees as of 12/31/24]]-Table378[[#This Row],['# Trees as of 12/31/23]])</f>
        <v>0</v>
      </c>
      <c r="Q292" s="16">
        <f>Table11[[#This Row],['#Total Replacements]]*Table11[[#This Row],[Canada Allocation %]]</f>
        <v>0</v>
      </c>
      <c r="R292" s="16">
        <f>IF(Table378[[#This Row],['#Survival based on Inventory]]=0,Table378['#Survival based on Last Year Estimate],Table378['#Survival based on Inventory])</f>
        <v>0</v>
      </c>
      <c r="S292" s="16">
        <f>Table11[[#This Row],['#Planted]]*Table11[[#This Row],[Canada Allocation %]]*Table11[[#This Row],[2024 Inventory Survival%-master]]</f>
        <v>0</v>
      </c>
      <c r="T292" s="16">
        <f>Table11[[#This Row],['#Planted]]*Table11[[#This Row],[Canada Allocation %]]*Table11[[#This Row],[2024 Estimated Survival%]]</f>
        <v>0</v>
      </c>
      <c r="U292" s="7">
        <f>Table11[[#This Row],[ETP Year]]</f>
        <v>2021</v>
      </c>
      <c r="V292" s="7">
        <f>Table11[[#This Row],[Planting Year]]</f>
        <v>2022</v>
      </c>
      <c r="W292" s="8">
        <f>Table11[[#This Row],[Survival% as of 12/31/23]]</f>
        <v>1</v>
      </c>
      <c r="X292" s="7">
        <f>Table11[[#This Row],[ETP'#s]]</f>
        <v>1</v>
      </c>
    </row>
    <row r="293" spans="1:24" x14ac:dyDescent="0.25">
      <c r="A293">
        <f>Table11[[#This Row],[Farmer'#]]</f>
        <v>10082</v>
      </c>
      <c r="B293" t="str">
        <f>Table11[[#This Row],[Representative]]</f>
        <v>Chris Bolen</v>
      </c>
      <c r="C293" t="str">
        <f>Table11[[#This Row],[Contract Name]]</f>
        <v>Chris Bolen</v>
      </c>
      <c r="D293" t="str">
        <f>Table11[[#This Row],[Status]]</f>
        <v>Active</v>
      </c>
      <c r="E293" t="str">
        <f>Table11[[#This Row],[Contract Code]]</f>
        <v>US0130</v>
      </c>
      <c r="F293" s="16">
        <f>Table11[[#This Row],['#TreesContract]]</f>
        <v>1100</v>
      </c>
      <c r="G293" s="16">
        <f>Table11[[#This Row],['#Planted]]</f>
        <v>1100</v>
      </c>
      <c r="H293" s="16">
        <f>Table11[[#This Row],['#TreesContract]]*Table11[[#This Row],[Canada Allocation %]]</f>
        <v>0</v>
      </c>
      <c r="I293" s="16">
        <f>Table11[[#This Row],['#Planted]]*Table11[[#This Row],[Canada Allocation %]]</f>
        <v>0</v>
      </c>
      <c r="J293" s="16">
        <f>Table11[[#This Row],[Contract Amendment]]*Table11[[#This Row],[Canada Allocation %]]</f>
        <v>0</v>
      </c>
      <c r="K293" s="16">
        <f>Table11[[#This Row],['#Trees as of 12/31/23]]*Table11[[#This Row],[Canada Allocation %]]</f>
        <v>0</v>
      </c>
      <c r="L293" s="16">
        <f>Table11[[#This Row],['#Replace 24]]*Table11[[#This Row],[Canada Allocation %]]</f>
        <v>0</v>
      </c>
      <c r="M293" s="16"/>
      <c r="N293" s="16">
        <f>(Table11[[#This Row],[2024 '#Trees Inventory + Estimate]]*Table11[[#This Row],[Canada Allocation %]])-SUM(Table378[[#This Row],['# Trees as of 12/31/23]:[New Trees/Planted in 2024]])</f>
        <v>0</v>
      </c>
      <c r="O293" s="16">
        <f>SUM(Table378[[#This Row],['# Trees as of 12/31/23]:[2024 Tree Losses]])</f>
        <v>0</v>
      </c>
      <c r="P293" s="16">
        <f>SUM(Table378[[#This Row],[Total Trees as of 12/31/24]]-Table378[[#This Row],['# Trees as of 12/31/23]])</f>
        <v>0</v>
      </c>
      <c r="Q293" s="16">
        <f>Table11[[#This Row],['#Total Replacements]]*Table11[[#This Row],[Canada Allocation %]]</f>
        <v>0</v>
      </c>
      <c r="R293" s="16">
        <f>IF(Table378[[#This Row],['#Survival based on Inventory]]=0,Table378['#Survival based on Last Year Estimate],Table378['#Survival based on Inventory])</f>
        <v>0</v>
      </c>
      <c r="S293" s="16">
        <f>Table11[[#This Row],['#Planted]]*Table11[[#This Row],[Canada Allocation %]]*Table11[[#This Row],[2024 Inventory Survival%-master]]</f>
        <v>0</v>
      </c>
      <c r="T293" s="16">
        <f>Table11[[#This Row],['#Planted]]*Table11[[#This Row],[Canada Allocation %]]*Table11[[#This Row],[2024 Estimated Survival%]]</f>
        <v>0</v>
      </c>
      <c r="U293" s="7">
        <f>Table11[[#This Row],[ETP Year]]</f>
        <v>2021</v>
      </c>
      <c r="V293" s="7">
        <f>Table11[[#This Row],[Planting Year]]</f>
        <v>2022</v>
      </c>
      <c r="W293" s="8">
        <f>Table11[[#This Row],[Survival% as of 12/31/23]]</f>
        <v>1</v>
      </c>
      <c r="X293" s="7">
        <f>Table11[[#This Row],[ETP'#s]]</f>
        <v>1</v>
      </c>
    </row>
    <row r="294" spans="1:24" x14ac:dyDescent="0.25">
      <c r="A294">
        <f>Table11[[#This Row],[Farmer'#]]</f>
        <v>10094</v>
      </c>
      <c r="B294" t="str">
        <f>Table11[[#This Row],[Representative]]</f>
        <v>Kyle Flint</v>
      </c>
      <c r="C294" t="str">
        <f>Table11[[#This Row],[Contract Name]]</f>
        <v>Kyle Flint</v>
      </c>
      <c r="D294" t="str">
        <f>Table11[[#This Row],[Status]]</f>
        <v>Active</v>
      </c>
      <c r="E294" t="str">
        <f>Table11[[#This Row],[Contract Code]]</f>
        <v>US0135</v>
      </c>
      <c r="F294" s="16">
        <f>Table11[[#This Row],['#TreesContract]]</f>
        <v>4400</v>
      </c>
      <c r="G294" s="16">
        <f>Table11[[#This Row],['#Planted]]</f>
        <v>4400</v>
      </c>
      <c r="H294" s="16">
        <f>Table11[[#This Row],['#TreesContract]]*Table11[[#This Row],[Canada Allocation %]]</f>
        <v>0</v>
      </c>
      <c r="I294" s="16">
        <f>Table11[[#This Row],['#Planted]]*Table11[[#This Row],[Canada Allocation %]]</f>
        <v>0</v>
      </c>
      <c r="J294" s="16">
        <f>Table11[[#This Row],[Contract Amendment]]*Table11[[#This Row],[Canada Allocation %]]</f>
        <v>0</v>
      </c>
      <c r="K294" s="16">
        <f>Table11[[#This Row],['#Trees as of 12/31/23]]*Table11[[#This Row],[Canada Allocation %]]</f>
        <v>0</v>
      </c>
      <c r="L294" s="16">
        <f>Table11[[#This Row],['#Replace 24]]*Table11[[#This Row],[Canada Allocation %]]</f>
        <v>0</v>
      </c>
      <c r="M294" s="16"/>
      <c r="N294" s="16">
        <f>(Table11[[#This Row],[2024 '#Trees Inventory + Estimate]]*Table11[[#This Row],[Canada Allocation %]])-SUM(Table378[[#This Row],['# Trees as of 12/31/23]:[New Trees/Planted in 2024]])</f>
        <v>0</v>
      </c>
      <c r="O294" s="16">
        <f>SUM(Table378[[#This Row],['# Trees as of 12/31/23]:[2024 Tree Losses]])</f>
        <v>0</v>
      </c>
      <c r="P294" s="16">
        <f>SUM(Table378[[#This Row],[Total Trees as of 12/31/24]]-Table378[[#This Row],['# Trees as of 12/31/23]])</f>
        <v>0</v>
      </c>
      <c r="Q294" s="16">
        <f>Table11[[#This Row],['#Total Replacements]]*Table11[[#This Row],[Canada Allocation %]]</f>
        <v>0</v>
      </c>
      <c r="R294" s="16">
        <f>IF(Table378[[#This Row],['#Survival based on Inventory]]=0,Table378['#Survival based on Last Year Estimate],Table378['#Survival based on Inventory])</f>
        <v>0</v>
      </c>
      <c r="S294" s="16">
        <f>Table11[[#This Row],['#Planted]]*Table11[[#This Row],[Canada Allocation %]]*Table11[[#This Row],[2024 Inventory Survival%-master]]</f>
        <v>0</v>
      </c>
      <c r="T294" s="16">
        <f>Table11[[#This Row],['#Planted]]*Table11[[#This Row],[Canada Allocation %]]*Table11[[#This Row],[2024 Estimated Survival%]]</f>
        <v>0</v>
      </c>
      <c r="U294" s="7">
        <f>Table11[[#This Row],[ETP Year]]</f>
        <v>2021</v>
      </c>
      <c r="V294" s="7">
        <f>Table11[[#This Row],[Planting Year]]</f>
        <v>2022</v>
      </c>
      <c r="W294" s="8">
        <f>Table11[[#This Row],[Survival% as of 12/31/23]]</f>
        <v>1</v>
      </c>
      <c r="X294" s="7">
        <f>Table11[[#This Row],[ETP'#s]]</f>
        <v>1</v>
      </c>
    </row>
    <row r="295" spans="1:24" x14ac:dyDescent="0.25">
      <c r="A295">
        <f>Table11[[#This Row],[Farmer'#]]</f>
        <v>10102</v>
      </c>
      <c r="B295" t="str">
        <f>Table11[[#This Row],[Representative]]</f>
        <v>Sisay Souphom</v>
      </c>
      <c r="C295" t="str">
        <f>Table11[[#This Row],[Contract Name]]</f>
        <v>Sisay Souphom</v>
      </c>
      <c r="D295" t="str">
        <f>Table11[[#This Row],[Status]]</f>
        <v>Active</v>
      </c>
      <c r="E295" t="str">
        <f>Table11[[#This Row],[Contract Code]]</f>
        <v>US0141</v>
      </c>
      <c r="F295" s="16">
        <f>Table11[[#This Row],['#TreesContract]]</f>
        <v>550</v>
      </c>
      <c r="G295" s="16">
        <f>Table11[[#This Row],['#Planted]]</f>
        <v>550</v>
      </c>
      <c r="H295" s="16">
        <f>Table11[[#This Row],['#TreesContract]]*Table11[[#This Row],[Canada Allocation %]]</f>
        <v>0</v>
      </c>
      <c r="I295" s="16">
        <f>Table11[[#This Row],['#Planted]]*Table11[[#This Row],[Canada Allocation %]]</f>
        <v>0</v>
      </c>
      <c r="J295" s="16">
        <f>Table11[[#This Row],[Contract Amendment]]*Table11[[#This Row],[Canada Allocation %]]</f>
        <v>0</v>
      </c>
      <c r="K295" s="16">
        <f>Table11[[#This Row],['#Trees as of 12/31/23]]*Table11[[#This Row],[Canada Allocation %]]</f>
        <v>0</v>
      </c>
      <c r="L295" s="16">
        <f>Table11[[#This Row],['#Replace 24]]*Table11[[#This Row],[Canada Allocation %]]</f>
        <v>0</v>
      </c>
      <c r="M295" s="16"/>
      <c r="N295" s="16">
        <f>(Table11[[#This Row],[2024 '#Trees Inventory + Estimate]]*Table11[[#This Row],[Canada Allocation %]])-SUM(Table378[[#This Row],['# Trees as of 12/31/23]:[New Trees/Planted in 2024]])</f>
        <v>0</v>
      </c>
      <c r="O295" s="16">
        <f>SUM(Table378[[#This Row],['# Trees as of 12/31/23]:[2024 Tree Losses]])</f>
        <v>0</v>
      </c>
      <c r="P295" s="16">
        <f>SUM(Table378[[#This Row],[Total Trees as of 12/31/24]]-Table378[[#This Row],['# Trees as of 12/31/23]])</f>
        <v>0</v>
      </c>
      <c r="Q295" s="16">
        <f>Table11[[#This Row],['#Total Replacements]]*Table11[[#This Row],[Canada Allocation %]]</f>
        <v>0</v>
      </c>
      <c r="R295" s="16">
        <f>IF(Table378[[#This Row],['#Survival based on Inventory]]=0,Table378['#Survival based on Last Year Estimate],Table378['#Survival based on Inventory])</f>
        <v>0</v>
      </c>
      <c r="S295" s="16">
        <f>Table11[[#This Row],['#Planted]]*Table11[[#This Row],[Canada Allocation %]]*Table11[[#This Row],[2024 Inventory Survival%-master]]</f>
        <v>0</v>
      </c>
      <c r="T295" s="16">
        <f>Table11[[#This Row],['#Planted]]*Table11[[#This Row],[Canada Allocation %]]*Table11[[#This Row],[2024 Estimated Survival%]]</f>
        <v>0</v>
      </c>
      <c r="U295" s="7">
        <f>Table11[[#This Row],[ETP Year]]</f>
        <v>2021</v>
      </c>
      <c r="V295" s="7">
        <f>Table11[[#This Row],[Planting Year]]</f>
        <v>2022</v>
      </c>
      <c r="W295" s="8">
        <f>Table11[[#This Row],[Survival% as of 12/31/23]]</f>
        <v>1</v>
      </c>
      <c r="X295" s="7">
        <f>Table11[[#This Row],[ETP'#s]]</f>
        <v>1</v>
      </c>
    </row>
    <row r="296" spans="1:24" x14ac:dyDescent="0.25">
      <c r="A296">
        <f>Table11[[#This Row],[Farmer'#]]</f>
        <v>10104</v>
      </c>
      <c r="B296" t="str">
        <f>Table11[[#This Row],[Representative]]</f>
        <v>Steven Hunter</v>
      </c>
      <c r="C296" t="str">
        <f>Table11[[#This Row],[Contract Name]]</f>
        <v>Steven Hunter</v>
      </c>
      <c r="D296" t="str">
        <f>Table11[[#This Row],[Status]]</f>
        <v>Active</v>
      </c>
      <c r="E296" t="str">
        <f>Table11[[#This Row],[Contract Code]]</f>
        <v>US0142</v>
      </c>
      <c r="F296" s="16">
        <f>Table11[[#This Row],['#TreesContract]]</f>
        <v>1100</v>
      </c>
      <c r="G296" s="16">
        <f>Table11[[#This Row],['#Planted]]</f>
        <v>1100</v>
      </c>
      <c r="H296" s="16">
        <f>Table11[[#This Row],['#TreesContract]]*Table11[[#This Row],[Canada Allocation %]]</f>
        <v>0</v>
      </c>
      <c r="I296" s="16">
        <f>Table11[[#This Row],['#Planted]]*Table11[[#This Row],[Canada Allocation %]]</f>
        <v>0</v>
      </c>
      <c r="J296" s="16">
        <f>Table11[[#This Row],[Contract Amendment]]*Table11[[#This Row],[Canada Allocation %]]</f>
        <v>0</v>
      </c>
      <c r="K296" s="16">
        <f>Table11[[#This Row],['#Trees as of 12/31/23]]*Table11[[#This Row],[Canada Allocation %]]</f>
        <v>0</v>
      </c>
      <c r="L296" s="16">
        <f>Table11[[#This Row],['#Replace 24]]*Table11[[#This Row],[Canada Allocation %]]</f>
        <v>0</v>
      </c>
      <c r="M296" s="16"/>
      <c r="N296" s="16">
        <f>(Table11[[#This Row],[2024 '#Trees Inventory + Estimate]]*Table11[[#This Row],[Canada Allocation %]])-SUM(Table378[[#This Row],['# Trees as of 12/31/23]:[New Trees/Planted in 2024]])</f>
        <v>0</v>
      </c>
      <c r="O296" s="16">
        <f>SUM(Table378[[#This Row],['# Trees as of 12/31/23]:[2024 Tree Losses]])</f>
        <v>0</v>
      </c>
      <c r="P296" s="16">
        <f>SUM(Table378[[#This Row],[Total Trees as of 12/31/24]]-Table378[[#This Row],['# Trees as of 12/31/23]])</f>
        <v>0</v>
      </c>
      <c r="Q296" s="16">
        <f>Table11[[#This Row],['#Total Replacements]]*Table11[[#This Row],[Canada Allocation %]]</f>
        <v>0</v>
      </c>
      <c r="R296" s="16">
        <f>IF(Table378[[#This Row],['#Survival based on Inventory]]=0,Table378['#Survival based on Last Year Estimate],Table378['#Survival based on Inventory])</f>
        <v>0</v>
      </c>
      <c r="S296" s="16">
        <f>Table11[[#This Row],['#Planted]]*Table11[[#This Row],[Canada Allocation %]]*Table11[[#This Row],[2024 Inventory Survival%-master]]</f>
        <v>0</v>
      </c>
      <c r="T296" s="16">
        <f>Table11[[#This Row],['#Planted]]*Table11[[#This Row],[Canada Allocation %]]*Table11[[#This Row],[2024 Estimated Survival%]]</f>
        <v>0</v>
      </c>
      <c r="U296" s="7">
        <f>Table11[[#This Row],[ETP Year]]</f>
        <v>2021</v>
      </c>
      <c r="V296" s="7">
        <f>Table11[[#This Row],[Planting Year]]</f>
        <v>2022</v>
      </c>
      <c r="W296" s="8">
        <f>Table11[[#This Row],[Survival% as of 12/31/23]]</f>
        <v>1</v>
      </c>
      <c r="X296" s="7">
        <f>Table11[[#This Row],[ETP'#s]]</f>
        <v>1</v>
      </c>
    </row>
    <row r="297" spans="1:24" x14ac:dyDescent="0.25">
      <c r="A297">
        <f>Table11[[#This Row],[Farmer'#]]</f>
        <v>10109</v>
      </c>
      <c r="B297" t="str">
        <f>Table11[[#This Row],[Representative]]</f>
        <v>Belinda Twohig</v>
      </c>
      <c r="C297" t="str">
        <f>Table11[[#This Row],[Contract Name]]</f>
        <v>Belinda Twohig</v>
      </c>
      <c r="D297" t="str">
        <f>Table11[[#This Row],[Status]]</f>
        <v>Active</v>
      </c>
      <c r="E297" t="str">
        <f>Table11[[#This Row],[Contract Code]]</f>
        <v>US0128</v>
      </c>
      <c r="F297" s="16">
        <f>Table11[[#This Row],['#TreesContract]]</f>
        <v>1320</v>
      </c>
      <c r="G297" s="16">
        <f>Table11[[#This Row],['#Planted]]</f>
        <v>1320</v>
      </c>
      <c r="H297" s="16">
        <f>Table11[[#This Row],['#TreesContract]]*Table11[[#This Row],[Canada Allocation %]]</f>
        <v>0</v>
      </c>
      <c r="I297" s="16">
        <f>Table11[[#This Row],['#Planted]]*Table11[[#This Row],[Canada Allocation %]]</f>
        <v>0</v>
      </c>
      <c r="J297" s="16">
        <f>Table11[[#This Row],[Contract Amendment]]*Table11[[#This Row],[Canada Allocation %]]</f>
        <v>0</v>
      </c>
      <c r="K297" s="16">
        <f>Table11[[#This Row],['#Trees as of 12/31/23]]*Table11[[#This Row],[Canada Allocation %]]</f>
        <v>0</v>
      </c>
      <c r="L297" s="16">
        <f>Table11[[#This Row],['#Replace 24]]*Table11[[#This Row],[Canada Allocation %]]</f>
        <v>0</v>
      </c>
      <c r="M297" s="16"/>
      <c r="N297" s="16">
        <f>(Table11[[#This Row],[2024 '#Trees Inventory + Estimate]]*Table11[[#This Row],[Canada Allocation %]])-SUM(Table378[[#This Row],['# Trees as of 12/31/23]:[New Trees/Planted in 2024]])</f>
        <v>0</v>
      </c>
      <c r="O297" s="16">
        <f>SUM(Table378[[#This Row],['# Trees as of 12/31/23]:[2024 Tree Losses]])</f>
        <v>0</v>
      </c>
      <c r="P297" s="16">
        <f>SUM(Table378[[#This Row],[Total Trees as of 12/31/24]]-Table378[[#This Row],['# Trees as of 12/31/23]])</f>
        <v>0</v>
      </c>
      <c r="Q297" s="16">
        <f>Table11[[#This Row],['#Total Replacements]]*Table11[[#This Row],[Canada Allocation %]]</f>
        <v>0</v>
      </c>
      <c r="R297" s="16">
        <f>IF(Table378[[#This Row],['#Survival based on Inventory]]=0,Table378['#Survival based on Last Year Estimate],Table378['#Survival based on Inventory])</f>
        <v>0</v>
      </c>
      <c r="S297" s="16">
        <f>Table11[[#This Row],['#Planted]]*Table11[[#This Row],[Canada Allocation %]]*Table11[[#This Row],[2024 Inventory Survival%-master]]</f>
        <v>0</v>
      </c>
      <c r="T297" s="16">
        <f>Table11[[#This Row],['#Planted]]*Table11[[#This Row],[Canada Allocation %]]*Table11[[#This Row],[2024 Estimated Survival%]]</f>
        <v>0</v>
      </c>
      <c r="U297" s="7">
        <f>Table11[[#This Row],[ETP Year]]</f>
        <v>2021</v>
      </c>
      <c r="V297" s="7">
        <f>Table11[[#This Row],[Planting Year]]</f>
        <v>2022</v>
      </c>
      <c r="W297" s="8">
        <f>Table11[[#This Row],[Survival% as of 12/31/23]]</f>
        <v>1</v>
      </c>
      <c r="X297" s="7">
        <f>Table11[[#This Row],[ETP'#s]]</f>
        <v>1</v>
      </c>
    </row>
    <row r="298" spans="1:24" x14ac:dyDescent="0.25">
      <c r="A298">
        <f>Table11[[#This Row],[Farmer'#]]</f>
        <v>10110</v>
      </c>
      <c r="B298" t="str">
        <f>Table11[[#This Row],[Representative]]</f>
        <v>David Hall</v>
      </c>
      <c r="C298" t="str">
        <f>Table11[[#This Row],[Contract Name]]</f>
        <v>David Hall</v>
      </c>
      <c r="D298" t="str">
        <f>Table11[[#This Row],[Status]]</f>
        <v>Active</v>
      </c>
      <c r="E298" t="str">
        <f>Table11[[#This Row],[Contract Code]]</f>
        <v>US0131</v>
      </c>
      <c r="F298" s="16">
        <f>Table11[[#This Row],['#TreesContract]]</f>
        <v>3829</v>
      </c>
      <c r="G298" s="16">
        <f>Table11[[#This Row],['#Planted]]</f>
        <v>3829</v>
      </c>
      <c r="H298" s="16">
        <f>Table11[[#This Row],['#TreesContract]]*Table11[[#This Row],[Canada Allocation %]]</f>
        <v>0</v>
      </c>
      <c r="I298" s="16">
        <f>Table11[[#This Row],['#Planted]]*Table11[[#This Row],[Canada Allocation %]]</f>
        <v>0</v>
      </c>
      <c r="J298" s="16">
        <f>Table11[[#This Row],[Contract Amendment]]*Table11[[#This Row],[Canada Allocation %]]</f>
        <v>0</v>
      </c>
      <c r="K298" s="16">
        <f>Table11[[#This Row],['#Trees as of 12/31/23]]*Table11[[#This Row],[Canada Allocation %]]</f>
        <v>0</v>
      </c>
      <c r="L298" s="16">
        <f>Table11[[#This Row],['#Replace 24]]*Table11[[#This Row],[Canada Allocation %]]</f>
        <v>0</v>
      </c>
      <c r="M298" s="16"/>
      <c r="N298" s="16">
        <f>(Table11[[#This Row],[2024 '#Trees Inventory + Estimate]]*Table11[[#This Row],[Canada Allocation %]])-SUM(Table378[[#This Row],['# Trees as of 12/31/23]:[New Trees/Planted in 2024]])</f>
        <v>0</v>
      </c>
      <c r="O298" s="16">
        <f>SUM(Table378[[#This Row],['# Trees as of 12/31/23]:[2024 Tree Losses]])</f>
        <v>0</v>
      </c>
      <c r="P298" s="16">
        <f>SUM(Table378[[#This Row],[Total Trees as of 12/31/24]]-Table378[[#This Row],['# Trees as of 12/31/23]])</f>
        <v>0</v>
      </c>
      <c r="Q298" s="16">
        <f>Table11[[#This Row],['#Total Replacements]]*Table11[[#This Row],[Canada Allocation %]]</f>
        <v>0</v>
      </c>
      <c r="R298" s="16">
        <f>IF(Table378[[#This Row],['#Survival based on Inventory]]=0,Table378['#Survival based on Last Year Estimate],Table378['#Survival based on Inventory])</f>
        <v>0</v>
      </c>
      <c r="S298" s="16">
        <f>Table11[[#This Row],['#Planted]]*Table11[[#This Row],[Canada Allocation %]]*Table11[[#This Row],[2024 Inventory Survival%-master]]</f>
        <v>0</v>
      </c>
      <c r="T298" s="16">
        <f>Table11[[#This Row],['#Planted]]*Table11[[#This Row],[Canada Allocation %]]*Table11[[#This Row],[2024 Estimated Survival%]]</f>
        <v>0</v>
      </c>
      <c r="U298" s="7">
        <f>Table11[[#This Row],[ETP Year]]</f>
        <v>2021</v>
      </c>
      <c r="V298" s="7">
        <f>Table11[[#This Row],[Planting Year]]</f>
        <v>2022</v>
      </c>
      <c r="W298" s="8">
        <f>Table11[[#This Row],[Survival% as of 12/31/23]]</f>
        <v>1</v>
      </c>
      <c r="X298" s="7">
        <f>Table11[[#This Row],[ETP'#s]]</f>
        <v>1</v>
      </c>
    </row>
    <row r="299" spans="1:24" x14ac:dyDescent="0.25">
      <c r="A299">
        <f>Table11[[#This Row],[Farmer'#]]</f>
        <v>10111</v>
      </c>
      <c r="B299" t="str">
        <f>Table11[[#This Row],[Representative]]</f>
        <v>David Lewis</v>
      </c>
      <c r="C299" t="str">
        <f>Table11[[#This Row],[Contract Name]]</f>
        <v>David Lewis</v>
      </c>
      <c r="D299" t="str">
        <f>Table11[[#This Row],[Status]]</f>
        <v>Active</v>
      </c>
      <c r="E299" t="str">
        <f>Table11[[#This Row],[Contract Code]]</f>
        <v>US0132</v>
      </c>
      <c r="F299" s="16">
        <f>Table11[[#This Row],['#TreesContract]]</f>
        <v>1100</v>
      </c>
      <c r="G299" s="16">
        <f>Table11[[#This Row],['#Planted]]</f>
        <v>1100</v>
      </c>
      <c r="H299" s="16">
        <f>Table11[[#This Row],['#TreesContract]]*Table11[[#This Row],[Canada Allocation %]]</f>
        <v>0</v>
      </c>
      <c r="I299" s="16">
        <f>Table11[[#This Row],['#Planted]]*Table11[[#This Row],[Canada Allocation %]]</f>
        <v>0</v>
      </c>
      <c r="J299" s="16">
        <f>Table11[[#This Row],[Contract Amendment]]*Table11[[#This Row],[Canada Allocation %]]</f>
        <v>0</v>
      </c>
      <c r="K299" s="16">
        <f>Table11[[#This Row],['#Trees as of 12/31/23]]*Table11[[#This Row],[Canada Allocation %]]</f>
        <v>0</v>
      </c>
      <c r="L299" s="16">
        <f>Table11[[#This Row],['#Replace 24]]*Table11[[#This Row],[Canada Allocation %]]</f>
        <v>0</v>
      </c>
      <c r="M299" s="16"/>
      <c r="N299" s="16">
        <f>(Table11[[#This Row],[2024 '#Trees Inventory + Estimate]]*Table11[[#This Row],[Canada Allocation %]])-SUM(Table378[[#This Row],['# Trees as of 12/31/23]:[New Trees/Planted in 2024]])</f>
        <v>0</v>
      </c>
      <c r="O299" s="32">
        <f>SUM(Table378[[#This Row],['# Trees as of 12/31/23]:[2024 Tree Losses]])</f>
        <v>0</v>
      </c>
      <c r="P299" s="32">
        <f>SUM(Table378[[#This Row],[Total Trees as of 12/31/24]]-Table378[[#This Row],['# Trees as of 12/31/23]])</f>
        <v>0</v>
      </c>
      <c r="Q299" s="16">
        <f>Table11[[#This Row],['#Total Replacements]]*Table11[[#This Row],[Canada Allocation %]]</f>
        <v>0</v>
      </c>
      <c r="R299" s="32">
        <f>IF(Table378[[#This Row],['#Survival based on Inventory]]=0,Table378['#Survival based on Last Year Estimate],Table378['#Survival based on Inventory])</f>
        <v>0</v>
      </c>
      <c r="S299" s="16">
        <f>Table11[[#This Row],['#Planted]]*Table11[[#This Row],[Canada Allocation %]]*Table11[[#This Row],[2024 Inventory Survival%-master]]</f>
        <v>0</v>
      </c>
      <c r="T299" s="16">
        <f>Table11[[#This Row],['#Planted]]*Table11[[#This Row],[Canada Allocation %]]*Table11[[#This Row],[2024 Estimated Survival%]]</f>
        <v>0</v>
      </c>
      <c r="U299" s="7">
        <f>Table11[[#This Row],[ETP Year]]</f>
        <v>2021</v>
      </c>
      <c r="V299" s="7">
        <f>Table11[[#This Row],[Planting Year]]</f>
        <v>2022</v>
      </c>
      <c r="W299" s="8">
        <f>Table11[[#This Row],[Survival% as of 12/31/23]]</f>
        <v>1</v>
      </c>
      <c r="X299" s="7">
        <f>Table11[[#This Row],[ETP'#s]]</f>
        <v>1</v>
      </c>
    </row>
    <row r="300" spans="1:24" x14ac:dyDescent="0.25">
      <c r="A300">
        <f>Table11[[#This Row],[Farmer'#]]</f>
        <v>10112</v>
      </c>
      <c r="B300" t="str">
        <f>Table11[[#This Row],[Representative]]</f>
        <v>Heather Rule</v>
      </c>
      <c r="C300" t="str">
        <f>Table11[[#This Row],[Contract Name]]</f>
        <v>Heather Rule</v>
      </c>
      <c r="D300" t="str">
        <f>Table11[[#This Row],[Status]]</f>
        <v>Active</v>
      </c>
      <c r="E300" t="str">
        <f>Table11[[#This Row],[Contract Code]]</f>
        <v>US0133</v>
      </c>
      <c r="F300" s="16">
        <f>Table11[[#This Row],['#TreesContract]]</f>
        <v>1373</v>
      </c>
      <c r="G300" s="16">
        <f>Table11[[#This Row],['#Planted]]</f>
        <v>1373</v>
      </c>
      <c r="H300" s="16">
        <f>Table11[[#This Row],['#TreesContract]]*Table11[[#This Row],[Canada Allocation %]]</f>
        <v>0</v>
      </c>
      <c r="I300" s="16">
        <f>Table11[[#This Row],['#Planted]]*Table11[[#This Row],[Canada Allocation %]]</f>
        <v>0</v>
      </c>
      <c r="J300" s="16">
        <f>Table11[[#This Row],[Contract Amendment]]*Table11[[#This Row],[Canada Allocation %]]</f>
        <v>0</v>
      </c>
      <c r="K300" s="16">
        <f>Table11[[#This Row],['#Trees as of 12/31/23]]*Table11[[#This Row],[Canada Allocation %]]</f>
        <v>0</v>
      </c>
      <c r="L300" s="16">
        <f>Table11[[#This Row],['#Replace 24]]*Table11[[#This Row],[Canada Allocation %]]</f>
        <v>0</v>
      </c>
      <c r="M300" s="16"/>
      <c r="N300" s="16">
        <f>(Table11[[#This Row],[2024 '#Trees Inventory + Estimate]]*Table11[[#This Row],[Canada Allocation %]])-SUM(Table378[[#This Row],['# Trees as of 12/31/23]:[New Trees/Planted in 2024]])</f>
        <v>0</v>
      </c>
      <c r="O300" s="16">
        <f>SUM(Table378[[#This Row],['# Trees as of 12/31/23]:[2024 Tree Losses]])</f>
        <v>0</v>
      </c>
      <c r="P300" s="16">
        <f>SUM(Table378[[#This Row],[Total Trees as of 12/31/24]]-Table378[[#This Row],['# Trees as of 12/31/23]])</f>
        <v>0</v>
      </c>
      <c r="Q300" s="16">
        <f>Table11[[#This Row],['#Total Replacements]]*Table11[[#This Row],[Canada Allocation %]]</f>
        <v>0</v>
      </c>
      <c r="R300" s="16">
        <f>IF(Table378[[#This Row],['#Survival based on Inventory]]=0,Table378['#Survival based on Last Year Estimate],Table378['#Survival based on Inventory])</f>
        <v>0</v>
      </c>
      <c r="S300" s="16">
        <f>Table11[[#This Row],['#Planted]]*Table11[[#This Row],[Canada Allocation %]]*Table11[[#This Row],[2024 Inventory Survival%-master]]</f>
        <v>0</v>
      </c>
      <c r="T300" s="16">
        <f>Table11[[#This Row],['#Planted]]*Table11[[#This Row],[Canada Allocation %]]*Table11[[#This Row],[2024 Estimated Survival%]]</f>
        <v>0</v>
      </c>
      <c r="U300" s="7">
        <f>Table11[[#This Row],[ETP Year]]</f>
        <v>2021</v>
      </c>
      <c r="V300" s="7">
        <f>Table11[[#This Row],[Planting Year]]</f>
        <v>2022</v>
      </c>
      <c r="W300" s="8">
        <f>Table11[[#This Row],[Survival% as of 12/31/23]]</f>
        <v>1</v>
      </c>
      <c r="X300" s="7">
        <f>Table11[[#This Row],[ETP'#s]]</f>
        <v>1</v>
      </c>
    </row>
    <row r="301" spans="1:24" x14ac:dyDescent="0.25">
      <c r="A301">
        <f>Table11[[#This Row],[Farmer'#]]</f>
        <v>10113</v>
      </c>
      <c r="B301" t="str">
        <f>Table11[[#This Row],[Representative]]</f>
        <v>Kennsel Bennett</v>
      </c>
      <c r="C301" t="str">
        <f>Table11[[#This Row],[Contract Name]]</f>
        <v>Kennsel Bennett</v>
      </c>
      <c r="D301" t="str">
        <f>Table11[[#This Row],[Status]]</f>
        <v>Active</v>
      </c>
      <c r="E301" t="str">
        <f>Table11[[#This Row],[Contract Code]]</f>
        <v>US0134</v>
      </c>
      <c r="F301" s="16">
        <f>Table11[[#This Row],['#TreesContract]]</f>
        <v>1100</v>
      </c>
      <c r="G301" s="16">
        <f>Table11[[#This Row],['#Planted]]</f>
        <v>1100</v>
      </c>
      <c r="H301" s="16">
        <f>Table11[[#This Row],['#TreesContract]]*Table11[[#This Row],[Canada Allocation %]]</f>
        <v>0</v>
      </c>
      <c r="I301" s="16">
        <f>Table11[[#This Row],['#Planted]]*Table11[[#This Row],[Canada Allocation %]]</f>
        <v>0</v>
      </c>
      <c r="J301" s="16">
        <f>Table11[[#This Row],[Contract Amendment]]*Table11[[#This Row],[Canada Allocation %]]</f>
        <v>0</v>
      </c>
      <c r="K301" s="16">
        <f>Table11[[#This Row],['#Trees as of 12/31/23]]*Table11[[#This Row],[Canada Allocation %]]</f>
        <v>0</v>
      </c>
      <c r="L301" s="16">
        <f>Table11[[#This Row],['#Replace 24]]*Table11[[#This Row],[Canada Allocation %]]</f>
        <v>0</v>
      </c>
      <c r="M301" s="16"/>
      <c r="N301" s="16">
        <f>(Table11[[#This Row],[2024 '#Trees Inventory + Estimate]]*Table11[[#This Row],[Canada Allocation %]])-SUM(Table378[[#This Row],['# Trees as of 12/31/23]:[New Trees/Planted in 2024]])</f>
        <v>0</v>
      </c>
      <c r="O301" s="32">
        <f>SUM(Table378[[#This Row],['# Trees as of 12/31/23]:[2024 Tree Losses]])</f>
        <v>0</v>
      </c>
      <c r="P301" s="32">
        <f>SUM(Table378[[#This Row],[Total Trees as of 12/31/24]]-Table378[[#This Row],['# Trees as of 12/31/23]])</f>
        <v>0</v>
      </c>
      <c r="Q301" s="16">
        <f>Table11[[#This Row],['#Total Replacements]]*Table11[[#This Row],[Canada Allocation %]]</f>
        <v>0</v>
      </c>
      <c r="R301" s="32">
        <f>IF(Table378[[#This Row],['#Survival based on Inventory]]=0,Table378['#Survival based on Last Year Estimate],Table378['#Survival based on Inventory])</f>
        <v>0</v>
      </c>
      <c r="S301" s="16">
        <f>Table11[[#This Row],['#Planted]]*Table11[[#This Row],[Canada Allocation %]]*Table11[[#This Row],[2024 Inventory Survival%-master]]</f>
        <v>0</v>
      </c>
      <c r="T301" s="16">
        <f>Table11[[#This Row],['#Planted]]*Table11[[#This Row],[Canada Allocation %]]*Table11[[#This Row],[2024 Estimated Survival%]]</f>
        <v>0</v>
      </c>
      <c r="U301" s="7">
        <f>Table11[[#This Row],[ETP Year]]</f>
        <v>2021</v>
      </c>
      <c r="V301" s="7">
        <f>Table11[[#This Row],[Planting Year]]</f>
        <v>2022</v>
      </c>
      <c r="W301" s="8">
        <f>Table11[[#This Row],[Survival% as of 12/31/23]]</f>
        <v>1</v>
      </c>
      <c r="X301" s="7">
        <f>Table11[[#This Row],[ETP'#s]]</f>
        <v>1</v>
      </c>
    </row>
    <row r="302" spans="1:24" x14ac:dyDescent="0.25">
      <c r="A302">
        <f>Table11[[#This Row],[Farmer'#]]</f>
        <v>10114</v>
      </c>
      <c r="B302" t="str">
        <f>Table11[[#This Row],[Representative]]</f>
        <v>Michele Dominguez</v>
      </c>
      <c r="C302" t="str">
        <f>Table11[[#This Row],[Contract Name]]</f>
        <v>Michele Dominguez</v>
      </c>
      <c r="D302" t="str">
        <f>Table11[[#This Row],[Status]]</f>
        <v>RFT</v>
      </c>
      <c r="E302" t="str">
        <f>Table11[[#This Row],[Contract Code]]</f>
        <v>US0136</v>
      </c>
      <c r="F302" s="16">
        <f>Table11[[#This Row],['#TreesContract]]</f>
        <v>1112</v>
      </c>
      <c r="G302" s="16">
        <f>Table11[[#This Row],['#Planted]]</f>
        <v>1112</v>
      </c>
      <c r="H302" s="16">
        <f>Table11[[#This Row],['#TreesContract]]*Table11[[#This Row],[Canada Allocation %]]</f>
        <v>0</v>
      </c>
      <c r="I302" s="16">
        <f>Table11[[#This Row],['#Planted]]*Table11[[#This Row],[Canada Allocation %]]</f>
        <v>0</v>
      </c>
      <c r="J302" s="16">
        <f>Table11[[#This Row],[Contract Amendment]]*Table11[[#This Row],[Canada Allocation %]]</f>
        <v>0</v>
      </c>
      <c r="K302" s="16">
        <f>Table11[[#This Row],['#Trees as of 12/31/23]]*Table11[[#This Row],[Canada Allocation %]]</f>
        <v>0</v>
      </c>
      <c r="L302" s="16">
        <f>Table11[[#This Row],['#Replace 24]]*Table11[[#This Row],[Canada Allocation %]]</f>
        <v>0</v>
      </c>
      <c r="M302" s="16"/>
      <c r="N302" s="16">
        <f>(Table11[[#This Row],[2024 '#Trees Inventory + Estimate]]*Table11[[#This Row],[Canada Allocation %]])-SUM(Table378[[#This Row],['# Trees as of 12/31/23]:[New Trees/Planted in 2024]])</f>
        <v>0</v>
      </c>
      <c r="O302" s="16">
        <f>SUM(Table378[[#This Row],['# Trees as of 12/31/23]:[2024 Tree Losses]])</f>
        <v>0</v>
      </c>
      <c r="P302" s="16">
        <f>SUM(Table378[[#This Row],[Total Trees as of 12/31/24]]-Table378[[#This Row],['# Trees as of 12/31/23]])</f>
        <v>0</v>
      </c>
      <c r="Q302" s="16">
        <f>Table11[[#This Row],['#Total Replacements]]*Table11[[#This Row],[Canada Allocation %]]</f>
        <v>0</v>
      </c>
      <c r="R302" s="16">
        <f>IF(Table378[[#This Row],['#Survival based on Inventory]]=0,Table378['#Survival based on Last Year Estimate],Table378['#Survival based on Inventory])</f>
        <v>0</v>
      </c>
      <c r="S302" s="16">
        <f>Table11[[#This Row],['#Planted]]*Table11[[#This Row],[Canada Allocation %]]*Table11[[#This Row],[2024 Inventory Survival%-master]]</f>
        <v>0</v>
      </c>
      <c r="T302" s="16">
        <f>Table11[[#This Row],['#Planted]]*Table11[[#This Row],[Canada Allocation %]]*Table11[[#This Row],[2024 Estimated Survival%]]</f>
        <v>0</v>
      </c>
      <c r="U302" s="7">
        <f>Table11[[#This Row],[ETP Year]]</f>
        <v>2021</v>
      </c>
      <c r="V302" s="7">
        <f>Table11[[#This Row],[Planting Year]]</f>
        <v>2022</v>
      </c>
      <c r="W302" s="8">
        <f>Table11[[#This Row],[Survival% as of 12/31/23]]</f>
        <v>1</v>
      </c>
      <c r="X302" s="7">
        <f>Table11[[#This Row],[ETP'#s]]</f>
        <v>1</v>
      </c>
    </row>
    <row r="303" spans="1:24" x14ac:dyDescent="0.25">
      <c r="A303">
        <f>Table11[[#This Row],[Farmer'#]]</f>
        <v>10115</v>
      </c>
      <c r="B303" t="str">
        <f>Table11[[#This Row],[Representative]]</f>
        <v>Rick Griffis</v>
      </c>
      <c r="C303" t="str">
        <f>Table11[[#This Row],[Contract Name]]</f>
        <v>Rick Griffis</v>
      </c>
      <c r="D303" t="str">
        <f>Table11[[#This Row],[Status]]</f>
        <v>RFT</v>
      </c>
      <c r="E303" t="str">
        <f>Table11[[#This Row],[Contract Code]]</f>
        <v>US0138</v>
      </c>
      <c r="F303" s="16">
        <f>Table11[[#This Row],['#TreesContract]]</f>
        <v>1100</v>
      </c>
      <c r="G303" s="16">
        <f>Table11[[#This Row],['#Planted]]</f>
        <v>1100</v>
      </c>
      <c r="H303" s="16">
        <f>Table11[[#This Row],['#TreesContract]]*Table11[[#This Row],[Canada Allocation %]]</f>
        <v>0</v>
      </c>
      <c r="I303" s="16">
        <f>Table11[[#This Row],['#Planted]]*Table11[[#This Row],[Canada Allocation %]]</f>
        <v>0</v>
      </c>
      <c r="J303" s="16">
        <f>Table11[[#This Row],[Contract Amendment]]*Table11[[#This Row],[Canada Allocation %]]</f>
        <v>0</v>
      </c>
      <c r="K303" s="16">
        <f>Table11[[#This Row],['#Trees as of 12/31/23]]*Table11[[#This Row],[Canada Allocation %]]</f>
        <v>0</v>
      </c>
      <c r="L303" s="16">
        <f>Table11[[#This Row],['#Replace 24]]*Table11[[#This Row],[Canada Allocation %]]</f>
        <v>0</v>
      </c>
      <c r="M303" s="16"/>
      <c r="N303" s="16">
        <f>(Table11[[#This Row],[2024 '#Trees Inventory + Estimate]]*Table11[[#This Row],[Canada Allocation %]])-SUM(Table378[[#This Row],['# Trees as of 12/31/23]:[New Trees/Planted in 2024]])</f>
        <v>0</v>
      </c>
      <c r="O303" s="16">
        <f>SUM(Table378[[#This Row],['# Trees as of 12/31/23]:[2024 Tree Losses]])</f>
        <v>0</v>
      </c>
      <c r="P303" s="16">
        <f>SUM(Table378[[#This Row],[Total Trees as of 12/31/24]]-Table378[[#This Row],['# Trees as of 12/31/23]])</f>
        <v>0</v>
      </c>
      <c r="Q303" s="16">
        <f>Table11[[#This Row],['#Total Replacements]]*Table11[[#This Row],[Canada Allocation %]]</f>
        <v>0</v>
      </c>
      <c r="R303" s="16">
        <f>IF(Table378[[#This Row],['#Survival based on Inventory]]=0,Table378['#Survival based on Last Year Estimate],Table378['#Survival based on Inventory])</f>
        <v>0</v>
      </c>
      <c r="S303" s="16">
        <f>Table11[[#This Row],['#Planted]]*Table11[[#This Row],[Canada Allocation %]]*Table11[[#This Row],[2024 Inventory Survival%-master]]</f>
        <v>0</v>
      </c>
      <c r="T303" s="16">
        <f>Table11[[#This Row],['#Planted]]*Table11[[#This Row],[Canada Allocation %]]*Table11[[#This Row],[2024 Estimated Survival%]]</f>
        <v>0</v>
      </c>
      <c r="U303" s="7">
        <f>Table11[[#This Row],[ETP Year]]</f>
        <v>2021</v>
      </c>
      <c r="V303" s="7">
        <f>Table11[[#This Row],[Planting Year]]</f>
        <v>2022</v>
      </c>
      <c r="W303" s="8">
        <f>Table11[[#This Row],[Survival% as of 12/31/23]]</f>
        <v>1</v>
      </c>
      <c r="X303" s="7">
        <f>Table11[[#This Row],[ETP'#s]]</f>
        <v>1</v>
      </c>
    </row>
    <row r="304" spans="1:24" x14ac:dyDescent="0.25">
      <c r="A304">
        <f>Table11[[#This Row],[Farmer'#]]</f>
        <v>10116</v>
      </c>
      <c r="B304" t="str">
        <f>Table11[[#This Row],[Representative]]</f>
        <v>Rob Cason</v>
      </c>
      <c r="C304" t="str">
        <f>Table11[[#This Row],[Contract Name]]</f>
        <v>Rob Cason</v>
      </c>
      <c r="D304" t="str">
        <f>Table11[[#This Row],[Status]]</f>
        <v>Active</v>
      </c>
      <c r="E304" t="str">
        <f>Table11[[#This Row],[Contract Code]]</f>
        <v>US0139</v>
      </c>
      <c r="F304" s="16">
        <f>Table11[[#This Row],['#TreesContract]]</f>
        <v>2200</v>
      </c>
      <c r="G304" s="16">
        <f>Table11[[#This Row],['#Planted]]</f>
        <v>2200</v>
      </c>
      <c r="H304" s="16">
        <f>Table11[[#This Row],['#TreesContract]]*Table11[[#This Row],[Canada Allocation %]]</f>
        <v>0</v>
      </c>
      <c r="I304" s="16">
        <f>Table11[[#This Row],['#Planted]]*Table11[[#This Row],[Canada Allocation %]]</f>
        <v>0</v>
      </c>
      <c r="J304" s="16">
        <f>Table11[[#This Row],[Contract Amendment]]*Table11[[#This Row],[Canada Allocation %]]</f>
        <v>0</v>
      </c>
      <c r="K304" s="16">
        <f>Table11[[#This Row],['#Trees as of 12/31/23]]*Table11[[#This Row],[Canada Allocation %]]</f>
        <v>0</v>
      </c>
      <c r="L304" s="16">
        <f>Table11[[#This Row],['#Replace 24]]*Table11[[#This Row],[Canada Allocation %]]</f>
        <v>0</v>
      </c>
      <c r="M304" s="16"/>
      <c r="N304" s="16">
        <f>(Table11[[#This Row],[2024 '#Trees Inventory + Estimate]]*Table11[[#This Row],[Canada Allocation %]])-SUM(Table378[[#This Row],['# Trees as of 12/31/23]:[New Trees/Planted in 2024]])</f>
        <v>0</v>
      </c>
      <c r="O304" s="16">
        <f>SUM(Table378[[#This Row],['# Trees as of 12/31/23]:[2024 Tree Losses]])</f>
        <v>0</v>
      </c>
      <c r="P304" s="16">
        <f>SUM(Table378[[#This Row],[Total Trees as of 12/31/24]]-Table378[[#This Row],['# Trees as of 12/31/23]])</f>
        <v>0</v>
      </c>
      <c r="Q304" s="16">
        <f>Table11[[#This Row],['#Total Replacements]]*Table11[[#This Row],[Canada Allocation %]]</f>
        <v>0</v>
      </c>
      <c r="R304" s="16">
        <f>IF(Table378[[#This Row],['#Survival based on Inventory]]=0,Table378['#Survival based on Last Year Estimate],Table378['#Survival based on Inventory])</f>
        <v>0</v>
      </c>
      <c r="S304" s="16">
        <f>Table11[[#This Row],['#Planted]]*Table11[[#This Row],[Canada Allocation %]]*Table11[[#This Row],[2024 Inventory Survival%-master]]</f>
        <v>0</v>
      </c>
      <c r="T304" s="16">
        <f>Table11[[#This Row],['#Planted]]*Table11[[#This Row],[Canada Allocation %]]*Table11[[#This Row],[2024 Estimated Survival%]]</f>
        <v>0</v>
      </c>
      <c r="U304" s="7">
        <f>Table11[[#This Row],[ETP Year]]</f>
        <v>2021</v>
      </c>
      <c r="V304" s="7">
        <f>Table11[[#This Row],[Planting Year]]</f>
        <v>2022</v>
      </c>
      <c r="W304" s="8">
        <f>Table11[[#This Row],[Survival% as of 12/31/23]]</f>
        <v>1</v>
      </c>
      <c r="X304" s="7">
        <f>Table11[[#This Row],[ETP'#s]]</f>
        <v>1</v>
      </c>
    </row>
    <row r="305" spans="1:24" x14ac:dyDescent="0.25">
      <c r="A305">
        <f>Table11[[#This Row],[Farmer'#]]</f>
        <v>10117</v>
      </c>
      <c r="B305" t="str">
        <f>Table11[[#This Row],[Representative]]</f>
        <v>Scott Hamilton</v>
      </c>
      <c r="C305" t="str">
        <f>Table11[[#This Row],[Contract Name]]</f>
        <v>Scott Hamilton</v>
      </c>
      <c r="D305" t="str">
        <f>Table11[[#This Row],[Status]]</f>
        <v>Active</v>
      </c>
      <c r="E305" t="str">
        <f>Table11[[#This Row],[Contract Code]]</f>
        <v>US0140</v>
      </c>
      <c r="F305" s="16">
        <f>Table11[[#This Row],['#TreesContract]]</f>
        <v>1980</v>
      </c>
      <c r="G305" s="16">
        <f>Table11[[#This Row],['#Planted]]</f>
        <v>1980</v>
      </c>
      <c r="H305" s="16">
        <f>Table11[[#This Row],['#TreesContract]]*Table11[[#This Row],[Canada Allocation %]]</f>
        <v>0</v>
      </c>
      <c r="I305" s="16">
        <f>Table11[[#This Row],['#Planted]]*Table11[[#This Row],[Canada Allocation %]]</f>
        <v>0</v>
      </c>
      <c r="J305" s="16">
        <f>Table11[[#This Row],[Contract Amendment]]*Table11[[#This Row],[Canada Allocation %]]</f>
        <v>0</v>
      </c>
      <c r="K305" s="16">
        <f>Table11[[#This Row],['#Trees as of 12/31/23]]*Table11[[#This Row],[Canada Allocation %]]</f>
        <v>0</v>
      </c>
      <c r="L305" s="16">
        <f>Table11[[#This Row],['#Replace 24]]*Table11[[#This Row],[Canada Allocation %]]</f>
        <v>0</v>
      </c>
      <c r="M305" s="16"/>
      <c r="N305" s="16">
        <f>(Table11[[#This Row],[2024 '#Trees Inventory + Estimate]]*Table11[[#This Row],[Canada Allocation %]])-SUM(Table378[[#This Row],['# Trees as of 12/31/23]:[New Trees/Planted in 2024]])</f>
        <v>0</v>
      </c>
      <c r="O305" s="16">
        <f>SUM(Table378[[#This Row],['# Trees as of 12/31/23]:[2024 Tree Losses]])</f>
        <v>0</v>
      </c>
      <c r="P305" s="16">
        <f>SUM(Table378[[#This Row],[Total Trees as of 12/31/24]]-Table378[[#This Row],['# Trees as of 12/31/23]])</f>
        <v>0</v>
      </c>
      <c r="Q305" s="16">
        <f>Table11[[#This Row],['#Total Replacements]]*Table11[[#This Row],[Canada Allocation %]]</f>
        <v>0</v>
      </c>
      <c r="R305" s="16">
        <f>IF(Table378[[#This Row],['#Survival based on Inventory]]=0,Table378['#Survival based on Last Year Estimate],Table378['#Survival based on Inventory])</f>
        <v>0</v>
      </c>
      <c r="S305" s="16">
        <f>Table11[[#This Row],['#Planted]]*Table11[[#This Row],[Canada Allocation %]]*Table11[[#This Row],[2024 Inventory Survival%-master]]</f>
        <v>0</v>
      </c>
      <c r="T305" s="16">
        <f>Table11[[#This Row],['#Planted]]*Table11[[#This Row],[Canada Allocation %]]*Table11[[#This Row],[2024 Estimated Survival%]]</f>
        <v>0</v>
      </c>
      <c r="U305" s="7">
        <f>Table11[[#This Row],[ETP Year]]</f>
        <v>2021</v>
      </c>
      <c r="V305" s="7">
        <f>Table11[[#This Row],[Planting Year]]</f>
        <v>2022</v>
      </c>
      <c r="W305" s="8">
        <f>Table11[[#This Row],[Survival% as of 12/31/23]]</f>
        <v>1</v>
      </c>
      <c r="X305" s="7">
        <f>Table11[[#This Row],[ETP'#s]]</f>
        <v>1</v>
      </c>
    </row>
    <row r="306" spans="1:24" x14ac:dyDescent="0.25">
      <c r="A306">
        <f>Table11[[#This Row],[Farmer'#]]</f>
        <v>10118</v>
      </c>
      <c r="B306" t="str">
        <f>Table11[[#This Row],[Representative]]</f>
        <v>Todd McCarley</v>
      </c>
      <c r="C306" t="str">
        <f>Table11[[#This Row],[Contract Name]]</f>
        <v>Todd McCarley</v>
      </c>
      <c r="D306" t="str">
        <f>Table11[[#This Row],[Status]]</f>
        <v>Active</v>
      </c>
      <c r="E306" t="str">
        <f>Table11[[#This Row],[Contract Code]]</f>
        <v>US0143</v>
      </c>
      <c r="F306" s="16">
        <f>Table11[[#This Row],['#TreesContract]]</f>
        <v>1100</v>
      </c>
      <c r="G306" s="16">
        <f>Table11[[#This Row],['#Planted]]</f>
        <v>1100</v>
      </c>
      <c r="H306" s="16">
        <f>Table11[[#This Row],['#TreesContract]]*Table11[[#This Row],[Canada Allocation %]]</f>
        <v>0</v>
      </c>
      <c r="I306" s="16">
        <f>Table11[[#This Row],['#Planted]]*Table11[[#This Row],[Canada Allocation %]]</f>
        <v>0</v>
      </c>
      <c r="J306" s="16">
        <f>Table11[[#This Row],[Contract Amendment]]*Table11[[#This Row],[Canada Allocation %]]</f>
        <v>0</v>
      </c>
      <c r="K306" s="16">
        <f>Table11[[#This Row],['#Trees as of 12/31/23]]*Table11[[#This Row],[Canada Allocation %]]</f>
        <v>0</v>
      </c>
      <c r="L306" s="16">
        <f>Table11[[#This Row],['#Replace 24]]*Table11[[#This Row],[Canada Allocation %]]</f>
        <v>0</v>
      </c>
      <c r="M306" s="16"/>
      <c r="N306" s="16">
        <f>(Table11[[#This Row],[2024 '#Trees Inventory + Estimate]]*Table11[[#This Row],[Canada Allocation %]])-SUM(Table378[[#This Row],['# Trees as of 12/31/23]:[New Trees/Planted in 2024]])</f>
        <v>0</v>
      </c>
      <c r="O306" s="16">
        <f>SUM(Table378[[#This Row],['# Trees as of 12/31/23]:[2024 Tree Losses]])</f>
        <v>0</v>
      </c>
      <c r="P306" s="16">
        <f>SUM(Table378[[#This Row],[Total Trees as of 12/31/24]]-Table378[[#This Row],['# Trees as of 12/31/23]])</f>
        <v>0</v>
      </c>
      <c r="Q306" s="16">
        <f>Table11[[#This Row],['#Total Replacements]]*Table11[[#This Row],[Canada Allocation %]]</f>
        <v>0</v>
      </c>
      <c r="R306" s="16">
        <f>IF(Table378[[#This Row],['#Survival based on Inventory]]=0,Table378['#Survival based on Last Year Estimate],Table378['#Survival based on Inventory])</f>
        <v>0</v>
      </c>
      <c r="S306" s="16">
        <f>Table11[[#This Row],['#Planted]]*Table11[[#This Row],[Canada Allocation %]]*Table11[[#This Row],[2024 Inventory Survival%-master]]</f>
        <v>0</v>
      </c>
      <c r="T306" s="16">
        <f>Table11[[#This Row],['#Planted]]*Table11[[#This Row],[Canada Allocation %]]*Table11[[#This Row],[2024 Estimated Survival%]]</f>
        <v>0</v>
      </c>
      <c r="U306" s="7">
        <f>Table11[[#This Row],[ETP Year]]</f>
        <v>2021</v>
      </c>
      <c r="V306" s="7">
        <f>Table11[[#This Row],[Planting Year]]</f>
        <v>2022</v>
      </c>
      <c r="W306" s="8">
        <f>Table11[[#This Row],[Survival% as of 12/31/23]]</f>
        <v>1</v>
      </c>
      <c r="X306" s="7">
        <f>Table11[[#This Row],[ETP'#s]]</f>
        <v>1</v>
      </c>
    </row>
    <row r="307" spans="1:24" x14ac:dyDescent="0.25">
      <c r="A307">
        <f>Table11[[#This Row],[Farmer'#]]</f>
        <v>10119</v>
      </c>
      <c r="B307" t="str">
        <f>Table11[[#This Row],[Representative]]</f>
        <v>William (Cliff) Scales</v>
      </c>
      <c r="C307" t="str">
        <f>Table11[[#This Row],[Contract Name]]</f>
        <v>William (Cliff) Scales</v>
      </c>
      <c r="D307" t="str">
        <f>Table11[[#This Row],[Status]]</f>
        <v>Active</v>
      </c>
      <c r="E307" t="str">
        <f>Table11[[#This Row],[Contract Code]]</f>
        <v>US0144</v>
      </c>
      <c r="F307" s="16">
        <f>Table11[[#This Row],['#TreesContract]]</f>
        <v>1100</v>
      </c>
      <c r="G307" s="16">
        <f>Table11[[#This Row],['#Planted]]</f>
        <v>1100</v>
      </c>
      <c r="H307" s="16">
        <f>Table11[[#This Row],['#TreesContract]]*Table11[[#This Row],[Canada Allocation %]]</f>
        <v>0</v>
      </c>
      <c r="I307" s="16">
        <f>Table11[[#This Row],['#Planted]]*Table11[[#This Row],[Canada Allocation %]]</f>
        <v>0</v>
      </c>
      <c r="J307" s="16">
        <f>Table11[[#This Row],[Contract Amendment]]*Table11[[#This Row],[Canada Allocation %]]</f>
        <v>0</v>
      </c>
      <c r="K307" s="16">
        <f>Table11[[#This Row],['#Trees as of 12/31/23]]*Table11[[#This Row],[Canada Allocation %]]</f>
        <v>0</v>
      </c>
      <c r="L307" s="16">
        <f>Table11[[#This Row],['#Replace 24]]*Table11[[#This Row],[Canada Allocation %]]</f>
        <v>0</v>
      </c>
      <c r="M307" s="16"/>
      <c r="N307" s="16">
        <f>(Table11[[#This Row],[2024 '#Trees Inventory + Estimate]]*Table11[[#This Row],[Canada Allocation %]])-SUM(Table378[[#This Row],['# Trees as of 12/31/23]:[New Trees/Planted in 2024]])</f>
        <v>0</v>
      </c>
      <c r="O307" s="16">
        <f>SUM(Table378[[#This Row],['# Trees as of 12/31/23]:[2024 Tree Losses]])</f>
        <v>0</v>
      </c>
      <c r="P307" s="16">
        <f>SUM(Table378[[#This Row],[Total Trees as of 12/31/24]]-Table378[[#This Row],['# Trees as of 12/31/23]])</f>
        <v>0</v>
      </c>
      <c r="Q307" s="16">
        <f>Table11[[#This Row],['#Total Replacements]]*Table11[[#This Row],[Canada Allocation %]]</f>
        <v>0</v>
      </c>
      <c r="R307" s="16">
        <f>IF(Table378[[#This Row],['#Survival based on Inventory]]=0,Table378['#Survival based on Last Year Estimate],Table378['#Survival based on Inventory])</f>
        <v>0</v>
      </c>
      <c r="S307" s="16">
        <f>Table11[[#This Row],['#Planted]]*Table11[[#This Row],[Canada Allocation %]]*Table11[[#This Row],[2024 Inventory Survival%-master]]</f>
        <v>0</v>
      </c>
      <c r="T307" s="16">
        <f>Table11[[#This Row],['#Planted]]*Table11[[#This Row],[Canada Allocation %]]*Table11[[#This Row],[2024 Estimated Survival%]]</f>
        <v>0</v>
      </c>
      <c r="U307" s="7">
        <f>Table11[[#This Row],[ETP Year]]</f>
        <v>2021</v>
      </c>
      <c r="V307" s="7">
        <f>Table11[[#This Row],[Planting Year]]</f>
        <v>2022</v>
      </c>
      <c r="W307" s="8">
        <f>Table11[[#This Row],[Survival% as of 12/31/23]]</f>
        <v>1</v>
      </c>
      <c r="X307" s="7">
        <f>Table11[[#This Row],[ETP'#s]]</f>
        <v>1</v>
      </c>
    </row>
    <row r="308" spans="1:24" x14ac:dyDescent="0.25">
      <c r="A308">
        <f>Table11[[#This Row],[Farmer'#]]</f>
        <v>20089</v>
      </c>
      <c r="B308" t="str">
        <f>Table11[[#This Row],[Representative]]</f>
        <v>Alvaro Vargas</v>
      </c>
      <c r="C308" t="str">
        <f>Table11[[#This Row],[Contract Name]]</f>
        <v>Alvaro Vargas</v>
      </c>
      <c r="D308" t="str">
        <f>Table11[[#This Row],[Status]]</f>
        <v>RFT</v>
      </c>
      <c r="E308" t="str">
        <f>Table11[[#This Row],[Contract Code]]</f>
        <v>CR0097</v>
      </c>
      <c r="F308" s="16">
        <f>Table11[[#This Row],['#TreesContract]]</f>
        <v>1200</v>
      </c>
      <c r="G308" s="16">
        <f>Table11[[#This Row],['#Planted]]</f>
        <v>1200</v>
      </c>
      <c r="H308" s="16">
        <f>Table11[[#This Row],['#TreesContract]]*Table11[[#This Row],[Canada Allocation %]]</f>
        <v>0</v>
      </c>
      <c r="I308" s="16">
        <f>Table11[[#This Row],['#Planted]]*Table11[[#This Row],[Canada Allocation %]]</f>
        <v>0</v>
      </c>
      <c r="J308" s="16">
        <f>Table11[[#This Row],[Contract Amendment]]*Table11[[#This Row],[Canada Allocation %]]</f>
        <v>0</v>
      </c>
      <c r="K308" s="16">
        <f>Table11[[#This Row],['#Trees as of 12/31/23]]*Table11[[#This Row],[Canada Allocation %]]</f>
        <v>0</v>
      </c>
      <c r="L308" s="16">
        <f>Table11[[#This Row],['#Replace 24]]*Table11[[#This Row],[Canada Allocation %]]</f>
        <v>0</v>
      </c>
      <c r="M308" s="16"/>
      <c r="N308" s="16">
        <f>(Table11[[#This Row],[2024 '#Trees Inventory + Estimate]]*Table11[[#This Row],[Canada Allocation %]])-SUM(Table378[[#This Row],['# Trees as of 12/31/23]:[New Trees/Planted in 2024]])</f>
        <v>0</v>
      </c>
      <c r="O308" s="16">
        <f>SUM(Table378[[#This Row],['# Trees as of 12/31/23]:[2024 Tree Losses]])</f>
        <v>0</v>
      </c>
      <c r="P308" s="16">
        <f>SUM(Table378[[#This Row],[Total Trees as of 12/31/24]]-Table378[[#This Row],['# Trees as of 12/31/23]])</f>
        <v>0</v>
      </c>
      <c r="Q308" s="16">
        <f>Table11[[#This Row],['#Total Replacements]]*Table11[[#This Row],[Canada Allocation %]]</f>
        <v>0</v>
      </c>
      <c r="R308" s="16">
        <f>IF(Table378[[#This Row],['#Survival based on Inventory]]=0,Table378['#Survival based on Last Year Estimate],Table378['#Survival based on Inventory])</f>
        <v>0</v>
      </c>
      <c r="S308" s="16">
        <f>Table11[[#This Row],['#Planted]]*Table11[[#This Row],[Canada Allocation %]]*Table11[[#This Row],[2024 Inventory Survival%-master]]</f>
        <v>0</v>
      </c>
      <c r="T308" s="16">
        <f>Table11[[#This Row],['#Planted]]*Table11[[#This Row],[Canada Allocation %]]*Table11[[#This Row],[2024 Estimated Survival%]]</f>
        <v>0</v>
      </c>
      <c r="U308" s="7">
        <f>Table11[[#This Row],[ETP Year]]</f>
        <v>2021</v>
      </c>
      <c r="V308" s="7">
        <f>Table11[[#This Row],[Planting Year]]</f>
        <v>2022</v>
      </c>
      <c r="W308" s="8">
        <f>Table11[[#This Row],[Survival% as of 12/31/23]]</f>
        <v>1</v>
      </c>
      <c r="X308" s="7">
        <f>Table11[[#This Row],[ETP'#s]]</f>
        <v>1</v>
      </c>
    </row>
    <row r="309" spans="1:24" x14ac:dyDescent="0.25">
      <c r="A309">
        <f>Table11[[#This Row],[Farmer'#]]</f>
        <v>20090</v>
      </c>
      <c r="B309" t="str">
        <f>Table11[[#This Row],[Representative]]</f>
        <v>Jacobo Pardo Jara</v>
      </c>
      <c r="C309" t="str">
        <f>Table11[[#This Row],[Contract Name]]</f>
        <v>Grettel Jara Lara</v>
      </c>
      <c r="D309" t="str">
        <f>Table11[[#This Row],[Status]]</f>
        <v>Active</v>
      </c>
      <c r="E309" t="str">
        <f>Table11[[#This Row],[Contract Code]]</f>
        <v>CR0098</v>
      </c>
      <c r="F309" s="16">
        <f>Table11[[#This Row],['#TreesContract]]</f>
        <v>1000</v>
      </c>
      <c r="G309" s="16">
        <f>Table11[[#This Row],['#Planted]]</f>
        <v>1000</v>
      </c>
      <c r="H309" s="16">
        <f>Table11[[#This Row],['#TreesContract]]*Table11[[#This Row],[Canada Allocation %]]</f>
        <v>0</v>
      </c>
      <c r="I309" s="16">
        <f>Table11[[#This Row],['#Planted]]*Table11[[#This Row],[Canada Allocation %]]</f>
        <v>0</v>
      </c>
      <c r="J309" s="16">
        <f>Table11[[#This Row],[Contract Amendment]]*Table11[[#This Row],[Canada Allocation %]]</f>
        <v>0</v>
      </c>
      <c r="K309" s="16">
        <f>Table11[[#This Row],['#Trees as of 12/31/23]]*Table11[[#This Row],[Canada Allocation %]]</f>
        <v>0</v>
      </c>
      <c r="L309" s="16">
        <f>Table11[[#This Row],['#Replace 24]]*Table11[[#This Row],[Canada Allocation %]]</f>
        <v>0</v>
      </c>
      <c r="M309" s="16"/>
      <c r="N309" s="16">
        <f>(Table11[[#This Row],[2024 '#Trees Inventory + Estimate]]*Table11[[#This Row],[Canada Allocation %]])-SUM(Table378[[#This Row],['# Trees as of 12/31/23]:[New Trees/Planted in 2024]])</f>
        <v>0</v>
      </c>
      <c r="O309" s="16">
        <f>SUM(Table378[[#This Row],['# Trees as of 12/31/23]:[2024 Tree Losses]])</f>
        <v>0</v>
      </c>
      <c r="P309" s="16">
        <f>SUM(Table378[[#This Row],[Total Trees as of 12/31/24]]-Table378[[#This Row],['# Trees as of 12/31/23]])</f>
        <v>0</v>
      </c>
      <c r="Q309" s="16">
        <f>Table11[[#This Row],['#Total Replacements]]*Table11[[#This Row],[Canada Allocation %]]</f>
        <v>0</v>
      </c>
      <c r="R309" s="16">
        <f>IF(Table378[[#This Row],['#Survival based on Inventory]]=0,Table378['#Survival based on Last Year Estimate],Table378['#Survival based on Inventory])</f>
        <v>0</v>
      </c>
      <c r="S309" s="16">
        <f>Table11[[#This Row],['#Planted]]*Table11[[#This Row],[Canada Allocation %]]*Table11[[#This Row],[2024 Inventory Survival%-master]]</f>
        <v>0</v>
      </c>
      <c r="T309" s="16">
        <f>Table11[[#This Row],['#Planted]]*Table11[[#This Row],[Canada Allocation %]]*Table11[[#This Row],[2024 Estimated Survival%]]</f>
        <v>0</v>
      </c>
      <c r="U309" s="7">
        <f>Table11[[#This Row],[ETP Year]]</f>
        <v>2021</v>
      </c>
      <c r="V309" s="7">
        <f>Table11[[#This Row],[Planting Year]]</f>
        <v>2022</v>
      </c>
      <c r="W309" s="8">
        <f>Table11[[#This Row],[Survival% as of 12/31/23]]</f>
        <v>1</v>
      </c>
      <c r="X309" s="7">
        <f>Table11[[#This Row],[ETP'#s]]</f>
        <v>1</v>
      </c>
    </row>
    <row r="310" spans="1:24" x14ac:dyDescent="0.25">
      <c r="A310">
        <f>Table11[[#This Row],[Farmer'#]]</f>
        <v>20091</v>
      </c>
      <c r="B310" t="str">
        <f>Table11[[#This Row],[Representative]]</f>
        <v>Corporacion Comercial San Miguel del Pacifico S.A</v>
      </c>
      <c r="C310" t="str">
        <f>Table11[[#This Row],[Contract Name]]</f>
        <v>Jose Francisco Angulo</v>
      </c>
      <c r="D310" t="str">
        <f>Table11[[#This Row],[Status]]</f>
        <v>Active</v>
      </c>
      <c r="E310" t="str">
        <f>Table11[[#This Row],[Contract Code]]</f>
        <v>CR0099</v>
      </c>
      <c r="F310" s="16">
        <f>Table11[[#This Row],['#TreesContract]]</f>
        <v>2000</v>
      </c>
      <c r="G310" s="16">
        <f>Table11[[#This Row],['#Planted]]</f>
        <v>2000</v>
      </c>
      <c r="H310" s="16">
        <f>Table11[[#This Row],['#TreesContract]]*Table11[[#This Row],[Canada Allocation %]]</f>
        <v>0</v>
      </c>
      <c r="I310" s="16">
        <f>Table11[[#This Row],['#Planted]]*Table11[[#This Row],[Canada Allocation %]]</f>
        <v>0</v>
      </c>
      <c r="J310" s="16">
        <f>Table11[[#This Row],[Contract Amendment]]*Table11[[#This Row],[Canada Allocation %]]</f>
        <v>0</v>
      </c>
      <c r="K310" s="16">
        <f>Table11[[#This Row],['#Trees as of 12/31/23]]*Table11[[#This Row],[Canada Allocation %]]</f>
        <v>0</v>
      </c>
      <c r="L310" s="16">
        <f>Table11[[#This Row],['#Replace 24]]*Table11[[#This Row],[Canada Allocation %]]</f>
        <v>0</v>
      </c>
      <c r="M310" s="16"/>
      <c r="N310" s="16">
        <f>(Table11[[#This Row],[2024 '#Trees Inventory + Estimate]]*Table11[[#This Row],[Canada Allocation %]])-SUM(Table378[[#This Row],['# Trees as of 12/31/23]:[New Trees/Planted in 2024]])</f>
        <v>0</v>
      </c>
      <c r="O310" s="16">
        <f>SUM(Table378[[#This Row],['# Trees as of 12/31/23]:[2024 Tree Losses]])</f>
        <v>0</v>
      </c>
      <c r="P310" s="16">
        <f>SUM(Table378[[#This Row],[Total Trees as of 12/31/24]]-Table378[[#This Row],['# Trees as of 12/31/23]])</f>
        <v>0</v>
      </c>
      <c r="Q310" s="16">
        <f>Table11[[#This Row],['#Total Replacements]]*Table11[[#This Row],[Canada Allocation %]]</f>
        <v>0</v>
      </c>
      <c r="R310" s="16">
        <f>IF(Table378[[#This Row],['#Survival based on Inventory]]=0,Table378['#Survival based on Last Year Estimate],Table378['#Survival based on Inventory])</f>
        <v>0</v>
      </c>
      <c r="S310" s="16">
        <f>Table11[[#This Row],['#Planted]]*Table11[[#This Row],[Canada Allocation %]]*Table11[[#This Row],[2024 Inventory Survival%-master]]</f>
        <v>0</v>
      </c>
      <c r="T310" s="16">
        <f>Table11[[#This Row],['#Planted]]*Table11[[#This Row],[Canada Allocation %]]*Table11[[#This Row],[2024 Estimated Survival%]]</f>
        <v>0</v>
      </c>
      <c r="U310" s="7">
        <f>Table11[[#This Row],[ETP Year]]</f>
        <v>2021</v>
      </c>
      <c r="V310" s="7">
        <f>Table11[[#This Row],[Planting Year]]</f>
        <v>2022</v>
      </c>
      <c r="W310" s="8">
        <f>Table11[[#This Row],[Survival% as of 12/31/23]]</f>
        <v>1</v>
      </c>
      <c r="X310" s="7">
        <f>Table11[[#This Row],[ETP'#s]]</f>
        <v>1</v>
      </c>
    </row>
    <row r="311" spans="1:24" x14ac:dyDescent="0.25">
      <c r="A311">
        <f>Table11[[#This Row],[Farmer'#]]</f>
        <v>30023</v>
      </c>
      <c r="B311" t="str">
        <f>Table11[[#This Row],[Representative]]</f>
        <v>Julio Francisco Morán Pérez</v>
      </c>
      <c r="C311" t="str">
        <f>Table11[[#This Row],[Contract Name]]</f>
        <v>Julio Francisco Morán Pérez</v>
      </c>
      <c r="D311" t="str">
        <f>Table11[[#This Row],[Status]]</f>
        <v>Active</v>
      </c>
      <c r="E311" t="str">
        <f>Table11[[#This Row],[Contract Code]]</f>
        <v>GT0042</v>
      </c>
      <c r="F311" s="16">
        <f>Table11[[#This Row],['#TreesContract]]</f>
        <v>4000</v>
      </c>
      <c r="G311" s="16">
        <f>Table11[[#This Row],['#Planted]]</f>
        <v>4000</v>
      </c>
      <c r="H311" s="16">
        <f>Table11[[#This Row],['#TreesContract]]*Table11[[#This Row],[Canada Allocation %]]</f>
        <v>0</v>
      </c>
      <c r="I311" s="16">
        <f>Table11[[#This Row],['#Planted]]*Table11[[#This Row],[Canada Allocation %]]</f>
        <v>0</v>
      </c>
      <c r="J311" s="16">
        <f>Table11[[#This Row],[Contract Amendment]]*Table11[[#This Row],[Canada Allocation %]]</f>
        <v>0</v>
      </c>
      <c r="K311" s="16">
        <f>Table11[[#This Row],['#Trees as of 12/31/23]]*Table11[[#This Row],[Canada Allocation %]]</f>
        <v>0</v>
      </c>
      <c r="L311" s="16">
        <f>Table11[[#This Row],['#Replace 24]]*Table11[[#This Row],[Canada Allocation %]]</f>
        <v>0</v>
      </c>
      <c r="M311" s="16"/>
      <c r="N311" s="16">
        <f>(Table11[[#This Row],[2024 '#Trees Inventory + Estimate]]*Table11[[#This Row],[Canada Allocation %]])-SUM(Table378[[#This Row],['# Trees as of 12/31/23]:[New Trees/Planted in 2024]])</f>
        <v>0</v>
      </c>
      <c r="O311" s="16">
        <f>SUM(Table378[[#This Row],['# Trees as of 12/31/23]:[2024 Tree Losses]])</f>
        <v>0</v>
      </c>
      <c r="P311" s="16">
        <f>SUM(Table378[[#This Row],[Total Trees as of 12/31/24]]-Table378[[#This Row],['# Trees as of 12/31/23]])</f>
        <v>0</v>
      </c>
      <c r="Q311" s="16">
        <f>Table11[[#This Row],['#Total Replacements]]*Table11[[#This Row],[Canada Allocation %]]</f>
        <v>0</v>
      </c>
      <c r="R311" s="16">
        <f>IF(Table378[[#This Row],['#Survival based on Inventory]]=0,Table378['#Survival based on Last Year Estimate],Table378['#Survival based on Inventory])</f>
        <v>0</v>
      </c>
      <c r="S311" s="16">
        <f>Table11[[#This Row],['#Planted]]*Table11[[#This Row],[Canada Allocation %]]*Table11[[#This Row],[2024 Inventory Survival%-master]]</f>
        <v>0</v>
      </c>
      <c r="T311" s="16">
        <f>Table11[[#This Row],['#Planted]]*Table11[[#This Row],[Canada Allocation %]]*Table11[[#This Row],[2024 Estimated Survival%]]</f>
        <v>0</v>
      </c>
      <c r="U311" s="7">
        <f>Table11[[#This Row],[ETP Year]]</f>
        <v>2021</v>
      </c>
      <c r="V311" s="7">
        <f>Table11[[#This Row],[Planting Year]]</f>
        <v>2022</v>
      </c>
      <c r="W311" s="8">
        <f>Table11[[#This Row],[Survival% as of 12/31/23]]</f>
        <v>1</v>
      </c>
      <c r="X311" s="7">
        <f>Table11[[#This Row],[ETP'#s]]</f>
        <v>1</v>
      </c>
    </row>
    <row r="312" spans="1:24" x14ac:dyDescent="0.25">
      <c r="A312">
        <f>Table11[[#This Row],[Farmer'#]]</f>
        <v>30026</v>
      </c>
      <c r="B312" t="str">
        <f>Table11[[#This Row],[Representative]]</f>
        <v>Richard Steven Callaway Ayau - Eco Energía H20</v>
      </c>
      <c r="C312" t="str">
        <f>Table11[[#This Row],[Contract Name]]</f>
        <v>Richard Steven Callaway Ayau</v>
      </c>
      <c r="D312" t="str">
        <f>Table11[[#This Row],[Status]]</f>
        <v>Active</v>
      </c>
      <c r="E312" t="str">
        <f>Table11[[#This Row],[Contract Code]]</f>
        <v>GT0043</v>
      </c>
      <c r="F312" s="16">
        <f>Table11[[#This Row],['#TreesContract]]</f>
        <v>2000</v>
      </c>
      <c r="G312" s="16">
        <f>Table11[[#This Row],['#Planted]]</f>
        <v>2000</v>
      </c>
      <c r="H312" s="16">
        <f>Table11[[#This Row],['#TreesContract]]*Table11[[#This Row],[Canada Allocation %]]</f>
        <v>0</v>
      </c>
      <c r="I312" s="16">
        <f>Table11[[#This Row],['#Planted]]*Table11[[#This Row],[Canada Allocation %]]</f>
        <v>0</v>
      </c>
      <c r="J312" s="16">
        <f>Table11[[#This Row],[Contract Amendment]]*Table11[[#This Row],[Canada Allocation %]]</f>
        <v>0</v>
      </c>
      <c r="K312" s="16">
        <f>Table11[[#This Row],['#Trees as of 12/31/23]]*Table11[[#This Row],[Canada Allocation %]]</f>
        <v>0</v>
      </c>
      <c r="L312" s="16">
        <f>Table11[[#This Row],['#Replace 24]]*Table11[[#This Row],[Canada Allocation %]]</f>
        <v>0</v>
      </c>
      <c r="M312" s="16"/>
      <c r="N312" s="16">
        <f>(Table11[[#This Row],[2024 '#Trees Inventory + Estimate]]*Table11[[#This Row],[Canada Allocation %]])-SUM(Table378[[#This Row],['# Trees as of 12/31/23]:[New Trees/Planted in 2024]])</f>
        <v>0</v>
      </c>
      <c r="O312" s="16">
        <f>SUM(Table378[[#This Row],['# Trees as of 12/31/23]:[2024 Tree Losses]])</f>
        <v>0</v>
      </c>
      <c r="P312" s="16">
        <f>SUM(Table378[[#This Row],[Total Trees as of 12/31/24]]-Table378[[#This Row],['# Trees as of 12/31/23]])</f>
        <v>0</v>
      </c>
      <c r="Q312" s="16">
        <f>Table11[[#This Row],['#Total Replacements]]*Table11[[#This Row],[Canada Allocation %]]</f>
        <v>0</v>
      </c>
      <c r="R312" s="16">
        <f>IF(Table378[[#This Row],['#Survival based on Inventory]]=0,Table378['#Survival based on Last Year Estimate],Table378['#Survival based on Inventory])</f>
        <v>0</v>
      </c>
      <c r="S312" s="16">
        <f>Table11[[#This Row],['#Planted]]*Table11[[#This Row],[Canada Allocation %]]*Table11[[#This Row],[2024 Inventory Survival%-master]]</f>
        <v>0</v>
      </c>
      <c r="T312" s="16">
        <f>Table11[[#This Row],['#Planted]]*Table11[[#This Row],[Canada Allocation %]]*Table11[[#This Row],[2024 Estimated Survival%]]</f>
        <v>0</v>
      </c>
      <c r="U312" s="7">
        <f>Table11[[#This Row],[ETP Year]]</f>
        <v>2021</v>
      </c>
      <c r="V312" s="7">
        <f>Table11[[#This Row],[Planting Year]]</f>
        <v>2022</v>
      </c>
      <c r="W312" s="8">
        <f>Table11[[#This Row],[Survival% as of 12/31/23]]</f>
        <v>1</v>
      </c>
      <c r="X312" s="7">
        <f>Table11[[#This Row],[ETP'#s]]</f>
        <v>1</v>
      </c>
    </row>
    <row r="313" spans="1:24" x14ac:dyDescent="0.25">
      <c r="A313">
        <f>Table11[[#This Row],[Farmer'#]]</f>
        <v>30028</v>
      </c>
      <c r="B313" t="str">
        <f>Table11[[#This Row],[Representative]]</f>
        <v>Derek José Herman Gordillo</v>
      </c>
      <c r="C313" t="str">
        <f>Table11[[#This Row],[Contract Name]]</f>
        <v>Agroindustrias Nativa S.A./Derek José Herman Gordillo</v>
      </c>
      <c r="D313" t="str">
        <f>Table11[[#This Row],[Status]]</f>
        <v>Active</v>
      </c>
      <c r="E313" t="str">
        <f>Table11[[#This Row],[Contract Code]]</f>
        <v>GT0031b</v>
      </c>
      <c r="F313" s="16">
        <f>Table11[[#This Row],['#TreesContract]]</f>
        <v>20500</v>
      </c>
      <c r="G313" s="16">
        <f>Table11[[#This Row],['#Planted]]</f>
        <v>20489</v>
      </c>
      <c r="H313" s="16">
        <f>Table11[[#This Row],['#TreesContract]]*Table11[[#This Row],[Canada Allocation %]]</f>
        <v>0</v>
      </c>
      <c r="I313" s="16">
        <f>Table11[[#This Row],['#Planted]]*Table11[[#This Row],[Canada Allocation %]]</f>
        <v>0</v>
      </c>
      <c r="J313" s="16">
        <f>Table11[[#This Row],[Contract Amendment]]*Table11[[#This Row],[Canada Allocation %]]</f>
        <v>0</v>
      </c>
      <c r="K313" s="16">
        <f>Table11[[#This Row],['#Trees as of 12/31/23]]*Table11[[#This Row],[Canada Allocation %]]</f>
        <v>0</v>
      </c>
      <c r="L313" s="16">
        <f>Table11[[#This Row],['#Replace 24]]*Table11[[#This Row],[Canada Allocation %]]</f>
        <v>0</v>
      </c>
      <c r="M313" s="16"/>
      <c r="N313" s="16">
        <f>(Table11[[#This Row],[2024 '#Trees Inventory + Estimate]]*Table11[[#This Row],[Canada Allocation %]])-SUM(Table378[[#This Row],['# Trees as of 12/31/23]:[New Trees/Planted in 2024]])</f>
        <v>0</v>
      </c>
      <c r="O313" s="16">
        <f>SUM(Table378[[#This Row],['# Trees as of 12/31/23]:[2024 Tree Losses]])</f>
        <v>0</v>
      </c>
      <c r="P313" s="16">
        <f>SUM(Table378[[#This Row],[Total Trees as of 12/31/24]]-Table378[[#This Row],['# Trees as of 12/31/23]])</f>
        <v>0</v>
      </c>
      <c r="Q313" s="16">
        <f>Table11[[#This Row],['#Total Replacements]]*Table11[[#This Row],[Canada Allocation %]]</f>
        <v>0</v>
      </c>
      <c r="R313" s="16">
        <f>IF(Table378[[#This Row],['#Survival based on Inventory]]=0,Table378['#Survival based on Last Year Estimate],Table378['#Survival based on Inventory])</f>
        <v>0</v>
      </c>
      <c r="S313" s="16">
        <f>Table11[[#This Row],['#Planted]]*Table11[[#This Row],[Canada Allocation %]]*Table11[[#This Row],[2024 Inventory Survival%-master]]</f>
        <v>0</v>
      </c>
      <c r="T313" s="16">
        <f>Table11[[#This Row],['#Planted]]*Table11[[#This Row],[Canada Allocation %]]*Table11[[#This Row],[2024 Estimated Survival%]]</f>
        <v>0</v>
      </c>
      <c r="U313" s="7">
        <f>Table11[[#This Row],[ETP Year]]</f>
        <v>2021</v>
      </c>
      <c r="V313" s="7">
        <f>Table11[[#This Row],[Planting Year]]</f>
        <v>2022</v>
      </c>
      <c r="W313" s="8">
        <f>Table11[[#This Row],[Survival% as of 12/31/23]]</f>
        <v>1</v>
      </c>
      <c r="X313" s="7">
        <f>Table11[[#This Row],[ETP'#s]]</f>
        <v>1</v>
      </c>
    </row>
    <row r="314" spans="1:24" x14ac:dyDescent="0.25">
      <c r="A314">
        <f>Table11[[#This Row],[Farmer'#]]</f>
        <v>30033</v>
      </c>
      <c r="B314" t="str">
        <f>Table11[[#This Row],[Representative]]</f>
        <v>Trapiche de la Vega S.A. /María Isabel Agüero</v>
      </c>
      <c r="C314" t="str">
        <f>Table11[[#This Row],[Contract Name]]</f>
        <v>Trapiche de la Vega S.A. /María Isabel Agüero</v>
      </c>
      <c r="D314" t="str">
        <f>Table11[[#This Row],[Status]]</f>
        <v>Active</v>
      </c>
      <c r="E314" t="str">
        <f>Table11[[#This Row],[Contract Code]]</f>
        <v>GT0041</v>
      </c>
      <c r="F314" s="16">
        <f>Table11[[#This Row],['#TreesContract]]</f>
        <v>1000</v>
      </c>
      <c r="G314" s="16">
        <f>Table11[[#This Row],['#Planted]]</f>
        <v>1000</v>
      </c>
      <c r="H314" s="16">
        <f>Table11[[#This Row],['#TreesContract]]*Table11[[#This Row],[Canada Allocation %]]</f>
        <v>0</v>
      </c>
      <c r="I314" s="16">
        <f>Table11[[#This Row],['#Planted]]*Table11[[#This Row],[Canada Allocation %]]</f>
        <v>0</v>
      </c>
      <c r="J314" s="16">
        <f>Table11[[#This Row],[Contract Amendment]]*Table11[[#This Row],[Canada Allocation %]]</f>
        <v>0</v>
      </c>
      <c r="K314" s="16">
        <f>Table11[[#This Row],['#Trees as of 12/31/23]]*Table11[[#This Row],[Canada Allocation %]]</f>
        <v>0</v>
      </c>
      <c r="L314" s="16">
        <f>Table11[[#This Row],['#Replace 24]]*Table11[[#This Row],[Canada Allocation %]]</f>
        <v>0</v>
      </c>
      <c r="M314" s="16"/>
      <c r="N314" s="16">
        <f>(Table11[[#This Row],[2024 '#Trees Inventory + Estimate]]*Table11[[#This Row],[Canada Allocation %]])-SUM(Table378[[#This Row],['# Trees as of 12/31/23]:[New Trees/Planted in 2024]])</f>
        <v>0</v>
      </c>
      <c r="O314" s="16">
        <f>SUM(Table378[[#This Row],['# Trees as of 12/31/23]:[2024 Tree Losses]])</f>
        <v>0</v>
      </c>
      <c r="P314" s="16">
        <f>SUM(Table378[[#This Row],[Total Trees as of 12/31/24]]-Table378[[#This Row],['# Trees as of 12/31/23]])</f>
        <v>0</v>
      </c>
      <c r="Q314" s="16">
        <f>Table11[[#This Row],['#Total Replacements]]*Table11[[#This Row],[Canada Allocation %]]</f>
        <v>0</v>
      </c>
      <c r="R314" s="16">
        <f>IF(Table378[[#This Row],['#Survival based on Inventory]]=0,Table378['#Survival based on Last Year Estimate],Table378['#Survival based on Inventory])</f>
        <v>0</v>
      </c>
      <c r="S314" s="16">
        <f>Table11[[#This Row],['#Planted]]*Table11[[#This Row],[Canada Allocation %]]*Table11[[#This Row],[2024 Inventory Survival%-master]]</f>
        <v>0</v>
      </c>
      <c r="T314" s="16">
        <f>Table11[[#This Row],['#Planted]]*Table11[[#This Row],[Canada Allocation %]]*Table11[[#This Row],[2024 Estimated Survival%]]</f>
        <v>0</v>
      </c>
      <c r="U314" s="7">
        <f>Table11[[#This Row],[ETP Year]]</f>
        <v>2021</v>
      </c>
      <c r="V314" s="7">
        <f>Table11[[#This Row],[Planting Year]]</f>
        <v>2022</v>
      </c>
      <c r="W314" s="8">
        <f>Table11[[#This Row],[Survival% as of 12/31/23]]</f>
        <v>1</v>
      </c>
      <c r="X314" s="7">
        <f>Table11[[#This Row],[ETP'#s]]</f>
        <v>1</v>
      </c>
    </row>
    <row r="315" spans="1:24" x14ac:dyDescent="0.25">
      <c r="A315">
        <f>Table11[[#This Row],[Farmer'#]]</f>
        <v>40025</v>
      </c>
      <c r="B315" t="str">
        <f>Table11[[#This Row],[Representative]]</f>
        <v>Caralampio Arreola López</v>
      </c>
      <c r="C315" t="str">
        <f>Table11[[#This Row],[Contract Name]]</f>
        <v>Caralampio Arreola López</v>
      </c>
      <c r="D315" t="str">
        <f>Table11[[#This Row],[Status]]</f>
        <v>Active</v>
      </c>
      <c r="E315" t="str">
        <f>Table11[[#This Row],[Contract Code]]</f>
        <v>MX0026</v>
      </c>
      <c r="F315" s="16">
        <f>Table11[[#This Row],['#TreesContract]]</f>
        <v>2750</v>
      </c>
      <c r="G315" s="16">
        <f>Table11[[#This Row],['#Planted]]</f>
        <v>2750</v>
      </c>
      <c r="H315" s="16">
        <f>Table11[[#This Row],['#TreesContract]]*Table11[[#This Row],[Canada Allocation %]]</f>
        <v>0</v>
      </c>
      <c r="I315" s="16">
        <f>Table11[[#This Row],['#Planted]]*Table11[[#This Row],[Canada Allocation %]]</f>
        <v>0</v>
      </c>
      <c r="J315" s="16">
        <f>Table11[[#This Row],[Contract Amendment]]*Table11[[#This Row],[Canada Allocation %]]</f>
        <v>0</v>
      </c>
      <c r="K315" s="16">
        <f>Table11[[#This Row],['#Trees as of 12/31/23]]*Table11[[#This Row],[Canada Allocation %]]</f>
        <v>0</v>
      </c>
      <c r="L315" s="16">
        <f>Table11[[#This Row],['#Replace 24]]*Table11[[#This Row],[Canada Allocation %]]</f>
        <v>0</v>
      </c>
      <c r="M315" s="16"/>
      <c r="N315" s="16">
        <f>(Table11[[#This Row],[2024 '#Trees Inventory + Estimate]]*Table11[[#This Row],[Canada Allocation %]])-SUM(Table378[[#This Row],['# Trees as of 12/31/23]:[New Trees/Planted in 2024]])</f>
        <v>0</v>
      </c>
      <c r="O315" s="16">
        <f>SUM(Table378[[#This Row],['# Trees as of 12/31/23]:[2024 Tree Losses]])</f>
        <v>0</v>
      </c>
      <c r="P315" s="16">
        <f>SUM(Table378[[#This Row],[Total Trees as of 12/31/24]]-Table378[[#This Row],['# Trees as of 12/31/23]])</f>
        <v>0</v>
      </c>
      <c r="Q315" s="16">
        <f>Table11[[#This Row],['#Total Replacements]]*Table11[[#This Row],[Canada Allocation %]]</f>
        <v>0</v>
      </c>
      <c r="R315" s="16">
        <f>IF(Table378[[#This Row],['#Survival based on Inventory]]=0,Table378['#Survival based on Last Year Estimate],Table378['#Survival based on Inventory])</f>
        <v>0</v>
      </c>
      <c r="S315" s="16">
        <f>Table11[[#This Row],['#Planted]]*Table11[[#This Row],[Canada Allocation %]]*Table11[[#This Row],[2024 Inventory Survival%-master]]</f>
        <v>0</v>
      </c>
      <c r="T315" s="16">
        <f>Table11[[#This Row],['#Planted]]*Table11[[#This Row],[Canada Allocation %]]*Table11[[#This Row],[2024 Estimated Survival%]]</f>
        <v>0</v>
      </c>
      <c r="U315" s="7">
        <f>Table11[[#This Row],[ETP Year]]</f>
        <v>2021</v>
      </c>
      <c r="V315" s="7">
        <f>Table11[[#This Row],[Planting Year]]</f>
        <v>2022</v>
      </c>
      <c r="W315" s="8">
        <f>Table11[[#This Row],[Survival% as of 12/31/23]]</f>
        <v>1</v>
      </c>
      <c r="X315" s="7">
        <f>Table11[[#This Row],[ETP'#s]]</f>
        <v>1</v>
      </c>
    </row>
    <row r="316" spans="1:24" x14ac:dyDescent="0.25">
      <c r="A316">
        <f>Table11[[#This Row],[Farmer'#]]</f>
        <v>40026</v>
      </c>
      <c r="B316" t="str">
        <f>Table11[[#This Row],[Representative]]</f>
        <v>Carlos Carbajal</v>
      </c>
      <c r="C316" t="str">
        <f>Table11[[#This Row],[Contract Name]]</f>
        <v>Carlos Carbajal</v>
      </c>
      <c r="D316" t="str">
        <f>Table11[[#This Row],[Status]]</f>
        <v>Active</v>
      </c>
      <c r="E316" t="str">
        <f>Table11[[#This Row],[Contract Code]]</f>
        <v>MX0027</v>
      </c>
      <c r="F316" s="16">
        <f>Table11[[#This Row],['#TreesContract]]</f>
        <v>2750</v>
      </c>
      <c r="G316" s="16">
        <f>Table11[[#This Row],['#Planted]]</f>
        <v>2750</v>
      </c>
      <c r="H316" s="16">
        <f>Table11[[#This Row],['#TreesContract]]*Table11[[#This Row],[Canada Allocation %]]</f>
        <v>0</v>
      </c>
      <c r="I316" s="16">
        <f>Table11[[#This Row],['#Planted]]*Table11[[#This Row],[Canada Allocation %]]</f>
        <v>0</v>
      </c>
      <c r="J316" s="16">
        <f>Table11[[#This Row],[Contract Amendment]]*Table11[[#This Row],[Canada Allocation %]]</f>
        <v>0</v>
      </c>
      <c r="K316" s="16">
        <f>Table11[[#This Row],['#Trees as of 12/31/23]]*Table11[[#This Row],[Canada Allocation %]]</f>
        <v>0</v>
      </c>
      <c r="L316" s="16">
        <f>Table11[[#This Row],['#Replace 24]]*Table11[[#This Row],[Canada Allocation %]]</f>
        <v>0</v>
      </c>
      <c r="M316" s="16"/>
      <c r="N316" s="16">
        <f>(Table11[[#This Row],[2024 '#Trees Inventory + Estimate]]*Table11[[#This Row],[Canada Allocation %]])-SUM(Table378[[#This Row],['# Trees as of 12/31/23]:[New Trees/Planted in 2024]])</f>
        <v>0</v>
      </c>
      <c r="O316" s="16">
        <f>SUM(Table378[[#This Row],['# Trees as of 12/31/23]:[2024 Tree Losses]])</f>
        <v>0</v>
      </c>
      <c r="P316" s="16">
        <f>SUM(Table378[[#This Row],[Total Trees as of 12/31/24]]-Table378[[#This Row],['# Trees as of 12/31/23]])</f>
        <v>0</v>
      </c>
      <c r="Q316" s="16">
        <f>Table11[[#This Row],['#Total Replacements]]*Table11[[#This Row],[Canada Allocation %]]</f>
        <v>0</v>
      </c>
      <c r="R316" s="16">
        <f>IF(Table378[[#This Row],['#Survival based on Inventory]]=0,Table378['#Survival based on Last Year Estimate],Table378['#Survival based on Inventory])</f>
        <v>0</v>
      </c>
      <c r="S316" s="16">
        <f>Table11[[#This Row],['#Planted]]*Table11[[#This Row],[Canada Allocation %]]*Table11[[#This Row],[2024 Inventory Survival%-master]]</f>
        <v>0</v>
      </c>
      <c r="T316" s="16">
        <f>Table11[[#This Row],['#Planted]]*Table11[[#This Row],[Canada Allocation %]]*Table11[[#This Row],[2024 Estimated Survival%]]</f>
        <v>0</v>
      </c>
      <c r="U316" s="7">
        <f>Table11[[#This Row],[ETP Year]]</f>
        <v>2021</v>
      </c>
      <c r="V316" s="7">
        <f>Table11[[#This Row],[Planting Year]]</f>
        <v>2022</v>
      </c>
      <c r="W316" s="8">
        <f>Table11[[#This Row],[Survival% as of 12/31/23]]</f>
        <v>1</v>
      </c>
      <c r="X316" s="7">
        <f>Table11[[#This Row],[ETP'#s]]</f>
        <v>1</v>
      </c>
    </row>
    <row r="317" spans="1:24" x14ac:dyDescent="0.25">
      <c r="A317">
        <f>Table11[[#This Row],[Farmer'#]]</f>
        <v>40027</v>
      </c>
      <c r="B317" t="str">
        <f>Table11[[#This Row],[Representative]]</f>
        <v>Cirilo Carbajal Hernandez</v>
      </c>
      <c r="C317" t="str">
        <f>Table11[[#This Row],[Contract Name]]</f>
        <v>Cirilo Carbajal Hernandez</v>
      </c>
      <c r="D317" t="str">
        <f>Table11[[#This Row],[Status]]</f>
        <v>Active</v>
      </c>
      <c r="E317" t="str">
        <f>Table11[[#This Row],[Contract Code]]</f>
        <v>MX0028</v>
      </c>
      <c r="F317" s="16">
        <f>Table11[[#This Row],['#TreesContract]]</f>
        <v>2750</v>
      </c>
      <c r="G317" s="16">
        <f>Table11[[#This Row],['#Planted]]</f>
        <v>2750</v>
      </c>
      <c r="H317" s="16">
        <f>Table11[[#This Row],['#TreesContract]]*Table11[[#This Row],[Canada Allocation %]]</f>
        <v>0</v>
      </c>
      <c r="I317" s="16">
        <f>Table11[[#This Row],['#Planted]]*Table11[[#This Row],[Canada Allocation %]]</f>
        <v>0</v>
      </c>
      <c r="J317" s="16">
        <f>Table11[[#This Row],[Contract Amendment]]*Table11[[#This Row],[Canada Allocation %]]</f>
        <v>0</v>
      </c>
      <c r="K317" s="16">
        <f>Table11[[#This Row],['#Trees as of 12/31/23]]*Table11[[#This Row],[Canada Allocation %]]</f>
        <v>0</v>
      </c>
      <c r="L317" s="16">
        <f>Table11[[#This Row],['#Replace 24]]*Table11[[#This Row],[Canada Allocation %]]</f>
        <v>0</v>
      </c>
      <c r="M317" s="16"/>
      <c r="N317" s="16">
        <f>(Table11[[#This Row],[2024 '#Trees Inventory + Estimate]]*Table11[[#This Row],[Canada Allocation %]])-SUM(Table378[[#This Row],['# Trees as of 12/31/23]:[New Trees/Planted in 2024]])</f>
        <v>0</v>
      </c>
      <c r="O317" s="16">
        <f>SUM(Table378[[#This Row],['# Trees as of 12/31/23]:[2024 Tree Losses]])</f>
        <v>0</v>
      </c>
      <c r="P317" s="16">
        <f>SUM(Table378[[#This Row],[Total Trees as of 12/31/24]]-Table378[[#This Row],['# Trees as of 12/31/23]])</f>
        <v>0</v>
      </c>
      <c r="Q317" s="16">
        <f>Table11[[#This Row],['#Total Replacements]]*Table11[[#This Row],[Canada Allocation %]]</f>
        <v>0</v>
      </c>
      <c r="R317" s="16">
        <f>IF(Table378[[#This Row],['#Survival based on Inventory]]=0,Table378['#Survival based on Last Year Estimate],Table378['#Survival based on Inventory])</f>
        <v>0</v>
      </c>
      <c r="S317" s="16">
        <f>Table11[[#This Row],['#Planted]]*Table11[[#This Row],[Canada Allocation %]]*Table11[[#This Row],[2024 Inventory Survival%-master]]</f>
        <v>0</v>
      </c>
      <c r="T317" s="16">
        <f>Table11[[#This Row],['#Planted]]*Table11[[#This Row],[Canada Allocation %]]*Table11[[#This Row],[2024 Estimated Survival%]]</f>
        <v>0</v>
      </c>
      <c r="U317" s="7">
        <f>Table11[[#This Row],[ETP Year]]</f>
        <v>2021</v>
      </c>
      <c r="V317" s="7">
        <f>Table11[[#This Row],[Planting Year]]</f>
        <v>2022</v>
      </c>
      <c r="W317" s="8">
        <f>Table11[[#This Row],[Survival% as of 12/31/23]]</f>
        <v>1</v>
      </c>
      <c r="X317" s="7">
        <f>Table11[[#This Row],[ETP'#s]]</f>
        <v>1</v>
      </c>
    </row>
    <row r="318" spans="1:24" x14ac:dyDescent="0.25">
      <c r="A318">
        <f>Table11[[#This Row],[Farmer'#]]</f>
        <v>40028</v>
      </c>
      <c r="B318" t="str">
        <f>Table11[[#This Row],[Representative]]</f>
        <v>Francisco Contreras</v>
      </c>
      <c r="C318" t="str">
        <f>Table11[[#This Row],[Contract Name]]</f>
        <v>Francisco Contreras</v>
      </c>
      <c r="D318" t="str">
        <f>Table11[[#This Row],[Status]]</f>
        <v>Active</v>
      </c>
      <c r="E318" t="str">
        <f>Table11[[#This Row],[Contract Code]]</f>
        <v>MX0029</v>
      </c>
      <c r="F318" s="16">
        <f>Table11[[#This Row],['#TreesContract]]</f>
        <v>5600</v>
      </c>
      <c r="G318" s="16">
        <f>Table11[[#This Row],['#Planted]]</f>
        <v>5600</v>
      </c>
      <c r="H318" s="16">
        <f>Table11[[#This Row],['#TreesContract]]*Table11[[#This Row],[Canada Allocation %]]</f>
        <v>0</v>
      </c>
      <c r="I318" s="16">
        <f>Table11[[#This Row],['#Planted]]*Table11[[#This Row],[Canada Allocation %]]</f>
        <v>0</v>
      </c>
      <c r="J318" s="16">
        <f>Table11[[#This Row],[Contract Amendment]]*Table11[[#This Row],[Canada Allocation %]]</f>
        <v>0</v>
      </c>
      <c r="K318" s="16">
        <f>Table11[[#This Row],['#Trees as of 12/31/23]]*Table11[[#This Row],[Canada Allocation %]]</f>
        <v>0</v>
      </c>
      <c r="L318" s="16">
        <f>Table11[[#This Row],['#Replace 24]]*Table11[[#This Row],[Canada Allocation %]]</f>
        <v>0</v>
      </c>
      <c r="M318" s="16"/>
      <c r="N318" s="16">
        <f>(Table11[[#This Row],[2024 '#Trees Inventory + Estimate]]*Table11[[#This Row],[Canada Allocation %]])-SUM(Table378[[#This Row],['# Trees as of 12/31/23]:[New Trees/Planted in 2024]])</f>
        <v>0</v>
      </c>
      <c r="O318" s="16">
        <f>SUM(Table378[[#This Row],['# Trees as of 12/31/23]:[2024 Tree Losses]])</f>
        <v>0</v>
      </c>
      <c r="P318" s="16">
        <f>SUM(Table378[[#This Row],[Total Trees as of 12/31/24]]-Table378[[#This Row],['# Trees as of 12/31/23]])</f>
        <v>0</v>
      </c>
      <c r="Q318" s="16">
        <f>Table11[[#This Row],['#Total Replacements]]*Table11[[#This Row],[Canada Allocation %]]</f>
        <v>0</v>
      </c>
      <c r="R318" s="16">
        <f>IF(Table378[[#This Row],['#Survival based on Inventory]]=0,Table378['#Survival based on Last Year Estimate],Table378['#Survival based on Inventory])</f>
        <v>0</v>
      </c>
      <c r="S318" s="16">
        <f>Table11[[#This Row],['#Planted]]*Table11[[#This Row],[Canada Allocation %]]*Table11[[#This Row],[2024 Inventory Survival%-master]]</f>
        <v>0</v>
      </c>
      <c r="T318" s="16">
        <f>Table11[[#This Row],['#Planted]]*Table11[[#This Row],[Canada Allocation %]]*Table11[[#This Row],[2024 Estimated Survival%]]</f>
        <v>0</v>
      </c>
      <c r="U318" s="7">
        <f>Table11[[#This Row],[ETP Year]]</f>
        <v>2021</v>
      </c>
      <c r="V318" s="7">
        <f>Table11[[#This Row],[Planting Year]]</f>
        <v>2022</v>
      </c>
      <c r="W318" s="8">
        <f>Table11[[#This Row],[Survival% as of 12/31/23]]</f>
        <v>1</v>
      </c>
      <c r="X318" s="7">
        <f>Table11[[#This Row],[ETP'#s]]</f>
        <v>1</v>
      </c>
    </row>
    <row r="319" spans="1:24" x14ac:dyDescent="0.25">
      <c r="A319">
        <f>Table11[[#This Row],[Farmer'#]]</f>
        <v>40029</v>
      </c>
      <c r="B319" t="str">
        <f>Table11[[#This Row],[Representative]]</f>
        <v>Heradio Hernandez Jímenez</v>
      </c>
      <c r="C319" t="str">
        <f>Table11[[#This Row],[Contract Name]]</f>
        <v>Heradio Hernandez Jimenez</v>
      </c>
      <c r="D319" t="str">
        <f>Table11[[#This Row],[Status]]</f>
        <v>Active</v>
      </c>
      <c r="E319" t="str">
        <f>Table11[[#This Row],[Contract Code]]</f>
        <v>MX0030</v>
      </c>
      <c r="F319" s="16">
        <f>Table11[[#This Row],['#TreesContract]]</f>
        <v>2200</v>
      </c>
      <c r="G319" s="16">
        <f>Table11[[#This Row],['#Planted]]</f>
        <v>2200</v>
      </c>
      <c r="H319" s="16">
        <f>Table11[[#This Row],['#TreesContract]]*Table11[[#This Row],[Canada Allocation %]]</f>
        <v>0</v>
      </c>
      <c r="I319" s="16">
        <f>Table11[[#This Row],['#Planted]]*Table11[[#This Row],[Canada Allocation %]]</f>
        <v>0</v>
      </c>
      <c r="J319" s="16">
        <f>Table11[[#This Row],[Contract Amendment]]*Table11[[#This Row],[Canada Allocation %]]</f>
        <v>0</v>
      </c>
      <c r="K319" s="16">
        <f>Table11[[#This Row],['#Trees as of 12/31/23]]*Table11[[#This Row],[Canada Allocation %]]</f>
        <v>0</v>
      </c>
      <c r="L319" s="16">
        <f>Table11[[#This Row],['#Replace 24]]*Table11[[#This Row],[Canada Allocation %]]</f>
        <v>0</v>
      </c>
      <c r="M319" s="16"/>
      <c r="N319" s="16">
        <f>(Table11[[#This Row],[2024 '#Trees Inventory + Estimate]]*Table11[[#This Row],[Canada Allocation %]])-SUM(Table378[[#This Row],['# Trees as of 12/31/23]:[New Trees/Planted in 2024]])</f>
        <v>0</v>
      </c>
      <c r="O319" s="16">
        <f>SUM(Table378[[#This Row],['# Trees as of 12/31/23]:[2024 Tree Losses]])</f>
        <v>0</v>
      </c>
      <c r="P319" s="16">
        <f>SUM(Table378[[#This Row],[Total Trees as of 12/31/24]]-Table378[[#This Row],['# Trees as of 12/31/23]])</f>
        <v>0</v>
      </c>
      <c r="Q319" s="16">
        <f>Table11[[#This Row],['#Total Replacements]]*Table11[[#This Row],[Canada Allocation %]]</f>
        <v>0</v>
      </c>
      <c r="R319" s="16">
        <f>IF(Table378[[#This Row],['#Survival based on Inventory]]=0,Table378['#Survival based on Last Year Estimate],Table378['#Survival based on Inventory])</f>
        <v>0</v>
      </c>
      <c r="S319" s="16">
        <f>Table11[[#This Row],['#Planted]]*Table11[[#This Row],[Canada Allocation %]]*Table11[[#This Row],[2024 Inventory Survival%-master]]</f>
        <v>0</v>
      </c>
      <c r="T319" s="16">
        <f>Table11[[#This Row],['#Planted]]*Table11[[#This Row],[Canada Allocation %]]*Table11[[#This Row],[2024 Estimated Survival%]]</f>
        <v>0</v>
      </c>
      <c r="U319" s="7">
        <f>Table11[[#This Row],[ETP Year]]</f>
        <v>2021</v>
      </c>
      <c r="V319" s="7">
        <f>Table11[[#This Row],[Planting Year]]</f>
        <v>2022</v>
      </c>
      <c r="W319" s="8">
        <f>Table11[[#This Row],[Survival% as of 12/31/23]]</f>
        <v>1</v>
      </c>
      <c r="X319" s="7">
        <f>Table11[[#This Row],[ETP'#s]]</f>
        <v>1</v>
      </c>
    </row>
    <row r="320" spans="1:24" x14ac:dyDescent="0.25">
      <c r="A320">
        <f>Table11[[#This Row],[Farmer'#]]</f>
        <v>40030</v>
      </c>
      <c r="B320" t="str">
        <f>Table11[[#This Row],[Representative]]</f>
        <v>Jesus Rauda Gutierrez</v>
      </c>
      <c r="C320" t="str">
        <f>Table11[[#This Row],[Contract Name]]</f>
        <v>Jesus Rauda Gutierrez</v>
      </c>
      <c r="D320" t="str">
        <f>Table11[[#This Row],[Status]]</f>
        <v>Active</v>
      </c>
      <c r="E320" t="str">
        <f>Table11[[#This Row],[Contract Code]]</f>
        <v>MX0031</v>
      </c>
      <c r="F320" s="16">
        <f>Table11[[#This Row],['#TreesContract]]</f>
        <v>2750</v>
      </c>
      <c r="G320" s="16">
        <f>Table11[[#This Row],['#Planted]]</f>
        <v>2750</v>
      </c>
      <c r="H320" s="16">
        <f>Table11[[#This Row],['#TreesContract]]*Table11[[#This Row],[Canada Allocation %]]</f>
        <v>0</v>
      </c>
      <c r="I320" s="16">
        <f>Table11[[#This Row],['#Planted]]*Table11[[#This Row],[Canada Allocation %]]</f>
        <v>0</v>
      </c>
      <c r="J320" s="16">
        <f>Table11[[#This Row],[Contract Amendment]]*Table11[[#This Row],[Canada Allocation %]]</f>
        <v>0</v>
      </c>
      <c r="K320" s="16">
        <f>Table11[[#This Row],['#Trees as of 12/31/23]]*Table11[[#This Row],[Canada Allocation %]]</f>
        <v>0</v>
      </c>
      <c r="L320" s="16">
        <f>Table11[[#This Row],['#Replace 24]]*Table11[[#This Row],[Canada Allocation %]]</f>
        <v>0</v>
      </c>
      <c r="M320" s="16"/>
      <c r="N320" s="16">
        <f>(Table11[[#This Row],[2024 '#Trees Inventory + Estimate]]*Table11[[#This Row],[Canada Allocation %]])-SUM(Table378[[#This Row],['# Trees as of 12/31/23]:[New Trees/Planted in 2024]])</f>
        <v>0</v>
      </c>
      <c r="O320" s="16">
        <f>SUM(Table378[[#This Row],['# Trees as of 12/31/23]:[2024 Tree Losses]])</f>
        <v>0</v>
      </c>
      <c r="P320" s="16">
        <f>SUM(Table378[[#This Row],[Total Trees as of 12/31/24]]-Table378[[#This Row],['# Trees as of 12/31/23]])</f>
        <v>0</v>
      </c>
      <c r="Q320" s="16">
        <f>Table11[[#This Row],['#Total Replacements]]*Table11[[#This Row],[Canada Allocation %]]</f>
        <v>0</v>
      </c>
      <c r="R320" s="16">
        <f>IF(Table378[[#This Row],['#Survival based on Inventory]]=0,Table378['#Survival based on Last Year Estimate],Table378['#Survival based on Inventory])</f>
        <v>0</v>
      </c>
      <c r="S320" s="16">
        <f>Table11[[#This Row],['#Planted]]*Table11[[#This Row],[Canada Allocation %]]*Table11[[#This Row],[2024 Inventory Survival%-master]]</f>
        <v>0</v>
      </c>
      <c r="T320" s="16">
        <f>Table11[[#This Row],['#Planted]]*Table11[[#This Row],[Canada Allocation %]]*Table11[[#This Row],[2024 Estimated Survival%]]</f>
        <v>0</v>
      </c>
      <c r="U320" s="7">
        <f>Table11[[#This Row],[ETP Year]]</f>
        <v>2021</v>
      </c>
      <c r="V320" s="7">
        <f>Table11[[#This Row],[Planting Year]]</f>
        <v>2022</v>
      </c>
      <c r="W320" s="8">
        <f>Table11[[#This Row],[Survival% as of 12/31/23]]</f>
        <v>1</v>
      </c>
      <c r="X320" s="7">
        <f>Table11[[#This Row],[ETP'#s]]</f>
        <v>1</v>
      </c>
    </row>
    <row r="321" spans="1:24" x14ac:dyDescent="0.25">
      <c r="A321">
        <f>Table11[[#This Row],[Farmer'#]]</f>
        <v>40031</v>
      </c>
      <c r="B321" t="str">
        <f>Table11[[#This Row],[Representative]]</f>
        <v>Jose Armando Carbajal Ocampo</v>
      </c>
      <c r="C321" t="str">
        <f>Table11[[#This Row],[Contract Name]]</f>
        <v>Jose Armando Carbajal Ocampo</v>
      </c>
      <c r="D321" t="str">
        <f>Table11[[#This Row],[Status]]</f>
        <v>Active</v>
      </c>
      <c r="E321" t="str">
        <f>Table11[[#This Row],[Contract Code]]</f>
        <v>MX0032</v>
      </c>
      <c r="F321" s="16">
        <f>Table11[[#This Row],['#TreesContract]]</f>
        <v>2750</v>
      </c>
      <c r="G321" s="16">
        <f>Table11[[#This Row],['#Planted]]</f>
        <v>2750</v>
      </c>
      <c r="H321" s="16">
        <f>Table11[[#This Row],['#TreesContract]]*Table11[[#This Row],[Canada Allocation %]]</f>
        <v>0</v>
      </c>
      <c r="I321" s="16">
        <f>Table11[[#This Row],['#Planted]]*Table11[[#This Row],[Canada Allocation %]]</f>
        <v>0</v>
      </c>
      <c r="J321" s="16">
        <f>Table11[[#This Row],[Contract Amendment]]*Table11[[#This Row],[Canada Allocation %]]</f>
        <v>0</v>
      </c>
      <c r="K321" s="16">
        <f>Table11[[#This Row],['#Trees as of 12/31/23]]*Table11[[#This Row],[Canada Allocation %]]</f>
        <v>0</v>
      </c>
      <c r="L321" s="16">
        <f>Table11[[#This Row],['#Replace 24]]*Table11[[#This Row],[Canada Allocation %]]</f>
        <v>0</v>
      </c>
      <c r="M321" s="16"/>
      <c r="N321" s="16">
        <f>(Table11[[#This Row],[2024 '#Trees Inventory + Estimate]]*Table11[[#This Row],[Canada Allocation %]])-SUM(Table378[[#This Row],['# Trees as of 12/31/23]:[New Trees/Planted in 2024]])</f>
        <v>0</v>
      </c>
      <c r="O321" s="16">
        <f>SUM(Table378[[#This Row],['# Trees as of 12/31/23]:[2024 Tree Losses]])</f>
        <v>0</v>
      </c>
      <c r="P321" s="16">
        <f>SUM(Table378[[#This Row],[Total Trees as of 12/31/24]]-Table378[[#This Row],['# Trees as of 12/31/23]])</f>
        <v>0</v>
      </c>
      <c r="Q321" s="16">
        <f>Table11[[#This Row],['#Total Replacements]]*Table11[[#This Row],[Canada Allocation %]]</f>
        <v>0</v>
      </c>
      <c r="R321" s="16">
        <f>IF(Table378[[#This Row],['#Survival based on Inventory]]=0,Table378['#Survival based on Last Year Estimate],Table378['#Survival based on Inventory])</f>
        <v>0</v>
      </c>
      <c r="S321" s="16">
        <f>Table11[[#This Row],['#Planted]]*Table11[[#This Row],[Canada Allocation %]]*Table11[[#This Row],[2024 Inventory Survival%-master]]</f>
        <v>0</v>
      </c>
      <c r="T321" s="16">
        <f>Table11[[#This Row],['#Planted]]*Table11[[#This Row],[Canada Allocation %]]*Table11[[#This Row],[2024 Estimated Survival%]]</f>
        <v>0</v>
      </c>
      <c r="U321" s="7">
        <f>Table11[[#This Row],[ETP Year]]</f>
        <v>2021</v>
      </c>
      <c r="V321" s="7">
        <f>Table11[[#This Row],[Planting Year]]</f>
        <v>2022</v>
      </c>
      <c r="W321" s="8">
        <f>Table11[[#This Row],[Survival% as of 12/31/23]]</f>
        <v>1</v>
      </c>
      <c r="X321" s="7">
        <f>Table11[[#This Row],[ETP'#s]]</f>
        <v>1</v>
      </c>
    </row>
    <row r="322" spans="1:24" x14ac:dyDescent="0.25">
      <c r="A322">
        <f>Table11[[#This Row],[Farmer'#]]</f>
        <v>40032</v>
      </c>
      <c r="B322" t="str">
        <f>Table11[[#This Row],[Representative]]</f>
        <v>Lucas Raudas Guitierrez</v>
      </c>
      <c r="C322" t="str">
        <f>Table11[[#This Row],[Contract Name]]</f>
        <v>Lucas Raudas Guitierrez</v>
      </c>
      <c r="D322" t="str">
        <f>Table11[[#This Row],[Status]]</f>
        <v>Active</v>
      </c>
      <c r="E322" t="str">
        <f>Table11[[#This Row],[Contract Code]]</f>
        <v>MX0033</v>
      </c>
      <c r="F322" s="16">
        <f>Table11[[#This Row],['#TreesContract]]</f>
        <v>4716</v>
      </c>
      <c r="G322" s="16">
        <f>Table11[[#This Row],['#Planted]]</f>
        <v>4716</v>
      </c>
      <c r="H322" s="16">
        <f>Table11[[#This Row],['#TreesContract]]*Table11[[#This Row],[Canada Allocation %]]</f>
        <v>0</v>
      </c>
      <c r="I322" s="16">
        <f>Table11[[#This Row],['#Planted]]*Table11[[#This Row],[Canada Allocation %]]</f>
        <v>0</v>
      </c>
      <c r="J322" s="16">
        <f>Table11[[#This Row],[Contract Amendment]]*Table11[[#This Row],[Canada Allocation %]]</f>
        <v>0</v>
      </c>
      <c r="K322" s="16">
        <f>Table11[[#This Row],['#Trees as of 12/31/23]]*Table11[[#This Row],[Canada Allocation %]]</f>
        <v>0</v>
      </c>
      <c r="L322" s="16">
        <f>Table11[[#This Row],['#Replace 24]]*Table11[[#This Row],[Canada Allocation %]]</f>
        <v>0</v>
      </c>
      <c r="M322" s="16"/>
      <c r="N322" s="16">
        <f>(Table11[[#This Row],[2024 '#Trees Inventory + Estimate]]*Table11[[#This Row],[Canada Allocation %]])-SUM(Table378[[#This Row],['# Trees as of 12/31/23]:[New Trees/Planted in 2024]])</f>
        <v>0</v>
      </c>
      <c r="O322" s="16">
        <f>SUM(Table378[[#This Row],['# Trees as of 12/31/23]:[2024 Tree Losses]])</f>
        <v>0</v>
      </c>
      <c r="P322" s="16">
        <f>SUM(Table378[[#This Row],[Total Trees as of 12/31/24]]-Table378[[#This Row],['# Trees as of 12/31/23]])</f>
        <v>0</v>
      </c>
      <c r="Q322" s="16">
        <f>Table11[[#This Row],['#Total Replacements]]*Table11[[#This Row],[Canada Allocation %]]</f>
        <v>0</v>
      </c>
      <c r="R322" s="16">
        <f>IF(Table378[[#This Row],['#Survival based on Inventory]]=0,Table378['#Survival based on Last Year Estimate],Table378['#Survival based on Inventory])</f>
        <v>0</v>
      </c>
      <c r="S322" s="16">
        <f>Table11[[#This Row],['#Planted]]*Table11[[#This Row],[Canada Allocation %]]*Table11[[#This Row],[2024 Inventory Survival%-master]]</f>
        <v>0</v>
      </c>
      <c r="T322" s="16">
        <f>Table11[[#This Row],['#Planted]]*Table11[[#This Row],[Canada Allocation %]]*Table11[[#This Row],[2024 Estimated Survival%]]</f>
        <v>0</v>
      </c>
      <c r="U322" s="7">
        <f>Table11[[#This Row],[ETP Year]]</f>
        <v>2021</v>
      </c>
      <c r="V322" s="7">
        <f>Table11[[#This Row],[Planting Year]]</f>
        <v>2022</v>
      </c>
      <c r="W322" s="8">
        <f>Table11[[#This Row],[Survival% as of 12/31/23]]</f>
        <v>1</v>
      </c>
      <c r="X322" s="7">
        <f>Table11[[#This Row],[ETP'#s]]</f>
        <v>1</v>
      </c>
    </row>
    <row r="323" spans="1:24" x14ac:dyDescent="0.25">
      <c r="A323">
        <f>Table11[[#This Row],[Farmer'#]]</f>
        <v>40033</v>
      </c>
      <c r="B323" t="str">
        <f>Table11[[#This Row],[Representative]]</f>
        <v>Pedro Molina Sanchez</v>
      </c>
      <c r="C323" t="str">
        <f>Table11[[#This Row],[Contract Name]]</f>
        <v>Pedro Molina Sanchez</v>
      </c>
      <c r="D323" t="str">
        <f>Table11[[#This Row],[Status]]</f>
        <v>Active</v>
      </c>
      <c r="E323" t="str">
        <f>Table11[[#This Row],[Contract Code]]</f>
        <v>MX0034</v>
      </c>
      <c r="F323" s="16">
        <f>Table11[[#This Row],['#TreesContract]]</f>
        <v>4400</v>
      </c>
      <c r="G323" s="16">
        <f>Table11[[#This Row],['#Planted]]</f>
        <v>4400</v>
      </c>
      <c r="H323" s="16">
        <f>Table11[[#This Row],['#TreesContract]]*Table11[[#This Row],[Canada Allocation %]]</f>
        <v>0</v>
      </c>
      <c r="I323" s="16">
        <f>Table11[[#This Row],['#Planted]]*Table11[[#This Row],[Canada Allocation %]]</f>
        <v>0</v>
      </c>
      <c r="J323" s="16">
        <f>Table11[[#This Row],[Contract Amendment]]*Table11[[#This Row],[Canada Allocation %]]</f>
        <v>0</v>
      </c>
      <c r="K323" s="16">
        <f>Table11[[#This Row],['#Trees as of 12/31/23]]*Table11[[#This Row],[Canada Allocation %]]</f>
        <v>0</v>
      </c>
      <c r="L323" s="16">
        <f>Table11[[#This Row],['#Replace 24]]*Table11[[#This Row],[Canada Allocation %]]</f>
        <v>0</v>
      </c>
      <c r="M323" s="16"/>
      <c r="N323" s="16">
        <f>(Table11[[#This Row],[2024 '#Trees Inventory + Estimate]]*Table11[[#This Row],[Canada Allocation %]])-SUM(Table378[[#This Row],['# Trees as of 12/31/23]:[New Trees/Planted in 2024]])</f>
        <v>0</v>
      </c>
      <c r="O323" s="32">
        <f>SUM(Table378[[#This Row],['# Trees as of 12/31/23]:[2024 Tree Losses]])</f>
        <v>0</v>
      </c>
      <c r="P323" s="32">
        <f>SUM(Table378[[#This Row],[Total Trees as of 12/31/24]]-Table378[[#This Row],['# Trees as of 12/31/23]])</f>
        <v>0</v>
      </c>
      <c r="Q323" s="16">
        <f>Table11[[#This Row],['#Total Replacements]]*Table11[[#This Row],[Canada Allocation %]]</f>
        <v>0</v>
      </c>
      <c r="R323" s="32">
        <f>IF(Table378[[#This Row],['#Survival based on Inventory]]=0,Table378['#Survival based on Last Year Estimate],Table378['#Survival based on Inventory])</f>
        <v>0</v>
      </c>
      <c r="S323" s="16">
        <f>Table11[[#This Row],['#Planted]]*Table11[[#This Row],[Canada Allocation %]]*Table11[[#This Row],[2024 Inventory Survival%-master]]</f>
        <v>0</v>
      </c>
      <c r="T323" s="16">
        <f>Table11[[#This Row],['#Planted]]*Table11[[#This Row],[Canada Allocation %]]*Table11[[#This Row],[2024 Estimated Survival%]]</f>
        <v>0</v>
      </c>
      <c r="U323" s="7">
        <f>Table11[[#This Row],[ETP Year]]</f>
        <v>2021</v>
      </c>
      <c r="V323" s="7">
        <f>Table11[[#This Row],[Planting Year]]</f>
        <v>2022</v>
      </c>
      <c r="W323" s="8">
        <f>Table11[[#This Row],[Survival% as of 12/31/23]]</f>
        <v>1</v>
      </c>
      <c r="X323" s="7">
        <f>Table11[[#This Row],[ETP'#s]]</f>
        <v>1</v>
      </c>
    </row>
    <row r="324" spans="1:24" x14ac:dyDescent="0.25">
      <c r="A324">
        <f>Table11[[#This Row],[Farmer'#]]</f>
        <v>40034</v>
      </c>
      <c r="B324" t="str">
        <f>Table11[[#This Row],[Representative]]</f>
        <v>Rafael Hernández Hernández</v>
      </c>
      <c r="C324" t="str">
        <f>Table11[[#This Row],[Contract Name]]</f>
        <v>Rafael Hernández Hernández</v>
      </c>
      <c r="D324" t="str">
        <f>Table11[[#This Row],[Status]]</f>
        <v>Active</v>
      </c>
      <c r="E324" t="str">
        <f>Table11[[#This Row],[Contract Code]]</f>
        <v>MX0035</v>
      </c>
      <c r="F324" s="16">
        <f>Table11[[#This Row],['#TreesContract]]</f>
        <v>2200</v>
      </c>
      <c r="G324" s="16">
        <f>Table11[[#This Row],['#Planted]]</f>
        <v>2200</v>
      </c>
      <c r="H324" s="16">
        <f>Table11[[#This Row],['#TreesContract]]*Table11[[#This Row],[Canada Allocation %]]</f>
        <v>0</v>
      </c>
      <c r="I324" s="16">
        <f>Table11[[#This Row],['#Planted]]*Table11[[#This Row],[Canada Allocation %]]</f>
        <v>0</v>
      </c>
      <c r="J324" s="16">
        <f>Table11[[#This Row],[Contract Amendment]]*Table11[[#This Row],[Canada Allocation %]]</f>
        <v>0</v>
      </c>
      <c r="K324" s="16">
        <f>Table11[[#This Row],['#Trees as of 12/31/23]]*Table11[[#This Row],[Canada Allocation %]]</f>
        <v>0</v>
      </c>
      <c r="L324" s="16">
        <f>Table11[[#This Row],['#Replace 24]]*Table11[[#This Row],[Canada Allocation %]]</f>
        <v>0</v>
      </c>
      <c r="M324" s="16"/>
      <c r="N324" s="16">
        <f>(Table11[[#This Row],[2024 '#Trees Inventory + Estimate]]*Table11[[#This Row],[Canada Allocation %]])-SUM(Table378[[#This Row],['# Trees as of 12/31/23]:[New Trees/Planted in 2024]])</f>
        <v>0</v>
      </c>
      <c r="O324" s="32">
        <f>SUM(Table378[[#This Row],['# Trees as of 12/31/23]:[2024 Tree Losses]])</f>
        <v>0</v>
      </c>
      <c r="P324" s="32">
        <f>SUM(Table378[[#This Row],[Total Trees as of 12/31/24]]-Table378[[#This Row],['# Trees as of 12/31/23]])</f>
        <v>0</v>
      </c>
      <c r="Q324" s="16">
        <f>Table11[[#This Row],['#Total Replacements]]*Table11[[#This Row],[Canada Allocation %]]</f>
        <v>0</v>
      </c>
      <c r="R324" s="32">
        <f>IF(Table378[[#This Row],['#Survival based on Inventory]]=0,Table378['#Survival based on Last Year Estimate],Table378['#Survival based on Inventory])</f>
        <v>0</v>
      </c>
      <c r="S324" s="16">
        <f>Table11[[#This Row],['#Planted]]*Table11[[#This Row],[Canada Allocation %]]*Table11[[#This Row],[2024 Inventory Survival%-master]]</f>
        <v>0</v>
      </c>
      <c r="T324" s="16">
        <f>Table11[[#This Row],['#Planted]]*Table11[[#This Row],[Canada Allocation %]]*Table11[[#This Row],[2024 Estimated Survival%]]</f>
        <v>0</v>
      </c>
      <c r="U324" s="7">
        <f>Table11[[#This Row],[ETP Year]]</f>
        <v>2021</v>
      </c>
      <c r="V324" s="7">
        <f>Table11[[#This Row],[Planting Year]]</f>
        <v>2022</v>
      </c>
      <c r="W324" s="8">
        <f>Table11[[#This Row],[Survival% as of 12/31/23]]</f>
        <v>1</v>
      </c>
      <c r="X324" s="7">
        <f>Table11[[#This Row],[ETP'#s]]</f>
        <v>1</v>
      </c>
    </row>
    <row r="325" spans="1:24" x14ac:dyDescent="0.25">
      <c r="A325">
        <f>Table11[[#This Row],[Farmer'#]]</f>
        <v>40035</v>
      </c>
      <c r="B325" t="str">
        <f>Table11[[#This Row],[Representative]]</f>
        <v>Tito Soria</v>
      </c>
      <c r="C325" t="str">
        <f>Table11[[#This Row],[Contract Name]]</f>
        <v>Tito Soria</v>
      </c>
      <c r="D325" t="str">
        <f>Table11[[#This Row],[Status]]</f>
        <v>Active</v>
      </c>
      <c r="E325" t="str">
        <f>Table11[[#This Row],[Contract Code]]</f>
        <v>MX0036</v>
      </c>
      <c r="F325" s="16">
        <f>Table11[[#This Row],['#TreesContract]]</f>
        <v>2750</v>
      </c>
      <c r="G325" s="16">
        <f>Table11[[#This Row],['#Planted]]</f>
        <v>2750</v>
      </c>
      <c r="H325" s="16">
        <f>Table11[[#This Row],['#TreesContract]]*Table11[[#This Row],[Canada Allocation %]]</f>
        <v>0</v>
      </c>
      <c r="I325" s="16">
        <f>Table11[[#This Row],['#Planted]]*Table11[[#This Row],[Canada Allocation %]]</f>
        <v>0</v>
      </c>
      <c r="J325" s="16">
        <f>Table11[[#This Row],[Contract Amendment]]*Table11[[#This Row],[Canada Allocation %]]</f>
        <v>0</v>
      </c>
      <c r="K325" s="16">
        <f>Table11[[#This Row],['#Trees as of 12/31/23]]*Table11[[#This Row],[Canada Allocation %]]</f>
        <v>0</v>
      </c>
      <c r="L325" s="16">
        <f>Table11[[#This Row],['#Replace 24]]*Table11[[#This Row],[Canada Allocation %]]</f>
        <v>0</v>
      </c>
      <c r="M325" s="16"/>
      <c r="N325" s="16">
        <f>(Table11[[#This Row],[2024 '#Trees Inventory + Estimate]]*Table11[[#This Row],[Canada Allocation %]])-SUM(Table378[[#This Row],['# Trees as of 12/31/23]:[New Trees/Planted in 2024]])</f>
        <v>0</v>
      </c>
      <c r="O325" s="32">
        <f>SUM(Table378[[#This Row],['# Trees as of 12/31/23]:[2024 Tree Losses]])</f>
        <v>0</v>
      </c>
      <c r="P325" s="32">
        <f>SUM(Table378[[#This Row],[Total Trees as of 12/31/24]]-Table378[[#This Row],['# Trees as of 12/31/23]])</f>
        <v>0</v>
      </c>
      <c r="Q325" s="16">
        <f>Table11[[#This Row],['#Total Replacements]]*Table11[[#This Row],[Canada Allocation %]]</f>
        <v>0</v>
      </c>
      <c r="R325" s="32">
        <f>IF(Table378[[#This Row],['#Survival based on Inventory]]=0,Table378['#Survival based on Last Year Estimate],Table378['#Survival based on Inventory])</f>
        <v>0</v>
      </c>
      <c r="S325" s="16">
        <f>Table11[[#This Row],['#Planted]]*Table11[[#This Row],[Canada Allocation %]]*Table11[[#This Row],[2024 Inventory Survival%-master]]</f>
        <v>0</v>
      </c>
      <c r="T325" s="16">
        <f>Table11[[#This Row],['#Planted]]*Table11[[#This Row],[Canada Allocation %]]*Table11[[#This Row],[2024 Estimated Survival%]]</f>
        <v>0</v>
      </c>
      <c r="U325" s="7">
        <f>Table11[[#This Row],[ETP Year]]</f>
        <v>2021</v>
      </c>
      <c r="V325" s="7">
        <f>Table11[[#This Row],[Planting Year]]</f>
        <v>2022</v>
      </c>
      <c r="W325" s="8">
        <f>Table11[[#This Row],[Survival% as of 12/31/23]]</f>
        <v>1</v>
      </c>
      <c r="X325" s="7">
        <f>Table11[[#This Row],[ETP'#s]]</f>
        <v>1</v>
      </c>
    </row>
    <row r="326" spans="1:24" x14ac:dyDescent="0.25">
      <c r="A326">
        <f>Table11[[#This Row],[Farmer'#]]</f>
        <v>40036</v>
      </c>
      <c r="B326" t="str">
        <f>Table11[[#This Row],[Representative]]</f>
        <v>Ubaldo Guillermo Pérez Cruz</v>
      </c>
      <c r="C326" t="str">
        <f>Table11[[#This Row],[Contract Name]]</f>
        <v>Ubaldo Guillermo Pérez Cruz</v>
      </c>
      <c r="D326" t="str">
        <f>Table11[[#This Row],[Status]]</f>
        <v>Active</v>
      </c>
      <c r="E326" t="str">
        <f>Table11[[#This Row],[Contract Code]]</f>
        <v>MX0037</v>
      </c>
      <c r="F326" s="16">
        <f>Table11[[#This Row],['#TreesContract]]</f>
        <v>2750</v>
      </c>
      <c r="G326" s="16">
        <f>Table11[[#This Row],['#Planted]]</f>
        <v>2750</v>
      </c>
      <c r="H326" s="16">
        <f>Table11[[#This Row],['#TreesContract]]*Table11[[#This Row],[Canada Allocation %]]</f>
        <v>0</v>
      </c>
      <c r="I326" s="16">
        <f>Table11[[#This Row],['#Planted]]*Table11[[#This Row],[Canada Allocation %]]</f>
        <v>0</v>
      </c>
      <c r="J326" s="16">
        <f>Table11[[#This Row],[Contract Amendment]]*Table11[[#This Row],[Canada Allocation %]]</f>
        <v>0</v>
      </c>
      <c r="K326" s="16">
        <f>Table11[[#This Row],['#Trees as of 12/31/23]]*Table11[[#This Row],[Canada Allocation %]]</f>
        <v>0</v>
      </c>
      <c r="L326" s="16">
        <f>Table11[[#This Row],['#Replace 24]]*Table11[[#This Row],[Canada Allocation %]]</f>
        <v>0</v>
      </c>
      <c r="M326" s="16"/>
      <c r="N326" s="16">
        <f>(Table11[[#This Row],[2024 '#Trees Inventory + Estimate]]*Table11[[#This Row],[Canada Allocation %]])-SUM(Table378[[#This Row],['# Trees as of 12/31/23]:[New Trees/Planted in 2024]])</f>
        <v>0</v>
      </c>
      <c r="O326" s="32">
        <f>SUM(Table378[[#This Row],['# Trees as of 12/31/23]:[2024 Tree Losses]])</f>
        <v>0</v>
      </c>
      <c r="P326" s="32">
        <f>SUM(Table378[[#This Row],[Total Trees as of 12/31/24]]-Table378[[#This Row],['# Trees as of 12/31/23]])</f>
        <v>0</v>
      </c>
      <c r="Q326" s="16">
        <f>Table11[[#This Row],['#Total Replacements]]*Table11[[#This Row],[Canada Allocation %]]</f>
        <v>0</v>
      </c>
      <c r="R326" s="32">
        <f>IF(Table378[[#This Row],['#Survival based on Inventory]]=0,Table378['#Survival based on Last Year Estimate],Table378['#Survival based on Inventory])</f>
        <v>0</v>
      </c>
      <c r="S326" s="16">
        <f>Table11[[#This Row],['#Planted]]*Table11[[#This Row],[Canada Allocation %]]*Table11[[#This Row],[2024 Inventory Survival%-master]]</f>
        <v>0</v>
      </c>
      <c r="T326" s="16">
        <f>Table11[[#This Row],['#Planted]]*Table11[[#This Row],[Canada Allocation %]]*Table11[[#This Row],[2024 Estimated Survival%]]</f>
        <v>0</v>
      </c>
      <c r="U326" s="7">
        <f>Table11[[#This Row],[ETP Year]]</f>
        <v>2021</v>
      </c>
      <c r="V326" s="7">
        <f>Table11[[#This Row],[Planting Year]]</f>
        <v>2022</v>
      </c>
      <c r="W326" s="8">
        <f>Table11[[#This Row],[Survival% as of 12/31/23]]</f>
        <v>1</v>
      </c>
      <c r="X326" s="7">
        <f>Table11[[#This Row],[ETP'#s]]</f>
        <v>1</v>
      </c>
    </row>
    <row r="327" spans="1:24" x14ac:dyDescent="0.25">
      <c r="A327">
        <f>Table11[[#This Row],[Farmer'#]]</f>
        <v>10061</v>
      </c>
      <c r="B327" t="str">
        <f>Table11[[#This Row],[Representative]]</f>
        <v>Jim West</v>
      </c>
      <c r="C327" t="str">
        <f>Table11[[#This Row],[Contract Name]]</f>
        <v>Jim West</v>
      </c>
      <c r="D327" t="str">
        <f>Table11[[#This Row],[Status]]</f>
        <v>Active</v>
      </c>
      <c r="E327" t="str">
        <f>Table11[[#This Row],[Contract Code]]</f>
        <v>US0151</v>
      </c>
      <c r="F327" s="16">
        <f>Table11[[#This Row],['#TreesContract]]</f>
        <v>1100</v>
      </c>
      <c r="G327" s="16">
        <f>Table11[[#This Row],['#Planted]]</f>
        <v>1100</v>
      </c>
      <c r="H327" s="16">
        <f>Table11[[#This Row],['#TreesContract]]*Table11[[#This Row],[Canada Allocation %]]</f>
        <v>0</v>
      </c>
      <c r="I327" s="16">
        <f>Table11[[#This Row],['#Planted]]*Table11[[#This Row],[Canada Allocation %]]</f>
        <v>0</v>
      </c>
      <c r="J327" s="16">
        <f>Table11[[#This Row],[Contract Amendment]]*Table11[[#This Row],[Canada Allocation %]]</f>
        <v>0</v>
      </c>
      <c r="K327" s="16">
        <f>Table11[[#This Row],['#Trees as of 12/31/23]]*Table11[[#This Row],[Canada Allocation %]]</f>
        <v>0</v>
      </c>
      <c r="L327" s="16">
        <f>Table11[[#This Row],['#Replace 24]]*Table11[[#This Row],[Canada Allocation %]]</f>
        <v>0</v>
      </c>
      <c r="M327" s="16"/>
      <c r="N327" s="16">
        <f>(Table11[[#This Row],[2024 '#Trees Inventory + Estimate]]*Table11[[#This Row],[Canada Allocation %]])-SUM(Table378[[#This Row],['# Trees as of 12/31/23]:[New Trees/Planted in 2024]])</f>
        <v>0</v>
      </c>
      <c r="O327" s="32">
        <f>SUM(Table378[[#This Row],['# Trees as of 12/31/23]:[2024 Tree Losses]])</f>
        <v>0</v>
      </c>
      <c r="P327" s="32">
        <f>SUM(Table378[[#This Row],[Total Trees as of 12/31/24]]-Table378[[#This Row],['# Trees as of 12/31/23]])</f>
        <v>0</v>
      </c>
      <c r="Q327" s="16">
        <f>Table11[[#This Row],['#Total Replacements]]*Table11[[#This Row],[Canada Allocation %]]</f>
        <v>0</v>
      </c>
      <c r="R327" s="32">
        <f>IF(Table378[[#This Row],['#Survival based on Inventory]]=0,Table378['#Survival based on Last Year Estimate],Table378['#Survival based on Inventory])</f>
        <v>0</v>
      </c>
      <c r="S327" s="16">
        <f>Table11[[#This Row],['#Planted]]*Table11[[#This Row],[Canada Allocation %]]*Table11[[#This Row],[2024 Inventory Survival%-master]]</f>
        <v>0</v>
      </c>
      <c r="T327" s="16">
        <f>Table11[[#This Row],['#Planted]]*Table11[[#This Row],[Canada Allocation %]]*Table11[[#This Row],[2024 Estimated Survival%]]</f>
        <v>0</v>
      </c>
      <c r="U327" s="7">
        <f>Table11[[#This Row],[ETP Year]]</f>
        <v>2021</v>
      </c>
      <c r="V327" s="7">
        <f>Table11[[#This Row],[Planting Year]]</f>
        <v>2023</v>
      </c>
      <c r="W327" s="8">
        <f>Table11[[#This Row],[Survival% as of 12/31/23]]</f>
        <v>1</v>
      </c>
      <c r="X327" s="7">
        <f>Table11[[#This Row],[ETP'#s]]</f>
        <v>1</v>
      </c>
    </row>
    <row r="328" spans="1:24" x14ac:dyDescent="0.25">
      <c r="A328">
        <f>Table11[[#This Row],[Farmer'#]]</f>
        <v>10094</v>
      </c>
      <c r="B328" t="str">
        <f>Table11[[#This Row],[Representative]]</f>
        <v>Kyle Flint</v>
      </c>
      <c r="C328" t="str">
        <f>Table11[[#This Row],[Contract Name]]</f>
        <v>Kyle Flint</v>
      </c>
      <c r="D328" t="str">
        <f>Table11[[#This Row],[Status]]</f>
        <v>Active</v>
      </c>
      <c r="E328" t="str">
        <f>Table11[[#This Row],[Contract Code]]</f>
        <v>US0152</v>
      </c>
      <c r="F328" s="16">
        <f>Table11[[#This Row],['#TreesContract]]</f>
        <v>1100</v>
      </c>
      <c r="G328" s="16">
        <f>Table11[[#This Row],['#Planted]]</f>
        <v>1100</v>
      </c>
      <c r="H328" s="16">
        <f>Table11[[#This Row],['#TreesContract]]*Table11[[#This Row],[Canada Allocation %]]</f>
        <v>0</v>
      </c>
      <c r="I328" s="16">
        <f>Table11[[#This Row],['#Planted]]*Table11[[#This Row],[Canada Allocation %]]</f>
        <v>0</v>
      </c>
      <c r="J328" s="16">
        <f>Table11[[#This Row],[Contract Amendment]]*Table11[[#This Row],[Canada Allocation %]]</f>
        <v>0</v>
      </c>
      <c r="K328" s="16">
        <f>Table11[[#This Row],['#Trees as of 12/31/23]]*Table11[[#This Row],[Canada Allocation %]]</f>
        <v>0</v>
      </c>
      <c r="L328" s="16">
        <f>Table11[[#This Row],['#Replace 24]]*Table11[[#This Row],[Canada Allocation %]]</f>
        <v>0</v>
      </c>
      <c r="M328" s="16"/>
      <c r="N328" s="16">
        <f>(Table11[[#This Row],[2024 '#Trees Inventory + Estimate]]*Table11[[#This Row],[Canada Allocation %]])-SUM(Table378[[#This Row],['# Trees as of 12/31/23]:[New Trees/Planted in 2024]])</f>
        <v>0</v>
      </c>
      <c r="O328" s="32">
        <f>SUM(Table378[[#This Row],['# Trees as of 12/31/23]:[2024 Tree Losses]])</f>
        <v>0</v>
      </c>
      <c r="P328" s="32">
        <f>SUM(Table378[[#This Row],[Total Trees as of 12/31/24]]-Table378[[#This Row],['# Trees as of 12/31/23]])</f>
        <v>0</v>
      </c>
      <c r="Q328" s="16">
        <f>Table11[[#This Row],['#Total Replacements]]*Table11[[#This Row],[Canada Allocation %]]</f>
        <v>0</v>
      </c>
      <c r="R328" s="32">
        <f>IF(Table378[[#This Row],['#Survival based on Inventory]]=0,Table378['#Survival based on Last Year Estimate],Table378['#Survival based on Inventory])</f>
        <v>0</v>
      </c>
      <c r="S328" s="16">
        <f>Table11[[#This Row],['#Planted]]*Table11[[#This Row],[Canada Allocation %]]*Table11[[#This Row],[2024 Inventory Survival%-master]]</f>
        <v>0</v>
      </c>
      <c r="T328" s="16">
        <f>Table11[[#This Row],['#Planted]]*Table11[[#This Row],[Canada Allocation %]]*Table11[[#This Row],[2024 Estimated Survival%]]</f>
        <v>0</v>
      </c>
      <c r="U328" s="7">
        <f>Table11[[#This Row],[ETP Year]]</f>
        <v>2021</v>
      </c>
      <c r="V328" s="7">
        <f>Table11[[#This Row],[Planting Year]]</f>
        <v>2023</v>
      </c>
      <c r="W328" s="8">
        <f>Table11[[#This Row],[Survival% as of 12/31/23]]</f>
        <v>1</v>
      </c>
      <c r="X328" s="7">
        <f>Table11[[#This Row],[ETP'#s]]</f>
        <v>1</v>
      </c>
    </row>
    <row r="329" spans="1:24" x14ac:dyDescent="0.25">
      <c r="A329">
        <f>Table11[[#This Row],[Farmer'#]]</f>
        <v>10110</v>
      </c>
      <c r="B329" t="str">
        <f>Table11[[#This Row],[Representative]]</f>
        <v>David Hall</v>
      </c>
      <c r="C329" t="str">
        <f>Table11[[#This Row],[Contract Name]]</f>
        <v>David Hall</v>
      </c>
      <c r="D329" t="str">
        <f>Table11[[#This Row],[Status]]</f>
        <v>Active</v>
      </c>
      <c r="E329" t="str">
        <f>Table11[[#This Row],[Contract Code]]</f>
        <v>US0148</v>
      </c>
      <c r="F329" s="16">
        <f>Table11[[#This Row],['#TreesContract]]</f>
        <v>1100</v>
      </c>
      <c r="G329" s="16">
        <f>Table11[[#This Row],['#Planted]]</f>
        <v>1100</v>
      </c>
      <c r="H329" s="16">
        <f>Table11[[#This Row],['#TreesContract]]*Table11[[#This Row],[Canada Allocation %]]</f>
        <v>0</v>
      </c>
      <c r="I329" s="16">
        <f>Table11[[#This Row],['#Planted]]*Table11[[#This Row],[Canada Allocation %]]</f>
        <v>0</v>
      </c>
      <c r="J329" s="16">
        <f>Table11[[#This Row],[Contract Amendment]]*Table11[[#This Row],[Canada Allocation %]]</f>
        <v>0</v>
      </c>
      <c r="K329" s="16">
        <f>Table11[[#This Row],['#Trees as of 12/31/23]]*Table11[[#This Row],[Canada Allocation %]]</f>
        <v>0</v>
      </c>
      <c r="L329" s="16">
        <f>Table11[[#This Row],['#Replace 24]]*Table11[[#This Row],[Canada Allocation %]]</f>
        <v>0</v>
      </c>
      <c r="M329" s="16"/>
      <c r="N329" s="16">
        <f>(Table11[[#This Row],[2024 '#Trees Inventory + Estimate]]*Table11[[#This Row],[Canada Allocation %]])-SUM(Table378[[#This Row],['# Trees as of 12/31/23]:[New Trees/Planted in 2024]])</f>
        <v>0</v>
      </c>
      <c r="O329" s="32">
        <f>SUM(Table378[[#This Row],['# Trees as of 12/31/23]:[2024 Tree Losses]])</f>
        <v>0</v>
      </c>
      <c r="P329" s="32">
        <f>SUM(Table378[[#This Row],[Total Trees as of 12/31/24]]-Table378[[#This Row],['# Trees as of 12/31/23]])</f>
        <v>0</v>
      </c>
      <c r="Q329" s="16">
        <f>Table11[[#This Row],['#Total Replacements]]*Table11[[#This Row],[Canada Allocation %]]</f>
        <v>0</v>
      </c>
      <c r="R329" s="32">
        <f>IF(Table378[[#This Row],['#Survival based on Inventory]]=0,Table378['#Survival based on Last Year Estimate],Table378['#Survival based on Inventory])</f>
        <v>0</v>
      </c>
      <c r="S329" s="16">
        <f>Table11[[#This Row],['#Planted]]*Table11[[#This Row],[Canada Allocation %]]*Table11[[#This Row],[2024 Inventory Survival%-master]]</f>
        <v>0</v>
      </c>
      <c r="T329" s="16">
        <f>Table11[[#This Row],['#Planted]]*Table11[[#This Row],[Canada Allocation %]]*Table11[[#This Row],[2024 Estimated Survival%]]</f>
        <v>0</v>
      </c>
      <c r="U329" s="7">
        <f>Table11[[#This Row],[ETP Year]]</f>
        <v>2021</v>
      </c>
      <c r="V329" s="7">
        <f>Table11[[#This Row],[Planting Year]]</f>
        <v>2023</v>
      </c>
      <c r="W329" s="8">
        <f>Table11[[#This Row],[Survival% as of 12/31/23]]</f>
        <v>1</v>
      </c>
      <c r="X329" s="7">
        <f>Table11[[#This Row],[ETP'#s]]</f>
        <v>1</v>
      </c>
    </row>
    <row r="330" spans="1:24" x14ac:dyDescent="0.25">
      <c r="A330">
        <f>Table11[[#This Row],[Farmer'#]]</f>
        <v>10116</v>
      </c>
      <c r="B330" t="str">
        <f>Table11[[#This Row],[Representative]]</f>
        <v>Rob Cason</v>
      </c>
      <c r="C330" t="str">
        <f>Table11[[#This Row],[Contract Name]]</f>
        <v>Rob Cason</v>
      </c>
      <c r="D330" t="str">
        <f>Table11[[#This Row],[Status]]</f>
        <v>Active</v>
      </c>
      <c r="E330" t="str">
        <f>Table11[[#This Row],[Contract Code]]</f>
        <v>US0153</v>
      </c>
      <c r="F330" s="16">
        <f>Table11[[#This Row],['#TreesContract]]</f>
        <v>1430</v>
      </c>
      <c r="G330" s="16">
        <f>Table11[[#This Row],['#Planted]]</f>
        <v>1430</v>
      </c>
      <c r="H330" s="16">
        <f>Table11[[#This Row],['#TreesContract]]*Table11[[#This Row],[Canada Allocation %]]</f>
        <v>0</v>
      </c>
      <c r="I330" s="16">
        <f>Table11[[#This Row],['#Planted]]*Table11[[#This Row],[Canada Allocation %]]</f>
        <v>0</v>
      </c>
      <c r="J330" s="16">
        <f>Table11[[#This Row],[Contract Amendment]]*Table11[[#This Row],[Canada Allocation %]]</f>
        <v>0</v>
      </c>
      <c r="K330" s="16">
        <f>Table11[[#This Row],['#Trees as of 12/31/23]]*Table11[[#This Row],[Canada Allocation %]]</f>
        <v>0</v>
      </c>
      <c r="L330" s="16">
        <f>Table11[[#This Row],['#Replace 24]]*Table11[[#This Row],[Canada Allocation %]]</f>
        <v>0</v>
      </c>
      <c r="M330" s="16"/>
      <c r="N330" s="16">
        <f>(Table11[[#This Row],[2024 '#Trees Inventory + Estimate]]*Table11[[#This Row],[Canada Allocation %]])-SUM(Table378[[#This Row],['# Trees as of 12/31/23]:[New Trees/Planted in 2024]])</f>
        <v>0</v>
      </c>
      <c r="O330" s="32">
        <f>SUM(Table378[[#This Row],['# Trees as of 12/31/23]:[2024 Tree Losses]])</f>
        <v>0</v>
      </c>
      <c r="P330" s="32">
        <f>SUM(Table378[[#This Row],[Total Trees as of 12/31/24]]-Table378[[#This Row],['# Trees as of 12/31/23]])</f>
        <v>0</v>
      </c>
      <c r="Q330" s="16">
        <f>Table11[[#This Row],['#Total Replacements]]*Table11[[#This Row],[Canada Allocation %]]</f>
        <v>0</v>
      </c>
      <c r="R330" s="32">
        <f>IF(Table378[[#This Row],['#Survival based on Inventory]]=0,Table378['#Survival based on Last Year Estimate],Table378['#Survival based on Inventory])</f>
        <v>0</v>
      </c>
      <c r="S330" s="16">
        <f>Table11[[#This Row],['#Planted]]*Table11[[#This Row],[Canada Allocation %]]*Table11[[#This Row],[2024 Inventory Survival%-master]]</f>
        <v>0</v>
      </c>
      <c r="T330" s="16">
        <f>Table11[[#This Row],['#Planted]]*Table11[[#This Row],[Canada Allocation %]]*Table11[[#This Row],[2024 Estimated Survival%]]</f>
        <v>0</v>
      </c>
      <c r="U330" s="7">
        <f>Table11[[#This Row],[ETP Year]]</f>
        <v>2022</v>
      </c>
      <c r="V330" s="7">
        <f>Table11[[#This Row],[Planting Year]]</f>
        <v>2023</v>
      </c>
      <c r="W330" s="8">
        <f>Table11[[#This Row],[Survival% as of 12/31/23]]</f>
        <v>1</v>
      </c>
      <c r="X330" s="7">
        <f>Table11[[#This Row],[ETP'#s]]</f>
        <v>1</v>
      </c>
    </row>
    <row r="331" spans="1:24" x14ac:dyDescent="0.25">
      <c r="A331">
        <f>Table11[[#This Row],[Farmer'#]]</f>
        <v>10120</v>
      </c>
      <c r="B331" t="str">
        <f>Table11[[#This Row],[Representative]]</f>
        <v>Andy McCormick</v>
      </c>
      <c r="C331" t="str">
        <f>Table11[[#This Row],[Contract Name]]</f>
        <v>Andy McCormick</v>
      </c>
      <c r="D331" t="str">
        <f>Table11[[#This Row],[Status]]</f>
        <v>Active</v>
      </c>
      <c r="E331" t="str">
        <f>Table11[[#This Row],[Contract Code]]</f>
        <v>US0145</v>
      </c>
      <c r="F331" s="16">
        <f>Table11[[#This Row],['#TreesContract]]</f>
        <v>1650</v>
      </c>
      <c r="G331" s="16">
        <f>Table11[[#This Row],['#Planted]]</f>
        <v>1650</v>
      </c>
      <c r="H331" s="16">
        <f>Table11[[#This Row],['#TreesContract]]*Table11[[#This Row],[Canada Allocation %]]</f>
        <v>0</v>
      </c>
      <c r="I331" s="16">
        <f>Table11[[#This Row],['#Planted]]*Table11[[#This Row],[Canada Allocation %]]</f>
        <v>0</v>
      </c>
      <c r="J331" s="16">
        <f>Table11[[#This Row],[Contract Amendment]]*Table11[[#This Row],[Canada Allocation %]]</f>
        <v>0</v>
      </c>
      <c r="K331" s="16">
        <f>Table11[[#This Row],['#Trees as of 12/31/23]]*Table11[[#This Row],[Canada Allocation %]]</f>
        <v>0</v>
      </c>
      <c r="L331" s="16">
        <f>Table11[[#This Row],['#Replace 24]]*Table11[[#This Row],[Canada Allocation %]]</f>
        <v>0</v>
      </c>
      <c r="M331" s="16"/>
      <c r="N331" s="16">
        <f>(Table11[[#This Row],[2024 '#Trees Inventory + Estimate]]*Table11[[#This Row],[Canada Allocation %]])-SUM(Table378[[#This Row],['# Trees as of 12/31/23]:[New Trees/Planted in 2024]])</f>
        <v>0</v>
      </c>
      <c r="O331" s="32">
        <f>SUM(Table378[[#This Row],['# Trees as of 12/31/23]:[2024 Tree Losses]])</f>
        <v>0</v>
      </c>
      <c r="P331" s="32">
        <f>SUM(Table378[[#This Row],[Total Trees as of 12/31/24]]-Table378[[#This Row],['# Trees as of 12/31/23]])</f>
        <v>0</v>
      </c>
      <c r="Q331" s="16">
        <f>Table11[[#This Row],['#Total Replacements]]*Table11[[#This Row],[Canada Allocation %]]</f>
        <v>0</v>
      </c>
      <c r="R331" s="32">
        <f>IF(Table378[[#This Row],['#Survival based on Inventory]]=0,Table378['#Survival based on Last Year Estimate],Table378['#Survival based on Inventory])</f>
        <v>0</v>
      </c>
      <c r="S331" s="16">
        <f>Table11[[#This Row],['#Planted]]*Table11[[#This Row],[Canada Allocation %]]*Table11[[#This Row],[2024 Inventory Survival%-master]]</f>
        <v>0</v>
      </c>
      <c r="T331" s="16">
        <f>Table11[[#This Row],['#Planted]]*Table11[[#This Row],[Canada Allocation %]]*Table11[[#This Row],[2024 Estimated Survival%]]</f>
        <v>0</v>
      </c>
      <c r="U331" s="7">
        <f>Table11[[#This Row],[ETP Year]]</f>
        <v>2021</v>
      </c>
      <c r="V331" s="7">
        <f>Table11[[#This Row],[Planting Year]]</f>
        <v>2023</v>
      </c>
      <c r="W331" s="8">
        <f>Table11[[#This Row],[Survival% as of 12/31/23]]</f>
        <v>1</v>
      </c>
      <c r="X331" s="7">
        <f>Table11[[#This Row],[ETP'#s]]</f>
        <v>1</v>
      </c>
    </row>
    <row r="332" spans="1:24" x14ac:dyDescent="0.25">
      <c r="A332">
        <f>Table11[[#This Row],[Farmer'#]]</f>
        <v>10121</v>
      </c>
      <c r="B332" t="str">
        <f>Table11[[#This Row],[Representative]]</f>
        <v>Clinton Hardie</v>
      </c>
      <c r="C332" t="str">
        <f>Table11[[#This Row],[Contract Name]]</f>
        <v>Anita J Hardie</v>
      </c>
      <c r="D332" t="str">
        <f>Table11[[#This Row],[Status]]</f>
        <v>Active</v>
      </c>
      <c r="E332" t="str">
        <f>Table11[[#This Row],[Contract Code]]</f>
        <v>US0146</v>
      </c>
      <c r="F332" s="16">
        <f>Table11[[#This Row],['#TreesContract]]</f>
        <v>2800</v>
      </c>
      <c r="G332" s="16">
        <f>Table11[[#This Row],['#Planted]]</f>
        <v>2800</v>
      </c>
      <c r="H332" s="16">
        <f>Table11[[#This Row],['#TreesContract]]*Table11[[#This Row],[Canada Allocation %]]</f>
        <v>0</v>
      </c>
      <c r="I332" s="16">
        <f>Table11[[#This Row],['#Planted]]*Table11[[#This Row],[Canada Allocation %]]</f>
        <v>0</v>
      </c>
      <c r="J332" s="16">
        <f>Table11[[#This Row],[Contract Amendment]]*Table11[[#This Row],[Canada Allocation %]]</f>
        <v>0</v>
      </c>
      <c r="K332" s="16">
        <f>Table11[[#This Row],['#Trees as of 12/31/23]]*Table11[[#This Row],[Canada Allocation %]]</f>
        <v>0</v>
      </c>
      <c r="L332" s="16">
        <f>Table11[[#This Row],['#Replace 24]]*Table11[[#This Row],[Canada Allocation %]]</f>
        <v>0</v>
      </c>
      <c r="M332" s="16"/>
      <c r="N332" s="16">
        <f>(Table11[[#This Row],[2024 '#Trees Inventory + Estimate]]*Table11[[#This Row],[Canada Allocation %]])-SUM(Table378[[#This Row],['# Trees as of 12/31/23]:[New Trees/Planted in 2024]])</f>
        <v>0</v>
      </c>
      <c r="O332" s="32">
        <f>SUM(Table378[[#This Row],['# Trees as of 12/31/23]:[2024 Tree Losses]])</f>
        <v>0</v>
      </c>
      <c r="P332" s="32">
        <f>SUM(Table378[[#This Row],[Total Trees as of 12/31/24]]-Table378[[#This Row],['# Trees as of 12/31/23]])</f>
        <v>0</v>
      </c>
      <c r="Q332" s="16">
        <f>Table11[[#This Row],['#Total Replacements]]*Table11[[#This Row],[Canada Allocation %]]</f>
        <v>0</v>
      </c>
      <c r="R332" s="32">
        <f>IF(Table378[[#This Row],['#Survival based on Inventory]]=0,Table378['#Survival based on Last Year Estimate],Table378['#Survival based on Inventory])</f>
        <v>0</v>
      </c>
      <c r="S332" s="16">
        <f>Table11[[#This Row],['#Planted]]*Table11[[#This Row],[Canada Allocation %]]*Table11[[#This Row],[2024 Inventory Survival%-master]]</f>
        <v>0</v>
      </c>
      <c r="T332" s="16">
        <f>Table11[[#This Row],['#Planted]]*Table11[[#This Row],[Canada Allocation %]]*Table11[[#This Row],[2024 Estimated Survival%]]</f>
        <v>0</v>
      </c>
      <c r="U332" s="7">
        <f>Table11[[#This Row],[ETP Year]]</f>
        <v>2021</v>
      </c>
      <c r="V332" s="7">
        <f>Table11[[#This Row],[Planting Year]]</f>
        <v>2023</v>
      </c>
      <c r="W332" s="8">
        <f>Table11[[#This Row],[Survival% as of 12/31/23]]</f>
        <v>1</v>
      </c>
      <c r="X332" s="7">
        <f>Table11[[#This Row],[ETP'#s]]</f>
        <v>1</v>
      </c>
    </row>
    <row r="333" spans="1:24" x14ac:dyDescent="0.25">
      <c r="A333">
        <f>Table11[[#This Row],[Farmer'#]]</f>
        <v>10122</v>
      </c>
      <c r="B333" t="str">
        <f>Table11[[#This Row],[Representative]]</f>
        <v>Colin McCulley</v>
      </c>
      <c r="C333" t="str">
        <f>Table11[[#This Row],[Contract Name]]</f>
        <v>Colin McCulley</v>
      </c>
      <c r="D333" t="str">
        <f>Table11[[#This Row],[Status]]</f>
        <v>Active</v>
      </c>
      <c r="E333" t="str">
        <f>Table11[[#This Row],[Contract Code]]</f>
        <v>US0147</v>
      </c>
      <c r="F333" s="16">
        <f>Table11[[#This Row],['#TreesContract]]</f>
        <v>1320</v>
      </c>
      <c r="G333" s="16">
        <f>Table11[[#This Row],['#Planted]]</f>
        <v>1320</v>
      </c>
      <c r="H333" s="16">
        <f>Table11[[#This Row],['#TreesContract]]*Table11[[#This Row],[Canada Allocation %]]</f>
        <v>0</v>
      </c>
      <c r="I333" s="16">
        <f>Table11[[#This Row],['#Planted]]*Table11[[#This Row],[Canada Allocation %]]</f>
        <v>0</v>
      </c>
      <c r="J333" s="16">
        <f>Table11[[#This Row],[Contract Amendment]]*Table11[[#This Row],[Canada Allocation %]]</f>
        <v>0</v>
      </c>
      <c r="K333" s="16">
        <f>Table11[[#This Row],['#Trees as of 12/31/23]]*Table11[[#This Row],[Canada Allocation %]]</f>
        <v>0</v>
      </c>
      <c r="L333" s="16">
        <f>Table11[[#This Row],['#Replace 24]]*Table11[[#This Row],[Canada Allocation %]]</f>
        <v>0</v>
      </c>
      <c r="M333" s="16"/>
      <c r="N333" s="16">
        <f>(Table11[[#This Row],[2024 '#Trees Inventory + Estimate]]*Table11[[#This Row],[Canada Allocation %]])-SUM(Table378[[#This Row],['# Trees as of 12/31/23]:[New Trees/Planted in 2024]])</f>
        <v>0</v>
      </c>
      <c r="O333" s="32">
        <f>SUM(Table378[[#This Row],['# Trees as of 12/31/23]:[2024 Tree Losses]])</f>
        <v>0</v>
      </c>
      <c r="P333" s="32">
        <f>SUM(Table378[[#This Row],[Total Trees as of 12/31/24]]-Table378[[#This Row],['# Trees as of 12/31/23]])</f>
        <v>0</v>
      </c>
      <c r="Q333" s="16">
        <f>Table11[[#This Row],['#Total Replacements]]*Table11[[#This Row],[Canada Allocation %]]</f>
        <v>0</v>
      </c>
      <c r="R333" s="32">
        <f>IF(Table378[[#This Row],['#Survival based on Inventory]]=0,Table378['#Survival based on Last Year Estimate],Table378['#Survival based on Inventory])</f>
        <v>0</v>
      </c>
      <c r="S333" s="16">
        <f>Table11[[#This Row],['#Planted]]*Table11[[#This Row],[Canada Allocation %]]*Table11[[#This Row],[2024 Inventory Survival%-master]]</f>
        <v>0</v>
      </c>
      <c r="T333" s="16">
        <f>Table11[[#This Row],['#Planted]]*Table11[[#This Row],[Canada Allocation %]]*Table11[[#This Row],[2024 Estimated Survival%]]</f>
        <v>0</v>
      </c>
      <c r="U333" s="7">
        <f>Table11[[#This Row],[ETP Year]]</f>
        <v>2021</v>
      </c>
      <c r="V333" s="7">
        <f>Table11[[#This Row],[Planting Year]]</f>
        <v>2023</v>
      </c>
      <c r="W333" s="8">
        <f>Table11[[#This Row],[Survival% as of 12/31/23]]</f>
        <v>1</v>
      </c>
      <c r="X333" s="7">
        <f>Table11[[#This Row],[ETP'#s]]</f>
        <v>1</v>
      </c>
    </row>
    <row r="334" spans="1:24" x14ac:dyDescent="0.25">
      <c r="A334">
        <f>Table11[[#This Row],[Farmer'#]]</f>
        <v>10123</v>
      </c>
      <c r="B334" t="str">
        <f>Table11[[#This Row],[Representative]]</f>
        <v>Greg Lumpkin</v>
      </c>
      <c r="C334" t="str">
        <f>Table11[[#This Row],[Contract Name]]</f>
        <v>WT Lumpkin Farms</v>
      </c>
      <c r="D334" t="str">
        <f>Table11[[#This Row],[Status]]</f>
        <v>Active</v>
      </c>
      <c r="E334" t="str">
        <f>Table11[[#This Row],[Contract Code]]</f>
        <v>US0149</v>
      </c>
      <c r="F334" s="16">
        <f>Table11[[#This Row],['#TreesContract]]</f>
        <v>2096</v>
      </c>
      <c r="G334" s="16">
        <f>Table11[[#This Row],['#Planted]]</f>
        <v>2096</v>
      </c>
      <c r="H334" s="16">
        <f>Table11[[#This Row],['#TreesContract]]*Table11[[#This Row],[Canada Allocation %]]</f>
        <v>0</v>
      </c>
      <c r="I334" s="16">
        <f>Table11[[#This Row],['#Planted]]*Table11[[#This Row],[Canada Allocation %]]</f>
        <v>0</v>
      </c>
      <c r="J334" s="16">
        <f>Table11[[#This Row],[Contract Amendment]]*Table11[[#This Row],[Canada Allocation %]]</f>
        <v>0</v>
      </c>
      <c r="K334" s="16">
        <f>Table11[[#This Row],['#Trees as of 12/31/23]]*Table11[[#This Row],[Canada Allocation %]]</f>
        <v>0</v>
      </c>
      <c r="L334" s="16">
        <f>Table11[[#This Row],['#Replace 24]]*Table11[[#This Row],[Canada Allocation %]]</f>
        <v>0</v>
      </c>
      <c r="M334" s="16"/>
      <c r="N334" s="16">
        <f>(Table11[[#This Row],[2024 '#Trees Inventory + Estimate]]*Table11[[#This Row],[Canada Allocation %]])-SUM(Table378[[#This Row],['# Trees as of 12/31/23]:[New Trees/Planted in 2024]])</f>
        <v>0</v>
      </c>
      <c r="O334" s="32">
        <f>SUM(Table378[[#This Row],['# Trees as of 12/31/23]:[2024 Tree Losses]])</f>
        <v>0</v>
      </c>
      <c r="P334" s="32">
        <f>SUM(Table378[[#This Row],[Total Trees as of 12/31/24]]-Table378[[#This Row],['# Trees as of 12/31/23]])</f>
        <v>0</v>
      </c>
      <c r="Q334" s="16">
        <f>Table11[[#This Row],['#Total Replacements]]*Table11[[#This Row],[Canada Allocation %]]</f>
        <v>0</v>
      </c>
      <c r="R334" s="32">
        <f>IF(Table378[[#This Row],['#Survival based on Inventory]]=0,Table378['#Survival based on Last Year Estimate],Table378['#Survival based on Inventory])</f>
        <v>0</v>
      </c>
      <c r="S334" s="16">
        <f>Table11[[#This Row],['#Planted]]*Table11[[#This Row],[Canada Allocation %]]*Table11[[#This Row],[2024 Inventory Survival%-master]]</f>
        <v>0</v>
      </c>
      <c r="T334" s="16">
        <f>Table11[[#This Row],['#Planted]]*Table11[[#This Row],[Canada Allocation %]]*Table11[[#This Row],[2024 Estimated Survival%]]</f>
        <v>0</v>
      </c>
      <c r="U334" s="7">
        <f>Table11[[#This Row],[ETP Year]]</f>
        <v>2021</v>
      </c>
      <c r="V334" s="7">
        <f>Table11[[#This Row],[Planting Year]]</f>
        <v>2023</v>
      </c>
      <c r="W334" s="8">
        <f>Table11[[#This Row],[Survival% as of 12/31/23]]</f>
        <v>1</v>
      </c>
      <c r="X334" s="7">
        <f>Table11[[#This Row],[ETP'#s]]</f>
        <v>1</v>
      </c>
    </row>
    <row r="335" spans="1:24" x14ac:dyDescent="0.25">
      <c r="A335">
        <f>Table11[[#This Row],[Farmer'#]]</f>
        <v>10124</v>
      </c>
      <c r="B335" t="str">
        <f>Table11[[#This Row],[Representative]]</f>
        <v>Jim Lamberth</v>
      </c>
      <c r="C335" t="str">
        <f>Table11[[#This Row],[Contract Name]]</f>
        <v>James Lamberth</v>
      </c>
      <c r="D335" t="str">
        <f>Table11[[#This Row],[Status]]</f>
        <v>Active</v>
      </c>
      <c r="E335" t="str">
        <f>Table11[[#This Row],[Contract Code]]</f>
        <v>US0150</v>
      </c>
      <c r="F335" s="16">
        <f>Table11[[#This Row],['#TreesContract]]</f>
        <v>2200</v>
      </c>
      <c r="G335" s="16">
        <f>Table11[[#This Row],['#Planted]]</f>
        <v>2200</v>
      </c>
      <c r="H335" s="16">
        <f>Table11[[#This Row],['#TreesContract]]*Table11[[#This Row],[Canada Allocation %]]</f>
        <v>0</v>
      </c>
      <c r="I335" s="16">
        <f>Table11[[#This Row],['#Planted]]*Table11[[#This Row],[Canada Allocation %]]</f>
        <v>0</v>
      </c>
      <c r="J335" s="16">
        <f>Table11[[#This Row],[Contract Amendment]]*Table11[[#This Row],[Canada Allocation %]]</f>
        <v>0</v>
      </c>
      <c r="K335" s="16">
        <f>Table11[[#This Row],['#Trees as of 12/31/23]]*Table11[[#This Row],[Canada Allocation %]]</f>
        <v>0</v>
      </c>
      <c r="L335" s="16">
        <f>Table11[[#This Row],['#Replace 24]]*Table11[[#This Row],[Canada Allocation %]]</f>
        <v>0</v>
      </c>
      <c r="M335" s="16"/>
      <c r="N335" s="16">
        <f>(Table11[[#This Row],[2024 '#Trees Inventory + Estimate]]*Table11[[#This Row],[Canada Allocation %]])-SUM(Table378[[#This Row],['# Trees as of 12/31/23]:[New Trees/Planted in 2024]])</f>
        <v>0</v>
      </c>
      <c r="O335" s="32">
        <f>SUM(Table378[[#This Row],['# Trees as of 12/31/23]:[2024 Tree Losses]])</f>
        <v>0</v>
      </c>
      <c r="P335" s="32">
        <f>SUM(Table378[[#This Row],[Total Trees as of 12/31/24]]-Table378[[#This Row],['# Trees as of 12/31/23]])</f>
        <v>0</v>
      </c>
      <c r="Q335" s="16">
        <f>Table11[[#This Row],['#Total Replacements]]*Table11[[#This Row],[Canada Allocation %]]</f>
        <v>0</v>
      </c>
      <c r="R335" s="32">
        <f>IF(Table378[[#This Row],['#Survival based on Inventory]]=0,Table378['#Survival based on Last Year Estimate],Table378['#Survival based on Inventory])</f>
        <v>0</v>
      </c>
      <c r="S335" s="16">
        <f>Table11[[#This Row],['#Planted]]*Table11[[#This Row],[Canada Allocation %]]*Table11[[#This Row],[2024 Inventory Survival%-master]]</f>
        <v>0</v>
      </c>
      <c r="T335" s="16">
        <f>Table11[[#This Row],['#Planted]]*Table11[[#This Row],[Canada Allocation %]]*Table11[[#This Row],[2024 Estimated Survival%]]</f>
        <v>0</v>
      </c>
      <c r="U335" s="7">
        <f>Table11[[#This Row],[ETP Year]]</f>
        <v>2021</v>
      </c>
      <c r="V335" s="7">
        <f>Table11[[#This Row],[Planting Year]]</f>
        <v>2023</v>
      </c>
      <c r="W335" s="8">
        <f>Table11[[#This Row],[Survival% as of 12/31/23]]</f>
        <v>1</v>
      </c>
      <c r="X335" s="7">
        <f>Table11[[#This Row],[ETP'#s]]</f>
        <v>1</v>
      </c>
    </row>
    <row r="336" spans="1:24" x14ac:dyDescent="0.25">
      <c r="A336">
        <f>Table11[[#This Row],[Farmer'#]]</f>
        <v>10125</v>
      </c>
      <c r="B336" t="str">
        <f>Table11[[#This Row],[Representative]]</f>
        <v>Steve Carson</v>
      </c>
      <c r="C336" t="str">
        <f>Table11[[#This Row],[Contract Name]]</f>
        <v>Steve Carson</v>
      </c>
      <c r="D336" t="str">
        <f>Table11[[#This Row],[Status]]</f>
        <v>Active</v>
      </c>
      <c r="E336" t="str">
        <f>Table11[[#This Row],[Contract Code]]</f>
        <v>US0154</v>
      </c>
      <c r="F336" s="16">
        <f>Table11[[#This Row],['#TreesContract]]</f>
        <v>2750</v>
      </c>
      <c r="G336" s="16">
        <f>Table11[[#This Row],['#Planted]]</f>
        <v>2750</v>
      </c>
      <c r="H336" s="16">
        <f>Table11[[#This Row],['#TreesContract]]*Table11[[#This Row],[Canada Allocation %]]</f>
        <v>0</v>
      </c>
      <c r="I336" s="16">
        <f>Table11[[#This Row],['#Planted]]*Table11[[#This Row],[Canada Allocation %]]</f>
        <v>0</v>
      </c>
      <c r="J336" s="16">
        <f>Table11[[#This Row],[Contract Amendment]]*Table11[[#This Row],[Canada Allocation %]]</f>
        <v>0</v>
      </c>
      <c r="K336" s="16">
        <f>Table11[[#This Row],['#Trees as of 12/31/23]]*Table11[[#This Row],[Canada Allocation %]]</f>
        <v>0</v>
      </c>
      <c r="L336" s="16">
        <f>Table11[[#This Row],['#Replace 24]]*Table11[[#This Row],[Canada Allocation %]]</f>
        <v>0</v>
      </c>
      <c r="M336" s="16"/>
      <c r="N336" s="16">
        <f>(Table11[[#This Row],[2024 '#Trees Inventory + Estimate]]*Table11[[#This Row],[Canada Allocation %]])-SUM(Table378[[#This Row],['# Trees as of 12/31/23]:[New Trees/Planted in 2024]])</f>
        <v>0</v>
      </c>
      <c r="O336" s="32">
        <f>SUM(Table378[[#This Row],['# Trees as of 12/31/23]:[2024 Tree Losses]])</f>
        <v>0</v>
      </c>
      <c r="P336" s="32">
        <f>SUM(Table378[[#This Row],[Total Trees as of 12/31/24]]-Table378[[#This Row],['# Trees as of 12/31/23]])</f>
        <v>0</v>
      </c>
      <c r="Q336" s="16">
        <f>Table11[[#This Row],['#Total Replacements]]*Table11[[#This Row],[Canada Allocation %]]</f>
        <v>0</v>
      </c>
      <c r="R336" s="32">
        <f>IF(Table378[[#This Row],['#Survival based on Inventory]]=0,Table378['#Survival based on Last Year Estimate],Table378['#Survival based on Inventory])</f>
        <v>0</v>
      </c>
      <c r="S336" s="16">
        <f>Table11[[#This Row],['#Planted]]*Table11[[#This Row],[Canada Allocation %]]*Table11[[#This Row],[2024 Inventory Survival%-master]]</f>
        <v>0</v>
      </c>
      <c r="T336" s="16">
        <f>Table11[[#This Row],['#Planted]]*Table11[[#This Row],[Canada Allocation %]]*Table11[[#This Row],[2024 Estimated Survival%]]</f>
        <v>0</v>
      </c>
      <c r="U336" s="7">
        <f>Table11[[#This Row],[ETP Year]]</f>
        <v>2022</v>
      </c>
      <c r="V336" s="7">
        <f>Table11[[#This Row],[Planting Year]]</f>
        <v>2023</v>
      </c>
      <c r="W336" s="8">
        <f>Table11[[#This Row],[Survival% as of 12/31/23]]</f>
        <v>1</v>
      </c>
      <c r="X336" s="7">
        <f>Table11[[#This Row],[ETP'#s]]</f>
        <v>1</v>
      </c>
    </row>
    <row r="337" spans="1:24" x14ac:dyDescent="0.25">
      <c r="A337">
        <f>Table11[[#This Row],[Farmer'#]]</f>
        <v>20092</v>
      </c>
      <c r="B337" t="str">
        <f>Table11[[#This Row],[Representative]]</f>
        <v>Samuel Wards</v>
      </c>
      <c r="C337" t="str">
        <f>Table11[[#This Row],[Contract Name]]</f>
        <v>Samule Wards</v>
      </c>
      <c r="D337" t="str">
        <f>Table11[[#This Row],[Status]]</f>
        <v>Active</v>
      </c>
      <c r="E337" t="str">
        <f>Table11[[#This Row],[Contract Code]]</f>
        <v>CR0100</v>
      </c>
      <c r="F337" s="16">
        <f>Table11[[#This Row],['#TreesContract]]</f>
        <v>1000</v>
      </c>
      <c r="G337" s="16">
        <f>Table11[[#This Row],['#Planted]]</f>
        <v>1000</v>
      </c>
      <c r="H337" s="16">
        <f>Table11[[#This Row],['#TreesContract]]*Table11[[#This Row],[Canada Allocation %]]</f>
        <v>0</v>
      </c>
      <c r="I337" s="16">
        <f>Table11[[#This Row],['#Planted]]*Table11[[#This Row],[Canada Allocation %]]</f>
        <v>0</v>
      </c>
      <c r="J337" s="16">
        <f>Table11[[#This Row],[Contract Amendment]]*Table11[[#This Row],[Canada Allocation %]]</f>
        <v>0</v>
      </c>
      <c r="K337" s="16">
        <f>Table11[[#This Row],['#Trees as of 12/31/23]]*Table11[[#This Row],[Canada Allocation %]]</f>
        <v>0</v>
      </c>
      <c r="L337" s="16">
        <f>Table11[[#This Row],['#Replace 24]]*Table11[[#This Row],[Canada Allocation %]]</f>
        <v>0</v>
      </c>
      <c r="M337" s="16"/>
      <c r="N337" s="16">
        <f>(Table11[[#This Row],[2024 '#Trees Inventory + Estimate]]*Table11[[#This Row],[Canada Allocation %]])-SUM(Table378[[#This Row],['# Trees as of 12/31/23]:[New Trees/Planted in 2024]])</f>
        <v>0</v>
      </c>
      <c r="O337" s="32">
        <f>SUM(Table378[[#This Row],['# Trees as of 12/31/23]:[2024 Tree Losses]])</f>
        <v>0</v>
      </c>
      <c r="P337" s="32">
        <f>SUM(Table378[[#This Row],[Total Trees as of 12/31/24]]-Table378[[#This Row],['# Trees as of 12/31/23]])</f>
        <v>0</v>
      </c>
      <c r="Q337" s="16">
        <f>Table11[[#This Row],['#Total Replacements]]*Table11[[#This Row],[Canada Allocation %]]</f>
        <v>0</v>
      </c>
      <c r="R337" s="32">
        <f>IF(Table378[[#This Row],['#Survival based on Inventory]]=0,Table378['#Survival based on Last Year Estimate],Table378['#Survival based on Inventory])</f>
        <v>0</v>
      </c>
      <c r="S337" s="16">
        <f>Table11[[#This Row],['#Planted]]*Table11[[#This Row],[Canada Allocation %]]*Table11[[#This Row],[2024 Inventory Survival%-master]]</f>
        <v>0</v>
      </c>
      <c r="T337" s="16">
        <f>Table11[[#This Row],['#Planted]]*Table11[[#This Row],[Canada Allocation %]]*Table11[[#This Row],[2024 Estimated Survival%]]</f>
        <v>0</v>
      </c>
      <c r="U337" s="7">
        <f>Table11[[#This Row],[ETP Year]]</f>
        <v>2021</v>
      </c>
      <c r="V337" s="7">
        <f>Table11[[#This Row],[Planting Year]]</f>
        <v>2023</v>
      </c>
      <c r="W337" s="8">
        <f>Table11[[#This Row],[Survival% as of 12/31/23]]</f>
        <v>1</v>
      </c>
      <c r="X337" s="7">
        <f>Table11[[#This Row],[ETP'#s]]</f>
        <v>1</v>
      </c>
    </row>
    <row r="338" spans="1:24" x14ac:dyDescent="0.25">
      <c r="A338">
        <f>Table11[[#This Row],[Farmer'#]]</f>
        <v>20093</v>
      </c>
      <c r="B338" t="str">
        <f>Table11[[#This Row],[Representative]]</f>
        <v>Leonardo Barquero</v>
      </c>
      <c r="C338" t="str">
        <f>Table11[[#This Row],[Contract Name]]</f>
        <v>Tecamachalco S.A</v>
      </c>
      <c r="D338" t="str">
        <f>Table11[[#This Row],[Status]]</f>
        <v>Active</v>
      </c>
      <c r="E338" t="str">
        <f>Table11[[#This Row],[Contract Code]]</f>
        <v>CR0101</v>
      </c>
      <c r="F338" s="16">
        <f>Table11[[#This Row],['#TreesContract]]</f>
        <v>1700</v>
      </c>
      <c r="G338" s="16">
        <f>Table11[[#This Row],['#Planted]]</f>
        <v>1700</v>
      </c>
      <c r="H338" s="16">
        <f>Table11[[#This Row],['#TreesContract]]*Table11[[#This Row],[Canada Allocation %]]</f>
        <v>0</v>
      </c>
      <c r="I338" s="16">
        <f>Table11[[#This Row],['#Planted]]*Table11[[#This Row],[Canada Allocation %]]</f>
        <v>0</v>
      </c>
      <c r="J338" s="16">
        <f>Table11[[#This Row],[Contract Amendment]]*Table11[[#This Row],[Canada Allocation %]]</f>
        <v>0</v>
      </c>
      <c r="K338" s="16">
        <f>Table11[[#This Row],['#Trees as of 12/31/23]]*Table11[[#This Row],[Canada Allocation %]]</f>
        <v>0</v>
      </c>
      <c r="L338" s="16">
        <f>Table11[[#This Row],['#Replace 24]]*Table11[[#This Row],[Canada Allocation %]]</f>
        <v>0</v>
      </c>
      <c r="M338" s="16"/>
      <c r="N338" s="16">
        <f>(Table11[[#This Row],[2024 '#Trees Inventory + Estimate]]*Table11[[#This Row],[Canada Allocation %]])-SUM(Table378[[#This Row],['# Trees as of 12/31/23]:[New Trees/Planted in 2024]])</f>
        <v>0</v>
      </c>
      <c r="O338" s="32">
        <f>SUM(Table378[[#This Row],['# Trees as of 12/31/23]:[2024 Tree Losses]])</f>
        <v>0</v>
      </c>
      <c r="P338" s="32">
        <f>SUM(Table378[[#This Row],[Total Trees as of 12/31/24]]-Table378[[#This Row],['# Trees as of 12/31/23]])</f>
        <v>0</v>
      </c>
      <c r="Q338" s="16">
        <f>Table11[[#This Row],['#Total Replacements]]*Table11[[#This Row],[Canada Allocation %]]</f>
        <v>0</v>
      </c>
      <c r="R338" s="32">
        <f>IF(Table378[[#This Row],['#Survival based on Inventory]]=0,Table378['#Survival based on Last Year Estimate],Table378['#Survival based on Inventory])</f>
        <v>0</v>
      </c>
      <c r="S338" s="16">
        <f>Table11[[#This Row],['#Planted]]*Table11[[#This Row],[Canada Allocation %]]*Table11[[#This Row],[2024 Inventory Survival%-master]]</f>
        <v>0</v>
      </c>
      <c r="T338" s="16">
        <f>Table11[[#This Row],['#Planted]]*Table11[[#This Row],[Canada Allocation %]]*Table11[[#This Row],[2024 Estimated Survival%]]</f>
        <v>0</v>
      </c>
      <c r="U338" s="7">
        <f>Table11[[#This Row],[ETP Year]]</f>
        <v>2021</v>
      </c>
      <c r="V338" s="7">
        <f>Table11[[#This Row],[Planting Year]]</f>
        <v>2023</v>
      </c>
      <c r="W338" s="8">
        <f>Table11[[#This Row],[Survival% as of 12/31/23]]</f>
        <v>1</v>
      </c>
      <c r="X338" s="7">
        <f>Table11[[#This Row],[ETP'#s]]</f>
        <v>1</v>
      </c>
    </row>
    <row r="339" spans="1:24" x14ac:dyDescent="0.25">
      <c r="A339">
        <f>Table11[[#This Row],[Farmer'#]]</f>
        <v>20094</v>
      </c>
      <c r="B339" t="str">
        <f>Table11[[#This Row],[Representative]]</f>
        <v>William Romero</v>
      </c>
      <c r="C339" t="str">
        <f>Table11[[#This Row],[Contract Name]]</f>
        <v>Karen Vargas Fernandez y William Romero Fernandez</v>
      </c>
      <c r="D339" t="str">
        <f>Table11[[#This Row],[Status]]</f>
        <v>Active</v>
      </c>
      <c r="E339" t="str">
        <f>Table11[[#This Row],[Contract Code]]</f>
        <v>CR0102</v>
      </c>
      <c r="F339" s="16">
        <f>Table11[[#This Row],['#TreesContract]]</f>
        <v>1200</v>
      </c>
      <c r="G339" s="16">
        <f>Table11[[#This Row],['#Planted]]</f>
        <v>1200</v>
      </c>
      <c r="H339" s="16">
        <f>Table11[[#This Row],['#TreesContract]]*Table11[[#This Row],[Canada Allocation %]]</f>
        <v>0</v>
      </c>
      <c r="I339" s="16">
        <f>Table11[[#This Row],['#Planted]]*Table11[[#This Row],[Canada Allocation %]]</f>
        <v>0</v>
      </c>
      <c r="J339" s="16">
        <f>Table11[[#This Row],[Contract Amendment]]*Table11[[#This Row],[Canada Allocation %]]</f>
        <v>0</v>
      </c>
      <c r="K339" s="16">
        <f>Table11[[#This Row],['#Trees as of 12/31/23]]*Table11[[#This Row],[Canada Allocation %]]</f>
        <v>0</v>
      </c>
      <c r="L339" s="16">
        <f>Table11[[#This Row],['#Replace 24]]*Table11[[#This Row],[Canada Allocation %]]</f>
        <v>0</v>
      </c>
      <c r="M339" s="16"/>
      <c r="N339" s="16">
        <f>(Table11[[#This Row],[2024 '#Trees Inventory + Estimate]]*Table11[[#This Row],[Canada Allocation %]])-SUM(Table378[[#This Row],['# Trees as of 12/31/23]:[New Trees/Planted in 2024]])</f>
        <v>0</v>
      </c>
      <c r="O339" s="32">
        <f>SUM(Table378[[#This Row],['# Trees as of 12/31/23]:[2024 Tree Losses]])</f>
        <v>0</v>
      </c>
      <c r="P339" s="32">
        <f>SUM(Table378[[#This Row],[Total Trees as of 12/31/24]]-Table378[[#This Row],['# Trees as of 12/31/23]])</f>
        <v>0</v>
      </c>
      <c r="Q339" s="16">
        <f>Table11[[#This Row],['#Total Replacements]]*Table11[[#This Row],[Canada Allocation %]]</f>
        <v>0</v>
      </c>
      <c r="R339" s="32">
        <f>IF(Table378[[#This Row],['#Survival based on Inventory]]=0,Table378['#Survival based on Last Year Estimate],Table378['#Survival based on Inventory])</f>
        <v>0</v>
      </c>
      <c r="S339" s="16">
        <f>Table11[[#This Row],['#Planted]]*Table11[[#This Row],[Canada Allocation %]]*Table11[[#This Row],[2024 Inventory Survival%-master]]</f>
        <v>0</v>
      </c>
      <c r="T339" s="16">
        <f>Table11[[#This Row],['#Planted]]*Table11[[#This Row],[Canada Allocation %]]*Table11[[#This Row],[2024 Estimated Survival%]]</f>
        <v>0</v>
      </c>
      <c r="U339" s="7">
        <f>Table11[[#This Row],[ETP Year]]</f>
        <v>2022</v>
      </c>
      <c r="V339" s="7">
        <f>Table11[[#This Row],[Planting Year]]</f>
        <v>2023</v>
      </c>
      <c r="W339" s="8">
        <f>Table11[[#This Row],[Survival% as of 12/31/23]]</f>
        <v>1</v>
      </c>
      <c r="X339" s="7">
        <f>Table11[[#This Row],[ETP'#s]]</f>
        <v>1</v>
      </c>
    </row>
    <row r="340" spans="1:24" x14ac:dyDescent="0.25">
      <c r="A340">
        <f>Table11[[#This Row],[Farmer'#]]</f>
        <v>20095</v>
      </c>
      <c r="B340" t="str">
        <f>Table11[[#This Row],[Representative]]</f>
        <v>Jorge Alberto Cole</v>
      </c>
      <c r="C340" t="str">
        <f>Table11[[#This Row],[Contract Name]]</f>
        <v>Himalaya Verde  LTDA</v>
      </c>
      <c r="D340" t="str">
        <f>Table11[[#This Row],[Status]]</f>
        <v>Active</v>
      </c>
      <c r="E340" t="str">
        <f>Table11[[#This Row],[Contract Code]]</f>
        <v>CR0103</v>
      </c>
      <c r="F340" s="16">
        <f>Table11[[#This Row],['#TreesContract]]</f>
        <v>2000</v>
      </c>
      <c r="G340" s="16">
        <f>Table11[[#This Row],['#Planted]]</f>
        <v>2000</v>
      </c>
      <c r="H340" s="16">
        <f>Table11[[#This Row],['#TreesContract]]*Table11[[#This Row],[Canada Allocation %]]</f>
        <v>0</v>
      </c>
      <c r="I340" s="16">
        <f>Table11[[#This Row],['#Planted]]*Table11[[#This Row],[Canada Allocation %]]</f>
        <v>0</v>
      </c>
      <c r="J340" s="16">
        <f>Table11[[#This Row],[Contract Amendment]]*Table11[[#This Row],[Canada Allocation %]]</f>
        <v>0</v>
      </c>
      <c r="K340" s="16">
        <f>Table11[[#This Row],['#Trees as of 12/31/23]]*Table11[[#This Row],[Canada Allocation %]]</f>
        <v>0</v>
      </c>
      <c r="L340" s="16">
        <f>Table11[[#This Row],['#Replace 24]]*Table11[[#This Row],[Canada Allocation %]]</f>
        <v>0</v>
      </c>
      <c r="M340" s="16"/>
      <c r="N340" s="16">
        <f>(Table11[[#This Row],[2024 '#Trees Inventory + Estimate]]*Table11[[#This Row],[Canada Allocation %]])-SUM(Table378[[#This Row],['# Trees as of 12/31/23]:[New Trees/Planted in 2024]])</f>
        <v>0</v>
      </c>
      <c r="O340" s="32">
        <f>SUM(Table378[[#This Row],['# Trees as of 12/31/23]:[2024 Tree Losses]])</f>
        <v>0</v>
      </c>
      <c r="P340" s="32">
        <f>SUM(Table378[[#This Row],[Total Trees as of 12/31/24]]-Table378[[#This Row],['# Trees as of 12/31/23]])</f>
        <v>0</v>
      </c>
      <c r="Q340" s="16">
        <f>Table11[[#This Row],['#Total Replacements]]*Table11[[#This Row],[Canada Allocation %]]</f>
        <v>0</v>
      </c>
      <c r="R340" s="32">
        <f>IF(Table378[[#This Row],['#Survival based on Inventory]]=0,Table378['#Survival based on Last Year Estimate],Table378['#Survival based on Inventory])</f>
        <v>0</v>
      </c>
      <c r="S340" s="16">
        <f>Table11[[#This Row],['#Planted]]*Table11[[#This Row],[Canada Allocation %]]*Table11[[#This Row],[2024 Inventory Survival%-master]]</f>
        <v>0</v>
      </c>
      <c r="T340" s="16">
        <f>Table11[[#This Row],['#Planted]]*Table11[[#This Row],[Canada Allocation %]]*Table11[[#This Row],[2024 Estimated Survival%]]</f>
        <v>0</v>
      </c>
      <c r="U340" s="7">
        <f>Table11[[#This Row],[ETP Year]]</f>
        <v>2022</v>
      </c>
      <c r="V340" s="7">
        <f>Table11[[#This Row],[Planting Year]]</f>
        <v>2023</v>
      </c>
      <c r="W340" s="8">
        <f>Table11[[#This Row],[Survival% as of 12/31/23]]</f>
        <v>1</v>
      </c>
      <c r="X340" s="7">
        <f>Table11[[#This Row],[ETP'#s]]</f>
        <v>1</v>
      </c>
    </row>
    <row r="341" spans="1:24" x14ac:dyDescent="0.25">
      <c r="A341">
        <f>Table11[[#This Row],[Farmer'#]]</f>
        <v>20096</v>
      </c>
      <c r="B341" t="str">
        <f>Table11[[#This Row],[Representative]]</f>
        <v>Emmanuel Manuel Ruiz</v>
      </c>
      <c r="C341" t="str">
        <f>Table11[[#This Row],[Contract Name]]</f>
        <v>Jose Manuel Ruiz</v>
      </c>
      <c r="D341" t="str">
        <f>Table11[[#This Row],[Status]]</f>
        <v>Active</v>
      </c>
      <c r="E341" t="str">
        <f>Table11[[#This Row],[Contract Code]]</f>
        <v>CR0104</v>
      </c>
      <c r="F341" s="16">
        <f>Table11[[#This Row],['#TreesContract]]</f>
        <v>2000</v>
      </c>
      <c r="G341" s="16">
        <f>Table11[[#This Row],['#Planted]]</f>
        <v>2000</v>
      </c>
      <c r="H341" s="16">
        <f>Table11[[#This Row],['#TreesContract]]*Table11[[#This Row],[Canada Allocation %]]</f>
        <v>0</v>
      </c>
      <c r="I341" s="16">
        <f>Table11[[#This Row],['#Planted]]*Table11[[#This Row],[Canada Allocation %]]</f>
        <v>0</v>
      </c>
      <c r="J341" s="16">
        <f>Table11[[#This Row],[Contract Amendment]]*Table11[[#This Row],[Canada Allocation %]]</f>
        <v>0</v>
      </c>
      <c r="K341" s="16">
        <f>Table11[[#This Row],['#Trees as of 12/31/23]]*Table11[[#This Row],[Canada Allocation %]]</f>
        <v>0</v>
      </c>
      <c r="L341" s="16">
        <f>Table11[[#This Row],['#Replace 24]]*Table11[[#This Row],[Canada Allocation %]]</f>
        <v>0</v>
      </c>
      <c r="M341" s="16"/>
      <c r="N341" s="16">
        <f>(Table11[[#This Row],[2024 '#Trees Inventory + Estimate]]*Table11[[#This Row],[Canada Allocation %]])-SUM(Table378[[#This Row],['# Trees as of 12/31/23]:[New Trees/Planted in 2024]])</f>
        <v>0</v>
      </c>
      <c r="O341" s="32">
        <f>SUM(Table378[[#This Row],['# Trees as of 12/31/23]:[2024 Tree Losses]])</f>
        <v>0</v>
      </c>
      <c r="P341" s="32">
        <f>SUM(Table378[[#This Row],[Total Trees as of 12/31/24]]-Table378[[#This Row],['# Trees as of 12/31/23]])</f>
        <v>0</v>
      </c>
      <c r="Q341" s="16">
        <f>Table11[[#This Row],['#Total Replacements]]*Table11[[#This Row],[Canada Allocation %]]</f>
        <v>0</v>
      </c>
      <c r="R341" s="32">
        <f>IF(Table378[[#This Row],['#Survival based on Inventory]]=0,Table378['#Survival based on Last Year Estimate],Table378['#Survival based on Inventory])</f>
        <v>0</v>
      </c>
      <c r="S341" s="16">
        <f>Table11[[#This Row],['#Planted]]*Table11[[#This Row],[Canada Allocation %]]*Table11[[#This Row],[2024 Inventory Survival%-master]]</f>
        <v>0</v>
      </c>
      <c r="T341" s="16">
        <f>Table11[[#This Row],['#Planted]]*Table11[[#This Row],[Canada Allocation %]]*Table11[[#This Row],[2024 Estimated Survival%]]</f>
        <v>0</v>
      </c>
      <c r="U341" s="7">
        <f>Table11[[#This Row],[ETP Year]]</f>
        <v>2022</v>
      </c>
      <c r="V341" s="7">
        <f>Table11[[#This Row],[Planting Year]]</f>
        <v>2023</v>
      </c>
      <c r="W341" s="8">
        <f>Table11[[#This Row],[Survival% as of 12/31/23]]</f>
        <v>1</v>
      </c>
      <c r="X341" s="7">
        <f>Table11[[#This Row],[ETP'#s]]</f>
        <v>1</v>
      </c>
    </row>
    <row r="342" spans="1:24" x14ac:dyDescent="0.25">
      <c r="A342">
        <f>Table11[[#This Row],[Farmer'#]]</f>
        <v>20097</v>
      </c>
      <c r="B342" t="str">
        <f>Table11[[#This Row],[Representative]]</f>
        <v>Johaner Rosales Flores</v>
      </c>
      <c r="C342" t="str">
        <f>Table11[[#This Row],[Contract Name]]</f>
        <v>Johaner Rosales Flores</v>
      </c>
      <c r="D342" t="str">
        <f>Table11[[#This Row],[Status]]</f>
        <v>Active</v>
      </c>
      <c r="E342" t="str">
        <f>Table11[[#This Row],[Contract Code]]</f>
        <v>CR0105</v>
      </c>
      <c r="F342" s="16">
        <f>Table11[[#This Row],['#TreesContract]]</f>
        <v>2400</v>
      </c>
      <c r="G342" s="16">
        <f>Table11[[#This Row],['#Planted]]</f>
        <v>2400</v>
      </c>
      <c r="H342" s="16">
        <f>Table11[[#This Row],['#TreesContract]]*Table11[[#This Row],[Canada Allocation %]]</f>
        <v>0</v>
      </c>
      <c r="I342" s="16">
        <f>Table11[[#This Row],['#Planted]]*Table11[[#This Row],[Canada Allocation %]]</f>
        <v>0</v>
      </c>
      <c r="J342" s="16">
        <f>Table11[[#This Row],[Contract Amendment]]*Table11[[#This Row],[Canada Allocation %]]</f>
        <v>0</v>
      </c>
      <c r="K342" s="16">
        <f>Table11[[#This Row],['#Trees as of 12/31/23]]*Table11[[#This Row],[Canada Allocation %]]</f>
        <v>0</v>
      </c>
      <c r="L342" s="16">
        <f>Table11[[#This Row],['#Replace 24]]*Table11[[#This Row],[Canada Allocation %]]</f>
        <v>0</v>
      </c>
      <c r="M342" s="16"/>
      <c r="N342" s="16">
        <f>(Table11[[#This Row],[2024 '#Trees Inventory + Estimate]]*Table11[[#This Row],[Canada Allocation %]])-SUM(Table378[[#This Row],['# Trees as of 12/31/23]:[New Trees/Planted in 2024]])</f>
        <v>0</v>
      </c>
      <c r="O342" s="32">
        <f>SUM(Table378[[#This Row],['# Trees as of 12/31/23]:[2024 Tree Losses]])</f>
        <v>0</v>
      </c>
      <c r="P342" s="32">
        <f>SUM(Table378[[#This Row],[Total Trees as of 12/31/24]]-Table378[[#This Row],['# Trees as of 12/31/23]])</f>
        <v>0</v>
      </c>
      <c r="Q342" s="16">
        <f>Table11[[#This Row],['#Total Replacements]]*Table11[[#This Row],[Canada Allocation %]]</f>
        <v>0</v>
      </c>
      <c r="R342" s="32">
        <f>IF(Table378[[#This Row],['#Survival based on Inventory]]=0,Table378['#Survival based on Last Year Estimate],Table378['#Survival based on Inventory])</f>
        <v>0</v>
      </c>
      <c r="S342" s="16">
        <f>Table11[[#This Row],['#Planted]]*Table11[[#This Row],[Canada Allocation %]]*Table11[[#This Row],[2024 Inventory Survival%-master]]</f>
        <v>0</v>
      </c>
      <c r="T342" s="16">
        <f>Table11[[#This Row],['#Planted]]*Table11[[#This Row],[Canada Allocation %]]*Table11[[#This Row],[2024 Estimated Survival%]]</f>
        <v>0</v>
      </c>
      <c r="U342" s="7">
        <f>Table11[[#This Row],[ETP Year]]</f>
        <v>2021</v>
      </c>
      <c r="V342" s="7">
        <f>Table11[[#This Row],[Planting Year]]</f>
        <v>2023</v>
      </c>
      <c r="W342" s="8">
        <f>Table11[[#This Row],[Survival% as of 12/31/23]]</f>
        <v>1</v>
      </c>
      <c r="X342" s="7">
        <f>Table11[[#This Row],[ETP'#s]]</f>
        <v>1</v>
      </c>
    </row>
    <row r="343" spans="1:24" x14ac:dyDescent="0.25">
      <c r="A343">
        <f>Table11[[#This Row],[Farmer'#]]</f>
        <v>30017</v>
      </c>
      <c r="B343" t="str">
        <f>Table11[[#This Row],[Representative]]</f>
        <v>David Horacio Estrada Jeréz</v>
      </c>
      <c r="C343" t="str">
        <f>Table11[[#This Row],[Contract Name]]</f>
        <v>David Horacio Estrada Jeréz</v>
      </c>
      <c r="D343" t="str">
        <f>Table11[[#This Row],[Status]]</f>
        <v>Active</v>
      </c>
      <c r="E343" t="str">
        <f>Table11[[#This Row],[Contract Code]]</f>
        <v>GT0044</v>
      </c>
      <c r="F343" s="16">
        <f>Table11[[#This Row],['#TreesContract]]</f>
        <v>1000</v>
      </c>
      <c r="G343" s="16">
        <f>Table11[[#This Row],['#Planted]]</f>
        <v>1000</v>
      </c>
      <c r="H343" s="16">
        <f>Table11[[#This Row],['#TreesContract]]*Table11[[#This Row],[Canada Allocation %]]</f>
        <v>0</v>
      </c>
      <c r="I343" s="16">
        <f>Table11[[#This Row],['#Planted]]*Table11[[#This Row],[Canada Allocation %]]</f>
        <v>0</v>
      </c>
      <c r="J343" s="16">
        <f>Table11[[#This Row],[Contract Amendment]]*Table11[[#This Row],[Canada Allocation %]]</f>
        <v>0</v>
      </c>
      <c r="K343" s="16">
        <f>Table11[[#This Row],['#Trees as of 12/31/23]]*Table11[[#This Row],[Canada Allocation %]]</f>
        <v>0</v>
      </c>
      <c r="L343" s="16">
        <f>Table11[[#This Row],['#Replace 24]]*Table11[[#This Row],[Canada Allocation %]]</f>
        <v>0</v>
      </c>
      <c r="M343" s="16"/>
      <c r="N343" s="16">
        <f>(Table11[[#This Row],[2024 '#Trees Inventory + Estimate]]*Table11[[#This Row],[Canada Allocation %]])-SUM(Table378[[#This Row],['# Trees as of 12/31/23]:[New Trees/Planted in 2024]])</f>
        <v>0</v>
      </c>
      <c r="O343" s="32">
        <f>SUM(Table378[[#This Row],['# Trees as of 12/31/23]:[2024 Tree Losses]])</f>
        <v>0</v>
      </c>
      <c r="P343" s="32">
        <f>SUM(Table378[[#This Row],[Total Trees as of 12/31/24]]-Table378[[#This Row],['# Trees as of 12/31/23]])</f>
        <v>0</v>
      </c>
      <c r="Q343" s="16">
        <f>Table11[[#This Row],['#Total Replacements]]*Table11[[#This Row],[Canada Allocation %]]</f>
        <v>0</v>
      </c>
      <c r="R343" s="32">
        <f>IF(Table378[[#This Row],['#Survival based on Inventory]]=0,Table378['#Survival based on Last Year Estimate],Table378['#Survival based on Inventory])</f>
        <v>0</v>
      </c>
      <c r="S343" s="16">
        <f>Table11[[#This Row],['#Planted]]*Table11[[#This Row],[Canada Allocation %]]*Table11[[#This Row],[2024 Inventory Survival%-master]]</f>
        <v>0</v>
      </c>
      <c r="T343" s="16">
        <f>Table11[[#This Row],['#Planted]]*Table11[[#This Row],[Canada Allocation %]]*Table11[[#This Row],[2024 Estimated Survival%]]</f>
        <v>0</v>
      </c>
      <c r="U343" s="7">
        <f>Table11[[#This Row],[ETP Year]]</f>
        <v>2022</v>
      </c>
      <c r="V343" s="7">
        <f>Table11[[#This Row],[Planting Year]]</f>
        <v>2023</v>
      </c>
      <c r="W343" s="8">
        <f>Table11[[#This Row],[Survival% as of 12/31/23]]</f>
        <v>1</v>
      </c>
      <c r="X343" s="7">
        <f>Table11[[#This Row],[ETP'#s]]</f>
        <v>1</v>
      </c>
    </row>
    <row r="344" spans="1:24" x14ac:dyDescent="0.25">
      <c r="A344">
        <f>Table11[[#This Row],[Farmer'#]]</f>
        <v>30028</v>
      </c>
      <c r="B344" t="str">
        <f>Table11[[#This Row],[Representative]]</f>
        <v>Derek José Herman Gordillo</v>
      </c>
      <c r="C344" t="str">
        <f>Table11[[#This Row],[Contract Name]]</f>
        <v>Agroindustrias Nativa S.A./Derek José Herman Gordillo</v>
      </c>
      <c r="D344" t="str">
        <f>Table11[[#This Row],[Status]]</f>
        <v>Active</v>
      </c>
      <c r="E344" t="str">
        <f>Table11[[#This Row],[Contract Code]]</f>
        <v>GT0031c</v>
      </c>
      <c r="F344" s="16">
        <f>Table11[[#This Row],['#TreesContract]]</f>
        <v>9420</v>
      </c>
      <c r="G344" s="16">
        <f>Table11[[#This Row],['#Planted]]</f>
        <v>9420</v>
      </c>
      <c r="H344" s="16">
        <f>Table11[[#This Row],['#TreesContract]]*Table11[[#This Row],[Canada Allocation %]]</f>
        <v>0</v>
      </c>
      <c r="I344" s="16">
        <f>Table11[[#This Row],['#Planted]]*Table11[[#This Row],[Canada Allocation %]]</f>
        <v>0</v>
      </c>
      <c r="J344" s="16">
        <f>Table11[[#This Row],[Contract Amendment]]*Table11[[#This Row],[Canada Allocation %]]</f>
        <v>0</v>
      </c>
      <c r="K344" s="16">
        <f>Table11[[#This Row],['#Trees as of 12/31/23]]*Table11[[#This Row],[Canada Allocation %]]</f>
        <v>0</v>
      </c>
      <c r="L344" s="16">
        <f>Table11[[#This Row],['#Replace 24]]*Table11[[#This Row],[Canada Allocation %]]</f>
        <v>0</v>
      </c>
      <c r="M344" s="16"/>
      <c r="N344" s="16">
        <f>(Table11[[#This Row],[2024 '#Trees Inventory + Estimate]]*Table11[[#This Row],[Canada Allocation %]])-SUM(Table378[[#This Row],['# Trees as of 12/31/23]:[New Trees/Planted in 2024]])</f>
        <v>0</v>
      </c>
      <c r="O344" s="16">
        <f>SUM(Table378[[#This Row],['# Trees as of 12/31/23]:[2024 Tree Losses]])</f>
        <v>0</v>
      </c>
      <c r="P344" s="16">
        <f>SUM(Table378[[#This Row],[Total Trees as of 12/31/24]]-Table378[[#This Row],['# Trees as of 12/31/23]])</f>
        <v>0</v>
      </c>
      <c r="Q344" s="16">
        <f>Table11[[#This Row],['#Total Replacements]]*Table11[[#This Row],[Canada Allocation %]]</f>
        <v>0</v>
      </c>
      <c r="R344" s="16">
        <f>IF(Table378[[#This Row],['#Survival based on Inventory]]=0,Table378['#Survival based on Last Year Estimate],Table378['#Survival based on Inventory])</f>
        <v>0</v>
      </c>
      <c r="S344" s="16">
        <f>Table11[[#This Row],['#Planted]]*Table11[[#This Row],[Canada Allocation %]]*Table11[[#This Row],[2024 Inventory Survival%-master]]</f>
        <v>0</v>
      </c>
      <c r="T344" s="16">
        <f>Table11[[#This Row],['#Planted]]*Table11[[#This Row],[Canada Allocation %]]*Table11[[#This Row],[2024 Estimated Survival%]]</f>
        <v>0</v>
      </c>
      <c r="U344" s="7">
        <f>Table11[[#This Row],[ETP Year]]</f>
        <v>2022</v>
      </c>
      <c r="V344" s="7">
        <f>Table11[[#This Row],[Planting Year]]</f>
        <v>2023</v>
      </c>
      <c r="W344" s="8">
        <f>Table11[[#This Row],[Survival% as of 12/31/23]]</f>
        <v>1</v>
      </c>
      <c r="X344" s="7">
        <f>Table11[[#This Row],[ETP'#s]]</f>
        <v>1</v>
      </c>
    </row>
    <row r="345" spans="1:24" x14ac:dyDescent="0.25">
      <c r="A345">
        <f>Table11[[#This Row],[Farmer'#]]</f>
        <v>30033</v>
      </c>
      <c r="B345" t="str">
        <f>Table11[[#This Row],[Representative]]</f>
        <v>Trapiche de la Vega S.A. /María Isabel Agüero</v>
      </c>
      <c r="C345" t="str">
        <f>Table11[[#This Row],[Contract Name]]</f>
        <v>Trapiche de la Vega Sociedad Anónima / Walesca María Isabel Agüero Urruela de Maegli</v>
      </c>
      <c r="D345" t="str">
        <f>Table11[[#This Row],[Status]]</f>
        <v>Active</v>
      </c>
      <c r="E345" t="str">
        <f>Table11[[#This Row],[Contract Code]]</f>
        <v>GT0045</v>
      </c>
      <c r="F345" s="16">
        <f>Table11[[#This Row],['#TreesContract]]</f>
        <v>1640</v>
      </c>
      <c r="G345" s="16">
        <f>Table11[[#This Row],['#Planted]]</f>
        <v>1640</v>
      </c>
      <c r="H345" s="16">
        <f>Table11[[#This Row],['#TreesContract]]*Table11[[#This Row],[Canada Allocation %]]</f>
        <v>0</v>
      </c>
      <c r="I345" s="16">
        <f>Table11[[#This Row],['#Planted]]*Table11[[#This Row],[Canada Allocation %]]</f>
        <v>0</v>
      </c>
      <c r="J345" s="16">
        <f>Table11[[#This Row],[Contract Amendment]]*Table11[[#This Row],[Canada Allocation %]]</f>
        <v>0</v>
      </c>
      <c r="K345" s="16">
        <f>Table11[[#This Row],['#Trees as of 12/31/23]]*Table11[[#This Row],[Canada Allocation %]]</f>
        <v>0</v>
      </c>
      <c r="L345" s="16">
        <f>Table11[[#This Row],['#Replace 24]]*Table11[[#This Row],[Canada Allocation %]]</f>
        <v>0</v>
      </c>
      <c r="M345" s="16"/>
      <c r="N345" s="16">
        <f>(Table11[[#This Row],[2024 '#Trees Inventory + Estimate]]*Table11[[#This Row],[Canada Allocation %]])-SUM(Table378[[#This Row],['# Trees as of 12/31/23]:[New Trees/Planted in 2024]])</f>
        <v>0</v>
      </c>
      <c r="O345" s="16">
        <f>SUM(Table378[[#This Row],['# Trees as of 12/31/23]:[2024 Tree Losses]])</f>
        <v>0</v>
      </c>
      <c r="P345" s="16">
        <f>SUM(Table378[[#This Row],[Total Trees as of 12/31/24]]-Table378[[#This Row],['# Trees as of 12/31/23]])</f>
        <v>0</v>
      </c>
      <c r="Q345" s="16">
        <f>Table11[[#This Row],['#Total Replacements]]*Table11[[#This Row],[Canada Allocation %]]</f>
        <v>0</v>
      </c>
      <c r="R345" s="16">
        <f>IF(Table378[[#This Row],['#Survival based on Inventory]]=0,Table378['#Survival based on Last Year Estimate],Table378['#Survival based on Inventory])</f>
        <v>0</v>
      </c>
      <c r="S345" s="16">
        <f>Table11[[#This Row],['#Planted]]*Table11[[#This Row],[Canada Allocation %]]*Table11[[#This Row],[2024 Inventory Survival%-master]]</f>
        <v>0</v>
      </c>
      <c r="T345" s="16">
        <f>Table11[[#This Row],['#Planted]]*Table11[[#This Row],[Canada Allocation %]]*Table11[[#This Row],[2024 Estimated Survival%]]</f>
        <v>0</v>
      </c>
      <c r="U345" s="7">
        <f>Table11[[#This Row],[ETP Year]]</f>
        <v>2022</v>
      </c>
      <c r="V345" s="7">
        <f>Table11[[#This Row],[Planting Year]]</f>
        <v>2023</v>
      </c>
      <c r="W345" s="8">
        <f>Table11[[#This Row],[Survival% as of 12/31/23]]</f>
        <v>1</v>
      </c>
      <c r="X345" s="7">
        <f>Table11[[#This Row],[ETP'#s]]</f>
        <v>1</v>
      </c>
    </row>
    <row r="346" spans="1:24" x14ac:dyDescent="0.25">
      <c r="A346">
        <f>Table11[[#This Row],[Farmer'#]]</f>
        <v>40025</v>
      </c>
      <c r="B346" t="str">
        <f>Table11[[#This Row],[Representative]]</f>
        <v>Caralampio Arreola López</v>
      </c>
      <c r="C346" t="str">
        <f>Table11[[#This Row],[Contract Name]]</f>
        <v>Caralampio Arreola López</v>
      </c>
      <c r="D346" t="str">
        <f>Table11[[#This Row],[Status]]</f>
        <v>Active</v>
      </c>
      <c r="E346" t="str">
        <f>Table11[[#This Row],[Contract Code]]</f>
        <v>MX0042</v>
      </c>
      <c r="F346" s="16">
        <f>Table11[[#This Row],['#TreesContract]]</f>
        <v>1100</v>
      </c>
      <c r="G346" s="16">
        <f>Table11[[#This Row],['#Planted]]</f>
        <v>1100</v>
      </c>
      <c r="H346" s="16">
        <f>Table11[[#This Row],['#TreesContract]]*Table11[[#This Row],[Canada Allocation %]]</f>
        <v>0</v>
      </c>
      <c r="I346" s="16">
        <f>Table11[[#This Row],['#Planted]]*Table11[[#This Row],[Canada Allocation %]]</f>
        <v>0</v>
      </c>
      <c r="J346" s="16">
        <f>Table11[[#This Row],[Contract Amendment]]*Table11[[#This Row],[Canada Allocation %]]</f>
        <v>0</v>
      </c>
      <c r="K346" s="16">
        <f>Table11[[#This Row],['#Trees as of 12/31/23]]*Table11[[#This Row],[Canada Allocation %]]</f>
        <v>0</v>
      </c>
      <c r="L346" s="16">
        <f>Table11[[#This Row],['#Replace 24]]*Table11[[#This Row],[Canada Allocation %]]</f>
        <v>0</v>
      </c>
      <c r="M346" s="16"/>
      <c r="N346" s="16">
        <f>(Table11[[#This Row],[2024 '#Trees Inventory + Estimate]]*Table11[[#This Row],[Canada Allocation %]])-SUM(Table378[[#This Row],['# Trees as of 12/31/23]:[New Trees/Planted in 2024]])</f>
        <v>0</v>
      </c>
      <c r="O346" s="32">
        <f>SUM(Table378[[#This Row],['# Trees as of 12/31/23]:[2024 Tree Losses]])</f>
        <v>0</v>
      </c>
      <c r="P346" s="32">
        <f>SUM(Table378[[#This Row],[Total Trees as of 12/31/24]]-Table378[[#This Row],['# Trees as of 12/31/23]])</f>
        <v>0</v>
      </c>
      <c r="Q346" s="16">
        <f>Table11[[#This Row],['#Total Replacements]]*Table11[[#This Row],[Canada Allocation %]]</f>
        <v>0</v>
      </c>
      <c r="R346" s="32">
        <f>IF(Table378[[#This Row],['#Survival based on Inventory]]=0,Table378['#Survival based on Last Year Estimate],Table378['#Survival based on Inventory])</f>
        <v>0</v>
      </c>
      <c r="S346" s="16">
        <f>Table11[[#This Row],['#Planted]]*Table11[[#This Row],[Canada Allocation %]]*Table11[[#This Row],[2024 Inventory Survival%-master]]</f>
        <v>0</v>
      </c>
      <c r="T346" s="16">
        <f>Table11[[#This Row],['#Planted]]*Table11[[#This Row],[Canada Allocation %]]*Table11[[#This Row],[2024 Estimated Survival%]]</f>
        <v>0</v>
      </c>
      <c r="U346" s="7">
        <f>Table11[[#This Row],[ETP Year]]</f>
        <v>2022</v>
      </c>
      <c r="V346" s="7">
        <f>Table11[[#This Row],[Planting Year]]</f>
        <v>2023</v>
      </c>
      <c r="W346" s="8">
        <f>Table11[[#This Row],[Survival% as of 12/31/23]]</f>
        <v>1</v>
      </c>
      <c r="X346" s="7">
        <f>Table11[[#This Row],[ETP'#s]]</f>
        <v>1</v>
      </c>
    </row>
    <row r="347" spans="1:24" x14ac:dyDescent="0.25">
      <c r="A347">
        <f>Table11[[#This Row],[Farmer'#]]</f>
        <v>40026</v>
      </c>
      <c r="B347" t="str">
        <f>Table11[[#This Row],[Representative]]</f>
        <v>Carlos Carbajal Gutiérrez</v>
      </c>
      <c r="C347" t="str">
        <f>Table11[[#This Row],[Contract Name]]</f>
        <v>Carlos Carbajal Gutiérrez</v>
      </c>
      <c r="D347" t="str">
        <f>Table11[[#This Row],[Status]]</f>
        <v>Active</v>
      </c>
      <c r="E347" t="str">
        <f>Table11[[#This Row],[Contract Code]]</f>
        <v>MX0043</v>
      </c>
      <c r="F347" s="16">
        <f>Table11[[#This Row],['#TreesContract]]</f>
        <v>1100</v>
      </c>
      <c r="G347" s="16">
        <f>Table11[[#This Row],['#Planted]]</f>
        <v>1100</v>
      </c>
      <c r="H347" s="16">
        <f>Table11[[#This Row],['#TreesContract]]*Table11[[#This Row],[Canada Allocation %]]</f>
        <v>0</v>
      </c>
      <c r="I347" s="16">
        <f>Table11[[#This Row],['#Planted]]*Table11[[#This Row],[Canada Allocation %]]</f>
        <v>0</v>
      </c>
      <c r="J347" s="16">
        <f>Table11[[#This Row],[Contract Amendment]]*Table11[[#This Row],[Canada Allocation %]]</f>
        <v>0</v>
      </c>
      <c r="K347" s="16">
        <f>Table11[[#This Row],['#Trees as of 12/31/23]]*Table11[[#This Row],[Canada Allocation %]]</f>
        <v>0</v>
      </c>
      <c r="L347" s="16">
        <f>Table11[[#This Row],['#Replace 24]]*Table11[[#This Row],[Canada Allocation %]]</f>
        <v>0</v>
      </c>
      <c r="M347" s="16"/>
      <c r="N347" s="16">
        <f>(Table11[[#This Row],[2024 '#Trees Inventory + Estimate]]*Table11[[#This Row],[Canada Allocation %]])-SUM(Table378[[#This Row],['# Trees as of 12/31/23]:[New Trees/Planted in 2024]])</f>
        <v>0</v>
      </c>
      <c r="O347" s="16">
        <f>SUM(Table378[[#This Row],['# Trees as of 12/31/23]:[2024 Tree Losses]])</f>
        <v>0</v>
      </c>
      <c r="P347" s="16">
        <f>SUM(Table378[[#This Row],[Total Trees as of 12/31/24]]-Table378[[#This Row],['# Trees as of 12/31/23]])</f>
        <v>0</v>
      </c>
      <c r="Q347" s="16">
        <f>Table11[[#This Row],['#Total Replacements]]*Table11[[#This Row],[Canada Allocation %]]</f>
        <v>0</v>
      </c>
      <c r="R347" s="16">
        <f>IF(Table378[[#This Row],['#Survival based on Inventory]]=0,Table378['#Survival based on Last Year Estimate],Table378['#Survival based on Inventory])</f>
        <v>0</v>
      </c>
      <c r="S347" s="16">
        <f>Table11[[#This Row],['#Planted]]*Table11[[#This Row],[Canada Allocation %]]*Table11[[#This Row],[2024 Inventory Survival%-master]]</f>
        <v>0</v>
      </c>
      <c r="T347" s="16">
        <f>Table11[[#This Row],['#Planted]]*Table11[[#This Row],[Canada Allocation %]]*Table11[[#This Row],[2024 Estimated Survival%]]</f>
        <v>0</v>
      </c>
      <c r="U347" s="7">
        <f>Table11[[#This Row],[ETP Year]]</f>
        <v>2022</v>
      </c>
      <c r="V347" s="7">
        <f>Table11[[#This Row],[Planting Year]]</f>
        <v>2023</v>
      </c>
      <c r="W347" s="8">
        <f>Table11[[#This Row],[Survival% as of 12/31/23]]</f>
        <v>1</v>
      </c>
      <c r="X347" s="7">
        <f>Table11[[#This Row],[ETP'#s]]</f>
        <v>1</v>
      </c>
    </row>
    <row r="348" spans="1:24" x14ac:dyDescent="0.25">
      <c r="A348">
        <f>Table11[[#This Row],[Farmer'#]]</f>
        <v>40033</v>
      </c>
      <c r="B348" t="str">
        <f>Table11[[#This Row],[Representative]]</f>
        <v>Pedro Molina Sánchez</v>
      </c>
      <c r="C348" t="str">
        <f>Table11[[#This Row],[Contract Name]]</f>
        <v>Pedro Molina Sánchez</v>
      </c>
      <c r="D348" t="str">
        <f>Table11[[#This Row],[Status]]</f>
        <v>Active</v>
      </c>
      <c r="E348" t="str">
        <f>Table11[[#This Row],[Contract Code]]</f>
        <v>MX0048</v>
      </c>
      <c r="F348" s="16">
        <f>Table11[[#This Row],['#TreesContract]]</f>
        <v>1650</v>
      </c>
      <c r="G348" s="16">
        <f>Table11[[#This Row],['#Planted]]</f>
        <v>1650</v>
      </c>
      <c r="H348" s="16">
        <f>Table11[[#This Row],['#TreesContract]]*Table11[[#This Row],[Canada Allocation %]]</f>
        <v>0</v>
      </c>
      <c r="I348" s="16">
        <f>Table11[[#This Row],['#Planted]]*Table11[[#This Row],[Canada Allocation %]]</f>
        <v>0</v>
      </c>
      <c r="J348" s="16">
        <f>Table11[[#This Row],[Contract Amendment]]*Table11[[#This Row],[Canada Allocation %]]</f>
        <v>0</v>
      </c>
      <c r="K348" s="16">
        <f>Table11[[#This Row],['#Trees as of 12/31/23]]*Table11[[#This Row],[Canada Allocation %]]</f>
        <v>0</v>
      </c>
      <c r="L348" s="16">
        <f>Table11[[#This Row],['#Replace 24]]*Table11[[#This Row],[Canada Allocation %]]</f>
        <v>0</v>
      </c>
      <c r="M348" s="16"/>
      <c r="N348" s="16">
        <f>(Table11[[#This Row],[2024 '#Trees Inventory + Estimate]]*Table11[[#This Row],[Canada Allocation %]])-SUM(Table378[[#This Row],['# Trees as of 12/31/23]:[New Trees/Planted in 2024]])</f>
        <v>0</v>
      </c>
      <c r="O348" s="32">
        <f>SUM(Table378[[#This Row],['# Trees as of 12/31/23]:[2024 Tree Losses]])</f>
        <v>0</v>
      </c>
      <c r="P348" s="32">
        <f>SUM(Table378[[#This Row],[Total Trees as of 12/31/24]]-Table378[[#This Row],['# Trees as of 12/31/23]])</f>
        <v>0</v>
      </c>
      <c r="Q348" s="16">
        <f>Table11[[#This Row],['#Total Replacements]]*Table11[[#This Row],[Canada Allocation %]]</f>
        <v>0</v>
      </c>
      <c r="R348" s="32">
        <f>IF(Table378[[#This Row],['#Survival based on Inventory]]=0,Table378['#Survival based on Last Year Estimate],Table378['#Survival based on Inventory])</f>
        <v>0</v>
      </c>
      <c r="S348" s="16">
        <f>Table11[[#This Row],['#Planted]]*Table11[[#This Row],[Canada Allocation %]]*Table11[[#This Row],[2024 Inventory Survival%-master]]</f>
        <v>0</v>
      </c>
      <c r="T348" s="16">
        <f>Table11[[#This Row],['#Planted]]*Table11[[#This Row],[Canada Allocation %]]*Table11[[#This Row],[2024 Estimated Survival%]]</f>
        <v>0</v>
      </c>
      <c r="U348" s="7">
        <f>Table11[[#This Row],[ETP Year]]</f>
        <v>2022</v>
      </c>
      <c r="V348" s="7">
        <f>Table11[[#This Row],[Planting Year]]</f>
        <v>2023</v>
      </c>
      <c r="W348" s="8">
        <f>Table11[[#This Row],[Survival% as of 12/31/23]]</f>
        <v>1</v>
      </c>
      <c r="X348" s="7">
        <f>Table11[[#This Row],[ETP'#s]]</f>
        <v>1</v>
      </c>
    </row>
    <row r="349" spans="1:24" x14ac:dyDescent="0.25">
      <c r="A349">
        <f>Table11[[#This Row],[Farmer'#]]</f>
        <v>40035</v>
      </c>
      <c r="B349" t="str">
        <f>Table11[[#This Row],[Representative]]</f>
        <v>Tito Soria Pérez</v>
      </c>
      <c r="C349" t="str">
        <f>Table11[[#This Row],[Contract Name]]</f>
        <v>Tito Soria Pérez</v>
      </c>
      <c r="D349" t="str">
        <f>Table11[[#This Row],[Status]]</f>
        <v>Active</v>
      </c>
      <c r="E349" t="str">
        <f>Table11[[#This Row],[Contract Code]]</f>
        <v>MX0051</v>
      </c>
      <c r="F349" s="16">
        <f>Table11[[#This Row],['#TreesContract]]</f>
        <v>11000</v>
      </c>
      <c r="G349" s="16">
        <f>Table11[[#This Row],['#Planted]]</f>
        <v>11000</v>
      </c>
      <c r="H349" s="16">
        <f>Table11[[#This Row],['#TreesContract]]*Table11[[#This Row],[Canada Allocation %]]</f>
        <v>0</v>
      </c>
      <c r="I349" s="16">
        <f>Table11[[#This Row],['#Planted]]*Table11[[#This Row],[Canada Allocation %]]</f>
        <v>0</v>
      </c>
      <c r="J349" s="16">
        <f>Table11[[#This Row],[Contract Amendment]]*Table11[[#This Row],[Canada Allocation %]]</f>
        <v>0</v>
      </c>
      <c r="K349" s="16">
        <f>Table11[[#This Row],['#Trees as of 12/31/23]]*Table11[[#This Row],[Canada Allocation %]]</f>
        <v>0</v>
      </c>
      <c r="L349" s="16">
        <f>Table11[[#This Row],['#Replace 24]]*Table11[[#This Row],[Canada Allocation %]]</f>
        <v>0</v>
      </c>
      <c r="M349" s="16"/>
      <c r="N349" s="16">
        <f>(Table11[[#This Row],[2024 '#Trees Inventory + Estimate]]*Table11[[#This Row],[Canada Allocation %]])-SUM(Table378[[#This Row],['# Trees as of 12/31/23]:[New Trees/Planted in 2024]])</f>
        <v>0</v>
      </c>
      <c r="O349" s="32">
        <f>SUM(Table378[[#This Row],['# Trees as of 12/31/23]:[2024 Tree Losses]])</f>
        <v>0</v>
      </c>
      <c r="P349" s="32">
        <f>SUM(Table378[[#This Row],[Total Trees as of 12/31/24]]-Table378[[#This Row],['# Trees as of 12/31/23]])</f>
        <v>0</v>
      </c>
      <c r="Q349" s="16">
        <f>Table11[[#This Row],['#Total Replacements]]*Table11[[#This Row],[Canada Allocation %]]</f>
        <v>0</v>
      </c>
      <c r="R349" s="32">
        <f>IF(Table378[[#This Row],['#Survival based on Inventory]]=0,Table378['#Survival based on Last Year Estimate],Table378['#Survival based on Inventory])</f>
        <v>0</v>
      </c>
      <c r="S349" s="16">
        <f>Table11[[#This Row],['#Planted]]*Table11[[#This Row],[Canada Allocation %]]*Table11[[#This Row],[2024 Inventory Survival%-master]]</f>
        <v>0</v>
      </c>
      <c r="T349" s="16">
        <f>Table11[[#This Row],['#Planted]]*Table11[[#This Row],[Canada Allocation %]]*Table11[[#This Row],[2024 Estimated Survival%]]</f>
        <v>0</v>
      </c>
      <c r="U349" s="7">
        <f>Table11[[#This Row],[ETP Year]]</f>
        <v>2022</v>
      </c>
      <c r="V349" s="7">
        <f>Table11[[#This Row],[Planting Year]]</f>
        <v>2023</v>
      </c>
      <c r="W349" s="8">
        <f>Table11[[#This Row],[Survival% as of 12/31/23]]</f>
        <v>1</v>
      </c>
      <c r="X349" s="7">
        <f>Table11[[#This Row],[ETP'#s]]</f>
        <v>1</v>
      </c>
    </row>
    <row r="350" spans="1:24" x14ac:dyDescent="0.25">
      <c r="A350">
        <f>Table11[[#This Row],[Farmer'#]]</f>
        <v>40037</v>
      </c>
      <c r="B350" t="str">
        <f>Table11[[#This Row],[Representative]]</f>
        <v>Abraham Arreola Salto</v>
      </c>
      <c r="C350" t="str">
        <f>Table11[[#This Row],[Contract Name]]</f>
        <v>Abraham Arreola Salto</v>
      </c>
      <c r="D350" t="str">
        <f>Table11[[#This Row],[Status]]</f>
        <v>Active</v>
      </c>
      <c r="E350" t="str">
        <f>Table11[[#This Row],[Contract Code]]</f>
        <v>MX0038</v>
      </c>
      <c r="F350" s="16">
        <f>Table11[[#This Row],['#TreesContract]]</f>
        <v>2750</v>
      </c>
      <c r="G350" s="16">
        <f>Table11[[#This Row],['#Planted]]</f>
        <v>2750</v>
      </c>
      <c r="H350" s="16">
        <f>Table11[[#This Row],['#TreesContract]]*Table11[[#This Row],[Canada Allocation %]]</f>
        <v>0</v>
      </c>
      <c r="I350" s="16">
        <f>Table11[[#This Row],['#Planted]]*Table11[[#This Row],[Canada Allocation %]]</f>
        <v>0</v>
      </c>
      <c r="J350" s="16">
        <f>Table11[[#This Row],[Contract Amendment]]*Table11[[#This Row],[Canada Allocation %]]</f>
        <v>0</v>
      </c>
      <c r="K350" s="16">
        <f>Table11[[#This Row],['#Trees as of 12/31/23]]*Table11[[#This Row],[Canada Allocation %]]</f>
        <v>0</v>
      </c>
      <c r="L350" s="16">
        <f>Table11[[#This Row],['#Replace 24]]*Table11[[#This Row],[Canada Allocation %]]</f>
        <v>0</v>
      </c>
      <c r="M350" s="16"/>
      <c r="N350" s="16">
        <f>(Table11[[#This Row],[2024 '#Trees Inventory + Estimate]]*Table11[[#This Row],[Canada Allocation %]])-SUM(Table378[[#This Row],['# Trees as of 12/31/23]:[New Trees/Planted in 2024]])</f>
        <v>0</v>
      </c>
      <c r="O350" s="32">
        <f>SUM(Table378[[#This Row],['# Trees as of 12/31/23]:[2024 Tree Losses]])</f>
        <v>0</v>
      </c>
      <c r="P350" s="32">
        <f>SUM(Table378[[#This Row],[Total Trees as of 12/31/24]]-Table378[[#This Row],['# Trees as of 12/31/23]])</f>
        <v>0</v>
      </c>
      <c r="Q350" s="16">
        <f>Table11[[#This Row],['#Total Replacements]]*Table11[[#This Row],[Canada Allocation %]]</f>
        <v>0</v>
      </c>
      <c r="R350" s="32">
        <f>IF(Table378[[#This Row],['#Survival based on Inventory]]=0,Table378['#Survival based on Last Year Estimate],Table378['#Survival based on Inventory])</f>
        <v>0</v>
      </c>
      <c r="S350" s="16">
        <f>Table11[[#This Row],['#Planted]]*Table11[[#This Row],[Canada Allocation %]]*Table11[[#This Row],[2024 Inventory Survival%-master]]</f>
        <v>0</v>
      </c>
      <c r="T350" s="16">
        <f>Table11[[#This Row],['#Planted]]*Table11[[#This Row],[Canada Allocation %]]*Table11[[#This Row],[2024 Estimated Survival%]]</f>
        <v>0</v>
      </c>
      <c r="U350" s="7">
        <f>Table11[[#This Row],[ETP Year]]</f>
        <v>2021</v>
      </c>
      <c r="V350" s="7">
        <f>Table11[[#This Row],[Planting Year]]</f>
        <v>2023</v>
      </c>
      <c r="W350" s="8">
        <f>Table11[[#This Row],[Survival% as of 12/31/23]]</f>
        <v>1</v>
      </c>
      <c r="X350" s="7">
        <f>Table11[[#This Row],[ETP'#s]]</f>
        <v>1</v>
      </c>
    </row>
    <row r="351" spans="1:24" x14ac:dyDescent="0.25">
      <c r="A351">
        <f>Table11[[#This Row],[Farmer'#]]</f>
        <v>40038</v>
      </c>
      <c r="B351" t="str">
        <f>Table11[[#This Row],[Representative]]</f>
        <v>Agustín Ayala Torres</v>
      </c>
      <c r="C351" t="str">
        <f>Table11[[#This Row],[Contract Name]]</f>
        <v>Agustín Ayala Torres</v>
      </c>
      <c r="D351" t="str">
        <f>Table11[[#This Row],[Status]]</f>
        <v>Active</v>
      </c>
      <c r="E351" t="str">
        <f>Table11[[#This Row],[Contract Code]]</f>
        <v>MX0039</v>
      </c>
      <c r="F351" s="16">
        <f>Table11[[#This Row],['#TreesContract]]</f>
        <v>3542</v>
      </c>
      <c r="G351" s="16">
        <f>Table11[[#This Row],['#Planted]]</f>
        <v>2800</v>
      </c>
      <c r="H351" s="16">
        <f>Table11[[#This Row],['#TreesContract]]*Table11[[#This Row],[Canada Allocation %]]</f>
        <v>0</v>
      </c>
      <c r="I351" s="16">
        <f>Table11[[#This Row],['#Planted]]*Table11[[#This Row],[Canada Allocation %]]</f>
        <v>0</v>
      </c>
      <c r="J351" s="16">
        <f>Table11[[#This Row],[Contract Amendment]]*Table11[[#This Row],[Canada Allocation %]]</f>
        <v>0</v>
      </c>
      <c r="K351" s="16">
        <f>Table11[[#This Row],['#Trees as of 12/31/23]]*Table11[[#This Row],[Canada Allocation %]]</f>
        <v>0</v>
      </c>
      <c r="L351" s="16">
        <f>Table11[[#This Row],['#Replace 24]]*Table11[[#This Row],[Canada Allocation %]]</f>
        <v>0</v>
      </c>
      <c r="M351" s="16"/>
      <c r="N351" s="16">
        <f>(Table11[[#This Row],[2024 '#Trees Inventory + Estimate]]*Table11[[#This Row],[Canada Allocation %]])-SUM(Table378[[#This Row],['# Trees as of 12/31/23]:[New Trees/Planted in 2024]])</f>
        <v>0</v>
      </c>
      <c r="O351" s="32">
        <f>SUM(Table378[[#This Row],['# Trees as of 12/31/23]:[2024 Tree Losses]])</f>
        <v>0</v>
      </c>
      <c r="P351" s="32">
        <f>SUM(Table378[[#This Row],[Total Trees as of 12/31/24]]-Table378[[#This Row],['# Trees as of 12/31/23]])</f>
        <v>0</v>
      </c>
      <c r="Q351" s="16">
        <f>Table11[[#This Row],['#Total Replacements]]*Table11[[#This Row],[Canada Allocation %]]</f>
        <v>0</v>
      </c>
      <c r="R351" s="32">
        <f>IF(Table378[[#This Row],['#Survival based on Inventory]]=0,Table378['#Survival based on Last Year Estimate],Table378['#Survival based on Inventory])</f>
        <v>0</v>
      </c>
      <c r="S351" s="16">
        <f>Table11[[#This Row],['#Planted]]*Table11[[#This Row],[Canada Allocation %]]*Table11[[#This Row],[2024 Inventory Survival%-master]]</f>
        <v>0</v>
      </c>
      <c r="T351" s="16">
        <f>Table11[[#This Row],['#Planted]]*Table11[[#This Row],[Canada Allocation %]]*Table11[[#This Row],[2024 Estimated Survival%]]</f>
        <v>0</v>
      </c>
      <c r="U351" s="7">
        <f>Table11[[#This Row],[ETP Year]]</f>
        <v>2022</v>
      </c>
      <c r="V351" s="7">
        <f>Table11[[#This Row],[Planting Year]]</f>
        <v>2023</v>
      </c>
      <c r="W351" s="8">
        <f>Table11[[#This Row],[Survival% as of 12/31/23]]</f>
        <v>1</v>
      </c>
      <c r="X351" s="7">
        <f>Table11[[#This Row],[ETP'#s]]</f>
        <v>1</v>
      </c>
    </row>
    <row r="352" spans="1:24" x14ac:dyDescent="0.25">
      <c r="A352">
        <f>Table11[[#This Row],[Farmer'#]]</f>
        <v>40039</v>
      </c>
      <c r="B352" t="str">
        <f>Table11[[#This Row],[Representative]]</f>
        <v>Angela López Cruz</v>
      </c>
      <c r="C352" t="str">
        <f>Table11[[#This Row],[Contract Name]]</f>
        <v>Angela López Cruz</v>
      </c>
      <c r="D352" t="str">
        <f>Table11[[#This Row],[Status]]</f>
        <v>Active</v>
      </c>
      <c r="E352" t="str">
        <f>Table11[[#This Row],[Contract Code]]</f>
        <v>MX0040</v>
      </c>
      <c r="F352" s="16">
        <f>Table11[[#This Row],['#TreesContract]]</f>
        <v>2750</v>
      </c>
      <c r="G352" s="16">
        <f>Table11[[#This Row],['#Planted]]</f>
        <v>2750</v>
      </c>
      <c r="H352" s="16">
        <f>Table11[[#This Row],['#TreesContract]]*Table11[[#This Row],[Canada Allocation %]]</f>
        <v>0</v>
      </c>
      <c r="I352" s="16">
        <f>Table11[[#This Row],['#Planted]]*Table11[[#This Row],[Canada Allocation %]]</f>
        <v>0</v>
      </c>
      <c r="J352" s="16">
        <f>Table11[[#This Row],[Contract Amendment]]*Table11[[#This Row],[Canada Allocation %]]</f>
        <v>0</v>
      </c>
      <c r="K352" s="16">
        <f>Table11[[#This Row],['#Trees as of 12/31/23]]*Table11[[#This Row],[Canada Allocation %]]</f>
        <v>0</v>
      </c>
      <c r="L352" s="16">
        <f>Table11[[#This Row],['#Replace 24]]*Table11[[#This Row],[Canada Allocation %]]</f>
        <v>0</v>
      </c>
      <c r="M352" s="16"/>
      <c r="N352" s="16">
        <f>(Table11[[#This Row],[2024 '#Trees Inventory + Estimate]]*Table11[[#This Row],[Canada Allocation %]])-SUM(Table378[[#This Row],['# Trees as of 12/31/23]:[New Trees/Planted in 2024]])</f>
        <v>0</v>
      </c>
      <c r="O352" s="32">
        <f>SUM(Table378[[#This Row],['# Trees as of 12/31/23]:[2024 Tree Losses]])</f>
        <v>0</v>
      </c>
      <c r="P352" s="32">
        <f>SUM(Table378[[#This Row],[Total Trees as of 12/31/24]]-Table378[[#This Row],['# Trees as of 12/31/23]])</f>
        <v>0</v>
      </c>
      <c r="Q352" s="16">
        <f>Table11[[#This Row],['#Total Replacements]]*Table11[[#This Row],[Canada Allocation %]]</f>
        <v>0</v>
      </c>
      <c r="R352" s="32">
        <f>IF(Table378[[#This Row],['#Survival based on Inventory]]=0,Table378['#Survival based on Last Year Estimate],Table378['#Survival based on Inventory])</f>
        <v>0</v>
      </c>
      <c r="S352" s="16">
        <f>Table11[[#This Row],['#Planted]]*Table11[[#This Row],[Canada Allocation %]]*Table11[[#This Row],[2024 Inventory Survival%-master]]</f>
        <v>0</v>
      </c>
      <c r="T352" s="16">
        <f>Table11[[#This Row],['#Planted]]*Table11[[#This Row],[Canada Allocation %]]*Table11[[#This Row],[2024 Estimated Survival%]]</f>
        <v>0</v>
      </c>
      <c r="U352" s="7">
        <f>Table11[[#This Row],[ETP Year]]</f>
        <v>2021</v>
      </c>
      <c r="V352" s="7">
        <f>Table11[[#This Row],[Planting Year]]</f>
        <v>2023</v>
      </c>
      <c r="W352" s="8">
        <f>Table11[[#This Row],[Survival% as of 12/31/23]]</f>
        <v>1</v>
      </c>
      <c r="X352" s="7">
        <f>Table11[[#This Row],[ETP'#s]]</f>
        <v>1</v>
      </c>
    </row>
    <row r="353" spans="1:24" x14ac:dyDescent="0.25">
      <c r="A353">
        <f>Table11[[#This Row],[Farmer'#]]</f>
        <v>40040</v>
      </c>
      <c r="B353" t="str">
        <f>Table11[[#This Row],[Representative]]</f>
        <v>Aquiles Augusto Del Río Radilla</v>
      </c>
      <c r="C353" t="str">
        <f>Table11[[#This Row],[Contract Name]]</f>
        <v>Aquiles Augusto Del Río Radilla</v>
      </c>
      <c r="D353" t="str">
        <f>Table11[[#This Row],[Status]]</f>
        <v>Out of Program</v>
      </c>
      <c r="E353" t="str">
        <f>Table11[[#This Row],[Contract Code]]</f>
        <v>MX0041</v>
      </c>
      <c r="F353" s="16">
        <f>Table11[[#This Row],['#TreesContract]]</f>
        <v>2750</v>
      </c>
      <c r="G353" s="16">
        <f>Table11[[#This Row],['#Planted]]</f>
        <v>420</v>
      </c>
      <c r="H353" s="16">
        <f>Table11[[#This Row],['#TreesContract]]*Table11[[#This Row],[Canada Allocation %]]</f>
        <v>0</v>
      </c>
      <c r="I353" s="16">
        <f>Table11[[#This Row],['#Planted]]*Table11[[#This Row],[Canada Allocation %]]</f>
        <v>0</v>
      </c>
      <c r="J353" s="16">
        <f>Table11[[#This Row],[Contract Amendment]]*Table11[[#This Row],[Canada Allocation %]]</f>
        <v>0</v>
      </c>
      <c r="K353" s="16">
        <f>Table11[[#This Row],['#Trees as of 12/31/23]]*Table11[[#This Row],[Canada Allocation %]]</f>
        <v>0</v>
      </c>
      <c r="L353" s="16">
        <f>Table11[[#This Row],['#Replace 24]]*Table11[[#This Row],[Canada Allocation %]]</f>
        <v>0</v>
      </c>
      <c r="M353" s="16"/>
      <c r="N353" s="16">
        <f>(Table11[[#This Row],[2024 '#Trees Inventory + Estimate]]*Table11[[#This Row],[Canada Allocation %]])-SUM(Table378[[#This Row],['# Trees as of 12/31/23]:[New Trees/Planted in 2024]])</f>
        <v>0</v>
      </c>
      <c r="O353" s="16">
        <f>SUM(Table378[[#This Row],['# Trees as of 12/31/23]:[2024 Tree Losses]])</f>
        <v>0</v>
      </c>
      <c r="P353" s="16">
        <f>SUM(Table378[[#This Row],[Total Trees as of 12/31/24]]-Table378[[#This Row],['# Trees as of 12/31/23]])</f>
        <v>0</v>
      </c>
      <c r="Q353" s="16">
        <f>Table11[[#This Row],['#Total Replacements]]*Table11[[#This Row],[Canada Allocation %]]</f>
        <v>0</v>
      </c>
      <c r="R353" s="16">
        <f>IF(Table378[[#This Row],['#Survival based on Inventory]]=0,Table378['#Survival based on Last Year Estimate],Table378['#Survival based on Inventory])</f>
        <v>0</v>
      </c>
      <c r="S353" s="16">
        <f>Table11[[#This Row],['#Planted]]*Table11[[#This Row],[Canada Allocation %]]*Table11[[#This Row],[2024 Inventory Survival%-master]]</f>
        <v>0</v>
      </c>
      <c r="T353" s="16">
        <f>Table11[[#This Row],['#Planted]]*Table11[[#This Row],[Canada Allocation %]]*Table11[[#This Row],[2024 Estimated Survival%]]</f>
        <v>0</v>
      </c>
      <c r="U353" s="7">
        <f>Table11[[#This Row],[ETP Year]]</f>
        <v>2022</v>
      </c>
      <c r="V353" s="7">
        <f>Table11[[#This Row],[Planting Year]]</f>
        <v>2023</v>
      </c>
      <c r="W353" s="8">
        <f>Table11[[#This Row],[Survival% as of 12/31/23]]</f>
        <v>0</v>
      </c>
      <c r="X353" s="7">
        <f>Table11[[#This Row],[ETP'#s]]</f>
        <v>0</v>
      </c>
    </row>
    <row r="354" spans="1:24" x14ac:dyDescent="0.25">
      <c r="A354">
        <f>Table11[[#This Row],[Farmer'#]]</f>
        <v>40041</v>
      </c>
      <c r="B354" t="str">
        <f>Table11[[#This Row],[Representative]]</f>
        <v>Eduardo Romero Aguilar</v>
      </c>
      <c r="C354" t="str">
        <f>Table11[[#This Row],[Contract Name]]</f>
        <v>Eduardo Romero Aguilar</v>
      </c>
      <c r="D354" t="str">
        <f>Table11[[#This Row],[Status]]</f>
        <v>Active</v>
      </c>
      <c r="E354" t="str">
        <f>Table11[[#This Row],[Contract Code]]</f>
        <v>MX0044</v>
      </c>
      <c r="F354" s="16">
        <f>Table11[[#This Row],['#TreesContract]]</f>
        <v>2750</v>
      </c>
      <c r="G354" s="16">
        <f>Table11[[#This Row],['#Planted]]</f>
        <v>2750</v>
      </c>
      <c r="H354" s="16">
        <f>Table11[[#This Row],['#TreesContract]]*Table11[[#This Row],[Canada Allocation %]]</f>
        <v>0</v>
      </c>
      <c r="I354" s="16">
        <f>Table11[[#This Row],['#Planted]]*Table11[[#This Row],[Canada Allocation %]]</f>
        <v>0</v>
      </c>
      <c r="J354" s="16">
        <f>Table11[[#This Row],[Contract Amendment]]*Table11[[#This Row],[Canada Allocation %]]</f>
        <v>0</v>
      </c>
      <c r="K354" s="16">
        <f>Table11[[#This Row],['#Trees as of 12/31/23]]*Table11[[#This Row],[Canada Allocation %]]</f>
        <v>0</v>
      </c>
      <c r="L354" s="16">
        <f>Table11[[#This Row],['#Replace 24]]*Table11[[#This Row],[Canada Allocation %]]</f>
        <v>0</v>
      </c>
      <c r="M354" s="16"/>
      <c r="N354" s="16">
        <f>(Table11[[#This Row],[2024 '#Trees Inventory + Estimate]]*Table11[[#This Row],[Canada Allocation %]])-SUM(Table378[[#This Row],['# Trees as of 12/31/23]:[New Trees/Planted in 2024]])</f>
        <v>0</v>
      </c>
      <c r="O354" s="32">
        <f>SUM(Table378[[#This Row],['# Trees as of 12/31/23]:[2024 Tree Losses]])</f>
        <v>0</v>
      </c>
      <c r="P354" s="32">
        <f>SUM(Table378[[#This Row],[Total Trees as of 12/31/24]]-Table378[[#This Row],['# Trees as of 12/31/23]])</f>
        <v>0</v>
      </c>
      <c r="Q354" s="16">
        <f>Table11[[#This Row],['#Total Replacements]]*Table11[[#This Row],[Canada Allocation %]]</f>
        <v>0</v>
      </c>
      <c r="R354" s="32">
        <f>IF(Table378[[#This Row],['#Survival based on Inventory]]=0,Table378['#Survival based on Last Year Estimate],Table378['#Survival based on Inventory])</f>
        <v>0</v>
      </c>
      <c r="S354" s="16">
        <f>Table11[[#This Row],['#Planted]]*Table11[[#This Row],[Canada Allocation %]]*Table11[[#This Row],[2024 Inventory Survival%-master]]</f>
        <v>0</v>
      </c>
      <c r="T354" s="16">
        <f>Table11[[#This Row],['#Planted]]*Table11[[#This Row],[Canada Allocation %]]*Table11[[#This Row],[2024 Estimated Survival%]]</f>
        <v>0</v>
      </c>
      <c r="U354" s="7">
        <f>Table11[[#This Row],[ETP Year]]</f>
        <v>2021</v>
      </c>
      <c r="V354" s="7">
        <f>Table11[[#This Row],[Planting Year]]</f>
        <v>2023</v>
      </c>
      <c r="W354" s="8">
        <f>Table11[[#This Row],[Survival% as of 12/31/23]]</f>
        <v>1</v>
      </c>
      <c r="X354" s="7">
        <f>Table11[[#This Row],[ETP'#s]]</f>
        <v>1</v>
      </c>
    </row>
    <row r="355" spans="1:24" x14ac:dyDescent="0.25">
      <c r="A355">
        <f>Table11[[#This Row],[Farmer'#]]</f>
        <v>40042</v>
      </c>
      <c r="B355" t="str">
        <f>Table11[[#This Row],[Representative]]</f>
        <v>Juan Ramón Aguilar Rodríguez</v>
      </c>
      <c r="C355" t="str">
        <f>Table11[[#This Row],[Contract Name]]</f>
        <v>Juan Ramón Aguilar Rodríguez</v>
      </c>
      <c r="D355" t="str">
        <f>Table11[[#This Row],[Status]]</f>
        <v>Out of Program</v>
      </c>
      <c r="E355" t="str">
        <f>Table11[[#This Row],[Contract Code]]</f>
        <v>MX0045</v>
      </c>
      <c r="F355" s="16">
        <f>Table11[[#This Row],['#TreesContract]]</f>
        <v>550</v>
      </c>
      <c r="G355" s="16">
        <f>Table11[[#This Row],['#Planted]]</f>
        <v>200</v>
      </c>
      <c r="H355" s="16">
        <f>Table11[[#This Row],['#TreesContract]]*Table11[[#This Row],[Canada Allocation %]]</f>
        <v>0</v>
      </c>
      <c r="I355" s="16">
        <f>Table11[[#This Row],['#Planted]]*Table11[[#This Row],[Canada Allocation %]]</f>
        <v>0</v>
      </c>
      <c r="J355" s="16">
        <f>Table11[[#This Row],[Contract Amendment]]*Table11[[#This Row],[Canada Allocation %]]</f>
        <v>0</v>
      </c>
      <c r="K355" s="16">
        <f>Table11[[#This Row],['#Trees as of 12/31/23]]*Table11[[#This Row],[Canada Allocation %]]</f>
        <v>0</v>
      </c>
      <c r="L355" s="16">
        <f>Table11[[#This Row],['#Replace 24]]*Table11[[#This Row],[Canada Allocation %]]</f>
        <v>0</v>
      </c>
      <c r="M355" s="16"/>
      <c r="N355" s="16">
        <f>(Table11[[#This Row],[2024 '#Trees Inventory + Estimate]]*Table11[[#This Row],[Canada Allocation %]])-SUM(Table378[[#This Row],['# Trees as of 12/31/23]:[New Trees/Planted in 2024]])</f>
        <v>0</v>
      </c>
      <c r="O355" s="16">
        <f>SUM(Table378[[#This Row],['# Trees as of 12/31/23]:[2024 Tree Losses]])</f>
        <v>0</v>
      </c>
      <c r="P355" s="16">
        <f>SUM(Table378[[#This Row],[Total Trees as of 12/31/24]]-Table378[[#This Row],['# Trees as of 12/31/23]])</f>
        <v>0</v>
      </c>
      <c r="Q355" s="16">
        <f>Table11[[#This Row],['#Total Replacements]]*Table11[[#This Row],[Canada Allocation %]]</f>
        <v>0</v>
      </c>
      <c r="R355" s="16">
        <f>IF(Table378[[#This Row],['#Survival based on Inventory]]=0,Table378['#Survival based on Last Year Estimate],Table378['#Survival based on Inventory])</f>
        <v>0</v>
      </c>
      <c r="S355" s="16">
        <f>Table11[[#This Row],['#Planted]]*Table11[[#This Row],[Canada Allocation %]]*Table11[[#This Row],[2024 Inventory Survival%-master]]</f>
        <v>0</v>
      </c>
      <c r="T355" s="16">
        <f>Table11[[#This Row],['#Planted]]*Table11[[#This Row],[Canada Allocation %]]*Table11[[#This Row],[2024 Estimated Survival%]]</f>
        <v>0</v>
      </c>
      <c r="U355" s="7">
        <f>Table11[[#This Row],[ETP Year]]</f>
        <v>2022</v>
      </c>
      <c r="V355" s="7">
        <f>Table11[[#This Row],[Planting Year]]</f>
        <v>2023</v>
      </c>
      <c r="W355" s="8">
        <f>Table11[[#This Row],[Survival% as of 12/31/23]]</f>
        <v>0</v>
      </c>
      <c r="X355" s="7">
        <f>Table11[[#This Row],[ETP'#s]]</f>
        <v>0</v>
      </c>
    </row>
    <row r="356" spans="1:24" x14ac:dyDescent="0.25">
      <c r="A356">
        <f>Table11[[#This Row],[Farmer'#]]</f>
        <v>40043</v>
      </c>
      <c r="B356" t="str">
        <f>Table11[[#This Row],[Representative]]</f>
        <v>Lorenzo Rodríguez Osorio</v>
      </c>
      <c r="C356" t="str">
        <f>Table11[[#This Row],[Contract Name]]</f>
        <v>Lorenzo Rodríguez Osorio</v>
      </c>
      <c r="D356" t="str">
        <f>Table11[[#This Row],[Status]]</f>
        <v>Active</v>
      </c>
      <c r="E356" t="str">
        <f>Table11[[#This Row],[Contract Code]]</f>
        <v>MX0046</v>
      </c>
      <c r="F356" s="16">
        <f>Table11[[#This Row],['#TreesContract]]</f>
        <v>1100</v>
      </c>
      <c r="G356" s="16">
        <f>Table11[[#This Row],['#Planted]]</f>
        <v>1100</v>
      </c>
      <c r="H356" s="16">
        <f>Table11[[#This Row],['#TreesContract]]*Table11[[#This Row],[Canada Allocation %]]</f>
        <v>0</v>
      </c>
      <c r="I356" s="16">
        <f>Table11[[#This Row],['#Planted]]*Table11[[#This Row],[Canada Allocation %]]</f>
        <v>0</v>
      </c>
      <c r="J356" s="16">
        <f>Table11[[#This Row],[Contract Amendment]]*Table11[[#This Row],[Canada Allocation %]]</f>
        <v>0</v>
      </c>
      <c r="K356" s="16">
        <f>Table11[[#This Row],['#Trees as of 12/31/23]]*Table11[[#This Row],[Canada Allocation %]]</f>
        <v>0</v>
      </c>
      <c r="L356" s="16">
        <f>Table11[[#This Row],['#Replace 24]]*Table11[[#This Row],[Canada Allocation %]]</f>
        <v>0</v>
      </c>
      <c r="M356" s="16"/>
      <c r="N356" s="16">
        <f>(Table11[[#This Row],[2024 '#Trees Inventory + Estimate]]*Table11[[#This Row],[Canada Allocation %]])-SUM(Table378[[#This Row],['# Trees as of 12/31/23]:[New Trees/Planted in 2024]])</f>
        <v>0</v>
      </c>
      <c r="O356" s="16">
        <f>SUM(Table378[[#This Row],['# Trees as of 12/31/23]:[2024 Tree Losses]])</f>
        <v>0</v>
      </c>
      <c r="P356" s="16">
        <f>SUM(Table378[[#This Row],[Total Trees as of 12/31/24]]-Table378[[#This Row],['# Trees as of 12/31/23]])</f>
        <v>0</v>
      </c>
      <c r="Q356" s="16">
        <f>Table11[[#This Row],['#Total Replacements]]*Table11[[#This Row],[Canada Allocation %]]</f>
        <v>0</v>
      </c>
      <c r="R356" s="16">
        <f>IF(Table378[[#This Row],['#Survival based on Inventory]]=0,Table378['#Survival based on Last Year Estimate],Table378['#Survival based on Inventory])</f>
        <v>0</v>
      </c>
      <c r="S356" s="16">
        <f>Table11[[#This Row],['#Planted]]*Table11[[#This Row],[Canada Allocation %]]*Table11[[#This Row],[2024 Inventory Survival%-master]]</f>
        <v>0</v>
      </c>
      <c r="T356" s="16">
        <f>Table11[[#This Row],['#Planted]]*Table11[[#This Row],[Canada Allocation %]]*Table11[[#This Row],[2024 Estimated Survival%]]</f>
        <v>0</v>
      </c>
      <c r="U356" s="7">
        <f>Table11[[#This Row],[ETP Year]]</f>
        <v>2021</v>
      </c>
      <c r="V356" s="7">
        <f>Table11[[#This Row],[Planting Year]]</f>
        <v>2023</v>
      </c>
      <c r="W356" s="8">
        <f>Table11[[#This Row],[Survival% as of 12/31/23]]</f>
        <v>1</v>
      </c>
      <c r="X356" s="7">
        <f>Table11[[#This Row],[ETP'#s]]</f>
        <v>1</v>
      </c>
    </row>
    <row r="357" spans="1:24" x14ac:dyDescent="0.25">
      <c r="A357">
        <f>Table11[[#This Row],[Farmer'#]]</f>
        <v>40044</v>
      </c>
      <c r="B357" t="str">
        <f>Table11[[#This Row],[Representative]]</f>
        <v>Moisés Jacinto Felipe</v>
      </c>
      <c r="C357" t="str">
        <f>Table11[[#This Row],[Contract Name]]</f>
        <v>Moisés Jacinto Felipe</v>
      </c>
      <c r="D357" t="str">
        <f>Table11[[#This Row],[Status]]</f>
        <v>Active</v>
      </c>
      <c r="E357" t="str">
        <f>Table11[[#This Row],[Contract Code]]</f>
        <v>MX0047</v>
      </c>
      <c r="F357" s="16">
        <f>Table11[[#This Row],['#TreesContract]]</f>
        <v>4400</v>
      </c>
      <c r="G357" s="16">
        <f>Table11[[#This Row],['#Planted]]</f>
        <v>2650</v>
      </c>
      <c r="H357" s="16">
        <f>Table11[[#This Row],['#TreesContract]]*Table11[[#This Row],[Canada Allocation %]]</f>
        <v>0</v>
      </c>
      <c r="I357" s="16">
        <f>Table11[[#This Row],['#Planted]]*Table11[[#This Row],[Canada Allocation %]]</f>
        <v>0</v>
      </c>
      <c r="J357" s="16">
        <f>Table11[[#This Row],[Contract Amendment]]*Table11[[#This Row],[Canada Allocation %]]</f>
        <v>0</v>
      </c>
      <c r="K357" s="16">
        <f>Table11[[#This Row],['#Trees as of 12/31/23]]*Table11[[#This Row],[Canada Allocation %]]</f>
        <v>0</v>
      </c>
      <c r="L357" s="16">
        <f>Table11[[#This Row],['#Replace 24]]*Table11[[#This Row],[Canada Allocation %]]</f>
        <v>0</v>
      </c>
      <c r="M357" s="16"/>
      <c r="N357" s="16">
        <f>(Table11[[#This Row],[2024 '#Trees Inventory + Estimate]]*Table11[[#This Row],[Canada Allocation %]])-SUM(Table378[[#This Row],['# Trees as of 12/31/23]:[New Trees/Planted in 2024]])</f>
        <v>0</v>
      </c>
      <c r="O357" s="16">
        <f>SUM(Table378[[#This Row],['# Trees as of 12/31/23]:[2024 Tree Losses]])</f>
        <v>0</v>
      </c>
      <c r="P357" s="16">
        <f>SUM(Table378[[#This Row],[Total Trees as of 12/31/24]]-Table378[[#This Row],['# Trees as of 12/31/23]])</f>
        <v>0</v>
      </c>
      <c r="Q357" s="16">
        <f>Table11[[#This Row],['#Total Replacements]]*Table11[[#This Row],[Canada Allocation %]]</f>
        <v>0</v>
      </c>
      <c r="R357" s="16">
        <f>IF(Table378[[#This Row],['#Survival based on Inventory]]=0,Table378['#Survival based on Last Year Estimate],Table378['#Survival based on Inventory])</f>
        <v>0</v>
      </c>
      <c r="S357" s="16">
        <f>Table11[[#This Row],['#Planted]]*Table11[[#This Row],[Canada Allocation %]]*Table11[[#This Row],[2024 Inventory Survival%-master]]</f>
        <v>0</v>
      </c>
      <c r="T357" s="16">
        <f>Table11[[#This Row],['#Planted]]*Table11[[#This Row],[Canada Allocation %]]*Table11[[#This Row],[2024 Estimated Survival%]]</f>
        <v>0</v>
      </c>
      <c r="U357" s="7">
        <f>Table11[[#This Row],[ETP Year]]</f>
        <v>2022</v>
      </c>
      <c r="V357" s="7">
        <f>Table11[[#This Row],[Planting Year]]</f>
        <v>2023</v>
      </c>
      <c r="W357" s="8">
        <f>Table11[[#This Row],[Survival% as of 12/31/23]]</f>
        <v>1</v>
      </c>
      <c r="X357" s="7">
        <f>Table11[[#This Row],[ETP'#s]]</f>
        <v>1</v>
      </c>
    </row>
    <row r="358" spans="1:24" x14ac:dyDescent="0.25">
      <c r="A358">
        <f>Table11[[#This Row],[Farmer'#]]</f>
        <v>40045</v>
      </c>
      <c r="B358" t="str">
        <f>Table11[[#This Row],[Representative]]</f>
        <v>Roberta Felipe Cruz</v>
      </c>
      <c r="C358" t="str">
        <f>Table11[[#This Row],[Contract Name]]</f>
        <v>Roberta Felipe Cruz</v>
      </c>
      <c r="D358" t="str">
        <f>Table11[[#This Row],[Status]]</f>
        <v>Active</v>
      </c>
      <c r="E358" t="str">
        <f>Table11[[#This Row],[Contract Code]]</f>
        <v>MX0049</v>
      </c>
      <c r="F358" s="16">
        <f>Table11[[#This Row],['#TreesContract]]</f>
        <v>2750</v>
      </c>
      <c r="G358" s="16">
        <f>Table11[[#This Row],['#Planted]]</f>
        <v>1650</v>
      </c>
      <c r="H358" s="16">
        <f>Table11[[#This Row],['#TreesContract]]*Table11[[#This Row],[Canada Allocation %]]</f>
        <v>0</v>
      </c>
      <c r="I358" s="16">
        <f>Table11[[#This Row],['#Planted]]*Table11[[#This Row],[Canada Allocation %]]</f>
        <v>0</v>
      </c>
      <c r="J358" s="16">
        <f>Table11[[#This Row],[Contract Amendment]]*Table11[[#This Row],[Canada Allocation %]]</f>
        <v>0</v>
      </c>
      <c r="K358" s="16">
        <f>Table11[[#This Row],['#Trees as of 12/31/23]]*Table11[[#This Row],[Canada Allocation %]]</f>
        <v>0</v>
      </c>
      <c r="L358" s="16">
        <f>Table11[[#This Row],['#Replace 24]]*Table11[[#This Row],[Canada Allocation %]]</f>
        <v>0</v>
      </c>
      <c r="M358" s="16"/>
      <c r="N358" s="16">
        <f>(Table11[[#This Row],[2024 '#Trees Inventory + Estimate]]*Table11[[#This Row],[Canada Allocation %]])-SUM(Table378[[#This Row],['# Trees as of 12/31/23]:[New Trees/Planted in 2024]])</f>
        <v>0</v>
      </c>
      <c r="O358" s="32">
        <f>SUM(Table378[[#This Row],['# Trees as of 12/31/23]:[2024 Tree Losses]])</f>
        <v>0</v>
      </c>
      <c r="P358" s="32">
        <f>SUM(Table378[[#This Row],[Total Trees as of 12/31/24]]-Table378[[#This Row],['# Trees as of 12/31/23]])</f>
        <v>0</v>
      </c>
      <c r="Q358" s="16">
        <f>Table11[[#This Row],['#Total Replacements]]*Table11[[#This Row],[Canada Allocation %]]</f>
        <v>0</v>
      </c>
      <c r="R358" s="32">
        <f>IF(Table378[[#This Row],['#Survival based on Inventory]]=0,Table378['#Survival based on Last Year Estimate],Table378['#Survival based on Inventory])</f>
        <v>0</v>
      </c>
      <c r="S358" s="16">
        <f>Table11[[#This Row],['#Planted]]*Table11[[#This Row],[Canada Allocation %]]*Table11[[#This Row],[2024 Inventory Survival%-master]]</f>
        <v>0</v>
      </c>
      <c r="T358" s="16">
        <f>Table11[[#This Row],['#Planted]]*Table11[[#This Row],[Canada Allocation %]]*Table11[[#This Row],[2024 Estimated Survival%]]</f>
        <v>0</v>
      </c>
      <c r="U358" s="7">
        <f>Table11[[#This Row],[ETP Year]]</f>
        <v>2022</v>
      </c>
      <c r="V358" s="7">
        <f>Table11[[#This Row],[Planting Year]]</f>
        <v>2023</v>
      </c>
      <c r="W358" s="8">
        <f>Table11[[#This Row],[Survival% as of 12/31/23]]</f>
        <v>1</v>
      </c>
      <c r="X358" s="7">
        <f>Table11[[#This Row],[ETP'#s]]</f>
        <v>1</v>
      </c>
    </row>
    <row r="359" spans="1:24" x14ac:dyDescent="0.25">
      <c r="A359">
        <f>Table11[[#This Row],[Farmer'#]]</f>
        <v>40046</v>
      </c>
      <c r="B359" t="str">
        <f>Table11[[#This Row],[Representative]]</f>
        <v>Sofía Bautista Bustos</v>
      </c>
      <c r="C359" t="str">
        <f>Table11[[#This Row],[Contract Name]]</f>
        <v>Sofía Bautista Bustos</v>
      </c>
      <c r="D359" t="str">
        <f>Table11[[#This Row],[Status]]</f>
        <v>Active</v>
      </c>
      <c r="E359" t="str">
        <f>Table11[[#This Row],[Contract Code]]</f>
        <v>MX0050</v>
      </c>
      <c r="F359" s="16">
        <f>Table11[[#This Row],['#TreesContract]]</f>
        <v>2750</v>
      </c>
      <c r="G359" s="16">
        <f>Table11[[#This Row],['#Planted]]</f>
        <v>2750</v>
      </c>
      <c r="H359" s="16">
        <f>Table11[[#This Row],['#TreesContract]]*Table11[[#This Row],[Canada Allocation %]]</f>
        <v>0</v>
      </c>
      <c r="I359" s="16">
        <f>Table11[[#This Row],['#Planted]]*Table11[[#This Row],[Canada Allocation %]]</f>
        <v>0</v>
      </c>
      <c r="J359" s="16">
        <f>Table11[[#This Row],[Contract Amendment]]*Table11[[#This Row],[Canada Allocation %]]</f>
        <v>0</v>
      </c>
      <c r="K359" s="16">
        <f>Table11[[#This Row],['#Trees as of 12/31/23]]*Table11[[#This Row],[Canada Allocation %]]</f>
        <v>0</v>
      </c>
      <c r="L359" s="16">
        <f>Table11[[#This Row],['#Replace 24]]*Table11[[#This Row],[Canada Allocation %]]</f>
        <v>0</v>
      </c>
      <c r="M359" s="16"/>
      <c r="N359" s="16">
        <f>(Table11[[#This Row],[2024 '#Trees Inventory + Estimate]]*Table11[[#This Row],[Canada Allocation %]])-SUM(Table378[[#This Row],['# Trees as of 12/31/23]:[New Trees/Planted in 2024]])</f>
        <v>0</v>
      </c>
      <c r="O359" s="32">
        <f>SUM(Table378[[#This Row],['# Trees as of 12/31/23]:[2024 Tree Losses]])</f>
        <v>0</v>
      </c>
      <c r="P359" s="32">
        <f>SUM(Table378[[#This Row],[Total Trees as of 12/31/24]]-Table378[[#This Row],['# Trees as of 12/31/23]])</f>
        <v>0</v>
      </c>
      <c r="Q359" s="16">
        <f>Table11[[#This Row],['#Total Replacements]]*Table11[[#This Row],[Canada Allocation %]]</f>
        <v>0</v>
      </c>
      <c r="R359" s="32">
        <f>IF(Table378[[#This Row],['#Survival based on Inventory]]=0,Table378['#Survival based on Last Year Estimate],Table378['#Survival based on Inventory])</f>
        <v>0</v>
      </c>
      <c r="S359" s="16">
        <f>Table11[[#This Row],['#Planted]]*Table11[[#This Row],[Canada Allocation %]]*Table11[[#This Row],[2024 Inventory Survival%-master]]</f>
        <v>0</v>
      </c>
      <c r="T359" s="16">
        <f>Table11[[#This Row],['#Planted]]*Table11[[#This Row],[Canada Allocation %]]*Table11[[#This Row],[2024 Estimated Survival%]]</f>
        <v>0</v>
      </c>
      <c r="U359" s="7">
        <f>Table11[[#This Row],[ETP Year]]</f>
        <v>2021</v>
      </c>
      <c r="V359" s="7">
        <f>Table11[[#This Row],[Planting Year]]</f>
        <v>2023</v>
      </c>
      <c r="W359" s="8">
        <f>Table11[[#This Row],[Survival% as of 12/31/23]]</f>
        <v>1</v>
      </c>
      <c r="X359" s="7">
        <f>Table11[[#This Row],[ETP'#s]]</f>
        <v>1</v>
      </c>
    </row>
    <row r="360" spans="1:24" x14ac:dyDescent="0.25">
      <c r="A360">
        <f>Table11[[#This Row],[Farmer'#]]</f>
        <v>40047</v>
      </c>
      <c r="B360" t="str">
        <f>Table11[[#This Row],[Representative]]</f>
        <v>Victorico Ortega Cohetero</v>
      </c>
      <c r="C360" t="str">
        <f>Table11[[#This Row],[Contract Name]]</f>
        <v>Victorico Ortega Cohetero</v>
      </c>
      <c r="D360" t="str">
        <f>Table11[[#This Row],[Status]]</f>
        <v>Active</v>
      </c>
      <c r="E360" t="str">
        <f>Table11[[#This Row],[Contract Code]]</f>
        <v>MX0052</v>
      </c>
      <c r="F360" s="16">
        <f>Table11[[#This Row],['#TreesContract]]</f>
        <v>2750</v>
      </c>
      <c r="G360" s="16">
        <f>Table11[[#This Row],['#Planted]]</f>
        <v>2750</v>
      </c>
      <c r="H360" s="16">
        <f>Table11[[#This Row],['#TreesContract]]*Table11[[#This Row],[Canada Allocation %]]</f>
        <v>0</v>
      </c>
      <c r="I360" s="16">
        <f>Table11[[#This Row],['#Planted]]*Table11[[#This Row],[Canada Allocation %]]</f>
        <v>0</v>
      </c>
      <c r="J360" s="16">
        <f>Table11[[#This Row],[Contract Amendment]]*Table11[[#This Row],[Canada Allocation %]]</f>
        <v>0</v>
      </c>
      <c r="K360" s="16">
        <f>Table11[[#This Row],['#Trees as of 12/31/23]]*Table11[[#This Row],[Canada Allocation %]]</f>
        <v>0</v>
      </c>
      <c r="L360" s="16">
        <f>Table11[[#This Row],['#Replace 24]]*Table11[[#This Row],[Canada Allocation %]]</f>
        <v>0</v>
      </c>
      <c r="M360" s="16"/>
      <c r="N360" s="16">
        <f>(Table11[[#This Row],[2024 '#Trees Inventory + Estimate]]*Table11[[#This Row],[Canada Allocation %]])-SUM(Table378[[#This Row],['# Trees as of 12/31/23]:[New Trees/Planted in 2024]])</f>
        <v>0</v>
      </c>
      <c r="O360" s="32">
        <f>SUM(Table378[[#This Row],['# Trees as of 12/31/23]:[2024 Tree Losses]])</f>
        <v>0</v>
      </c>
      <c r="P360" s="32">
        <f>SUM(Table378[[#This Row],[Total Trees as of 12/31/24]]-Table378[[#This Row],['# Trees as of 12/31/23]])</f>
        <v>0</v>
      </c>
      <c r="Q360" s="16">
        <f>Table11[[#This Row],['#Total Replacements]]*Table11[[#This Row],[Canada Allocation %]]</f>
        <v>0</v>
      </c>
      <c r="R360" s="32">
        <f>IF(Table378[[#This Row],['#Survival based on Inventory]]=0,Table378['#Survival based on Last Year Estimate],Table378['#Survival based on Inventory])</f>
        <v>0</v>
      </c>
      <c r="S360" s="16">
        <f>Table11[[#This Row],['#Planted]]*Table11[[#This Row],[Canada Allocation %]]*Table11[[#This Row],[2024 Inventory Survival%-master]]</f>
        <v>0</v>
      </c>
      <c r="T360" s="16">
        <f>Table11[[#This Row],['#Planted]]*Table11[[#This Row],[Canada Allocation %]]*Table11[[#This Row],[2024 Estimated Survival%]]</f>
        <v>0</v>
      </c>
      <c r="U360" s="7">
        <f>Table11[[#This Row],[ETP Year]]</f>
        <v>2021</v>
      </c>
      <c r="V360" s="7">
        <f>Table11[[#This Row],[Planting Year]]</f>
        <v>2023</v>
      </c>
      <c r="W360" s="8">
        <f>Table11[[#This Row],[Survival% as of 12/31/23]]</f>
        <v>1</v>
      </c>
      <c r="X360" s="7">
        <f>Table11[[#This Row],[ETP'#s]]</f>
        <v>1</v>
      </c>
    </row>
    <row r="361" spans="1:24" x14ac:dyDescent="0.25">
      <c r="B361">
        <f>SUBTOTAL(109,Table378[Representative])</f>
        <v>0</v>
      </c>
      <c r="C361">
        <f>SUBTOTAL(109,Table378[Contract Name])</f>
        <v>0</v>
      </c>
      <c r="D361">
        <f>SUBTOTAL(109,Table378[Status])</f>
        <v>0</v>
      </c>
      <c r="E361">
        <f>SUBTOTAL(109,Table378[Contract'#])</f>
        <v>0</v>
      </c>
      <c r="F361" s="16">
        <f>SUBTOTAL(109,Table378['#TreesContract])</f>
        <v>737026</v>
      </c>
      <c r="G361" s="16">
        <f>SUBTOTAL(109,Table378['#Planted])</f>
        <v>729743</v>
      </c>
      <c r="H361" s="39">
        <f>SUBTOTAL(109,Table378['# Trees Allocated to US Series])</f>
        <v>95941.878800000006</v>
      </c>
      <c r="I361" s="39">
        <f>SUBTOTAL(109,Table378['# Planted for Allocated Portion])</f>
        <v>95941.878800000006</v>
      </c>
      <c r="J361" s="16">
        <f>SUBTOTAL(109,Table378[Amendment])</f>
        <v>0</v>
      </c>
      <c r="K361" s="16">
        <f>SUBTOTAL(109,Table378['# Trees as of 12/31/23])</f>
        <v>26374.265164063778</v>
      </c>
      <c r="L361" s="16">
        <f>SUBTOTAL(109,Table378['# Replaced in 2024])</f>
        <v>0</v>
      </c>
      <c r="M361" s="16">
        <f>SUBTOTAL(109,Table378[New Trees/Planted in 2024])</f>
        <v>0</v>
      </c>
      <c r="N361" s="16">
        <f>SUBTOTAL(109,Table378[2024 Tree Losses])</f>
        <v>-1949.8656628629633</v>
      </c>
      <c r="O361" s="39">
        <f>SUBTOTAL(109,Table378[Total Trees as of 12/31/24])</f>
        <v>24424.399501200809</v>
      </c>
      <c r="P361" s="16">
        <f>SUBTOTAL(109,Table378[Tree Change as of 12/31/24])</f>
        <v>-1949.8656628629633</v>
      </c>
      <c r="Q361" s="16">
        <f>SUBTOTAL(109,Table378['#Total Replaced All Years])</f>
        <v>24337.750187844216</v>
      </c>
      <c r="R361" s="16">
        <f>SUBTOTAL(109,Table378[Inventory/Smart Sheet count])</f>
        <v>24424.399501200813</v>
      </c>
      <c r="S361" s="16">
        <f>SUBTOTAL(109,Table378['#Survival based on Inventory])</f>
        <v>0</v>
      </c>
      <c r="T361" s="16">
        <f>SUBTOTAL(109,Table378['#Survival based on Last Year Estimate])</f>
        <v>24424.399501200813</v>
      </c>
      <c r="W361" s="8"/>
      <c r="X361" s="44"/>
    </row>
  </sheetData>
  <protectedRanges>
    <protectedRange sqref="A1:G1 Q1:W1" name="Range1_3"/>
    <protectedRange sqref="H1:P1" name="Range1_8"/>
  </protectedRanges>
  <conditionalFormatting sqref="F1 H1:I1">
    <cfRule type="aboveAverage" dxfId="3" priority="1"/>
    <cfRule type="aboveAverage" dxfId="2" priority="2"/>
  </conditionalFormatting>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33124-34D1-46CF-B574-FD88D049EC80}">
  <dimension ref="A1:X361"/>
  <sheetViews>
    <sheetView showZeros="0" zoomScale="70" zoomScaleNormal="70" workbookViewId="0">
      <pane xSplit="2" ySplit="1" topLeftCell="J24" activePane="bottomRight" state="frozen"/>
      <selection pane="topRight" activeCell="K2" sqref="K2"/>
      <selection pane="bottomLeft" activeCell="K2" sqref="K2"/>
      <selection pane="bottomRight" activeCell="K2" sqref="K2"/>
    </sheetView>
  </sheetViews>
  <sheetFormatPr defaultColWidth="8.85546875" defaultRowHeight="15" x14ac:dyDescent="0.25"/>
  <cols>
    <col min="1" max="1" width="10.42578125" customWidth="1"/>
    <col min="2" max="2" width="17.42578125" customWidth="1"/>
    <col min="3" max="3" width="14.42578125" customWidth="1"/>
    <col min="4" max="5" width="12.42578125" customWidth="1"/>
    <col min="6" max="6" width="11.42578125" customWidth="1"/>
    <col min="7" max="7" width="17.28515625" customWidth="1"/>
    <col min="8" max="9" width="11.42578125" customWidth="1"/>
    <col min="10" max="10" width="11.85546875" customWidth="1"/>
    <col min="11" max="11" width="13.28515625" customWidth="1"/>
    <col min="12" max="12" width="18.42578125" customWidth="1"/>
    <col min="13" max="13" width="16.140625" customWidth="1"/>
    <col min="14" max="14" width="18.42578125" customWidth="1"/>
    <col min="15" max="15" width="17.140625" customWidth="1"/>
    <col min="16" max="16" width="17.28515625" customWidth="1"/>
    <col min="17" max="17" width="11.28515625" customWidth="1"/>
    <col min="18" max="18" width="18.140625" bestFit="1" customWidth="1"/>
    <col min="19" max="19" width="18.140625" customWidth="1"/>
    <col min="20" max="20" width="17.28515625" customWidth="1"/>
    <col min="21" max="22" width="20.42578125" customWidth="1"/>
    <col min="23" max="23" width="12.42578125" bestFit="1" customWidth="1"/>
  </cols>
  <sheetData>
    <row r="1" spans="1:24" ht="63" x14ac:dyDescent="0.25">
      <c r="A1" s="10" t="s">
        <v>2433</v>
      </c>
      <c r="B1" s="10" t="s">
        <v>75</v>
      </c>
      <c r="C1" s="10" t="s">
        <v>77</v>
      </c>
      <c r="D1" s="10" t="s">
        <v>79</v>
      </c>
      <c r="E1" s="10" t="s">
        <v>2434</v>
      </c>
      <c r="F1" s="10" t="s">
        <v>90</v>
      </c>
      <c r="G1" s="10" t="s">
        <v>91</v>
      </c>
      <c r="H1" s="12" t="s">
        <v>2435</v>
      </c>
      <c r="I1" s="12" t="s">
        <v>2436</v>
      </c>
      <c r="J1" s="12" t="s">
        <v>2437</v>
      </c>
      <c r="K1" s="12" t="s">
        <v>2438</v>
      </c>
      <c r="L1" s="12" t="s">
        <v>2439</v>
      </c>
      <c r="M1" s="12" t="s">
        <v>2440</v>
      </c>
      <c r="N1" s="12" t="s">
        <v>2441</v>
      </c>
      <c r="O1" s="12" t="s">
        <v>2442</v>
      </c>
      <c r="P1" s="12" t="s">
        <v>2443</v>
      </c>
      <c r="Q1" s="10" t="s">
        <v>2444</v>
      </c>
      <c r="R1" s="13" t="s">
        <v>2445</v>
      </c>
      <c r="S1" s="14" t="s">
        <v>2446</v>
      </c>
      <c r="T1" s="14" t="s">
        <v>2447</v>
      </c>
      <c r="U1" s="10" t="s">
        <v>73</v>
      </c>
      <c r="V1" s="10" t="s">
        <v>66</v>
      </c>
      <c r="W1" s="11" t="s">
        <v>2448</v>
      </c>
      <c r="X1" s="11" t="s">
        <v>2449</v>
      </c>
    </row>
    <row r="2" spans="1:24" hidden="1" x14ac:dyDescent="0.25">
      <c r="A2">
        <f>Table11[[#This Row],[Farmer'#]]</f>
        <v>10001</v>
      </c>
      <c r="B2" t="str">
        <f>Table11[[#This Row],[Representative]]</f>
        <v>Bruce Gamble</v>
      </c>
      <c r="C2" t="str">
        <f>Table11[[#This Row],[Contract Name]]</f>
        <v>Bruce Gamble</v>
      </c>
      <c r="D2" t="str">
        <f>Table11[[#This Row],[Status]]</f>
        <v>RFT</v>
      </c>
      <c r="E2" t="str">
        <f>Table11[[#This Row],[Contract Code]]</f>
        <v>US0001</v>
      </c>
      <c r="F2">
        <f>Table11[[#This Row],['#TreesContract]]</f>
        <v>2200</v>
      </c>
      <c r="G2">
        <f>Table11[[#This Row],['#Planted]]</f>
        <v>2200</v>
      </c>
      <c r="H2" s="16">
        <f>Table11[[#This Row],['#TreesContract]]*Table11[[#This Row],[Canada Allocation2017 %]]</f>
        <v>0</v>
      </c>
      <c r="I2" s="16">
        <f>Table11[[#This Row],['#Planted]]*Table11[[#This Row],[Canada Allocation2017 %]]</f>
        <v>0</v>
      </c>
      <c r="J2" s="16">
        <f>Table11[[#This Row],[Contract Amendment]]*Table11[[#This Row],[Canada Allocation2017 %]]</f>
        <v>0</v>
      </c>
      <c r="K2" s="16">
        <f>Table11[[#This Row],['#Trees as of 12/31/23]]*Table11[[#This Row],[Canada Allocation2017 %]]</f>
        <v>0</v>
      </c>
      <c r="L2" s="16">
        <f>Table11[[#This Row],['#Replace 24]]*Table11[[#This Row],[Canada Allocation2017 %]]</f>
        <v>0</v>
      </c>
      <c r="M2" s="16"/>
      <c r="N2" s="16">
        <f>(Table11[[#This Row],[2024 '#Trees Inventory + Estimate]]*Table11[[#This Row],[Canada Allocation2017 %]])-SUM(Table3789[[#This Row],['# Trees as of 12/31/23]:[New Trees/Planted in 2024]])</f>
        <v>0</v>
      </c>
      <c r="O2" s="32">
        <f>SUM(Table3789[[#This Row],['# Trees as of 12/31/23]:[2024 Tree Losses]])</f>
        <v>0</v>
      </c>
      <c r="P2" s="32">
        <f>SUM(Table3789[[#This Row],[Total Trees as of 12/31/24]]-Table3789[[#This Row],['# Trees as of 12/31/23]])</f>
        <v>0</v>
      </c>
      <c r="Q2" s="16">
        <f>Table11[[#This Row],['#Total Replacements]]*Table11[[#This Row],[Canada Allocation2017 %]]</f>
        <v>0</v>
      </c>
      <c r="R2" s="32">
        <f>IF(Table3789[[#This Row],['#Survival based on Inventory]]=0,Table3789['#Survival based on Last Year Estimate],Table3789['#Survival based on Inventory])</f>
        <v>0</v>
      </c>
      <c r="S2" s="16">
        <f>Table11[[#This Row],['#Planted]]*Table11[[#This Row],[Canada Allocation2017 %]]*Table11[[#This Row],[2024 Inventory Survival%-master]]</f>
        <v>0</v>
      </c>
      <c r="T2" s="16">
        <f>Table11[[#This Row],['#Planted]]*Table11[[#This Row],[Canada Allocation2017 %]]*Table11[[#This Row],[2024 Estimated Survival%]]</f>
        <v>0</v>
      </c>
      <c r="U2" s="7">
        <f>Table11[[#This Row],[ETP Year]]</f>
        <v>2015</v>
      </c>
      <c r="V2" s="7">
        <f>Table11[[#This Row],[Planting Year]]</f>
        <v>2015</v>
      </c>
      <c r="W2" s="8">
        <f>Table11[[#This Row],[Survival% as of 12/31/23]]</f>
        <v>0</v>
      </c>
      <c r="X2">
        <f>Table11[[#This Row],[ETP'#s]]</f>
        <v>1</v>
      </c>
    </row>
    <row r="3" spans="1:24" hidden="1" x14ac:dyDescent="0.25">
      <c r="A3">
        <f>Table11[[#This Row],[Farmer'#]]</f>
        <v>10001</v>
      </c>
      <c r="B3" t="str">
        <f>Table11[[#This Row],[Representative]]</f>
        <v>Bruce Gamble</v>
      </c>
      <c r="C3" t="str">
        <f>Table11[[#This Row],[Contract Name]]</f>
        <v>Bruce Gamble</v>
      </c>
      <c r="D3" t="str">
        <f>Table11[[#This Row],[Status]]</f>
        <v>Active</v>
      </c>
      <c r="E3" t="str">
        <f>Table11[[#This Row],[Contract Code]]</f>
        <v>US0004</v>
      </c>
      <c r="F3">
        <f>Table11[[#This Row],['#TreesContract]]</f>
        <v>2200</v>
      </c>
      <c r="G3">
        <f>Table11[[#This Row],['#Planted]]</f>
        <v>2200</v>
      </c>
      <c r="H3" s="16">
        <f>Table11[[#This Row],['#TreesContract]]*Table11[[#This Row],[Canada Allocation2017 %]]</f>
        <v>0</v>
      </c>
      <c r="I3" s="16">
        <f>Table11[[#This Row],['#Planted]]*Table11[[#This Row],[Canada Allocation2017 %]]</f>
        <v>0</v>
      </c>
      <c r="J3" s="16">
        <f>Table11[[#This Row],[Contract Amendment]]*Table11[[#This Row],[Canada Allocation2017 %]]</f>
        <v>0</v>
      </c>
      <c r="K3" s="16">
        <f>Table11[[#This Row],['#Trees as of 12/31/23]]*Table11[[#This Row],[Canada Allocation2017 %]]</f>
        <v>0</v>
      </c>
      <c r="L3" s="16">
        <f>Table11[[#This Row],['#Replace 24]]*Table11[[#This Row],[Canada Allocation2017 %]]</f>
        <v>0</v>
      </c>
      <c r="M3" s="16"/>
      <c r="N3" s="16">
        <f>(Table11[[#This Row],[2024 '#Trees Inventory + Estimate]]*Table11[[#This Row],[Canada Allocation2017 %]])-SUM(Table3789[[#This Row],['# Trees as of 12/31/23]:[New Trees/Planted in 2024]])</f>
        <v>0</v>
      </c>
      <c r="O3" s="32">
        <f>SUM(Table3789[[#This Row],['# Trees as of 12/31/23]:[2024 Tree Losses]])</f>
        <v>0</v>
      </c>
      <c r="P3" s="32">
        <f>SUM(Table3789[[#This Row],[Total Trees as of 12/31/24]]-Table3789[[#This Row],['# Trees as of 12/31/23]])</f>
        <v>0</v>
      </c>
      <c r="Q3" s="16">
        <f>Table11[[#This Row],['#Total Replacements]]*Table11[[#This Row],[Canada Allocation2017 %]]</f>
        <v>0</v>
      </c>
      <c r="R3" s="32">
        <f>IF(Table3789[[#This Row],['#Survival based on Inventory]]=0,Table3789['#Survival based on Last Year Estimate],Table3789['#Survival based on Inventory])</f>
        <v>0</v>
      </c>
      <c r="S3" s="16">
        <f>Table11[[#This Row],['#Planted]]*Table11[[#This Row],[Canada Allocation2017 %]]*Table11[[#This Row],[2024 Inventory Survival%-master]]</f>
        <v>0</v>
      </c>
      <c r="T3" s="16">
        <f>Table11[[#This Row],['#Planted]]*Table11[[#This Row],[Canada Allocation2017 %]]*Table11[[#This Row],[2024 Estimated Survival%]]</f>
        <v>0</v>
      </c>
      <c r="U3" s="7">
        <f>Table11[[#This Row],[ETP Year]]</f>
        <v>2015</v>
      </c>
      <c r="V3" s="7">
        <f>Table11[[#This Row],[Planting Year]]</f>
        <v>2016</v>
      </c>
      <c r="W3" s="17">
        <f>Table11[[#This Row],[Survival% as of 12/31/23]]</f>
        <v>0.55583906046107012</v>
      </c>
      <c r="X3">
        <f>Table11[[#This Row],[ETP'#s]]</f>
        <v>1</v>
      </c>
    </row>
    <row r="4" spans="1:24" hidden="1" x14ac:dyDescent="0.25">
      <c r="A4">
        <f>Table11[[#This Row],[Farmer'#]]</f>
        <v>10001</v>
      </c>
      <c r="B4" t="str">
        <f>Table11[[#This Row],[Representative]]</f>
        <v>Bruce Gamble</v>
      </c>
      <c r="C4" t="str">
        <f>Table11[[#This Row],[Contract Name]]</f>
        <v>Bruce Gamble</v>
      </c>
      <c r="D4" t="str">
        <f>Table11[[#This Row],[Status]]</f>
        <v>RFT</v>
      </c>
      <c r="E4" t="str">
        <f>Table11[[#This Row],[Contract Code]]</f>
        <v>US0005</v>
      </c>
      <c r="F4">
        <f>Table11[[#This Row],['#TreesContract]]</f>
        <v>2200</v>
      </c>
      <c r="G4">
        <f>Table11[[#This Row],['#Planted]]</f>
        <v>2200</v>
      </c>
      <c r="H4" s="16">
        <f>Table11[[#This Row],['#TreesContract]]*Table11[[#This Row],[Canada Allocation2017 %]]</f>
        <v>0</v>
      </c>
      <c r="I4" s="16">
        <f>Table11[[#This Row],['#Planted]]*Table11[[#This Row],[Canada Allocation2017 %]]</f>
        <v>0</v>
      </c>
      <c r="J4" s="16">
        <f>Table11[[#This Row],[Contract Amendment]]*Table11[[#This Row],[Canada Allocation2017 %]]</f>
        <v>0</v>
      </c>
      <c r="K4" s="16">
        <f>Table11[[#This Row],['#Trees as of 12/31/23]]*Table11[[#This Row],[Canada Allocation2017 %]]</f>
        <v>0</v>
      </c>
      <c r="L4" s="16">
        <f>Table11[[#This Row],['#Replace 24]]*Table11[[#This Row],[Canada Allocation2017 %]]</f>
        <v>0</v>
      </c>
      <c r="M4" s="16"/>
      <c r="N4" s="16">
        <f>(Table11[[#This Row],[2024 '#Trees Inventory + Estimate]]*Table11[[#This Row],[Canada Allocation2017 %]])-SUM(Table3789[[#This Row],['# Trees as of 12/31/23]:[New Trees/Planted in 2024]])</f>
        <v>0</v>
      </c>
      <c r="O4" s="32">
        <f>SUM(Table3789[[#This Row],['# Trees as of 12/31/23]:[2024 Tree Losses]])</f>
        <v>0</v>
      </c>
      <c r="P4" s="32">
        <f>SUM(Table3789[[#This Row],[Total Trees as of 12/31/24]]-Table3789[[#This Row],['# Trees as of 12/31/23]])</f>
        <v>0</v>
      </c>
      <c r="Q4" s="16">
        <f>Table11[[#This Row],['#Total Replacements]]*Table11[[#This Row],[Canada Allocation2017 %]]</f>
        <v>0</v>
      </c>
      <c r="R4" s="32">
        <f>IF(Table3789[[#This Row],['#Survival based on Inventory]]=0,Table3789['#Survival based on Last Year Estimate],Table3789['#Survival based on Inventory])</f>
        <v>0</v>
      </c>
      <c r="S4" s="16">
        <f>Table11[[#This Row],['#Planted]]*Table11[[#This Row],[Canada Allocation2017 %]]*Table11[[#This Row],[2024 Inventory Survival%-master]]</f>
        <v>0</v>
      </c>
      <c r="T4" s="16">
        <f>Table11[[#This Row],['#Planted]]*Table11[[#This Row],[Canada Allocation2017 %]]*Table11[[#This Row],[2024 Estimated Survival%]]</f>
        <v>0</v>
      </c>
      <c r="U4" s="7">
        <f>Table11[[#This Row],[ETP Year]]</f>
        <v>2016</v>
      </c>
      <c r="V4" s="7">
        <f>Table11[[#This Row],[Planting Year]]</f>
        <v>2016</v>
      </c>
      <c r="W4" s="17">
        <f>Table11[[#This Row],[Survival% as of 12/31/23]]</f>
        <v>0.53441505333295214</v>
      </c>
      <c r="X4">
        <f>Table11[[#This Row],[ETP'#s]]</f>
        <v>1</v>
      </c>
    </row>
    <row r="5" spans="1:24" hidden="1" x14ac:dyDescent="0.25">
      <c r="A5">
        <f>Table11[[#This Row],[Farmer'#]]</f>
        <v>10002</v>
      </c>
      <c r="B5" t="str">
        <f>Table11[[#This Row],[Representative]]</f>
        <v>Bob Miller</v>
      </c>
      <c r="C5" t="str">
        <f>Table11[[#This Row],[Contract Name]]</f>
        <v>Bob Miller</v>
      </c>
      <c r="D5" t="str">
        <f>Table11[[#This Row],[Status]]</f>
        <v>Out of Program</v>
      </c>
      <c r="E5" t="str">
        <f>Table11[[#This Row],[Contract Code]]</f>
        <v>US0002</v>
      </c>
      <c r="F5">
        <f>Table11[[#This Row],['#TreesContract]]</f>
        <v>1200</v>
      </c>
      <c r="G5">
        <f>Table11[[#This Row],['#Planted]]</f>
        <v>1200</v>
      </c>
      <c r="H5" s="16">
        <f>Table11[[#This Row],['#TreesContract]]*Table11[[#This Row],[Canada Allocation2017 %]]</f>
        <v>0</v>
      </c>
      <c r="I5" s="16">
        <f>Table11[[#This Row],['#Planted]]*Table11[[#This Row],[Canada Allocation2017 %]]</f>
        <v>0</v>
      </c>
      <c r="J5" s="16">
        <f>Table11[[#This Row],[Contract Amendment]]*Table11[[#This Row],[Canada Allocation2017 %]]</f>
        <v>0</v>
      </c>
      <c r="K5" s="16">
        <f>Table11[[#This Row],['#Trees as of 12/31/23]]*Table11[[#This Row],[Canada Allocation2017 %]]</f>
        <v>0</v>
      </c>
      <c r="L5" s="16">
        <f>Table11[[#This Row],['#Replace 24]]*Table11[[#This Row],[Canada Allocation2017 %]]</f>
        <v>0</v>
      </c>
      <c r="M5" s="16"/>
      <c r="N5" s="16">
        <f>(Table11[[#This Row],[2024 '#Trees Inventory + Estimate]]*Table11[[#This Row],[Canada Allocation2017 %]])-SUM(Table3789[[#This Row],['# Trees as of 12/31/23]:[New Trees/Planted in 2024]])</f>
        <v>0</v>
      </c>
      <c r="O5" s="32">
        <f>SUM(Table3789[[#This Row],['# Trees as of 12/31/23]:[2024 Tree Losses]])</f>
        <v>0</v>
      </c>
      <c r="P5" s="32">
        <f>SUM(Table3789[[#This Row],[Total Trees as of 12/31/24]]-Table3789[[#This Row],['# Trees as of 12/31/23]])</f>
        <v>0</v>
      </c>
      <c r="Q5" s="16">
        <f>Table11[[#This Row],['#Total Replacements]]*Table11[[#This Row],[Canada Allocation2017 %]]</f>
        <v>0</v>
      </c>
      <c r="R5" s="32">
        <f>IF(Table3789[[#This Row],['#Survival based on Inventory]]=0,Table3789['#Survival based on Last Year Estimate],Table3789['#Survival based on Inventory])</f>
        <v>0</v>
      </c>
      <c r="S5" s="16">
        <f>Table11[[#This Row],['#Planted]]*Table11[[#This Row],[Canada Allocation2017 %]]*Table11[[#This Row],[2024 Inventory Survival%-master]]</f>
        <v>0</v>
      </c>
      <c r="T5" s="16">
        <f>Table11[[#This Row],['#Planted]]*Table11[[#This Row],[Canada Allocation2017 %]]*Table11[[#This Row],[2024 Estimated Survival%]]</f>
        <v>0</v>
      </c>
      <c r="U5" s="7">
        <f>Table11[[#This Row],[ETP Year]]</f>
        <v>2015</v>
      </c>
      <c r="V5" s="7">
        <f>Table11[[#This Row],[Planting Year]]</f>
        <v>2016</v>
      </c>
      <c r="W5" s="17">
        <f>Table11[[#This Row],[Survival% as of 12/31/23]]</f>
        <v>0</v>
      </c>
      <c r="X5">
        <f>Table11[[#This Row],[ETP'#s]]</f>
        <v>1</v>
      </c>
    </row>
    <row r="6" spans="1:24" hidden="1" x14ac:dyDescent="0.25">
      <c r="A6">
        <f>Table11[[#This Row],[Farmer'#]]</f>
        <v>10003</v>
      </c>
      <c r="B6" t="str">
        <f>Table11[[#This Row],[Representative]]</f>
        <v>Brian Lusnia</v>
      </c>
      <c r="C6" t="str">
        <f>Table11[[#This Row],[Contract Name]]</f>
        <v>Brian Lusnia</v>
      </c>
      <c r="D6" t="str">
        <f>Table11[[#This Row],[Status]]</f>
        <v>Out of Program</v>
      </c>
      <c r="E6" t="str">
        <f>Table11[[#This Row],[Contract Code]]</f>
        <v>US0003</v>
      </c>
      <c r="F6">
        <f>Table11[[#This Row],['#TreesContract]]</f>
        <v>1100</v>
      </c>
      <c r="G6">
        <f>Table11[[#This Row],['#Planted]]</f>
        <v>1100</v>
      </c>
      <c r="H6" s="16">
        <f>Table11[[#This Row],['#TreesContract]]*Table11[[#This Row],[Canada Allocation2017 %]]</f>
        <v>0</v>
      </c>
      <c r="I6" s="16">
        <f>Table11[[#This Row],['#Planted]]*Table11[[#This Row],[Canada Allocation2017 %]]</f>
        <v>0</v>
      </c>
      <c r="J6" s="16">
        <f>Table11[[#This Row],[Contract Amendment]]*Table11[[#This Row],[Canada Allocation2017 %]]</f>
        <v>0</v>
      </c>
      <c r="K6" s="16">
        <f>Table11[[#This Row],['#Trees as of 12/31/23]]*Table11[[#This Row],[Canada Allocation2017 %]]</f>
        <v>0</v>
      </c>
      <c r="L6" s="16">
        <f>Table11[[#This Row],['#Replace 24]]*Table11[[#This Row],[Canada Allocation2017 %]]</f>
        <v>0</v>
      </c>
      <c r="M6" s="16"/>
      <c r="N6" s="16">
        <f>(Table11[[#This Row],[2024 '#Trees Inventory + Estimate]]*Table11[[#This Row],[Canada Allocation2017 %]])-SUM(Table3789[[#This Row],['# Trees as of 12/31/23]:[New Trees/Planted in 2024]])</f>
        <v>0</v>
      </c>
      <c r="O6" s="32">
        <f>SUM(Table3789[[#This Row],['# Trees as of 12/31/23]:[2024 Tree Losses]])</f>
        <v>0</v>
      </c>
      <c r="P6" s="32">
        <f>SUM(Table3789[[#This Row],[Total Trees as of 12/31/24]]-Table3789[[#This Row],['# Trees as of 12/31/23]])</f>
        <v>0</v>
      </c>
      <c r="Q6" s="16">
        <f>Table11[[#This Row],['#Total Replacements]]*Table11[[#This Row],[Canada Allocation2017 %]]</f>
        <v>0</v>
      </c>
      <c r="R6" s="32">
        <f>IF(Table3789[[#This Row],['#Survival based on Inventory]]=0,Table3789['#Survival based on Last Year Estimate],Table3789['#Survival based on Inventory])</f>
        <v>0</v>
      </c>
      <c r="S6" s="16">
        <f>Table11[[#This Row],['#Planted]]*Table11[[#This Row],[Canada Allocation2017 %]]*Table11[[#This Row],[2024 Inventory Survival%-master]]</f>
        <v>0</v>
      </c>
      <c r="T6" s="16">
        <f>Table11[[#This Row],['#Planted]]*Table11[[#This Row],[Canada Allocation2017 %]]*Table11[[#This Row],[2024 Estimated Survival%]]</f>
        <v>0</v>
      </c>
      <c r="U6" s="7">
        <f>Table11[[#This Row],[ETP Year]]</f>
        <v>2015</v>
      </c>
      <c r="V6" s="7">
        <f>Table11[[#This Row],[Planting Year]]</f>
        <v>2016</v>
      </c>
      <c r="W6" s="17">
        <f>Table11[[#This Row],[Survival% as of 12/31/23]]</f>
        <v>0</v>
      </c>
      <c r="X6">
        <f>Table11[[#This Row],[ETP'#s]]</f>
        <v>1</v>
      </c>
    </row>
    <row r="7" spans="1:24" hidden="1" x14ac:dyDescent="0.25">
      <c r="A7">
        <f>Table11[[#This Row],[Farmer'#]]</f>
        <v>10004</v>
      </c>
      <c r="B7" t="str">
        <f>Table11[[#This Row],[Representative]]</f>
        <v>David Smith</v>
      </c>
      <c r="C7" t="str">
        <f>Table11[[#This Row],[Contract Name]]</f>
        <v>David Smith</v>
      </c>
      <c r="D7" t="str">
        <f>Table11[[#This Row],[Status]]</f>
        <v>Active</v>
      </c>
      <c r="E7" t="str">
        <f>Table11[[#This Row],[Contract Code]]</f>
        <v>US0006</v>
      </c>
      <c r="F7">
        <f>Table11[[#This Row],['#TreesContract]]</f>
        <v>2200</v>
      </c>
      <c r="G7">
        <f>Table11[[#This Row],['#Planted]]</f>
        <v>2200</v>
      </c>
      <c r="H7" s="16">
        <f>Table11[[#This Row],['#TreesContract]]*Table11[[#This Row],[Canada Allocation2017 %]]</f>
        <v>0</v>
      </c>
      <c r="I7" s="16">
        <f>Table11[[#This Row],['#Planted]]*Table11[[#This Row],[Canada Allocation2017 %]]</f>
        <v>0</v>
      </c>
      <c r="J7" s="16">
        <f>Table11[[#This Row],[Contract Amendment]]*Table11[[#This Row],[Canada Allocation2017 %]]</f>
        <v>0</v>
      </c>
      <c r="K7" s="16">
        <f>Table11[[#This Row],['#Trees as of 12/31/23]]*Table11[[#This Row],[Canada Allocation2017 %]]</f>
        <v>0</v>
      </c>
      <c r="L7" s="16">
        <f>Table11[[#This Row],['#Replace 24]]*Table11[[#This Row],[Canada Allocation2017 %]]</f>
        <v>0</v>
      </c>
      <c r="M7" s="16"/>
      <c r="N7" s="16">
        <f>(Table11[[#This Row],[2024 '#Trees Inventory + Estimate]]*Table11[[#This Row],[Canada Allocation2017 %]])-SUM(Table3789[[#This Row],['# Trees as of 12/31/23]:[New Trees/Planted in 2024]])</f>
        <v>0</v>
      </c>
      <c r="O7" s="32">
        <f>SUM(Table3789[[#This Row],['# Trees as of 12/31/23]:[2024 Tree Losses]])</f>
        <v>0</v>
      </c>
      <c r="P7" s="32">
        <f>SUM(Table3789[[#This Row],[Total Trees as of 12/31/24]]-Table3789[[#This Row],['# Trees as of 12/31/23]])</f>
        <v>0</v>
      </c>
      <c r="Q7" s="16">
        <f>Table11[[#This Row],['#Total Replacements]]*Table11[[#This Row],[Canada Allocation2017 %]]</f>
        <v>0</v>
      </c>
      <c r="R7" s="32">
        <f>IF(Table3789[[#This Row],['#Survival based on Inventory]]=0,Table3789['#Survival based on Last Year Estimate],Table3789['#Survival based on Inventory])</f>
        <v>0</v>
      </c>
      <c r="S7" s="16">
        <f>Table11[[#This Row],['#Planted]]*Table11[[#This Row],[Canada Allocation2017 %]]*Table11[[#This Row],[2024 Inventory Survival%-master]]</f>
        <v>0</v>
      </c>
      <c r="T7" s="16">
        <f>Table11[[#This Row],['#Planted]]*Table11[[#This Row],[Canada Allocation2017 %]]*Table11[[#This Row],[2024 Estimated Survival%]]</f>
        <v>0</v>
      </c>
      <c r="U7" s="7">
        <f>Table11[[#This Row],[ETP Year]]</f>
        <v>2015</v>
      </c>
      <c r="V7" s="7">
        <f>Table11[[#This Row],[Planting Year]]</f>
        <v>2016</v>
      </c>
      <c r="W7" s="17">
        <f>Table11[[#This Row],[Survival% as of 12/31/23]]</f>
        <v>0.91650284090909095</v>
      </c>
      <c r="X7">
        <f>Table11[[#This Row],[ETP'#s]]</f>
        <v>1</v>
      </c>
    </row>
    <row r="8" spans="1:24" hidden="1" x14ac:dyDescent="0.25">
      <c r="A8">
        <f>Table11[[#This Row],[Farmer'#]]</f>
        <v>10005</v>
      </c>
      <c r="B8" t="str">
        <f>Table11[[#This Row],[Representative]]</f>
        <v>Dennis Stoltzfoos</v>
      </c>
      <c r="C8" t="str">
        <f>Table11[[#This Row],[Contract Name]]</f>
        <v>Dennis Stoltzfoos</v>
      </c>
      <c r="D8" t="str">
        <f>Table11[[#This Row],[Status]]</f>
        <v>Out of Program</v>
      </c>
      <c r="E8" t="str">
        <f>Table11[[#This Row],[Contract Code]]</f>
        <v>US0007</v>
      </c>
      <c r="F8">
        <f>Table11[[#This Row],['#TreesContract]]</f>
        <v>1100</v>
      </c>
      <c r="G8">
        <f>Table11[[#This Row],['#Planted]]</f>
        <v>1100</v>
      </c>
      <c r="H8" s="16">
        <f>Table11[[#This Row],['#TreesContract]]*Table11[[#This Row],[Canada Allocation2017 %]]</f>
        <v>0</v>
      </c>
      <c r="I8" s="16">
        <f>Table11[[#This Row],['#Planted]]*Table11[[#This Row],[Canada Allocation2017 %]]</f>
        <v>0</v>
      </c>
      <c r="J8" s="16">
        <f>Table11[[#This Row],[Contract Amendment]]*Table11[[#This Row],[Canada Allocation2017 %]]</f>
        <v>0</v>
      </c>
      <c r="K8" s="16">
        <f>Table11[[#This Row],['#Trees as of 12/31/23]]*Table11[[#This Row],[Canada Allocation2017 %]]</f>
        <v>0</v>
      </c>
      <c r="L8" s="16">
        <f>Table11[[#This Row],['#Replace 24]]*Table11[[#This Row],[Canada Allocation2017 %]]</f>
        <v>0</v>
      </c>
      <c r="M8" s="16"/>
      <c r="N8" s="16">
        <f>(Table11[[#This Row],[2024 '#Trees Inventory + Estimate]]*Table11[[#This Row],[Canada Allocation2017 %]])-SUM(Table3789[[#This Row],['# Trees as of 12/31/23]:[New Trees/Planted in 2024]])</f>
        <v>0</v>
      </c>
      <c r="O8" s="32">
        <f>SUM(Table3789[[#This Row],['# Trees as of 12/31/23]:[2024 Tree Losses]])</f>
        <v>0</v>
      </c>
      <c r="P8" s="32">
        <f>SUM(Table3789[[#This Row],[Total Trees as of 12/31/24]]-Table3789[[#This Row],['# Trees as of 12/31/23]])</f>
        <v>0</v>
      </c>
      <c r="Q8" s="16">
        <f>Table11[[#This Row],['#Total Replacements]]*Table11[[#This Row],[Canada Allocation2017 %]]</f>
        <v>0</v>
      </c>
      <c r="R8" s="32">
        <f>IF(Table3789[[#This Row],['#Survival based on Inventory]]=0,Table3789['#Survival based on Last Year Estimate],Table3789['#Survival based on Inventory])</f>
        <v>0</v>
      </c>
      <c r="S8" s="16">
        <f>Table11[[#This Row],['#Planted]]*Table11[[#This Row],[Canada Allocation2017 %]]*Table11[[#This Row],[2024 Inventory Survival%-master]]</f>
        <v>0</v>
      </c>
      <c r="T8" s="16">
        <f>Table11[[#This Row],['#Planted]]*Table11[[#This Row],[Canada Allocation2017 %]]*Table11[[#This Row],[2024 Estimated Survival%]]</f>
        <v>0</v>
      </c>
      <c r="U8" s="7">
        <f>Table11[[#This Row],[ETP Year]]</f>
        <v>2015</v>
      </c>
      <c r="V8" s="7">
        <f>Table11[[#This Row],[Planting Year]]</f>
        <v>2016</v>
      </c>
      <c r="W8" s="17">
        <f>Table11[[#This Row],[Survival% as of 12/31/23]]</f>
        <v>0</v>
      </c>
      <c r="X8">
        <f>Table11[[#This Row],[ETP'#s]]</f>
        <v>1</v>
      </c>
    </row>
    <row r="9" spans="1:24" hidden="1" x14ac:dyDescent="0.25">
      <c r="A9">
        <f>Table11[[#This Row],[Farmer'#]]</f>
        <v>10006</v>
      </c>
      <c r="B9" t="str">
        <f>Table11[[#This Row],[Representative]]</f>
        <v>Eugene Martens</v>
      </c>
      <c r="C9" t="str">
        <f>Table11[[#This Row],[Contract Name]]</f>
        <v>Eugene Martens</v>
      </c>
      <c r="D9" t="str">
        <f>Table11[[#This Row],[Status]]</f>
        <v>Active</v>
      </c>
      <c r="E9" t="str">
        <f>Table11[[#This Row],[Contract Code]]</f>
        <v>US0008</v>
      </c>
      <c r="F9">
        <f>Table11[[#This Row],['#TreesContract]]</f>
        <v>800</v>
      </c>
      <c r="G9">
        <f>Table11[[#This Row],['#Planted]]</f>
        <v>800</v>
      </c>
      <c r="H9" s="16">
        <f>Table11[[#This Row],['#TreesContract]]*Table11[[#This Row],[Canada Allocation2017 %]]</f>
        <v>0</v>
      </c>
      <c r="I9" s="16">
        <f>Table11[[#This Row],['#Planted]]*Table11[[#This Row],[Canada Allocation2017 %]]</f>
        <v>0</v>
      </c>
      <c r="J9" s="16">
        <f>Table11[[#This Row],[Contract Amendment]]*Table11[[#This Row],[Canada Allocation2017 %]]</f>
        <v>0</v>
      </c>
      <c r="K9" s="16">
        <f>Table11[[#This Row],['#Trees as of 12/31/23]]*Table11[[#This Row],[Canada Allocation2017 %]]</f>
        <v>0</v>
      </c>
      <c r="L9" s="16">
        <f>Table11[[#This Row],['#Replace 24]]*Table11[[#This Row],[Canada Allocation2017 %]]</f>
        <v>0</v>
      </c>
      <c r="M9" s="16"/>
      <c r="N9" s="16">
        <f>(Table11[[#This Row],[2024 '#Trees Inventory + Estimate]]*Table11[[#This Row],[Canada Allocation2017 %]])-SUM(Table3789[[#This Row],['# Trees as of 12/31/23]:[New Trees/Planted in 2024]])</f>
        <v>0</v>
      </c>
      <c r="O9" s="32">
        <f>SUM(Table3789[[#This Row],['# Trees as of 12/31/23]:[2024 Tree Losses]])</f>
        <v>0</v>
      </c>
      <c r="P9" s="32">
        <f>SUM(Table3789[[#This Row],[Total Trees as of 12/31/24]]-Table3789[[#This Row],['# Trees as of 12/31/23]])</f>
        <v>0</v>
      </c>
      <c r="Q9" s="16">
        <f>Table11[[#This Row],['#Total Replacements]]*Table11[[#This Row],[Canada Allocation2017 %]]</f>
        <v>0</v>
      </c>
      <c r="R9" s="32">
        <f>IF(Table3789[[#This Row],['#Survival based on Inventory]]=0,Table3789['#Survival based on Last Year Estimate],Table3789['#Survival based on Inventory])</f>
        <v>0</v>
      </c>
      <c r="S9" s="16">
        <f>Table11[[#This Row],['#Planted]]*Table11[[#This Row],[Canada Allocation2017 %]]*Table11[[#This Row],[2024 Inventory Survival%-master]]</f>
        <v>0</v>
      </c>
      <c r="T9" s="16">
        <f>Table11[[#This Row],['#Planted]]*Table11[[#This Row],[Canada Allocation2017 %]]*Table11[[#This Row],[2024 Estimated Survival%]]</f>
        <v>0</v>
      </c>
      <c r="U9" s="7">
        <f>Table11[[#This Row],[ETP Year]]</f>
        <v>2015</v>
      </c>
      <c r="V9" s="7">
        <f>Table11[[#This Row],[Planting Year]]</f>
        <v>2016</v>
      </c>
      <c r="W9" s="17">
        <f>Table11[[#This Row],[Survival% as of 12/31/23]]</f>
        <v>0.86235416666666664</v>
      </c>
      <c r="X9">
        <f>Table11[[#This Row],[ETP'#s]]</f>
        <v>1</v>
      </c>
    </row>
    <row r="10" spans="1:24" hidden="1" x14ac:dyDescent="0.25">
      <c r="A10">
        <f>Table11[[#This Row],[Farmer'#]]</f>
        <v>10007</v>
      </c>
      <c r="B10" t="str">
        <f>Table11[[#This Row],[Representative]]</f>
        <v>Jay Ridings</v>
      </c>
      <c r="C10" t="str">
        <f>Table11[[#This Row],[Contract Name]]</f>
        <v>Jay Ridings</v>
      </c>
      <c r="D10" t="str">
        <f>Table11[[#This Row],[Status]]</f>
        <v>RFT</v>
      </c>
      <c r="E10" t="str">
        <f>Table11[[#This Row],[Contract Code]]</f>
        <v>US0009</v>
      </c>
      <c r="F10">
        <f>Table11[[#This Row],['#TreesContract]]</f>
        <v>1650</v>
      </c>
      <c r="G10">
        <f>Table11[[#This Row],['#Planted]]</f>
        <v>1650</v>
      </c>
      <c r="H10" s="16">
        <f>Table11[[#This Row],['#TreesContract]]*Table11[[#This Row],[Canada Allocation2017 %]]</f>
        <v>0</v>
      </c>
      <c r="I10" s="16">
        <f>Table11[[#This Row],['#Planted]]*Table11[[#This Row],[Canada Allocation2017 %]]</f>
        <v>0</v>
      </c>
      <c r="J10" s="16">
        <f>Table11[[#This Row],[Contract Amendment]]*Table11[[#This Row],[Canada Allocation2017 %]]</f>
        <v>0</v>
      </c>
      <c r="K10" s="16">
        <f>Table11[[#This Row],['#Trees as of 12/31/23]]*Table11[[#This Row],[Canada Allocation2017 %]]</f>
        <v>0</v>
      </c>
      <c r="L10" s="16">
        <f>Table11[[#This Row],['#Replace 24]]*Table11[[#This Row],[Canada Allocation2017 %]]</f>
        <v>0</v>
      </c>
      <c r="M10" s="16"/>
      <c r="N10" s="16">
        <f>(Table11[[#This Row],[2024 '#Trees Inventory + Estimate]]*Table11[[#This Row],[Canada Allocation2017 %]])-SUM(Table3789[[#This Row],['# Trees as of 12/31/23]:[New Trees/Planted in 2024]])</f>
        <v>0</v>
      </c>
      <c r="O10" s="32">
        <f>SUM(Table3789[[#This Row],['# Trees as of 12/31/23]:[2024 Tree Losses]])</f>
        <v>0</v>
      </c>
      <c r="P10" s="32">
        <f>SUM(Table3789[[#This Row],[Total Trees as of 12/31/24]]-Table3789[[#This Row],['# Trees as of 12/31/23]])</f>
        <v>0</v>
      </c>
      <c r="Q10" s="16">
        <f>Table11[[#This Row],['#Total Replacements]]*Table11[[#This Row],[Canada Allocation2017 %]]</f>
        <v>0</v>
      </c>
      <c r="R10" s="32">
        <f>IF(Table3789[[#This Row],['#Survival based on Inventory]]=0,Table3789['#Survival based on Last Year Estimate],Table3789['#Survival based on Inventory])</f>
        <v>0</v>
      </c>
      <c r="S10" s="16">
        <f>Table11[[#This Row],['#Planted]]*Table11[[#This Row],[Canada Allocation2017 %]]*Table11[[#This Row],[2024 Inventory Survival%-master]]</f>
        <v>0</v>
      </c>
      <c r="T10" s="16">
        <f>Table11[[#This Row],['#Planted]]*Table11[[#This Row],[Canada Allocation2017 %]]*Table11[[#This Row],[2024 Estimated Survival%]]</f>
        <v>0</v>
      </c>
      <c r="U10" s="7">
        <f>Table11[[#This Row],[ETP Year]]</f>
        <v>2015</v>
      </c>
      <c r="V10" s="7">
        <f>Table11[[#This Row],[Planting Year]]</f>
        <v>2016</v>
      </c>
      <c r="W10" s="17">
        <f>Table11[[#This Row],[Survival% as of 12/31/23]]</f>
        <v>0.27768595041322308</v>
      </c>
      <c r="X10">
        <f>Table11[[#This Row],[ETP'#s]]</f>
        <v>1</v>
      </c>
    </row>
    <row r="11" spans="1:24" hidden="1" x14ac:dyDescent="0.25">
      <c r="A11">
        <f>Table11[[#This Row],[Farmer'#]]</f>
        <v>10008</v>
      </c>
      <c r="B11" t="str">
        <f>Table11[[#This Row],[Representative]]</f>
        <v>Jonathan Walker</v>
      </c>
      <c r="C11" t="str">
        <f>Table11[[#This Row],[Contract Name]]</f>
        <v>Jonathan Walker</v>
      </c>
      <c r="D11" t="str">
        <f>Table11[[#This Row],[Status]]</f>
        <v>Out of Program</v>
      </c>
      <c r="E11" t="str">
        <f>Table11[[#This Row],[Contract Code]]</f>
        <v>US0010</v>
      </c>
      <c r="F11">
        <f>Table11[[#This Row],['#TreesContract]]</f>
        <v>550</v>
      </c>
      <c r="G11">
        <f>Table11[[#This Row],['#Planted]]</f>
        <v>550</v>
      </c>
      <c r="H11" s="16">
        <f>Table11[[#This Row],['#TreesContract]]*Table11[[#This Row],[Canada Allocation2017 %]]</f>
        <v>0</v>
      </c>
      <c r="I11" s="16">
        <f>Table11[[#This Row],['#Planted]]*Table11[[#This Row],[Canada Allocation2017 %]]</f>
        <v>0</v>
      </c>
      <c r="J11" s="16">
        <f>Table11[[#This Row],[Contract Amendment]]*Table11[[#This Row],[Canada Allocation2017 %]]</f>
        <v>0</v>
      </c>
      <c r="K11" s="16">
        <f>Table11[[#This Row],['#Trees as of 12/31/23]]*Table11[[#This Row],[Canada Allocation2017 %]]</f>
        <v>0</v>
      </c>
      <c r="L11" s="16">
        <f>Table11[[#This Row],['#Replace 24]]*Table11[[#This Row],[Canada Allocation2017 %]]</f>
        <v>0</v>
      </c>
      <c r="M11" s="16"/>
      <c r="N11" s="16">
        <f>(Table11[[#This Row],[2024 '#Trees Inventory + Estimate]]*Table11[[#This Row],[Canada Allocation2017 %]])-SUM(Table3789[[#This Row],['# Trees as of 12/31/23]:[New Trees/Planted in 2024]])</f>
        <v>0</v>
      </c>
      <c r="O11" s="32">
        <f>SUM(Table3789[[#This Row],['# Trees as of 12/31/23]:[2024 Tree Losses]])</f>
        <v>0</v>
      </c>
      <c r="P11" s="32">
        <f>SUM(Table3789[[#This Row],[Total Trees as of 12/31/24]]-Table3789[[#This Row],['# Trees as of 12/31/23]])</f>
        <v>0</v>
      </c>
      <c r="Q11" s="16">
        <f>Table11[[#This Row],['#Total Replacements]]*Table11[[#This Row],[Canada Allocation2017 %]]</f>
        <v>0</v>
      </c>
      <c r="R11" s="32">
        <f>IF(Table3789[[#This Row],['#Survival based on Inventory]]=0,Table3789['#Survival based on Last Year Estimate],Table3789['#Survival based on Inventory])</f>
        <v>0</v>
      </c>
      <c r="S11" s="16">
        <f>Table11[[#This Row],['#Planted]]*Table11[[#This Row],[Canada Allocation2017 %]]*Table11[[#This Row],[2024 Inventory Survival%-master]]</f>
        <v>0</v>
      </c>
      <c r="T11" s="16">
        <f>Table11[[#This Row],['#Planted]]*Table11[[#This Row],[Canada Allocation2017 %]]*Table11[[#This Row],[2024 Estimated Survival%]]</f>
        <v>0</v>
      </c>
      <c r="U11" s="7">
        <f>Table11[[#This Row],[ETP Year]]</f>
        <v>2015</v>
      </c>
      <c r="V11" s="7">
        <f>Table11[[#This Row],[Planting Year]]</f>
        <v>2016</v>
      </c>
      <c r="W11" s="17">
        <f>Table11[[#This Row],[Survival% as of 12/31/23]]</f>
        <v>0</v>
      </c>
      <c r="X11">
        <f>Table11[[#This Row],[ETP'#s]]</f>
        <v>1</v>
      </c>
    </row>
    <row r="12" spans="1:24" hidden="1" x14ac:dyDescent="0.25">
      <c r="A12">
        <f>Table11[[#This Row],[Farmer'#]]</f>
        <v>10009</v>
      </c>
      <c r="B12" t="str">
        <f>Table11[[#This Row],[Representative]]</f>
        <v>Joseph Hostetler</v>
      </c>
      <c r="C12" t="str">
        <f>Table11[[#This Row],[Contract Name]]</f>
        <v>Joseph Hostetler</v>
      </c>
      <c r="D12" t="str">
        <f>Table11[[#This Row],[Status]]</f>
        <v>Active</v>
      </c>
      <c r="E12" t="str">
        <f>Table11[[#This Row],[Contract Code]]</f>
        <v>US0011</v>
      </c>
      <c r="F12">
        <f>Table11[[#This Row],['#TreesContract]]</f>
        <v>1295</v>
      </c>
      <c r="G12">
        <f>Table11[[#This Row],['#Planted]]</f>
        <v>1295</v>
      </c>
      <c r="H12" s="16">
        <f>Table11[[#This Row],['#TreesContract]]*Table11[[#This Row],[Canada Allocation2017 %]]</f>
        <v>0</v>
      </c>
      <c r="I12" s="16">
        <f>Table11[[#This Row],['#Planted]]*Table11[[#This Row],[Canada Allocation2017 %]]</f>
        <v>0</v>
      </c>
      <c r="J12" s="16">
        <f>Table11[[#This Row],[Contract Amendment]]*Table11[[#This Row],[Canada Allocation2017 %]]</f>
        <v>0</v>
      </c>
      <c r="K12" s="16">
        <f>Table11[[#This Row],['#Trees as of 12/31/23]]*Table11[[#This Row],[Canada Allocation2017 %]]</f>
        <v>0</v>
      </c>
      <c r="L12" s="16">
        <f>Table11[[#This Row],['#Replace 24]]*Table11[[#This Row],[Canada Allocation2017 %]]</f>
        <v>0</v>
      </c>
      <c r="M12" s="16"/>
      <c r="N12" s="16">
        <f>(Table11[[#This Row],[2024 '#Trees Inventory + Estimate]]*Table11[[#This Row],[Canada Allocation2017 %]])-SUM(Table3789[[#This Row],['# Trees as of 12/31/23]:[New Trees/Planted in 2024]])</f>
        <v>0</v>
      </c>
      <c r="O12" s="32">
        <f>SUM(Table3789[[#This Row],['# Trees as of 12/31/23]:[2024 Tree Losses]])</f>
        <v>0</v>
      </c>
      <c r="P12" s="32">
        <f>SUM(Table3789[[#This Row],[Total Trees as of 12/31/24]]-Table3789[[#This Row],['# Trees as of 12/31/23]])</f>
        <v>0</v>
      </c>
      <c r="Q12" s="16">
        <f>Table11[[#This Row],['#Total Replacements]]*Table11[[#This Row],[Canada Allocation2017 %]]</f>
        <v>0</v>
      </c>
      <c r="R12" s="32">
        <f>IF(Table3789[[#This Row],['#Survival based on Inventory]]=0,Table3789['#Survival based on Last Year Estimate],Table3789['#Survival based on Inventory])</f>
        <v>0</v>
      </c>
      <c r="S12" s="16">
        <f>Table11[[#This Row],['#Planted]]*Table11[[#This Row],[Canada Allocation2017 %]]*Table11[[#This Row],[2024 Inventory Survival%-master]]</f>
        <v>0</v>
      </c>
      <c r="T12" s="16">
        <f>Table11[[#This Row],['#Planted]]*Table11[[#This Row],[Canada Allocation2017 %]]*Table11[[#This Row],[2024 Estimated Survival%]]</f>
        <v>0</v>
      </c>
      <c r="U12" s="7">
        <f>Table11[[#This Row],[ETP Year]]</f>
        <v>2015</v>
      </c>
      <c r="V12" s="7">
        <f>Table11[[#This Row],[Planting Year]]</f>
        <v>2016</v>
      </c>
      <c r="W12" s="17">
        <f>Table11[[#This Row],[Survival% as of 12/31/23]]</f>
        <v>0.12183612183612186</v>
      </c>
      <c r="X12">
        <f>Table11[[#This Row],[ETP'#s]]</f>
        <v>1</v>
      </c>
    </row>
    <row r="13" spans="1:24" hidden="1" x14ac:dyDescent="0.25">
      <c r="A13">
        <f>Table11[[#This Row],[Farmer'#]]</f>
        <v>10010</v>
      </c>
      <c r="B13" t="str">
        <f>Table11[[#This Row],[Representative]]</f>
        <v>Loretta Adderson</v>
      </c>
      <c r="C13" t="str">
        <f>Table11[[#This Row],[Contract Name]]</f>
        <v>Loretta Adderson</v>
      </c>
      <c r="D13" t="str">
        <f>Table11[[#This Row],[Status]]</f>
        <v>Out of Program</v>
      </c>
      <c r="E13" t="str">
        <f>Table11[[#This Row],[Contract Code]]</f>
        <v>US0012</v>
      </c>
      <c r="F13">
        <f>Table11[[#This Row],['#TreesContract]]</f>
        <v>2200</v>
      </c>
      <c r="G13">
        <f>Table11[[#This Row],['#Planted]]</f>
        <v>2200</v>
      </c>
      <c r="H13" s="16">
        <f>Table11[[#This Row],['#TreesContract]]*Table11[[#This Row],[Canada Allocation2017 %]]</f>
        <v>0</v>
      </c>
      <c r="I13" s="16">
        <f>Table11[[#This Row],['#Planted]]*Table11[[#This Row],[Canada Allocation2017 %]]</f>
        <v>0</v>
      </c>
      <c r="J13" s="16">
        <f>Table11[[#This Row],[Contract Amendment]]*Table11[[#This Row],[Canada Allocation2017 %]]</f>
        <v>0</v>
      </c>
      <c r="K13" s="16">
        <f>Table11[[#This Row],['#Trees as of 12/31/23]]*Table11[[#This Row],[Canada Allocation2017 %]]</f>
        <v>0</v>
      </c>
      <c r="L13" s="16">
        <f>Table11[[#This Row],['#Replace 24]]*Table11[[#This Row],[Canada Allocation2017 %]]</f>
        <v>0</v>
      </c>
      <c r="M13" s="16"/>
      <c r="N13" s="16">
        <f>(Table11[[#This Row],[2024 '#Trees Inventory + Estimate]]*Table11[[#This Row],[Canada Allocation2017 %]])-SUM(Table3789[[#This Row],['# Trees as of 12/31/23]:[New Trees/Planted in 2024]])</f>
        <v>0</v>
      </c>
      <c r="O13" s="32">
        <f>SUM(Table3789[[#This Row],['# Trees as of 12/31/23]:[2024 Tree Losses]])</f>
        <v>0</v>
      </c>
      <c r="P13" s="32">
        <f>SUM(Table3789[[#This Row],[Total Trees as of 12/31/24]]-Table3789[[#This Row],['# Trees as of 12/31/23]])</f>
        <v>0</v>
      </c>
      <c r="Q13" s="16">
        <f>Table11[[#This Row],['#Total Replacements]]*Table11[[#This Row],[Canada Allocation2017 %]]</f>
        <v>0</v>
      </c>
      <c r="R13" s="32">
        <f>IF(Table3789[[#This Row],['#Survival based on Inventory]]=0,Table3789['#Survival based on Last Year Estimate],Table3789['#Survival based on Inventory])</f>
        <v>0</v>
      </c>
      <c r="S13" s="16">
        <f>Table11[[#This Row],['#Planted]]*Table11[[#This Row],[Canada Allocation2017 %]]*Table11[[#This Row],[2024 Inventory Survival%-master]]</f>
        <v>0</v>
      </c>
      <c r="T13" s="16">
        <f>Table11[[#This Row],['#Planted]]*Table11[[#This Row],[Canada Allocation2017 %]]*Table11[[#This Row],[2024 Estimated Survival%]]</f>
        <v>0</v>
      </c>
      <c r="U13" s="7">
        <f>Table11[[#This Row],[ETP Year]]</f>
        <v>2015</v>
      </c>
      <c r="V13" s="7">
        <f>Table11[[#This Row],[Planting Year]]</f>
        <v>2016</v>
      </c>
      <c r="W13" s="17">
        <f>Table11[[#This Row],[Survival% as of 12/31/23]]</f>
        <v>0</v>
      </c>
      <c r="X13">
        <f>Table11[[#This Row],[ETP'#s]]</f>
        <v>1</v>
      </c>
    </row>
    <row r="14" spans="1:24" hidden="1" x14ac:dyDescent="0.25">
      <c r="A14">
        <f>Table11[[#This Row],[Farmer'#]]</f>
        <v>10011</v>
      </c>
      <c r="B14" t="str">
        <f>Table11[[#This Row],[Representative]]</f>
        <v>Nolan Bradford</v>
      </c>
      <c r="C14" t="str">
        <f>Table11[[#This Row],[Contract Name]]</f>
        <v>Nolan Bradford</v>
      </c>
      <c r="D14" t="str">
        <f>Table11[[#This Row],[Status]]</f>
        <v>Out of Program</v>
      </c>
      <c r="E14" t="str">
        <f>Table11[[#This Row],[Contract Code]]</f>
        <v>US0013</v>
      </c>
      <c r="F14">
        <f>Table11[[#This Row],['#TreesContract]]</f>
        <v>550</v>
      </c>
      <c r="G14">
        <f>Table11[[#This Row],['#Planted]]</f>
        <v>550</v>
      </c>
      <c r="H14" s="16">
        <f>Table11[[#This Row],['#TreesContract]]*Table11[[#This Row],[Canada Allocation2017 %]]</f>
        <v>0</v>
      </c>
      <c r="I14" s="16">
        <f>Table11[[#This Row],['#Planted]]*Table11[[#This Row],[Canada Allocation2017 %]]</f>
        <v>0</v>
      </c>
      <c r="J14" s="16">
        <f>Table11[[#This Row],[Contract Amendment]]*Table11[[#This Row],[Canada Allocation2017 %]]</f>
        <v>0</v>
      </c>
      <c r="K14" s="16">
        <f>Table11[[#This Row],['#Trees as of 12/31/23]]*Table11[[#This Row],[Canada Allocation2017 %]]</f>
        <v>0</v>
      </c>
      <c r="L14" s="16">
        <f>Table11[[#This Row],['#Replace 24]]*Table11[[#This Row],[Canada Allocation2017 %]]</f>
        <v>0</v>
      </c>
      <c r="M14" s="16"/>
      <c r="N14" s="16">
        <f>(Table11[[#This Row],[2024 '#Trees Inventory + Estimate]]*Table11[[#This Row],[Canada Allocation2017 %]])-SUM(Table3789[[#This Row],['# Trees as of 12/31/23]:[New Trees/Planted in 2024]])</f>
        <v>0</v>
      </c>
      <c r="O14" s="32">
        <f>SUM(Table3789[[#This Row],['# Trees as of 12/31/23]:[2024 Tree Losses]])</f>
        <v>0</v>
      </c>
      <c r="P14" s="32">
        <f>SUM(Table3789[[#This Row],[Total Trees as of 12/31/24]]-Table3789[[#This Row],['# Trees as of 12/31/23]])</f>
        <v>0</v>
      </c>
      <c r="Q14" s="16">
        <f>Table11[[#This Row],['#Total Replacements]]*Table11[[#This Row],[Canada Allocation2017 %]]</f>
        <v>0</v>
      </c>
      <c r="R14" s="32">
        <f>IF(Table3789[[#This Row],['#Survival based on Inventory]]=0,Table3789['#Survival based on Last Year Estimate],Table3789['#Survival based on Inventory])</f>
        <v>0</v>
      </c>
      <c r="S14" s="16">
        <f>Table11[[#This Row],['#Planted]]*Table11[[#This Row],[Canada Allocation2017 %]]*Table11[[#This Row],[2024 Inventory Survival%-master]]</f>
        <v>0</v>
      </c>
      <c r="T14" s="16">
        <f>Table11[[#This Row],['#Planted]]*Table11[[#This Row],[Canada Allocation2017 %]]*Table11[[#This Row],[2024 Estimated Survival%]]</f>
        <v>0</v>
      </c>
      <c r="U14" s="7">
        <f>Table11[[#This Row],[ETP Year]]</f>
        <v>2015</v>
      </c>
      <c r="V14" s="7">
        <f>Table11[[#This Row],[Planting Year]]</f>
        <v>2016</v>
      </c>
      <c r="W14" s="17">
        <f>Table11[[#This Row],[Survival% as of 12/31/23]]</f>
        <v>0</v>
      </c>
      <c r="X14">
        <f>Table11[[#This Row],[ETP'#s]]</f>
        <v>1</v>
      </c>
    </row>
    <row r="15" spans="1:24" hidden="1" x14ac:dyDescent="0.25">
      <c r="A15">
        <f>Table11[[#This Row],[Farmer'#]]</f>
        <v>10012</v>
      </c>
      <c r="B15" t="str">
        <f>Table11[[#This Row],[Representative]]</f>
        <v>Wayne Owen</v>
      </c>
      <c r="C15" t="str">
        <f>Table11[[#This Row],[Contract Name]]</f>
        <v>Todd H Owen</v>
      </c>
      <c r="D15" t="str">
        <f>Table11[[#This Row],[Status]]</f>
        <v>Active</v>
      </c>
      <c r="E15" t="str">
        <f>Table11[[#This Row],[Contract Code]]</f>
        <v>US0014</v>
      </c>
      <c r="F15">
        <f>Table11[[#This Row],['#TreesContract]]</f>
        <v>660</v>
      </c>
      <c r="G15">
        <f>Table11[[#This Row],['#Planted]]</f>
        <v>660</v>
      </c>
      <c r="H15" s="16">
        <f>Table11[[#This Row],['#TreesContract]]*Table11[[#This Row],[Canada Allocation2017 %]]</f>
        <v>0</v>
      </c>
      <c r="I15" s="16">
        <f>Table11[[#This Row],['#Planted]]*Table11[[#This Row],[Canada Allocation2017 %]]</f>
        <v>0</v>
      </c>
      <c r="J15" s="16">
        <f>Table11[[#This Row],[Contract Amendment]]*Table11[[#This Row],[Canada Allocation2017 %]]</f>
        <v>0</v>
      </c>
      <c r="K15" s="16">
        <f>Table11[[#This Row],['#Trees as of 12/31/23]]*Table11[[#This Row],[Canada Allocation2017 %]]</f>
        <v>0</v>
      </c>
      <c r="L15" s="16">
        <f>Table11[[#This Row],['#Replace 24]]*Table11[[#This Row],[Canada Allocation2017 %]]</f>
        <v>0</v>
      </c>
      <c r="M15" s="16"/>
      <c r="N15" s="16">
        <f>(Table11[[#This Row],[2024 '#Trees Inventory + Estimate]]*Table11[[#This Row],[Canada Allocation2017 %]])-SUM(Table3789[[#This Row],['# Trees as of 12/31/23]:[New Trees/Planted in 2024]])</f>
        <v>0</v>
      </c>
      <c r="O15" s="32">
        <f>SUM(Table3789[[#This Row],['# Trees as of 12/31/23]:[2024 Tree Losses]])</f>
        <v>0</v>
      </c>
      <c r="P15" s="32">
        <f>SUM(Table3789[[#This Row],[Total Trees as of 12/31/24]]-Table3789[[#This Row],['# Trees as of 12/31/23]])</f>
        <v>0</v>
      </c>
      <c r="Q15" s="16">
        <f>Table11[[#This Row],['#Total Replacements]]*Table11[[#This Row],[Canada Allocation2017 %]]</f>
        <v>0</v>
      </c>
      <c r="R15" s="32">
        <f>IF(Table3789[[#This Row],['#Survival based on Inventory]]=0,Table3789['#Survival based on Last Year Estimate],Table3789['#Survival based on Inventory])</f>
        <v>0</v>
      </c>
      <c r="S15" s="16">
        <f>Table11[[#This Row],['#Planted]]*Table11[[#This Row],[Canada Allocation2017 %]]*Table11[[#This Row],[2024 Inventory Survival%-master]]</f>
        <v>0</v>
      </c>
      <c r="T15" s="16">
        <f>Table11[[#This Row],['#Planted]]*Table11[[#This Row],[Canada Allocation2017 %]]*Table11[[#This Row],[2024 Estimated Survival%]]</f>
        <v>0</v>
      </c>
      <c r="U15" s="7">
        <f>Table11[[#This Row],[ETP Year]]</f>
        <v>2015</v>
      </c>
      <c r="V15" s="7">
        <f>Table11[[#This Row],[Planting Year]]</f>
        <v>2016</v>
      </c>
      <c r="W15" s="17">
        <f>Table11[[#This Row],[Survival% as of 12/31/23]]</f>
        <v>1</v>
      </c>
      <c r="X15">
        <f>Table11[[#This Row],[ETP'#s]]</f>
        <v>1</v>
      </c>
    </row>
    <row r="16" spans="1:24" hidden="1" x14ac:dyDescent="0.25">
      <c r="A16">
        <f>Table11[[#This Row],[Farmer'#]]</f>
        <v>20001</v>
      </c>
      <c r="B16" t="str">
        <f>Table11[[#This Row],[Representative]]</f>
        <v>Cecilia Sanders</v>
      </c>
      <c r="C16" t="str">
        <f>Table11[[#This Row],[Contract Name]]</f>
        <v>Cecilia Castillo Umaña</v>
      </c>
      <c r="D16" t="str">
        <f>Table11[[#This Row],[Status]]</f>
        <v>Out of Program</v>
      </c>
      <c r="E16" t="str">
        <f>Table11[[#This Row],[Contract Code]]</f>
        <v>CR0001</v>
      </c>
      <c r="F16">
        <f>Table11[[#This Row],['#TreesContract]]</f>
        <v>1000</v>
      </c>
      <c r="G16">
        <f>Table11[[#This Row],['#Planted]]</f>
        <v>1000</v>
      </c>
      <c r="H16" s="16">
        <f>Table11[[#This Row],['#TreesContract]]*Table11[[#This Row],[Canada Allocation2017 %]]</f>
        <v>0</v>
      </c>
      <c r="I16" s="16">
        <f>Table11[[#This Row],['#Planted]]*Table11[[#This Row],[Canada Allocation2017 %]]</f>
        <v>0</v>
      </c>
      <c r="J16" s="16">
        <f>Table11[[#This Row],[Contract Amendment]]*Table11[[#This Row],[Canada Allocation2017 %]]</f>
        <v>0</v>
      </c>
      <c r="K16" s="16">
        <f>Table11[[#This Row],['#Trees as of 12/31/23]]*Table11[[#This Row],[Canada Allocation2017 %]]</f>
        <v>0</v>
      </c>
      <c r="L16" s="16">
        <f>Table11[[#This Row],['#Replace 24]]*Table11[[#This Row],[Canada Allocation2017 %]]</f>
        <v>0</v>
      </c>
      <c r="M16" s="16"/>
      <c r="N16" s="16">
        <f>(Table11[[#This Row],[2024 '#Trees Inventory + Estimate]]*Table11[[#This Row],[Canada Allocation2017 %]])-SUM(Table3789[[#This Row],['# Trees as of 12/31/23]:[New Trees/Planted in 2024]])</f>
        <v>0</v>
      </c>
      <c r="O16" s="32">
        <f>SUM(Table3789[[#This Row],['# Trees as of 12/31/23]:[2024 Tree Losses]])</f>
        <v>0</v>
      </c>
      <c r="P16" s="32">
        <f>SUM(Table3789[[#This Row],[Total Trees as of 12/31/24]]-Table3789[[#This Row],['# Trees as of 12/31/23]])</f>
        <v>0</v>
      </c>
      <c r="Q16" s="16">
        <f>Table11[[#This Row],['#Total Replacements]]*Table11[[#This Row],[Canada Allocation2017 %]]</f>
        <v>0</v>
      </c>
      <c r="R16" s="32">
        <f>IF(Table3789[[#This Row],['#Survival based on Inventory]]=0,Table3789['#Survival based on Last Year Estimate],Table3789['#Survival based on Inventory])</f>
        <v>0</v>
      </c>
      <c r="S16" s="16">
        <f>Table11[[#This Row],['#Planted]]*Table11[[#This Row],[Canada Allocation2017 %]]*Table11[[#This Row],[2024 Inventory Survival%-master]]</f>
        <v>0</v>
      </c>
      <c r="T16" s="16">
        <f>Table11[[#This Row],['#Planted]]*Table11[[#This Row],[Canada Allocation2017 %]]*Table11[[#This Row],[2024 Estimated Survival%]]</f>
        <v>0</v>
      </c>
      <c r="U16" s="7">
        <f>Table11[[#This Row],[ETP Year]]</f>
        <v>2015</v>
      </c>
      <c r="V16" s="7">
        <f>Table11[[#This Row],[Planting Year]]</f>
        <v>2016</v>
      </c>
      <c r="W16" s="17">
        <f>Table11[[#This Row],[Survival% as of 12/31/23]]</f>
        <v>0</v>
      </c>
      <c r="X16">
        <f>Table11[[#This Row],[ETP'#s]]</f>
        <v>1</v>
      </c>
    </row>
    <row r="17" spans="1:24" hidden="1" x14ac:dyDescent="0.25">
      <c r="A17">
        <f>Table11[[#This Row],[Farmer'#]]</f>
        <v>20002</v>
      </c>
      <c r="B17" t="str">
        <f>Table11[[#This Row],[Representative]]</f>
        <v>Coopedota</v>
      </c>
      <c r="C17" t="str">
        <f>Table11[[#This Row],[Contract Name]]</f>
        <v>Coopedota</v>
      </c>
      <c r="D17" t="str">
        <f>Table11[[#This Row],[Status]]</f>
        <v>Out of Program</v>
      </c>
      <c r="E17" t="str">
        <f>Table11[[#This Row],[Contract Code]]</f>
        <v>CR0002</v>
      </c>
      <c r="F17">
        <f>Table11[[#This Row],['#TreesContract]]</f>
        <v>100</v>
      </c>
      <c r="G17">
        <f>Table11[[#This Row],['#Planted]]</f>
        <v>100</v>
      </c>
      <c r="H17" s="16">
        <f>Table11[[#This Row],['#TreesContract]]*Table11[[#This Row],[Canada Allocation2017 %]]</f>
        <v>0</v>
      </c>
      <c r="I17" s="16">
        <f>Table11[[#This Row],['#Planted]]*Table11[[#This Row],[Canada Allocation2017 %]]</f>
        <v>0</v>
      </c>
      <c r="J17" s="16">
        <f>Table11[[#This Row],[Contract Amendment]]*Table11[[#This Row],[Canada Allocation2017 %]]</f>
        <v>0</v>
      </c>
      <c r="K17" s="16">
        <f>Table11[[#This Row],['#Trees as of 12/31/23]]*Table11[[#This Row],[Canada Allocation2017 %]]</f>
        <v>0</v>
      </c>
      <c r="L17" s="16">
        <f>Table11[[#This Row],['#Replace 24]]*Table11[[#This Row],[Canada Allocation2017 %]]</f>
        <v>0</v>
      </c>
      <c r="M17" s="16"/>
      <c r="N17" s="16">
        <f>(Table11[[#This Row],[2024 '#Trees Inventory + Estimate]]*Table11[[#This Row],[Canada Allocation2017 %]])-SUM(Table3789[[#This Row],['# Trees as of 12/31/23]:[New Trees/Planted in 2024]])</f>
        <v>0</v>
      </c>
      <c r="O17" s="32">
        <f>SUM(Table3789[[#This Row],['# Trees as of 12/31/23]:[2024 Tree Losses]])</f>
        <v>0</v>
      </c>
      <c r="P17" s="32">
        <f>SUM(Table3789[[#This Row],[Total Trees as of 12/31/24]]-Table3789[[#This Row],['# Trees as of 12/31/23]])</f>
        <v>0</v>
      </c>
      <c r="Q17" s="16">
        <f>Table11[[#This Row],['#Total Replacements]]*Table11[[#This Row],[Canada Allocation2017 %]]</f>
        <v>0</v>
      </c>
      <c r="R17" s="32">
        <f>IF(Table3789[[#This Row],['#Survival based on Inventory]]=0,Table3789['#Survival based on Last Year Estimate],Table3789['#Survival based on Inventory])</f>
        <v>0</v>
      </c>
      <c r="S17" s="16">
        <f>Table11[[#This Row],['#Planted]]*Table11[[#This Row],[Canada Allocation2017 %]]*Table11[[#This Row],[2024 Inventory Survival%-master]]</f>
        <v>0</v>
      </c>
      <c r="T17" s="16">
        <f>Table11[[#This Row],['#Planted]]*Table11[[#This Row],[Canada Allocation2017 %]]*Table11[[#This Row],[2024 Estimated Survival%]]</f>
        <v>0</v>
      </c>
      <c r="U17" s="7">
        <f>Table11[[#This Row],[ETP Year]]</f>
        <v>2015</v>
      </c>
      <c r="V17" s="7">
        <f>Table11[[#This Row],[Planting Year]]</f>
        <v>2016</v>
      </c>
      <c r="W17" s="17">
        <f>Table11[[#This Row],[Survival% as of 12/31/23]]</f>
        <v>0</v>
      </c>
      <c r="X17">
        <f>Table11[[#This Row],[ETP'#s]]</f>
        <v>1</v>
      </c>
    </row>
    <row r="18" spans="1:24" hidden="1" x14ac:dyDescent="0.25">
      <c r="A18">
        <f>Table11[[#This Row],[Farmer'#]]</f>
        <v>20003</v>
      </c>
      <c r="B18" t="str">
        <f>Table11[[#This Row],[Representative]]</f>
        <v xml:space="preserve">Erasmo Aguilera </v>
      </c>
      <c r="C18" t="str">
        <f>Table11[[#This Row],[Contract Name]]</f>
        <v>Agricola Los Robles de Naranjo S.A</v>
      </c>
      <c r="D18" t="str">
        <f>Table11[[#This Row],[Status]]</f>
        <v>Out of Program</v>
      </c>
      <c r="E18" t="str">
        <f>Table11[[#This Row],[Contract Code]]</f>
        <v>CR0003</v>
      </c>
      <c r="F18">
        <f>Table11[[#This Row],['#TreesContract]]</f>
        <v>1750</v>
      </c>
      <c r="G18">
        <f>Table11[[#This Row],['#Planted]]</f>
        <v>1750</v>
      </c>
      <c r="H18" s="16">
        <f>Table11[[#This Row],['#TreesContract]]*Table11[[#This Row],[Canada Allocation2017 %]]</f>
        <v>0</v>
      </c>
      <c r="I18" s="16">
        <f>Table11[[#This Row],['#Planted]]*Table11[[#This Row],[Canada Allocation2017 %]]</f>
        <v>0</v>
      </c>
      <c r="J18" s="16">
        <f>Table11[[#This Row],[Contract Amendment]]*Table11[[#This Row],[Canada Allocation2017 %]]</f>
        <v>0</v>
      </c>
      <c r="K18" s="16">
        <f>Table11[[#This Row],['#Trees as of 12/31/23]]*Table11[[#This Row],[Canada Allocation2017 %]]</f>
        <v>0</v>
      </c>
      <c r="L18" s="16">
        <f>Table11[[#This Row],['#Replace 24]]*Table11[[#This Row],[Canada Allocation2017 %]]</f>
        <v>0</v>
      </c>
      <c r="M18" s="16"/>
      <c r="N18" s="16">
        <f>(Table11[[#This Row],[2024 '#Trees Inventory + Estimate]]*Table11[[#This Row],[Canada Allocation2017 %]])-SUM(Table3789[[#This Row],['# Trees as of 12/31/23]:[New Trees/Planted in 2024]])</f>
        <v>0</v>
      </c>
      <c r="O18" s="32">
        <f>SUM(Table3789[[#This Row],['# Trees as of 12/31/23]:[2024 Tree Losses]])</f>
        <v>0</v>
      </c>
      <c r="P18" s="32">
        <f>SUM(Table3789[[#This Row],[Total Trees as of 12/31/24]]-Table3789[[#This Row],['# Trees as of 12/31/23]])</f>
        <v>0</v>
      </c>
      <c r="Q18" s="16">
        <f>Table11[[#This Row],['#Total Replacements]]*Table11[[#This Row],[Canada Allocation2017 %]]</f>
        <v>0</v>
      </c>
      <c r="R18" s="32">
        <f>IF(Table3789[[#This Row],['#Survival based on Inventory]]=0,Table3789['#Survival based on Last Year Estimate],Table3789['#Survival based on Inventory])</f>
        <v>0</v>
      </c>
      <c r="S18" s="16">
        <f>Table11[[#This Row],['#Planted]]*Table11[[#This Row],[Canada Allocation2017 %]]*Table11[[#This Row],[2024 Inventory Survival%-master]]</f>
        <v>0</v>
      </c>
      <c r="T18" s="16">
        <f>Table11[[#This Row],['#Planted]]*Table11[[#This Row],[Canada Allocation2017 %]]*Table11[[#This Row],[2024 Estimated Survival%]]</f>
        <v>0</v>
      </c>
      <c r="U18" s="7">
        <f>Table11[[#This Row],[ETP Year]]</f>
        <v>2015</v>
      </c>
      <c r="V18" s="7">
        <f>Table11[[#This Row],[Planting Year]]</f>
        <v>2016</v>
      </c>
      <c r="W18" s="17">
        <f>Table11[[#This Row],[Survival% as of 12/31/23]]</f>
        <v>0</v>
      </c>
      <c r="X18">
        <f>Table11[[#This Row],[ETP'#s]]</f>
        <v>1</v>
      </c>
    </row>
    <row r="19" spans="1:24" hidden="1" x14ac:dyDescent="0.25">
      <c r="A19">
        <f>Table11[[#This Row],[Farmer'#]]</f>
        <v>20004</v>
      </c>
      <c r="B19" t="str">
        <f>Table11[[#This Row],[Representative]]</f>
        <v xml:space="preserve">Esteban Chacon </v>
      </c>
      <c r="C19" t="str">
        <f>Table11[[#This Row],[Contract Name]]</f>
        <v>Fernando Esteban Chacon</v>
      </c>
      <c r="D19" t="str">
        <f>Table11[[#This Row],[Status]]</f>
        <v>Out of Program</v>
      </c>
      <c r="E19" t="str">
        <f>Table11[[#This Row],[Contract Code]]</f>
        <v>CR0004</v>
      </c>
      <c r="F19">
        <f>Table11[[#This Row],['#TreesContract]]</f>
        <v>1000</v>
      </c>
      <c r="G19">
        <f>Table11[[#This Row],['#Planted]]</f>
        <v>1000</v>
      </c>
      <c r="H19" s="16">
        <f>Table11[[#This Row],['#TreesContract]]*Table11[[#This Row],[Canada Allocation2017 %]]</f>
        <v>0</v>
      </c>
      <c r="I19" s="16">
        <f>Table11[[#This Row],['#Planted]]*Table11[[#This Row],[Canada Allocation2017 %]]</f>
        <v>0</v>
      </c>
      <c r="J19" s="16">
        <f>Table11[[#This Row],[Contract Amendment]]*Table11[[#This Row],[Canada Allocation2017 %]]</f>
        <v>0</v>
      </c>
      <c r="K19" s="16">
        <f>Table11[[#This Row],['#Trees as of 12/31/23]]*Table11[[#This Row],[Canada Allocation2017 %]]</f>
        <v>0</v>
      </c>
      <c r="L19" s="16">
        <f>Table11[[#This Row],['#Replace 24]]*Table11[[#This Row],[Canada Allocation2017 %]]</f>
        <v>0</v>
      </c>
      <c r="M19" s="16"/>
      <c r="N19" s="16">
        <f>(Table11[[#This Row],[2024 '#Trees Inventory + Estimate]]*Table11[[#This Row],[Canada Allocation2017 %]])-SUM(Table3789[[#This Row],['# Trees as of 12/31/23]:[New Trees/Planted in 2024]])</f>
        <v>0</v>
      </c>
      <c r="O19" s="32">
        <f>SUM(Table3789[[#This Row],['# Trees as of 12/31/23]:[2024 Tree Losses]])</f>
        <v>0</v>
      </c>
      <c r="P19" s="32">
        <f>SUM(Table3789[[#This Row],[Total Trees as of 12/31/24]]-Table3789[[#This Row],['# Trees as of 12/31/23]])</f>
        <v>0</v>
      </c>
      <c r="Q19" s="16">
        <f>Table11[[#This Row],['#Total Replacements]]*Table11[[#This Row],[Canada Allocation2017 %]]</f>
        <v>0</v>
      </c>
      <c r="R19" s="32">
        <f>IF(Table3789[[#This Row],['#Survival based on Inventory]]=0,Table3789['#Survival based on Last Year Estimate],Table3789['#Survival based on Inventory])</f>
        <v>0</v>
      </c>
      <c r="S19" s="16">
        <f>Table11[[#This Row],['#Planted]]*Table11[[#This Row],[Canada Allocation2017 %]]*Table11[[#This Row],[2024 Inventory Survival%-master]]</f>
        <v>0</v>
      </c>
      <c r="T19" s="16">
        <f>Table11[[#This Row],['#Planted]]*Table11[[#This Row],[Canada Allocation2017 %]]*Table11[[#This Row],[2024 Estimated Survival%]]</f>
        <v>0</v>
      </c>
      <c r="U19" s="7">
        <f>Table11[[#This Row],[ETP Year]]</f>
        <v>2015</v>
      </c>
      <c r="V19" s="7">
        <f>Table11[[#This Row],[Planting Year]]</f>
        <v>2016</v>
      </c>
      <c r="W19" s="17">
        <f>Table11[[#This Row],[Survival% as of 12/31/23]]</f>
        <v>0</v>
      </c>
      <c r="X19">
        <f>Table11[[#This Row],[ETP'#s]]</f>
        <v>1</v>
      </c>
    </row>
    <row r="20" spans="1:24" hidden="1" x14ac:dyDescent="0.25">
      <c r="A20">
        <f>Table11[[#This Row],[Farmer'#]]</f>
        <v>20005</v>
      </c>
      <c r="B20" t="str">
        <f>Table11[[#This Row],[Representative]]</f>
        <v>Juan Luis Chaves</v>
      </c>
      <c r="C20" t="str">
        <f>Table11[[#This Row],[Contract Name]]</f>
        <v xml:space="preserve">ASESORIA DE EMPRESAS TONAL S A, </v>
      </c>
      <c r="D20" t="str">
        <f>Table11[[#This Row],[Status]]</f>
        <v>Out of Program</v>
      </c>
      <c r="E20" t="str">
        <f>Table11[[#This Row],[Contract Code]]</f>
        <v>CR0005</v>
      </c>
      <c r="F20">
        <f>Table11[[#This Row],['#TreesContract]]</f>
        <v>500</v>
      </c>
      <c r="G20">
        <f>Table11[[#This Row],['#Planted]]</f>
        <v>500</v>
      </c>
      <c r="H20" s="16">
        <f>Table11[[#This Row],['#TreesContract]]*Table11[[#This Row],[Canada Allocation2017 %]]</f>
        <v>0</v>
      </c>
      <c r="I20" s="16">
        <f>Table11[[#This Row],['#Planted]]*Table11[[#This Row],[Canada Allocation2017 %]]</f>
        <v>0</v>
      </c>
      <c r="J20" s="16">
        <f>Table11[[#This Row],[Contract Amendment]]*Table11[[#This Row],[Canada Allocation2017 %]]</f>
        <v>0</v>
      </c>
      <c r="K20" s="16">
        <f>Table11[[#This Row],['#Trees as of 12/31/23]]*Table11[[#This Row],[Canada Allocation2017 %]]</f>
        <v>0</v>
      </c>
      <c r="L20" s="16">
        <f>Table11[[#This Row],['#Replace 24]]*Table11[[#This Row],[Canada Allocation2017 %]]</f>
        <v>0</v>
      </c>
      <c r="M20" s="16"/>
      <c r="N20" s="16">
        <f>(Table11[[#This Row],[2024 '#Trees Inventory + Estimate]]*Table11[[#This Row],[Canada Allocation2017 %]])-SUM(Table3789[[#This Row],['# Trees as of 12/31/23]:[New Trees/Planted in 2024]])</f>
        <v>0</v>
      </c>
      <c r="O20" s="32">
        <f>SUM(Table3789[[#This Row],['# Trees as of 12/31/23]:[2024 Tree Losses]])</f>
        <v>0</v>
      </c>
      <c r="P20" s="32">
        <f>SUM(Table3789[[#This Row],[Total Trees as of 12/31/24]]-Table3789[[#This Row],['# Trees as of 12/31/23]])</f>
        <v>0</v>
      </c>
      <c r="Q20" s="16">
        <f>Table11[[#This Row],['#Total Replacements]]*Table11[[#This Row],[Canada Allocation2017 %]]</f>
        <v>0</v>
      </c>
      <c r="R20" s="32">
        <f>IF(Table3789[[#This Row],['#Survival based on Inventory]]=0,Table3789['#Survival based on Last Year Estimate],Table3789['#Survival based on Inventory])</f>
        <v>0</v>
      </c>
      <c r="S20" s="16">
        <f>Table11[[#This Row],['#Planted]]*Table11[[#This Row],[Canada Allocation2017 %]]*Table11[[#This Row],[2024 Inventory Survival%-master]]</f>
        <v>0</v>
      </c>
      <c r="T20" s="16">
        <f>Table11[[#This Row],['#Planted]]*Table11[[#This Row],[Canada Allocation2017 %]]*Table11[[#This Row],[2024 Estimated Survival%]]</f>
        <v>0</v>
      </c>
      <c r="U20" s="7">
        <f>Table11[[#This Row],[ETP Year]]</f>
        <v>2015</v>
      </c>
      <c r="V20" s="7">
        <f>Table11[[#This Row],[Planting Year]]</f>
        <v>2016</v>
      </c>
      <c r="W20" s="17">
        <f>Table11[[#This Row],[Survival% as of 12/31/23]]</f>
        <v>0</v>
      </c>
      <c r="X20">
        <f>Table11[[#This Row],[ETP'#s]]</f>
        <v>1</v>
      </c>
    </row>
    <row r="21" spans="1:24" hidden="1" x14ac:dyDescent="0.25">
      <c r="A21">
        <f>Table11[[#This Row],[Farmer'#]]</f>
        <v>20006</v>
      </c>
      <c r="B21" t="str">
        <f>Table11[[#This Row],[Representative]]</f>
        <v>Minor Montero</v>
      </c>
      <c r="C21" t="str">
        <f>Table11[[#This Row],[Contract Name]]</f>
        <v>Jose Joaquin Montero Calderon</v>
      </c>
      <c r="D21" t="str">
        <f>Table11[[#This Row],[Status]]</f>
        <v>Out of Program</v>
      </c>
      <c r="E21" t="str">
        <f>Table11[[#This Row],[Contract Code]]</f>
        <v>CR0006</v>
      </c>
      <c r="F21">
        <f>Table11[[#This Row],['#TreesContract]]</f>
        <v>500</v>
      </c>
      <c r="G21">
        <f>Table11[[#This Row],['#Planted]]</f>
        <v>500</v>
      </c>
      <c r="H21" s="16">
        <f>Table11[[#This Row],['#TreesContract]]*Table11[[#This Row],[Canada Allocation2017 %]]</f>
        <v>0</v>
      </c>
      <c r="I21" s="16">
        <f>Table11[[#This Row],['#Planted]]*Table11[[#This Row],[Canada Allocation2017 %]]</f>
        <v>0</v>
      </c>
      <c r="J21" s="16">
        <f>Table11[[#This Row],[Contract Amendment]]*Table11[[#This Row],[Canada Allocation2017 %]]</f>
        <v>0</v>
      </c>
      <c r="K21" s="16">
        <f>Table11[[#This Row],['#Trees as of 12/31/23]]*Table11[[#This Row],[Canada Allocation2017 %]]</f>
        <v>0</v>
      </c>
      <c r="L21" s="16">
        <f>Table11[[#This Row],['#Replace 24]]*Table11[[#This Row],[Canada Allocation2017 %]]</f>
        <v>0</v>
      </c>
      <c r="M21" s="16"/>
      <c r="N21" s="16">
        <f>(Table11[[#This Row],[2024 '#Trees Inventory + Estimate]]*Table11[[#This Row],[Canada Allocation2017 %]])-SUM(Table3789[[#This Row],['# Trees as of 12/31/23]:[New Trees/Planted in 2024]])</f>
        <v>0</v>
      </c>
      <c r="O21" s="32">
        <f>SUM(Table3789[[#This Row],['# Trees as of 12/31/23]:[2024 Tree Losses]])</f>
        <v>0</v>
      </c>
      <c r="P21" s="32">
        <f>SUM(Table3789[[#This Row],[Total Trees as of 12/31/24]]-Table3789[[#This Row],['# Trees as of 12/31/23]])</f>
        <v>0</v>
      </c>
      <c r="Q21" s="16">
        <f>Table11[[#This Row],['#Total Replacements]]*Table11[[#This Row],[Canada Allocation2017 %]]</f>
        <v>0</v>
      </c>
      <c r="R21" s="32">
        <f>IF(Table3789[[#This Row],['#Survival based on Inventory]]=0,Table3789['#Survival based on Last Year Estimate],Table3789['#Survival based on Inventory])</f>
        <v>0</v>
      </c>
      <c r="S21" s="16">
        <f>Table11[[#This Row],['#Planted]]*Table11[[#This Row],[Canada Allocation2017 %]]*Table11[[#This Row],[2024 Inventory Survival%-master]]</f>
        <v>0</v>
      </c>
      <c r="T21" s="16">
        <f>Table11[[#This Row],['#Planted]]*Table11[[#This Row],[Canada Allocation2017 %]]*Table11[[#This Row],[2024 Estimated Survival%]]</f>
        <v>0</v>
      </c>
      <c r="U21" s="7">
        <f>Table11[[#This Row],[ETP Year]]</f>
        <v>2015</v>
      </c>
      <c r="V21" s="7">
        <f>Table11[[#This Row],[Planting Year]]</f>
        <v>2016</v>
      </c>
      <c r="W21" s="17">
        <f>Table11[[#This Row],[Survival% as of 12/31/23]]</f>
        <v>0</v>
      </c>
      <c r="X21">
        <f>Table11[[#This Row],[ETP'#s]]</f>
        <v>1</v>
      </c>
    </row>
    <row r="22" spans="1:24" hidden="1" x14ac:dyDescent="0.25">
      <c r="A22">
        <f>Table11[[#This Row],[Farmer'#]]</f>
        <v>20007</v>
      </c>
      <c r="B22" t="str">
        <f>Table11[[#This Row],[Representative]]</f>
        <v>William Guiterrez</v>
      </c>
      <c r="C22" t="str">
        <f>Table11[[#This Row],[Contract Name]]</f>
        <v>Segrufor Segundo Grupo Forestal, S.A</v>
      </c>
      <c r="D22" t="str">
        <f>Table11[[#This Row],[Status]]</f>
        <v>Out of Program</v>
      </c>
      <c r="E22" t="str">
        <f>Table11[[#This Row],[Contract Code]]</f>
        <v>CR0007</v>
      </c>
      <c r="F22">
        <f>Table11[[#This Row],['#TreesContract]]</f>
        <v>400</v>
      </c>
      <c r="G22">
        <f>Table11[[#This Row],['#Planted]]</f>
        <v>400</v>
      </c>
      <c r="H22" s="16">
        <f>Table11[[#This Row],['#TreesContract]]*Table11[[#This Row],[Canada Allocation2017 %]]</f>
        <v>0</v>
      </c>
      <c r="I22" s="16">
        <f>Table11[[#This Row],['#Planted]]*Table11[[#This Row],[Canada Allocation2017 %]]</f>
        <v>0</v>
      </c>
      <c r="J22" s="16">
        <f>Table11[[#This Row],[Contract Amendment]]*Table11[[#This Row],[Canada Allocation2017 %]]</f>
        <v>0</v>
      </c>
      <c r="K22" s="16">
        <f>Table11[[#This Row],['#Trees as of 12/31/23]]*Table11[[#This Row],[Canada Allocation2017 %]]</f>
        <v>0</v>
      </c>
      <c r="L22" s="16">
        <f>Table11[[#This Row],['#Replace 24]]*Table11[[#This Row],[Canada Allocation2017 %]]</f>
        <v>0</v>
      </c>
      <c r="M22" s="16"/>
      <c r="N22" s="16">
        <f>(Table11[[#This Row],[2024 '#Trees Inventory + Estimate]]*Table11[[#This Row],[Canada Allocation2017 %]])-SUM(Table3789[[#This Row],['# Trees as of 12/31/23]:[New Trees/Planted in 2024]])</f>
        <v>0</v>
      </c>
      <c r="O22" s="32">
        <f>SUM(Table3789[[#This Row],['# Trees as of 12/31/23]:[2024 Tree Losses]])</f>
        <v>0</v>
      </c>
      <c r="P22" s="32">
        <f>SUM(Table3789[[#This Row],[Total Trees as of 12/31/24]]-Table3789[[#This Row],['# Trees as of 12/31/23]])</f>
        <v>0</v>
      </c>
      <c r="Q22" s="16">
        <f>Table11[[#This Row],['#Total Replacements]]*Table11[[#This Row],[Canada Allocation2017 %]]</f>
        <v>0</v>
      </c>
      <c r="R22" s="32">
        <f>IF(Table3789[[#This Row],['#Survival based on Inventory]]=0,Table3789['#Survival based on Last Year Estimate],Table3789['#Survival based on Inventory])</f>
        <v>0</v>
      </c>
      <c r="S22" s="16">
        <f>Table11[[#This Row],['#Planted]]*Table11[[#This Row],[Canada Allocation2017 %]]*Table11[[#This Row],[2024 Inventory Survival%-master]]</f>
        <v>0</v>
      </c>
      <c r="T22" s="16">
        <f>Table11[[#This Row],['#Planted]]*Table11[[#This Row],[Canada Allocation2017 %]]*Table11[[#This Row],[2024 Estimated Survival%]]</f>
        <v>0</v>
      </c>
      <c r="U22" s="7">
        <f>Table11[[#This Row],[ETP Year]]</f>
        <v>2015</v>
      </c>
      <c r="V22" s="7">
        <f>Table11[[#This Row],[Planting Year]]</f>
        <v>2016</v>
      </c>
      <c r="W22" s="17">
        <f>Table11[[#This Row],[Survival% as of 12/31/23]]</f>
        <v>0</v>
      </c>
      <c r="X22">
        <f>Table11[[#This Row],[ETP'#s]]</f>
        <v>1</v>
      </c>
    </row>
    <row r="23" spans="1:24" hidden="1" x14ac:dyDescent="0.25">
      <c r="A23">
        <f>Table11[[#This Row],[Farmer'#]]</f>
        <v>20073</v>
      </c>
      <c r="B23" t="str">
        <f>Table11[[#This Row],[Representative]]</f>
        <v>Dennis Cordoba</v>
      </c>
      <c r="C23" t="str">
        <f>Table11[[#This Row],[Contract Name]]</f>
        <v>Dennis Cordoba</v>
      </c>
      <c r="D23" t="str">
        <f>Table11[[#This Row],[Status]]</f>
        <v>Out of Program</v>
      </c>
      <c r="E23" t="str">
        <f>Table11[[#This Row],[Contract Code]]</f>
        <v>CR0079</v>
      </c>
      <c r="F23">
        <f>Table11[[#This Row],['#TreesContract]]</f>
        <v>275</v>
      </c>
      <c r="G23">
        <f>Table11[[#This Row],['#Planted]]</f>
        <v>275</v>
      </c>
      <c r="H23" s="16">
        <f>Table11[[#This Row],['#TreesContract]]*Table11[[#This Row],[Canada Allocation2017 %]]</f>
        <v>0</v>
      </c>
      <c r="I23" s="16">
        <f>Table11[[#This Row],['#Planted]]*Table11[[#This Row],[Canada Allocation2017 %]]</f>
        <v>0</v>
      </c>
      <c r="J23" s="16">
        <f>Table11[[#This Row],[Contract Amendment]]*Table11[[#This Row],[Canada Allocation2017 %]]</f>
        <v>0</v>
      </c>
      <c r="K23" s="16">
        <f>Table11[[#This Row],['#Trees as of 12/31/23]]*Table11[[#This Row],[Canada Allocation2017 %]]</f>
        <v>0</v>
      </c>
      <c r="L23" s="16">
        <f>Table11[[#This Row],['#Replace 24]]*Table11[[#This Row],[Canada Allocation2017 %]]</f>
        <v>0</v>
      </c>
      <c r="M23" s="16"/>
      <c r="N23" s="16">
        <f>(Table11[[#This Row],[2024 '#Trees Inventory + Estimate]]*Table11[[#This Row],[Canada Allocation2017 %]])-SUM(Table3789[[#This Row],['# Trees as of 12/31/23]:[New Trees/Planted in 2024]])</f>
        <v>0</v>
      </c>
      <c r="O23" s="32">
        <f>SUM(Table3789[[#This Row],['# Trees as of 12/31/23]:[2024 Tree Losses]])</f>
        <v>0</v>
      </c>
      <c r="P23" s="32">
        <f>SUM(Table3789[[#This Row],[Total Trees as of 12/31/24]]-Table3789[[#This Row],['# Trees as of 12/31/23]])</f>
        <v>0</v>
      </c>
      <c r="Q23" s="16">
        <f>Table11[[#This Row],['#Total Replacements]]*Table11[[#This Row],[Canada Allocation2017 %]]</f>
        <v>0</v>
      </c>
      <c r="R23" s="32">
        <f>IF(Table3789[[#This Row],['#Survival based on Inventory]]=0,Table3789['#Survival based on Last Year Estimate],Table3789['#Survival based on Inventory])</f>
        <v>0</v>
      </c>
      <c r="S23" s="16">
        <f>Table11[[#This Row],['#Planted]]*Table11[[#This Row],[Canada Allocation2017 %]]*Table11[[#This Row],[2024 Inventory Survival%-master]]</f>
        <v>0</v>
      </c>
      <c r="T23" s="16">
        <f>Table11[[#This Row],['#Planted]]*Table11[[#This Row],[Canada Allocation2017 %]]*Table11[[#This Row],[2024 Estimated Survival%]]</f>
        <v>0</v>
      </c>
      <c r="U23" s="7">
        <f>Table11[[#This Row],[ETP Year]]</f>
        <v>2015</v>
      </c>
      <c r="V23" s="7">
        <f>Table11[[#This Row],[Planting Year]]</f>
        <v>2016</v>
      </c>
      <c r="W23" s="17">
        <f>Table11[[#This Row],[Survival% as of 12/31/23]]</f>
        <v>0</v>
      </c>
      <c r="X23">
        <f>Table11[[#This Row],[ETP'#s]]</f>
        <v>1</v>
      </c>
    </row>
    <row r="24" spans="1:24" x14ac:dyDescent="0.25">
      <c r="A24">
        <f>Table11[[#This Row],[Farmer'#]]</f>
        <v>20085</v>
      </c>
      <c r="B24" t="str">
        <f>Table11[[#This Row],[Representative]]</f>
        <v>Roberto Solis</v>
      </c>
      <c r="C24" t="str">
        <f>Table11[[#This Row],[Contract Name]]</f>
        <v>Orsom Proyect S.A</v>
      </c>
      <c r="D24" t="str">
        <f>Table11[[#This Row],[Status]]</f>
        <v>Out of Program</v>
      </c>
      <c r="E24" t="str">
        <f>Table11[[#This Row],[Contract Code]]</f>
        <v>CR0093</v>
      </c>
      <c r="F24">
        <f>Table11[[#This Row],['#TreesContract]]</f>
        <v>250</v>
      </c>
      <c r="G24">
        <f>Table11[[#This Row],['#Planted]]</f>
        <v>250</v>
      </c>
      <c r="H24" s="16">
        <f>Table11[[#This Row],['#TreesContract]]*Table11[[#This Row],[Canada Allocation2017 %]]</f>
        <v>0</v>
      </c>
      <c r="I24" s="16">
        <f>Table11[[#This Row],['#Planted]]*Table11[[#This Row],[Canada Allocation2017 %]]</f>
        <v>0</v>
      </c>
      <c r="J24" s="16">
        <f>Table11[[#This Row],[Contract Amendment]]*Table11[[#This Row],[Canada Allocation2017 %]]</f>
        <v>0</v>
      </c>
      <c r="K24" s="16">
        <f>Table11[[#This Row],['#Trees as of 12/31/23]]*Table11[[#This Row],[Canada Allocation2017 %]]</f>
        <v>0</v>
      </c>
      <c r="L24" s="16">
        <f>Table11[[#This Row],['#Replace 24]]*Table11[[#This Row],[Canada Allocation2017 %]]</f>
        <v>0</v>
      </c>
      <c r="M24" s="16"/>
      <c r="N24" s="16">
        <f>(Table11[[#This Row],[2024 '#Trees Inventory + Estimate]]*Table11[[#This Row],[Canada Allocation2017 %]])-SUM(Table3789[[#This Row],['# Trees as of 12/31/23]:[New Trees/Planted in 2024]])</f>
        <v>0</v>
      </c>
      <c r="O24" s="32">
        <f>SUM(Table3789[[#This Row],['# Trees as of 12/31/23]:[2024 Tree Losses]])</f>
        <v>0</v>
      </c>
      <c r="P24" s="32">
        <f>SUM(Table3789[[#This Row],[Total Trees as of 12/31/24]]-Table3789[[#This Row],['# Trees as of 12/31/23]])</f>
        <v>0</v>
      </c>
      <c r="Q24" s="16">
        <f>Table11[[#This Row],['#Total Replacements]]*Table11[[#This Row],[Canada Allocation2017 %]]</f>
        <v>0</v>
      </c>
      <c r="R24" s="32">
        <f>IF(Table3789[[#This Row],['#Survival based on Inventory]]=0,Table3789['#Survival based on Last Year Estimate],Table3789['#Survival based on Inventory])</f>
        <v>0</v>
      </c>
      <c r="S24" s="16">
        <f>Table11[[#This Row],['#Planted]]*Table11[[#This Row],[Canada Allocation2017 %]]*Table11[[#This Row],[2024 Inventory Survival%-master]]</f>
        <v>0</v>
      </c>
      <c r="T24" s="16">
        <f>Table11[[#This Row],['#Planted]]*Table11[[#This Row],[Canada Allocation2017 %]]*Table11[[#This Row],[2024 Estimated Survival%]]</f>
        <v>0</v>
      </c>
      <c r="U24" s="7">
        <f>Table11[[#This Row],[ETP Year]]</f>
        <v>2015</v>
      </c>
      <c r="V24" s="7">
        <f>Table11[[#This Row],[Planting Year]]</f>
        <v>2016</v>
      </c>
      <c r="W24" s="17">
        <f>Table11[[#This Row],[Survival% as of 12/31/23]]</f>
        <v>0</v>
      </c>
      <c r="X24">
        <f>Table11[[#This Row],[ETP'#s]]</f>
        <v>1</v>
      </c>
    </row>
    <row r="25" spans="1:24" x14ac:dyDescent="0.25">
      <c r="A25">
        <f>Table11[[#This Row],[Farmer'#]]</f>
        <v>20086</v>
      </c>
      <c r="B25" t="str">
        <f>Table11[[#This Row],[Representative]]</f>
        <v>Mauro Solis</v>
      </c>
      <c r="C25" t="str">
        <f>Table11[[#This Row],[Contract Name]]</f>
        <v>Carlos Roberto Solis</v>
      </c>
      <c r="D25" t="str">
        <f>Table11[[#This Row],[Status]]</f>
        <v>Out of Program</v>
      </c>
      <c r="E25" t="str">
        <f>Table11[[#This Row],[Contract Code]]</f>
        <v>CR0094</v>
      </c>
      <c r="F25">
        <f>Table11[[#This Row],['#TreesContract]]</f>
        <v>900</v>
      </c>
      <c r="G25">
        <f>Table11[[#This Row],['#Planted]]</f>
        <v>900</v>
      </c>
      <c r="H25" s="16">
        <f>Table11[[#This Row],['#TreesContract]]*Table11[[#This Row],[Canada Allocation2017 %]]</f>
        <v>0</v>
      </c>
      <c r="I25" s="16">
        <f>Table11[[#This Row],['#Planted]]*Table11[[#This Row],[Canada Allocation2017 %]]</f>
        <v>0</v>
      </c>
      <c r="J25" s="16">
        <f>Table11[[#This Row],[Contract Amendment]]*Table11[[#This Row],[Canada Allocation2017 %]]</f>
        <v>0</v>
      </c>
      <c r="K25" s="16">
        <f>Table11[[#This Row],['#Trees as of 12/31/23]]*Table11[[#This Row],[Canada Allocation2017 %]]</f>
        <v>0</v>
      </c>
      <c r="L25" s="16">
        <f>Table11[[#This Row],['#Replace 24]]*Table11[[#This Row],[Canada Allocation2017 %]]</f>
        <v>0</v>
      </c>
      <c r="M25" s="16"/>
      <c r="N25" s="16">
        <f>(Table11[[#This Row],[2024 '#Trees Inventory + Estimate]]*Table11[[#This Row],[Canada Allocation2017 %]])-SUM(Table3789[[#This Row],['# Trees as of 12/31/23]:[New Trees/Planted in 2024]])</f>
        <v>0</v>
      </c>
      <c r="O25" s="32">
        <f>SUM(Table3789[[#This Row],['# Trees as of 12/31/23]:[2024 Tree Losses]])</f>
        <v>0</v>
      </c>
      <c r="P25" s="32">
        <f>SUM(Table3789[[#This Row],[Total Trees as of 12/31/24]]-Table3789[[#This Row],['# Trees as of 12/31/23]])</f>
        <v>0</v>
      </c>
      <c r="Q25" s="16">
        <f>Table11[[#This Row],['#Total Replacements]]*Table11[[#This Row],[Canada Allocation2017 %]]</f>
        <v>0</v>
      </c>
      <c r="R25" s="32">
        <f>IF(Table3789[[#This Row],['#Survival based on Inventory]]=0,Table3789['#Survival based on Last Year Estimate],Table3789['#Survival based on Inventory])</f>
        <v>0</v>
      </c>
      <c r="S25" s="16">
        <f>Table11[[#This Row],['#Planted]]*Table11[[#This Row],[Canada Allocation2017 %]]*Table11[[#This Row],[2024 Inventory Survival%-master]]</f>
        <v>0</v>
      </c>
      <c r="T25" s="16">
        <f>Table11[[#This Row],['#Planted]]*Table11[[#This Row],[Canada Allocation2017 %]]*Table11[[#This Row],[2024 Estimated Survival%]]</f>
        <v>0</v>
      </c>
      <c r="U25" s="7">
        <f>Table11[[#This Row],[ETP Year]]</f>
        <v>2015</v>
      </c>
      <c r="V25" s="7">
        <f>Table11[[#This Row],[Planting Year]]</f>
        <v>2016</v>
      </c>
      <c r="W25" s="17">
        <f>Table11[[#This Row],[Survival% as of 12/31/23]]</f>
        <v>0</v>
      </c>
      <c r="X25">
        <f>Table11[[#This Row],[ETP'#s]]</f>
        <v>1</v>
      </c>
    </row>
    <row r="26" spans="1:24" x14ac:dyDescent="0.25">
      <c r="A26">
        <f>Table11[[#This Row],[Farmer'#]]</f>
        <v>20087</v>
      </c>
      <c r="B26" t="str">
        <f>Table11[[#This Row],[Representative]]</f>
        <v>Mario Rodriguez</v>
      </c>
      <c r="C26" t="str">
        <f>Table11[[#This Row],[Contract Name]]</f>
        <v>Coopronaranjo R.L</v>
      </c>
      <c r="D26" t="str">
        <f>Table11[[#This Row],[Status]]</f>
        <v>Out of Program</v>
      </c>
      <c r="E26" t="str">
        <f>Table11[[#This Row],[Contract Code]]</f>
        <v>CR0095</v>
      </c>
      <c r="F26">
        <f>Table11[[#This Row],['#TreesContract]]</f>
        <v>1000</v>
      </c>
      <c r="G26">
        <f>Table11[[#This Row],['#Planted]]</f>
        <v>1000</v>
      </c>
      <c r="H26" s="16">
        <f>Table11[[#This Row],['#TreesContract]]*Table11[[#This Row],[Canada Allocation2017 %]]</f>
        <v>0</v>
      </c>
      <c r="I26" s="16">
        <f>Table11[[#This Row],['#Planted]]*Table11[[#This Row],[Canada Allocation2017 %]]</f>
        <v>0</v>
      </c>
      <c r="J26" s="16">
        <f>Table11[[#This Row],[Contract Amendment]]*Table11[[#This Row],[Canada Allocation2017 %]]</f>
        <v>0</v>
      </c>
      <c r="K26" s="16">
        <f>Table11[[#This Row],['#Trees as of 12/31/23]]*Table11[[#This Row],[Canada Allocation2017 %]]</f>
        <v>0</v>
      </c>
      <c r="L26" s="16">
        <f>Table11[[#This Row],['#Replace 24]]*Table11[[#This Row],[Canada Allocation2017 %]]</f>
        <v>0</v>
      </c>
      <c r="M26" s="16"/>
      <c r="N26" s="16">
        <f>(Table11[[#This Row],[2024 '#Trees Inventory + Estimate]]*Table11[[#This Row],[Canada Allocation2017 %]])-SUM(Table3789[[#This Row],['# Trees as of 12/31/23]:[New Trees/Planted in 2024]])</f>
        <v>0</v>
      </c>
      <c r="O26" s="32">
        <f>SUM(Table3789[[#This Row],['# Trees as of 12/31/23]:[2024 Tree Losses]])</f>
        <v>0</v>
      </c>
      <c r="P26" s="32">
        <f>SUM(Table3789[[#This Row],[Total Trees as of 12/31/24]]-Table3789[[#This Row],['# Trees as of 12/31/23]])</f>
        <v>0</v>
      </c>
      <c r="Q26" s="16">
        <f>Table11[[#This Row],['#Total Replacements]]*Table11[[#This Row],[Canada Allocation2017 %]]</f>
        <v>0</v>
      </c>
      <c r="R26" s="32">
        <f>IF(Table3789[[#This Row],['#Survival based on Inventory]]=0,Table3789['#Survival based on Last Year Estimate],Table3789['#Survival based on Inventory])</f>
        <v>0</v>
      </c>
      <c r="S26" s="16">
        <f>Table11[[#This Row],['#Planted]]*Table11[[#This Row],[Canada Allocation2017 %]]*Table11[[#This Row],[2024 Inventory Survival%-master]]</f>
        <v>0</v>
      </c>
      <c r="T26" s="16">
        <f>Table11[[#This Row],['#Planted]]*Table11[[#This Row],[Canada Allocation2017 %]]*Table11[[#This Row],[2024 Estimated Survival%]]</f>
        <v>0</v>
      </c>
      <c r="U26" s="7">
        <f>Table11[[#This Row],[ETP Year]]</f>
        <v>2015</v>
      </c>
      <c r="V26" s="7">
        <f>Table11[[#This Row],[Planting Year]]</f>
        <v>2016</v>
      </c>
      <c r="W26" s="17">
        <f>Table11[[#This Row],[Survival% as of 12/31/23]]</f>
        <v>0</v>
      </c>
      <c r="X26">
        <f>Table11[[#This Row],[ETP'#s]]</f>
        <v>1</v>
      </c>
    </row>
    <row r="27" spans="1:24" x14ac:dyDescent="0.25">
      <c r="A27">
        <f>Table11[[#This Row],[Farmer'#]]</f>
        <v>20088</v>
      </c>
      <c r="B27" t="str">
        <f>Table11[[#This Row],[Representative]]</f>
        <v>Daniel Ureña</v>
      </c>
      <c r="C27" t="str">
        <f>Table11[[#This Row],[Contract Name]]</f>
        <v>Daniel Ureña</v>
      </c>
      <c r="D27" t="str">
        <f>Table11[[#This Row],[Status]]</f>
        <v>Out of Program</v>
      </c>
      <c r="E27" t="str">
        <f>Table11[[#This Row],[Contract Code]]</f>
        <v>CR0096</v>
      </c>
      <c r="F27">
        <f>Table11[[#This Row],['#TreesContract]]</f>
        <v>250</v>
      </c>
      <c r="G27">
        <f>Table11[[#This Row],['#Planted]]</f>
        <v>250</v>
      </c>
      <c r="H27" s="16">
        <f>Table11[[#This Row],['#TreesContract]]*Table11[[#This Row],[Canada Allocation2017 %]]</f>
        <v>0</v>
      </c>
      <c r="I27" s="16">
        <f>Table11[[#This Row],['#Planted]]*Table11[[#This Row],[Canada Allocation2017 %]]</f>
        <v>0</v>
      </c>
      <c r="J27" s="16">
        <f>Table11[[#This Row],[Contract Amendment]]*Table11[[#This Row],[Canada Allocation2017 %]]</f>
        <v>0</v>
      </c>
      <c r="K27" s="16">
        <f>Table11[[#This Row],['#Trees as of 12/31/23]]*Table11[[#This Row],[Canada Allocation2017 %]]</f>
        <v>0</v>
      </c>
      <c r="L27" s="16">
        <f>Table11[[#This Row],['#Replace 24]]*Table11[[#This Row],[Canada Allocation2017 %]]</f>
        <v>0</v>
      </c>
      <c r="M27" s="16"/>
      <c r="N27" s="16">
        <f>(Table11[[#This Row],[2024 '#Trees Inventory + Estimate]]*Table11[[#This Row],[Canada Allocation2017 %]])-SUM(Table3789[[#This Row],['# Trees as of 12/31/23]:[New Trees/Planted in 2024]])</f>
        <v>0</v>
      </c>
      <c r="O27" s="32">
        <f>SUM(Table3789[[#This Row],['# Trees as of 12/31/23]:[2024 Tree Losses]])</f>
        <v>0</v>
      </c>
      <c r="P27" s="32">
        <f>SUM(Table3789[[#This Row],[Total Trees as of 12/31/24]]-Table3789[[#This Row],['# Trees as of 12/31/23]])</f>
        <v>0</v>
      </c>
      <c r="Q27" s="16">
        <f>Table11[[#This Row],['#Total Replacements]]*Table11[[#This Row],[Canada Allocation2017 %]]</f>
        <v>0</v>
      </c>
      <c r="R27" s="32">
        <f>IF(Table3789[[#This Row],['#Survival based on Inventory]]=0,Table3789['#Survival based on Last Year Estimate],Table3789['#Survival based on Inventory])</f>
        <v>0</v>
      </c>
      <c r="S27" s="16">
        <f>Table11[[#This Row],['#Planted]]*Table11[[#This Row],[Canada Allocation2017 %]]*Table11[[#This Row],[2024 Inventory Survival%-master]]</f>
        <v>0</v>
      </c>
      <c r="T27" s="16">
        <f>Table11[[#This Row],['#Planted]]*Table11[[#This Row],[Canada Allocation2017 %]]*Table11[[#This Row],[2024 Estimated Survival%]]</f>
        <v>0</v>
      </c>
      <c r="U27" s="7">
        <f>Table11[[#This Row],[ETP Year]]</f>
        <v>2015</v>
      </c>
      <c r="V27" s="7">
        <f>Table11[[#This Row],[Planting Year]]</f>
        <v>2016</v>
      </c>
      <c r="W27" s="17">
        <f>Table11[[#This Row],[Survival% as of 12/31/23]]</f>
        <v>0</v>
      </c>
      <c r="X27">
        <f>Table11[[#This Row],[ETP'#s]]</f>
        <v>1</v>
      </c>
    </row>
    <row r="28" spans="1:24" x14ac:dyDescent="0.25">
      <c r="A28">
        <f>Table11[[#This Row],[Farmer'#]]</f>
        <v>10013</v>
      </c>
      <c r="B28" t="str">
        <f>Table11[[#This Row],[Representative]]</f>
        <v>Elvire Dembia</v>
      </c>
      <c r="C28" t="str">
        <f>Table11[[#This Row],[Contract Name]]</f>
        <v>Elvire Frank Dembia</v>
      </c>
      <c r="D28" t="str">
        <f>Table11[[#This Row],[Status]]</f>
        <v>Out of Program</v>
      </c>
      <c r="E28" t="str">
        <f>Table11[[#This Row],[Contract Code]]</f>
        <v>US0015</v>
      </c>
      <c r="F28">
        <f>Table11[[#This Row],['#TreesContract]]</f>
        <v>2200</v>
      </c>
      <c r="G28">
        <f>Table11[[#This Row],['#Planted]]</f>
        <v>2200</v>
      </c>
      <c r="H28" s="16">
        <f>Table11[[#This Row],['#TreesContract]]*Table11[[#This Row],[Canada Allocation2017 %]]</f>
        <v>0</v>
      </c>
      <c r="I28" s="16">
        <f>Table11[[#This Row],['#Planted]]*Table11[[#This Row],[Canada Allocation2017 %]]</f>
        <v>0</v>
      </c>
      <c r="J28" s="16">
        <f>Table11[[#This Row],[Contract Amendment]]*Table11[[#This Row],[Canada Allocation2017 %]]</f>
        <v>0</v>
      </c>
      <c r="K28" s="16">
        <f>Table11[[#This Row],['#Trees as of 12/31/23]]*Table11[[#This Row],[Canada Allocation2017 %]]</f>
        <v>0</v>
      </c>
      <c r="L28" s="16">
        <f>Table11[[#This Row],['#Replace 24]]*Table11[[#This Row],[Canada Allocation2017 %]]</f>
        <v>0</v>
      </c>
      <c r="M28" s="16"/>
      <c r="N28" s="16">
        <f>(Table11[[#This Row],[2024 '#Trees Inventory + Estimate]]*Table11[[#This Row],[Canada Allocation2017 %]])-SUM(Table3789[[#This Row],['# Trees as of 12/31/23]:[New Trees/Planted in 2024]])</f>
        <v>0</v>
      </c>
      <c r="O28" s="32">
        <f>SUM(Table3789[[#This Row],['# Trees as of 12/31/23]:[2024 Tree Losses]])</f>
        <v>0</v>
      </c>
      <c r="P28" s="32">
        <f>SUM(Table3789[[#This Row],[Total Trees as of 12/31/24]]-Table3789[[#This Row],['# Trees as of 12/31/23]])</f>
        <v>0</v>
      </c>
      <c r="Q28" s="16">
        <f>Table11[[#This Row],['#Total Replacements]]*Table11[[#This Row],[Canada Allocation2017 %]]</f>
        <v>0</v>
      </c>
      <c r="R28" s="32">
        <f>IF(Table3789[[#This Row],['#Survival based on Inventory]]=0,Table3789['#Survival based on Last Year Estimate],Table3789['#Survival based on Inventory])</f>
        <v>0</v>
      </c>
      <c r="S28" s="16">
        <f>Table11[[#This Row],['#Planted]]*Table11[[#This Row],[Canada Allocation2017 %]]*Table11[[#This Row],[2024 Inventory Survival%-master]]</f>
        <v>0</v>
      </c>
      <c r="T28" s="16">
        <f>Table11[[#This Row],['#Planted]]*Table11[[#This Row],[Canada Allocation2017 %]]*Table11[[#This Row],[2024 Estimated Survival%]]</f>
        <v>0</v>
      </c>
      <c r="U28" s="7">
        <f>Table11[[#This Row],[ETP Year]]</f>
        <v>2016</v>
      </c>
      <c r="V28" s="7">
        <f>Table11[[#This Row],[Planting Year]]</f>
        <v>2017</v>
      </c>
      <c r="W28" s="17">
        <f>Table11[[#This Row],[Survival% as of 12/31/23]]</f>
        <v>0</v>
      </c>
      <c r="X28">
        <f>Table11[[#This Row],[ETP'#s]]</f>
        <v>1</v>
      </c>
    </row>
    <row r="29" spans="1:24" x14ac:dyDescent="0.25">
      <c r="A29">
        <f>Table11[[#This Row],[Farmer'#]]</f>
        <v>10014</v>
      </c>
      <c r="B29" t="str">
        <f>Table11[[#This Row],[Representative]]</f>
        <v>Juan Zermeno</v>
      </c>
      <c r="C29" t="str">
        <f>Table11[[#This Row],[Contract Name]]</f>
        <v>Juan Zermeno</v>
      </c>
      <c r="D29" t="str">
        <f>Table11[[#This Row],[Status]]</f>
        <v>Out of Program</v>
      </c>
      <c r="E29" t="str">
        <f>Table11[[#This Row],[Contract Code]]</f>
        <v>US0016</v>
      </c>
      <c r="F29">
        <f>Table11[[#This Row],['#TreesContract]]</f>
        <v>2200</v>
      </c>
      <c r="G29">
        <f>Table11[[#This Row],['#Planted]]</f>
        <v>2200</v>
      </c>
      <c r="H29" s="16">
        <f>Table11[[#This Row],['#TreesContract]]*Table11[[#This Row],[Canada Allocation2017 %]]</f>
        <v>0</v>
      </c>
      <c r="I29" s="16">
        <f>Table11[[#This Row],['#Planted]]*Table11[[#This Row],[Canada Allocation2017 %]]</f>
        <v>0</v>
      </c>
      <c r="J29" s="16">
        <f>Table11[[#This Row],[Contract Amendment]]*Table11[[#This Row],[Canada Allocation2017 %]]</f>
        <v>0</v>
      </c>
      <c r="K29" s="16">
        <f>Table11[[#This Row],['#Trees as of 12/31/23]]*Table11[[#This Row],[Canada Allocation2017 %]]</f>
        <v>0</v>
      </c>
      <c r="L29" s="16">
        <f>Table11[[#This Row],['#Replace 24]]*Table11[[#This Row],[Canada Allocation2017 %]]</f>
        <v>0</v>
      </c>
      <c r="M29" s="16"/>
      <c r="N29" s="16">
        <f>(Table11[[#This Row],[2024 '#Trees Inventory + Estimate]]*Table11[[#This Row],[Canada Allocation2017 %]])-SUM(Table3789[[#This Row],['# Trees as of 12/31/23]:[New Trees/Planted in 2024]])</f>
        <v>0</v>
      </c>
      <c r="O29" s="32">
        <f>SUM(Table3789[[#This Row],['# Trees as of 12/31/23]:[2024 Tree Losses]])</f>
        <v>0</v>
      </c>
      <c r="P29" s="32">
        <f>SUM(Table3789[[#This Row],[Total Trees as of 12/31/24]]-Table3789[[#This Row],['# Trees as of 12/31/23]])</f>
        <v>0</v>
      </c>
      <c r="Q29" s="16">
        <f>Table11[[#This Row],['#Total Replacements]]*Table11[[#This Row],[Canada Allocation2017 %]]</f>
        <v>0</v>
      </c>
      <c r="R29" s="32">
        <f>IF(Table3789[[#This Row],['#Survival based on Inventory]]=0,Table3789['#Survival based on Last Year Estimate],Table3789['#Survival based on Inventory])</f>
        <v>0</v>
      </c>
      <c r="S29" s="16">
        <f>Table11[[#This Row],['#Planted]]*Table11[[#This Row],[Canada Allocation2017 %]]*Table11[[#This Row],[2024 Inventory Survival%-master]]</f>
        <v>0</v>
      </c>
      <c r="T29" s="16">
        <f>Table11[[#This Row],['#Planted]]*Table11[[#This Row],[Canada Allocation2017 %]]*Table11[[#This Row],[2024 Estimated Survival%]]</f>
        <v>0</v>
      </c>
      <c r="U29" s="7">
        <f>Table11[[#This Row],[ETP Year]]</f>
        <v>2016</v>
      </c>
      <c r="V29" s="7">
        <f>Table11[[#This Row],[Planting Year]]</f>
        <v>2017</v>
      </c>
      <c r="W29" s="17">
        <f>Table11[[#This Row],[Survival% as of 12/31/23]]</f>
        <v>0</v>
      </c>
      <c r="X29">
        <f>Table11[[#This Row],[ETP'#s]]</f>
        <v>1</v>
      </c>
    </row>
    <row r="30" spans="1:24" x14ac:dyDescent="0.25">
      <c r="A30">
        <f>Table11[[#This Row],[Farmer'#]]</f>
        <v>10015</v>
      </c>
      <c r="B30" t="str">
        <f>Table11[[#This Row],[Representative]]</f>
        <v>Larry Wilcoxen</v>
      </c>
      <c r="C30" t="str">
        <f>Table11[[#This Row],[Contract Name]]</f>
        <v>Larry Wilcoxen</v>
      </c>
      <c r="D30" t="str">
        <f>Table11[[#This Row],[Status]]</f>
        <v>Out of Program</v>
      </c>
      <c r="E30" t="str">
        <f>Table11[[#This Row],[Contract Code]]</f>
        <v>US0017</v>
      </c>
      <c r="F30">
        <f>Table11[[#This Row],['#TreesContract]]</f>
        <v>550</v>
      </c>
      <c r="G30">
        <f>Table11[[#This Row],['#Planted]]</f>
        <v>550</v>
      </c>
      <c r="H30" s="16">
        <f>Table11[[#This Row],['#TreesContract]]*Table11[[#This Row],[Canada Allocation2017 %]]</f>
        <v>0</v>
      </c>
      <c r="I30" s="16">
        <f>Table11[[#This Row],['#Planted]]*Table11[[#This Row],[Canada Allocation2017 %]]</f>
        <v>0</v>
      </c>
      <c r="J30" s="16">
        <f>Table11[[#This Row],[Contract Amendment]]*Table11[[#This Row],[Canada Allocation2017 %]]</f>
        <v>0</v>
      </c>
      <c r="K30" s="16">
        <f>Table11[[#This Row],['#Trees as of 12/31/23]]*Table11[[#This Row],[Canada Allocation2017 %]]</f>
        <v>0</v>
      </c>
      <c r="L30" s="16">
        <f>Table11[[#This Row],['#Replace 24]]*Table11[[#This Row],[Canada Allocation2017 %]]</f>
        <v>0</v>
      </c>
      <c r="M30" s="16"/>
      <c r="N30" s="16">
        <f>(Table11[[#This Row],[2024 '#Trees Inventory + Estimate]]*Table11[[#This Row],[Canada Allocation2017 %]])-SUM(Table3789[[#This Row],['# Trees as of 12/31/23]:[New Trees/Planted in 2024]])</f>
        <v>0</v>
      </c>
      <c r="O30" s="32">
        <f>SUM(Table3789[[#This Row],['# Trees as of 12/31/23]:[2024 Tree Losses]])</f>
        <v>0</v>
      </c>
      <c r="P30" s="32">
        <f>SUM(Table3789[[#This Row],[Total Trees as of 12/31/24]]-Table3789[[#This Row],['# Trees as of 12/31/23]])</f>
        <v>0</v>
      </c>
      <c r="Q30" s="16">
        <f>Table11[[#This Row],['#Total Replacements]]*Table11[[#This Row],[Canada Allocation2017 %]]</f>
        <v>0</v>
      </c>
      <c r="R30" s="32">
        <f>IF(Table3789[[#This Row],['#Survival based on Inventory]]=0,Table3789['#Survival based on Last Year Estimate],Table3789['#Survival based on Inventory])</f>
        <v>0</v>
      </c>
      <c r="S30" s="16">
        <f>Table11[[#This Row],['#Planted]]*Table11[[#This Row],[Canada Allocation2017 %]]*Table11[[#This Row],[2024 Inventory Survival%-master]]</f>
        <v>0</v>
      </c>
      <c r="T30" s="16">
        <f>Table11[[#This Row],['#Planted]]*Table11[[#This Row],[Canada Allocation2017 %]]*Table11[[#This Row],[2024 Estimated Survival%]]</f>
        <v>0</v>
      </c>
      <c r="U30" s="7">
        <f>Table11[[#This Row],[ETP Year]]</f>
        <v>2016</v>
      </c>
      <c r="V30" s="7">
        <f>Table11[[#This Row],[Planting Year]]</f>
        <v>2017</v>
      </c>
      <c r="W30" s="17">
        <f>Table11[[#This Row],[Survival% as of 12/31/23]]</f>
        <v>0</v>
      </c>
      <c r="X30">
        <f>Table11[[#This Row],[ETP'#s]]</f>
        <v>1</v>
      </c>
    </row>
    <row r="31" spans="1:24" x14ac:dyDescent="0.25">
      <c r="A31">
        <f>Table11[[#This Row],[Farmer'#]]</f>
        <v>10016</v>
      </c>
      <c r="B31" t="str">
        <f>Table11[[#This Row],[Representative]]</f>
        <v>Marlene Lewis</v>
      </c>
      <c r="C31" t="str">
        <f>Table11[[#This Row],[Contract Name]]</f>
        <v>Lewauta Landholdings Inc</v>
      </c>
      <c r="D31" t="str">
        <f>Table11[[#This Row],[Status]]</f>
        <v>Out of Program</v>
      </c>
      <c r="E31" t="str">
        <f>Table11[[#This Row],[Contract Code]]</f>
        <v>US0018</v>
      </c>
      <c r="F31">
        <f>Table11[[#This Row],['#TreesContract]]</f>
        <v>951</v>
      </c>
      <c r="G31">
        <f>Table11[[#This Row],['#Planted]]</f>
        <v>951</v>
      </c>
      <c r="H31" s="16">
        <f>Table11[[#This Row],['#TreesContract]]*Table11[[#This Row],[Canada Allocation2017 %]]</f>
        <v>0</v>
      </c>
      <c r="I31" s="16">
        <f>Table11[[#This Row],['#Planted]]*Table11[[#This Row],[Canada Allocation2017 %]]</f>
        <v>0</v>
      </c>
      <c r="J31" s="16">
        <f>Table11[[#This Row],[Contract Amendment]]*Table11[[#This Row],[Canada Allocation2017 %]]</f>
        <v>0</v>
      </c>
      <c r="K31" s="16">
        <f>Table11[[#This Row],['#Trees as of 12/31/23]]*Table11[[#This Row],[Canada Allocation2017 %]]</f>
        <v>0</v>
      </c>
      <c r="L31" s="16">
        <f>Table11[[#This Row],['#Replace 24]]*Table11[[#This Row],[Canada Allocation2017 %]]</f>
        <v>0</v>
      </c>
      <c r="M31" s="16"/>
      <c r="N31" s="16">
        <f>(Table11[[#This Row],[2024 '#Trees Inventory + Estimate]]*Table11[[#This Row],[Canada Allocation2017 %]])-SUM(Table3789[[#This Row],['# Trees as of 12/31/23]:[New Trees/Planted in 2024]])</f>
        <v>0</v>
      </c>
      <c r="O31" s="32">
        <f>SUM(Table3789[[#This Row],['# Trees as of 12/31/23]:[2024 Tree Losses]])</f>
        <v>0</v>
      </c>
      <c r="P31" s="32">
        <f>SUM(Table3789[[#This Row],[Total Trees as of 12/31/24]]-Table3789[[#This Row],['# Trees as of 12/31/23]])</f>
        <v>0</v>
      </c>
      <c r="Q31" s="16">
        <f>Table11[[#This Row],['#Total Replacements]]*Table11[[#This Row],[Canada Allocation2017 %]]</f>
        <v>0</v>
      </c>
      <c r="R31" s="32">
        <f>IF(Table3789[[#This Row],['#Survival based on Inventory]]=0,Table3789['#Survival based on Last Year Estimate],Table3789['#Survival based on Inventory])</f>
        <v>0</v>
      </c>
      <c r="S31" s="16">
        <f>Table11[[#This Row],['#Planted]]*Table11[[#This Row],[Canada Allocation2017 %]]*Table11[[#This Row],[2024 Inventory Survival%-master]]</f>
        <v>0</v>
      </c>
      <c r="T31" s="16">
        <f>Table11[[#This Row],['#Planted]]*Table11[[#This Row],[Canada Allocation2017 %]]*Table11[[#This Row],[2024 Estimated Survival%]]</f>
        <v>0</v>
      </c>
      <c r="U31" s="7">
        <f>Table11[[#This Row],[ETP Year]]</f>
        <v>2016</v>
      </c>
      <c r="V31" s="7">
        <f>Table11[[#This Row],[Planting Year]]</f>
        <v>2017</v>
      </c>
      <c r="W31" s="17">
        <f>Table11[[#This Row],[Survival% as of 12/31/23]]</f>
        <v>0.537280740575518</v>
      </c>
      <c r="X31">
        <f>Table11[[#This Row],[ETP'#s]]</f>
        <v>1</v>
      </c>
    </row>
    <row r="32" spans="1:24" x14ac:dyDescent="0.25">
      <c r="A32">
        <f>Table11[[#This Row],[Farmer'#]]</f>
        <v>10017</v>
      </c>
      <c r="B32" t="str">
        <f>Table11[[#This Row],[Representative]]</f>
        <v>Paul Hartz</v>
      </c>
      <c r="C32" t="str">
        <f>Table11[[#This Row],[Contract Name]]</f>
        <v>Paul Hartz</v>
      </c>
      <c r="D32" t="str">
        <f>Table11[[#This Row],[Status]]</f>
        <v>Out of Program</v>
      </c>
      <c r="E32" t="str">
        <f>Table11[[#This Row],[Contract Code]]</f>
        <v>US0019</v>
      </c>
      <c r="F32">
        <f>Table11[[#This Row],['#TreesContract]]</f>
        <v>2200</v>
      </c>
      <c r="G32">
        <f>Table11[[#This Row],['#Planted]]</f>
        <v>2200</v>
      </c>
      <c r="H32" s="16">
        <f>Table11[[#This Row],['#TreesContract]]*Table11[[#This Row],[Canada Allocation2017 %]]</f>
        <v>0</v>
      </c>
      <c r="I32" s="16">
        <f>Table11[[#This Row],['#Planted]]*Table11[[#This Row],[Canada Allocation2017 %]]</f>
        <v>0</v>
      </c>
      <c r="J32" s="16">
        <f>Table11[[#This Row],[Contract Amendment]]*Table11[[#This Row],[Canada Allocation2017 %]]</f>
        <v>0</v>
      </c>
      <c r="K32" s="16">
        <f>Table11[[#This Row],['#Trees as of 12/31/23]]*Table11[[#This Row],[Canada Allocation2017 %]]</f>
        <v>0</v>
      </c>
      <c r="L32" s="16">
        <f>Table11[[#This Row],['#Replace 24]]*Table11[[#This Row],[Canada Allocation2017 %]]</f>
        <v>0</v>
      </c>
      <c r="M32" s="16"/>
      <c r="N32" s="16">
        <f>(Table11[[#This Row],[2024 '#Trees Inventory + Estimate]]*Table11[[#This Row],[Canada Allocation2017 %]])-SUM(Table3789[[#This Row],['# Trees as of 12/31/23]:[New Trees/Planted in 2024]])</f>
        <v>0</v>
      </c>
      <c r="O32" s="32">
        <f>SUM(Table3789[[#This Row],['# Trees as of 12/31/23]:[2024 Tree Losses]])</f>
        <v>0</v>
      </c>
      <c r="P32" s="32">
        <f>SUM(Table3789[[#This Row],[Total Trees as of 12/31/24]]-Table3789[[#This Row],['# Trees as of 12/31/23]])</f>
        <v>0</v>
      </c>
      <c r="Q32" s="16">
        <f>Table11[[#This Row],['#Total Replacements]]*Table11[[#This Row],[Canada Allocation2017 %]]</f>
        <v>0</v>
      </c>
      <c r="R32" s="32">
        <f>IF(Table3789[[#This Row],['#Survival based on Inventory]]=0,Table3789['#Survival based on Last Year Estimate],Table3789['#Survival based on Inventory])</f>
        <v>0</v>
      </c>
      <c r="S32" s="16">
        <f>Table11[[#This Row],['#Planted]]*Table11[[#This Row],[Canada Allocation2017 %]]*Table11[[#This Row],[2024 Inventory Survival%-master]]</f>
        <v>0</v>
      </c>
      <c r="T32" s="16">
        <f>Table11[[#This Row],['#Planted]]*Table11[[#This Row],[Canada Allocation2017 %]]*Table11[[#This Row],[2024 Estimated Survival%]]</f>
        <v>0</v>
      </c>
      <c r="U32" s="7">
        <f>Table11[[#This Row],[ETP Year]]</f>
        <v>2016</v>
      </c>
      <c r="V32" s="7">
        <f>Table11[[#This Row],[Planting Year]]</f>
        <v>2017</v>
      </c>
      <c r="W32" s="17">
        <f>Table11[[#This Row],[Survival% as of 12/31/23]]</f>
        <v>0</v>
      </c>
      <c r="X32">
        <f>Table11[[#This Row],[ETP'#s]]</f>
        <v>1</v>
      </c>
    </row>
    <row r="33" spans="1:24" x14ac:dyDescent="0.25">
      <c r="A33">
        <f>Table11[[#This Row],[Farmer'#]]</f>
        <v>10018</v>
      </c>
      <c r="B33" t="str">
        <f>Table11[[#This Row],[Representative]]</f>
        <v>Richard Cumberland</v>
      </c>
      <c r="C33" t="str">
        <f>Table11[[#This Row],[Contract Name]]</f>
        <v>Richard Cumberland</v>
      </c>
      <c r="D33" t="str">
        <f>Table11[[#This Row],[Status]]</f>
        <v>Out of Program</v>
      </c>
      <c r="E33" t="str">
        <f>Table11[[#This Row],[Contract Code]]</f>
        <v>US0020</v>
      </c>
      <c r="F33">
        <f>Table11[[#This Row],['#TreesContract]]</f>
        <v>200</v>
      </c>
      <c r="G33">
        <f>Table11[[#This Row],['#Planted]]</f>
        <v>200</v>
      </c>
      <c r="H33" s="16">
        <f>Table11[[#This Row],['#TreesContract]]*Table11[[#This Row],[Canada Allocation2017 %]]</f>
        <v>0</v>
      </c>
      <c r="I33" s="16">
        <f>Table11[[#This Row],['#Planted]]*Table11[[#This Row],[Canada Allocation2017 %]]</f>
        <v>0</v>
      </c>
      <c r="J33" s="16">
        <f>Table11[[#This Row],[Contract Amendment]]*Table11[[#This Row],[Canada Allocation2017 %]]</f>
        <v>0</v>
      </c>
      <c r="K33" s="16">
        <f>Table11[[#This Row],['#Trees as of 12/31/23]]*Table11[[#This Row],[Canada Allocation2017 %]]</f>
        <v>0</v>
      </c>
      <c r="L33" s="16">
        <f>Table11[[#This Row],['#Replace 24]]*Table11[[#This Row],[Canada Allocation2017 %]]</f>
        <v>0</v>
      </c>
      <c r="M33" s="16"/>
      <c r="N33" s="16">
        <f>(Table11[[#This Row],[2024 '#Trees Inventory + Estimate]]*Table11[[#This Row],[Canada Allocation2017 %]])-SUM(Table3789[[#This Row],['# Trees as of 12/31/23]:[New Trees/Planted in 2024]])</f>
        <v>0</v>
      </c>
      <c r="O33" s="32">
        <f>SUM(Table3789[[#This Row],['# Trees as of 12/31/23]:[2024 Tree Losses]])</f>
        <v>0</v>
      </c>
      <c r="P33" s="32">
        <f>SUM(Table3789[[#This Row],[Total Trees as of 12/31/24]]-Table3789[[#This Row],['# Trees as of 12/31/23]])</f>
        <v>0</v>
      </c>
      <c r="Q33" s="16">
        <f>Table11[[#This Row],['#Total Replacements]]*Table11[[#This Row],[Canada Allocation2017 %]]</f>
        <v>0</v>
      </c>
      <c r="R33" s="32">
        <f>IF(Table3789[[#This Row],['#Survival based on Inventory]]=0,Table3789['#Survival based on Last Year Estimate],Table3789['#Survival based on Inventory])</f>
        <v>0</v>
      </c>
      <c r="S33" s="16">
        <f>Table11[[#This Row],['#Planted]]*Table11[[#This Row],[Canada Allocation2017 %]]*Table11[[#This Row],[2024 Inventory Survival%-master]]</f>
        <v>0</v>
      </c>
      <c r="T33" s="16">
        <f>Table11[[#This Row],['#Planted]]*Table11[[#This Row],[Canada Allocation2017 %]]*Table11[[#This Row],[2024 Estimated Survival%]]</f>
        <v>0</v>
      </c>
      <c r="U33" s="7">
        <f>Table11[[#This Row],[ETP Year]]</f>
        <v>2016</v>
      </c>
      <c r="V33" s="7">
        <f>Table11[[#This Row],[Planting Year]]</f>
        <v>2017</v>
      </c>
      <c r="W33" s="17">
        <f>Table11[[#This Row],[Survival% as of 12/31/23]]</f>
        <v>0</v>
      </c>
      <c r="X33">
        <f>Table11[[#This Row],[ETP'#s]]</f>
        <v>1</v>
      </c>
    </row>
    <row r="34" spans="1:24" x14ac:dyDescent="0.25">
      <c r="A34">
        <f>Table11[[#This Row],[Farmer'#]]</f>
        <v>20005</v>
      </c>
      <c r="B34" t="str">
        <f>Table11[[#This Row],[Representative]]</f>
        <v>Juan Luis  Chaves</v>
      </c>
      <c r="C34" t="str">
        <f>Table11[[#This Row],[Contract Name]]</f>
        <v xml:space="preserve">ASESORIA DE EMPRESAS TONAL S A, </v>
      </c>
      <c r="D34" t="str">
        <f>Table11[[#This Row],[Status]]</f>
        <v>Out of Program</v>
      </c>
      <c r="E34" t="str">
        <f>Table11[[#This Row],[Contract Code]]</f>
        <v>CR0015</v>
      </c>
      <c r="F34">
        <f>Table11[[#This Row],['#TreesContract]]</f>
        <v>1000</v>
      </c>
      <c r="G34">
        <f>Table11[[#This Row],['#Planted]]</f>
        <v>1000</v>
      </c>
      <c r="H34" s="16">
        <f>Table11[[#This Row],['#TreesContract]]*Table11[[#This Row],[Canada Allocation2017 %]]</f>
        <v>0</v>
      </c>
      <c r="I34" s="16">
        <f>Table11[[#This Row],['#Planted]]*Table11[[#This Row],[Canada Allocation2017 %]]</f>
        <v>0</v>
      </c>
      <c r="J34" s="16">
        <f>Table11[[#This Row],[Contract Amendment]]*Table11[[#This Row],[Canada Allocation2017 %]]</f>
        <v>0</v>
      </c>
      <c r="K34" s="16">
        <f>Table11[[#This Row],['#Trees as of 12/31/23]]*Table11[[#This Row],[Canada Allocation2017 %]]</f>
        <v>0</v>
      </c>
      <c r="L34" s="16">
        <f>Table11[[#This Row],['#Replace 24]]*Table11[[#This Row],[Canada Allocation2017 %]]</f>
        <v>0</v>
      </c>
      <c r="M34" s="16"/>
      <c r="N34" s="16">
        <f>(Table11[[#This Row],[2024 '#Trees Inventory + Estimate]]*Table11[[#This Row],[Canada Allocation2017 %]])-SUM(Table3789[[#This Row],['# Trees as of 12/31/23]:[New Trees/Planted in 2024]])</f>
        <v>0</v>
      </c>
      <c r="O34" s="32">
        <f>SUM(Table3789[[#This Row],['# Trees as of 12/31/23]:[2024 Tree Losses]])</f>
        <v>0</v>
      </c>
      <c r="P34" s="32">
        <f>SUM(Table3789[[#This Row],[Total Trees as of 12/31/24]]-Table3789[[#This Row],['# Trees as of 12/31/23]])</f>
        <v>0</v>
      </c>
      <c r="Q34" s="16">
        <f>Table11[[#This Row],['#Total Replacements]]*Table11[[#This Row],[Canada Allocation2017 %]]</f>
        <v>0</v>
      </c>
      <c r="R34" s="32">
        <f>IF(Table3789[[#This Row],['#Survival based on Inventory]]=0,Table3789['#Survival based on Last Year Estimate],Table3789['#Survival based on Inventory])</f>
        <v>0</v>
      </c>
      <c r="S34" s="16">
        <f>Table11[[#This Row],['#Planted]]*Table11[[#This Row],[Canada Allocation2017 %]]*Table11[[#This Row],[2024 Inventory Survival%-master]]</f>
        <v>0</v>
      </c>
      <c r="T34" s="16">
        <f>Table11[[#This Row],['#Planted]]*Table11[[#This Row],[Canada Allocation2017 %]]*Table11[[#This Row],[2024 Estimated Survival%]]</f>
        <v>0</v>
      </c>
      <c r="U34" s="7">
        <f>Table11[[#This Row],[ETP Year]]</f>
        <v>2016</v>
      </c>
      <c r="V34" s="7">
        <f>Table11[[#This Row],[Planting Year]]</f>
        <v>2017</v>
      </c>
      <c r="W34" s="17">
        <f>Table11[[#This Row],[Survival% as of 12/31/23]]</f>
        <v>0</v>
      </c>
      <c r="X34">
        <f>Table11[[#This Row],[ETP'#s]]</f>
        <v>1</v>
      </c>
    </row>
    <row r="35" spans="1:24" x14ac:dyDescent="0.25">
      <c r="A35">
        <f>Table11[[#This Row],[Farmer'#]]</f>
        <v>20008</v>
      </c>
      <c r="B35" t="str">
        <f>Table11[[#This Row],[Representative]]</f>
        <v>Carlos Navarro</v>
      </c>
      <c r="C35" t="str">
        <f>Table11[[#This Row],[Contract Name]]</f>
        <v>Carlos Navarro</v>
      </c>
      <c r="D35" t="str">
        <f>Table11[[#This Row],[Status]]</f>
        <v>Out of Program</v>
      </c>
      <c r="E35" t="str">
        <f>Table11[[#This Row],[Contract Code]]</f>
        <v>CR0008</v>
      </c>
      <c r="F35">
        <f>Table11[[#This Row],['#TreesContract]]</f>
        <v>1200</v>
      </c>
      <c r="G35">
        <f>Table11[[#This Row],['#Planted]]</f>
        <v>1200</v>
      </c>
      <c r="H35" s="16">
        <f>Table11[[#This Row],['#TreesContract]]*Table11[[#This Row],[Canada Allocation2017 %]]</f>
        <v>0</v>
      </c>
      <c r="I35" s="16">
        <f>Table11[[#This Row],['#Planted]]*Table11[[#This Row],[Canada Allocation2017 %]]</f>
        <v>0</v>
      </c>
      <c r="J35" s="16">
        <f>Table11[[#This Row],[Contract Amendment]]*Table11[[#This Row],[Canada Allocation2017 %]]</f>
        <v>0</v>
      </c>
      <c r="K35" s="16">
        <f>Table11[[#This Row],['#Trees as of 12/31/23]]*Table11[[#This Row],[Canada Allocation2017 %]]</f>
        <v>0</v>
      </c>
      <c r="L35" s="16">
        <f>Table11[[#This Row],['#Replace 24]]*Table11[[#This Row],[Canada Allocation2017 %]]</f>
        <v>0</v>
      </c>
      <c r="M35" s="16"/>
      <c r="N35" s="16">
        <f>(Table11[[#This Row],[2024 '#Trees Inventory + Estimate]]*Table11[[#This Row],[Canada Allocation2017 %]])-SUM(Table3789[[#This Row],['# Trees as of 12/31/23]:[New Trees/Planted in 2024]])</f>
        <v>0</v>
      </c>
      <c r="O35" s="32">
        <f>SUM(Table3789[[#This Row],['# Trees as of 12/31/23]:[2024 Tree Losses]])</f>
        <v>0</v>
      </c>
      <c r="P35" s="32">
        <f>SUM(Table3789[[#This Row],[Total Trees as of 12/31/24]]-Table3789[[#This Row],['# Trees as of 12/31/23]])</f>
        <v>0</v>
      </c>
      <c r="Q35" s="16">
        <f>Table11[[#This Row],['#Total Replacements]]*Table11[[#This Row],[Canada Allocation2017 %]]</f>
        <v>0</v>
      </c>
      <c r="R35" s="32">
        <f>IF(Table3789[[#This Row],['#Survival based on Inventory]]=0,Table3789['#Survival based on Last Year Estimate],Table3789['#Survival based on Inventory])</f>
        <v>0</v>
      </c>
      <c r="S35" s="16">
        <f>Table11[[#This Row],['#Planted]]*Table11[[#This Row],[Canada Allocation2017 %]]*Table11[[#This Row],[2024 Inventory Survival%-master]]</f>
        <v>0</v>
      </c>
      <c r="T35" s="16">
        <f>Table11[[#This Row],['#Planted]]*Table11[[#This Row],[Canada Allocation2017 %]]*Table11[[#This Row],[2024 Estimated Survival%]]</f>
        <v>0</v>
      </c>
      <c r="U35" s="7">
        <f>Table11[[#This Row],[ETP Year]]</f>
        <v>2016</v>
      </c>
      <c r="V35" s="7">
        <f>Table11[[#This Row],[Planting Year]]</f>
        <v>2017</v>
      </c>
      <c r="W35" s="17">
        <f>Table11[[#This Row],[Survival% as of 12/31/23]]</f>
        <v>0</v>
      </c>
      <c r="X35">
        <f>Table11[[#This Row],[ETP'#s]]</f>
        <v>1</v>
      </c>
    </row>
    <row r="36" spans="1:24" hidden="1" x14ac:dyDescent="0.25">
      <c r="A36">
        <f>Table11[[#This Row],[Farmer'#]]</f>
        <v>20009</v>
      </c>
      <c r="B36" t="str">
        <f>Table11[[#This Row],[Representative]]</f>
        <v>David Gutierrez</v>
      </c>
      <c r="C36" t="str">
        <f>Table11[[#This Row],[Contract Name]]</f>
        <v>Edgar Gutierrez</v>
      </c>
      <c r="D36" t="str">
        <f>Table11[[#This Row],[Status]]</f>
        <v>Out of Program</v>
      </c>
      <c r="E36" t="str">
        <f>Table11[[#This Row],[Contract Code]]</f>
        <v>CR0009</v>
      </c>
      <c r="F36">
        <f>Table11[[#This Row],['#TreesContract]]</f>
        <v>500</v>
      </c>
      <c r="G36">
        <f>Table11[[#This Row],['#Planted]]</f>
        <v>500</v>
      </c>
      <c r="H36" s="16">
        <f>Table11[[#This Row],['#TreesContract]]*Table11[[#This Row],[Canada Allocation2017 %]]</f>
        <v>0</v>
      </c>
      <c r="I36" s="16">
        <f>Table11[[#This Row],['#Planted]]*Table11[[#This Row],[Canada Allocation2017 %]]</f>
        <v>0</v>
      </c>
      <c r="J36" s="16">
        <f>Table11[[#This Row],[Contract Amendment]]*Table11[[#This Row],[Canada Allocation2017 %]]</f>
        <v>0</v>
      </c>
      <c r="K36" s="16">
        <f>Table11[[#This Row],['#Trees as of 12/31/23]]*Table11[[#This Row],[Canada Allocation2017 %]]</f>
        <v>0</v>
      </c>
      <c r="L36" s="16">
        <f>Table11[[#This Row],['#Replace 24]]*Table11[[#This Row],[Canada Allocation2017 %]]</f>
        <v>0</v>
      </c>
      <c r="M36" s="16"/>
      <c r="N36" s="16">
        <f>(Table11[[#This Row],[2024 '#Trees Inventory + Estimate]]*Table11[[#This Row],[Canada Allocation2017 %]])-SUM(Table3789[[#This Row],['# Trees as of 12/31/23]:[New Trees/Planted in 2024]])</f>
        <v>0</v>
      </c>
      <c r="O36" s="32">
        <f>SUM(Table3789[[#This Row],['# Trees as of 12/31/23]:[2024 Tree Losses]])</f>
        <v>0</v>
      </c>
      <c r="P36" s="32">
        <f>SUM(Table3789[[#This Row],[Total Trees as of 12/31/24]]-Table3789[[#This Row],['# Trees as of 12/31/23]])</f>
        <v>0</v>
      </c>
      <c r="Q36" s="16">
        <f>Table11[[#This Row],['#Total Replacements]]*Table11[[#This Row],[Canada Allocation2017 %]]</f>
        <v>0</v>
      </c>
      <c r="R36" s="32">
        <f>IF(Table3789[[#This Row],['#Survival based on Inventory]]=0,Table3789['#Survival based on Last Year Estimate],Table3789['#Survival based on Inventory])</f>
        <v>0</v>
      </c>
      <c r="S36" s="16">
        <f>Table11[[#This Row],['#Planted]]*Table11[[#This Row],[Canada Allocation2017 %]]*Table11[[#This Row],[2024 Inventory Survival%-master]]</f>
        <v>0</v>
      </c>
      <c r="T36" s="16">
        <f>Table11[[#This Row],['#Planted]]*Table11[[#This Row],[Canada Allocation2017 %]]*Table11[[#This Row],[2024 Estimated Survival%]]</f>
        <v>0</v>
      </c>
      <c r="U36" s="7">
        <f>Table11[[#This Row],[ETP Year]]</f>
        <v>2016</v>
      </c>
      <c r="V36" s="7">
        <f>Table11[[#This Row],[Planting Year]]</f>
        <v>2017</v>
      </c>
      <c r="W36" s="17">
        <f>Table11[[#This Row],[Survival% as of 12/31/23]]</f>
        <v>0</v>
      </c>
      <c r="X36">
        <f>Table11[[#This Row],[ETP'#s]]</f>
        <v>1</v>
      </c>
    </row>
    <row r="37" spans="1:24" hidden="1" x14ac:dyDescent="0.25">
      <c r="A37">
        <f>Table11[[#This Row],[Farmer'#]]</f>
        <v>20010</v>
      </c>
      <c r="B37" t="str">
        <f>Table11[[#This Row],[Representative]]</f>
        <v>Edgar Ureña</v>
      </c>
      <c r="C37" t="str">
        <f>Table11[[#This Row],[Contract Name]]</f>
        <v>Edgar Ureña</v>
      </c>
      <c r="D37" t="str">
        <f>Table11[[#This Row],[Status]]</f>
        <v>Out of Program</v>
      </c>
      <c r="E37" t="str">
        <f>Table11[[#This Row],[Contract Code]]</f>
        <v>CR0010</v>
      </c>
      <c r="F37">
        <f>Table11[[#This Row],['#TreesContract]]</f>
        <v>500</v>
      </c>
      <c r="G37">
        <f>Table11[[#This Row],['#Planted]]</f>
        <v>500</v>
      </c>
      <c r="H37" s="16">
        <f>Table11[[#This Row],['#TreesContract]]*Table11[[#This Row],[Canada Allocation2017 %]]</f>
        <v>0</v>
      </c>
      <c r="I37" s="16">
        <f>Table11[[#This Row],['#Planted]]*Table11[[#This Row],[Canada Allocation2017 %]]</f>
        <v>0</v>
      </c>
      <c r="J37" s="16">
        <f>Table11[[#This Row],[Contract Amendment]]*Table11[[#This Row],[Canada Allocation2017 %]]</f>
        <v>0</v>
      </c>
      <c r="K37" s="16">
        <f>Table11[[#This Row],['#Trees as of 12/31/23]]*Table11[[#This Row],[Canada Allocation2017 %]]</f>
        <v>0</v>
      </c>
      <c r="L37" s="16">
        <f>Table11[[#This Row],['#Replace 24]]*Table11[[#This Row],[Canada Allocation2017 %]]</f>
        <v>0</v>
      </c>
      <c r="M37" s="16"/>
      <c r="N37" s="16">
        <f>(Table11[[#This Row],[2024 '#Trees Inventory + Estimate]]*Table11[[#This Row],[Canada Allocation2017 %]])-SUM(Table3789[[#This Row],['# Trees as of 12/31/23]:[New Trees/Planted in 2024]])</f>
        <v>0</v>
      </c>
      <c r="O37" s="32">
        <f>SUM(Table3789[[#This Row],['# Trees as of 12/31/23]:[2024 Tree Losses]])</f>
        <v>0</v>
      </c>
      <c r="P37" s="32">
        <f>SUM(Table3789[[#This Row],[Total Trees as of 12/31/24]]-Table3789[[#This Row],['# Trees as of 12/31/23]])</f>
        <v>0</v>
      </c>
      <c r="Q37" s="16">
        <f>Table11[[#This Row],['#Total Replacements]]*Table11[[#This Row],[Canada Allocation2017 %]]</f>
        <v>0</v>
      </c>
      <c r="R37" s="32">
        <f>IF(Table3789[[#This Row],['#Survival based on Inventory]]=0,Table3789['#Survival based on Last Year Estimate],Table3789['#Survival based on Inventory])</f>
        <v>0</v>
      </c>
      <c r="S37" s="16">
        <f>Table11[[#This Row],['#Planted]]*Table11[[#This Row],[Canada Allocation2017 %]]*Table11[[#This Row],[2024 Inventory Survival%-master]]</f>
        <v>0</v>
      </c>
      <c r="T37" s="16">
        <f>Table11[[#This Row],['#Planted]]*Table11[[#This Row],[Canada Allocation2017 %]]*Table11[[#This Row],[2024 Estimated Survival%]]</f>
        <v>0</v>
      </c>
      <c r="U37" s="7">
        <f>Table11[[#This Row],[ETP Year]]</f>
        <v>2016</v>
      </c>
      <c r="V37" s="7">
        <f>Table11[[#This Row],[Planting Year]]</f>
        <v>2017</v>
      </c>
      <c r="W37" s="17">
        <f>Table11[[#This Row],[Survival% as of 12/31/23]]</f>
        <v>0</v>
      </c>
      <c r="X37">
        <f>Table11[[#This Row],[ETP'#s]]</f>
        <v>1</v>
      </c>
    </row>
    <row r="38" spans="1:24" hidden="1" x14ac:dyDescent="0.25">
      <c r="A38">
        <f>Table11[[#This Row],[Farmer'#]]</f>
        <v>20011</v>
      </c>
      <c r="B38" t="str">
        <f>Table11[[#This Row],[Representative]]</f>
        <v>Fernando Altmann</v>
      </c>
      <c r="C38" t="str">
        <f>Table11[[#This Row],[Contract Name]]</f>
        <v>Fernando Altmann</v>
      </c>
      <c r="D38" t="str">
        <f>Table11[[#This Row],[Status]]</f>
        <v>Out of Program</v>
      </c>
      <c r="E38" t="str">
        <f>Table11[[#This Row],[Contract Code]]</f>
        <v>CR0011</v>
      </c>
      <c r="F38">
        <f>Table11[[#This Row],['#TreesContract]]</f>
        <v>13000</v>
      </c>
      <c r="G38">
        <f>Table11[[#This Row],['#Planted]]</f>
        <v>13000</v>
      </c>
      <c r="H38" s="16">
        <f>Table11[[#This Row],['#TreesContract]]*Table11[[#This Row],[Canada Allocation2017 %]]</f>
        <v>0</v>
      </c>
      <c r="I38" s="16">
        <f>Table11[[#This Row],['#Planted]]*Table11[[#This Row],[Canada Allocation2017 %]]</f>
        <v>0</v>
      </c>
      <c r="J38" s="16">
        <f>Table11[[#This Row],[Contract Amendment]]*Table11[[#This Row],[Canada Allocation2017 %]]</f>
        <v>0</v>
      </c>
      <c r="K38" s="16">
        <f>Table11[[#This Row],['#Trees as of 12/31/23]]*Table11[[#This Row],[Canada Allocation2017 %]]</f>
        <v>0</v>
      </c>
      <c r="L38" s="16">
        <f>Table11[[#This Row],['#Replace 24]]*Table11[[#This Row],[Canada Allocation2017 %]]</f>
        <v>0</v>
      </c>
      <c r="M38" s="16"/>
      <c r="N38" s="16">
        <f>(Table11[[#This Row],[2024 '#Trees Inventory + Estimate]]*Table11[[#This Row],[Canada Allocation2017 %]])-SUM(Table3789[[#This Row],['# Trees as of 12/31/23]:[New Trees/Planted in 2024]])</f>
        <v>0</v>
      </c>
      <c r="O38" s="32">
        <f>SUM(Table3789[[#This Row],['# Trees as of 12/31/23]:[2024 Tree Losses]])</f>
        <v>0</v>
      </c>
      <c r="P38" s="32">
        <f>SUM(Table3789[[#This Row],[Total Trees as of 12/31/24]]-Table3789[[#This Row],['# Trees as of 12/31/23]])</f>
        <v>0</v>
      </c>
      <c r="Q38" s="16">
        <f>Table11[[#This Row],['#Total Replacements]]*Table11[[#This Row],[Canada Allocation2017 %]]</f>
        <v>0</v>
      </c>
      <c r="R38" s="32">
        <f>IF(Table3789[[#This Row],['#Survival based on Inventory]]=0,Table3789['#Survival based on Last Year Estimate],Table3789['#Survival based on Inventory])</f>
        <v>0</v>
      </c>
      <c r="S38" s="16">
        <f>Table11[[#This Row],['#Planted]]*Table11[[#This Row],[Canada Allocation2017 %]]*Table11[[#This Row],[2024 Inventory Survival%-master]]</f>
        <v>0</v>
      </c>
      <c r="T38" s="16">
        <f>Table11[[#This Row],['#Planted]]*Table11[[#This Row],[Canada Allocation2017 %]]*Table11[[#This Row],[2024 Estimated Survival%]]</f>
        <v>0</v>
      </c>
      <c r="U38" s="7">
        <f>Table11[[#This Row],[ETP Year]]</f>
        <v>2016</v>
      </c>
      <c r="V38" s="7">
        <f>Table11[[#This Row],[Planting Year]]</f>
        <v>2017</v>
      </c>
      <c r="W38" s="17">
        <f>Table11[[#This Row],[Survival% as of 12/31/23]]</f>
        <v>0</v>
      </c>
      <c r="X38">
        <f>Table11[[#This Row],[ETP'#s]]</f>
        <v>1</v>
      </c>
    </row>
    <row r="39" spans="1:24" hidden="1" x14ac:dyDescent="0.25">
      <c r="A39">
        <f>Table11[[#This Row],[Farmer'#]]</f>
        <v>20012</v>
      </c>
      <c r="B39" t="str">
        <f>Table11[[#This Row],[Representative]]</f>
        <v>Francisco Mena</v>
      </c>
      <c r="C39" t="str">
        <f>Table11[[#This Row],[Contract Name]]</f>
        <v>Sumava de Lourdes, R.L</v>
      </c>
      <c r="D39" t="str">
        <f>Table11[[#This Row],[Status]]</f>
        <v>Out of Program</v>
      </c>
      <c r="E39" t="str">
        <f>Table11[[#This Row],[Contract Code]]</f>
        <v>CR0012</v>
      </c>
      <c r="F39">
        <f>Table11[[#This Row],['#TreesContract]]</f>
        <v>2000</v>
      </c>
      <c r="G39">
        <f>Table11[[#This Row],['#Planted]]</f>
        <v>2000</v>
      </c>
      <c r="H39" s="16">
        <f>Table11[[#This Row],['#TreesContract]]*Table11[[#This Row],[Canada Allocation2017 %]]</f>
        <v>0</v>
      </c>
      <c r="I39" s="16">
        <f>Table11[[#This Row],['#Planted]]*Table11[[#This Row],[Canada Allocation2017 %]]</f>
        <v>0</v>
      </c>
      <c r="J39" s="16">
        <f>Table11[[#This Row],[Contract Amendment]]*Table11[[#This Row],[Canada Allocation2017 %]]</f>
        <v>0</v>
      </c>
      <c r="K39" s="16">
        <f>Table11[[#This Row],['#Trees as of 12/31/23]]*Table11[[#This Row],[Canada Allocation2017 %]]</f>
        <v>0</v>
      </c>
      <c r="L39" s="16">
        <f>Table11[[#This Row],['#Replace 24]]*Table11[[#This Row],[Canada Allocation2017 %]]</f>
        <v>0</v>
      </c>
      <c r="M39" s="16"/>
      <c r="N39" s="16">
        <f>(Table11[[#This Row],[2024 '#Trees Inventory + Estimate]]*Table11[[#This Row],[Canada Allocation2017 %]])-SUM(Table3789[[#This Row],['# Trees as of 12/31/23]:[New Trees/Planted in 2024]])</f>
        <v>0</v>
      </c>
      <c r="O39" s="32">
        <f>SUM(Table3789[[#This Row],['# Trees as of 12/31/23]:[2024 Tree Losses]])</f>
        <v>0</v>
      </c>
      <c r="P39" s="32">
        <f>SUM(Table3789[[#This Row],[Total Trees as of 12/31/24]]-Table3789[[#This Row],['# Trees as of 12/31/23]])</f>
        <v>0</v>
      </c>
      <c r="Q39" s="16">
        <f>Table11[[#This Row],['#Total Replacements]]*Table11[[#This Row],[Canada Allocation2017 %]]</f>
        <v>0</v>
      </c>
      <c r="R39" s="32">
        <f>IF(Table3789[[#This Row],['#Survival based on Inventory]]=0,Table3789['#Survival based on Last Year Estimate],Table3789['#Survival based on Inventory])</f>
        <v>0</v>
      </c>
      <c r="S39" s="16">
        <f>Table11[[#This Row],['#Planted]]*Table11[[#This Row],[Canada Allocation2017 %]]*Table11[[#This Row],[2024 Inventory Survival%-master]]</f>
        <v>0</v>
      </c>
      <c r="T39" s="16">
        <f>Table11[[#This Row],['#Planted]]*Table11[[#This Row],[Canada Allocation2017 %]]*Table11[[#This Row],[2024 Estimated Survival%]]</f>
        <v>0</v>
      </c>
      <c r="U39" s="7">
        <f>Table11[[#This Row],[ETP Year]]</f>
        <v>2016</v>
      </c>
      <c r="V39" s="7">
        <f>Table11[[#This Row],[Planting Year]]</f>
        <v>2017</v>
      </c>
      <c r="W39" s="17">
        <f>Table11[[#This Row],[Survival% as of 12/31/23]]</f>
        <v>0</v>
      </c>
      <c r="X39">
        <f>Table11[[#This Row],[ETP'#s]]</f>
        <v>1</v>
      </c>
    </row>
    <row r="40" spans="1:24" hidden="1" x14ac:dyDescent="0.25">
      <c r="A40">
        <f>Table11[[#This Row],[Farmer'#]]</f>
        <v>20013</v>
      </c>
      <c r="B40" t="str">
        <f>Table11[[#This Row],[Representative]]</f>
        <v>Herberth Chacon</v>
      </c>
      <c r="C40" t="str">
        <f>Table11[[#This Row],[Contract Name]]</f>
        <v>Herberth Chacon</v>
      </c>
      <c r="D40" t="str">
        <f>Table11[[#This Row],[Status]]</f>
        <v>RFT</v>
      </c>
      <c r="E40" t="str">
        <f>Table11[[#This Row],[Contract Code]]</f>
        <v>CR0013</v>
      </c>
      <c r="F40">
        <f>Table11[[#This Row],['#TreesContract]]</f>
        <v>1000</v>
      </c>
      <c r="G40">
        <f>Table11[[#This Row],['#Planted]]</f>
        <v>1000</v>
      </c>
      <c r="H40" s="16">
        <f>Table11[[#This Row],['#TreesContract]]*Table11[[#This Row],[Canada Allocation2017 %]]</f>
        <v>0</v>
      </c>
      <c r="I40" s="16">
        <f>Table11[[#This Row],['#Planted]]*Table11[[#This Row],[Canada Allocation2017 %]]</f>
        <v>0</v>
      </c>
      <c r="J40" s="16">
        <f>Table11[[#This Row],[Contract Amendment]]*Table11[[#This Row],[Canada Allocation2017 %]]</f>
        <v>0</v>
      </c>
      <c r="K40" s="16">
        <f>Table11[[#This Row],['#Trees as of 12/31/23]]*Table11[[#This Row],[Canada Allocation2017 %]]</f>
        <v>0</v>
      </c>
      <c r="L40" s="16">
        <f>Table11[[#This Row],['#Replace 24]]*Table11[[#This Row],[Canada Allocation2017 %]]</f>
        <v>0</v>
      </c>
      <c r="M40" s="16"/>
      <c r="N40" s="16">
        <f>(Table11[[#This Row],[2024 '#Trees Inventory + Estimate]]*Table11[[#This Row],[Canada Allocation2017 %]])-SUM(Table3789[[#This Row],['# Trees as of 12/31/23]:[New Trees/Planted in 2024]])</f>
        <v>0</v>
      </c>
      <c r="O40" s="32">
        <f>SUM(Table3789[[#This Row],['# Trees as of 12/31/23]:[2024 Tree Losses]])</f>
        <v>0</v>
      </c>
      <c r="P40" s="32">
        <f>SUM(Table3789[[#This Row],[Total Trees as of 12/31/24]]-Table3789[[#This Row],['# Trees as of 12/31/23]])</f>
        <v>0</v>
      </c>
      <c r="Q40" s="16">
        <f>Table11[[#This Row],['#Total Replacements]]*Table11[[#This Row],[Canada Allocation2017 %]]</f>
        <v>0</v>
      </c>
      <c r="R40" s="32">
        <f>IF(Table3789[[#This Row],['#Survival based on Inventory]]=0,Table3789['#Survival based on Last Year Estimate],Table3789['#Survival based on Inventory])</f>
        <v>0</v>
      </c>
      <c r="S40" s="16">
        <f>Table11[[#This Row],['#Planted]]*Table11[[#This Row],[Canada Allocation2017 %]]*Table11[[#This Row],[2024 Inventory Survival%-master]]</f>
        <v>0</v>
      </c>
      <c r="T40" s="16">
        <f>Table11[[#This Row],['#Planted]]*Table11[[#This Row],[Canada Allocation2017 %]]*Table11[[#This Row],[2024 Estimated Survival%]]</f>
        <v>0</v>
      </c>
      <c r="U40" s="7">
        <f>Table11[[#This Row],[ETP Year]]</f>
        <v>2016</v>
      </c>
      <c r="V40" s="7">
        <f>Table11[[#This Row],[Planting Year]]</f>
        <v>2017</v>
      </c>
      <c r="W40" s="17">
        <f>Table11[[#This Row],[Survival% as of 12/31/23]]</f>
        <v>0.87</v>
      </c>
      <c r="X40">
        <f>Table11[[#This Row],[ETP'#s]]</f>
        <v>1</v>
      </c>
    </row>
    <row r="41" spans="1:24" hidden="1" x14ac:dyDescent="0.25">
      <c r="A41">
        <f>Table11[[#This Row],[Farmer'#]]</f>
        <v>20015</v>
      </c>
      <c r="B41" t="str">
        <f>Table11[[#This Row],[Representative]]</f>
        <v>Krzysztof Adamski</v>
      </c>
      <c r="C41" t="str">
        <f>Table11[[#This Row],[Contract Name]]</f>
        <v>Krzysztof Adamski</v>
      </c>
      <c r="D41" t="str">
        <f>Table11[[#This Row],[Status]]</f>
        <v>Out of Program</v>
      </c>
      <c r="E41" t="str">
        <f>Table11[[#This Row],[Contract Code]]</f>
        <v>CR0016</v>
      </c>
      <c r="F41">
        <f>Table11[[#This Row],['#TreesContract]]</f>
        <v>600</v>
      </c>
      <c r="G41">
        <f>Table11[[#This Row],['#Planted]]</f>
        <v>600</v>
      </c>
      <c r="H41" s="16">
        <f>Table11[[#This Row],['#TreesContract]]*Table11[[#This Row],[Canada Allocation2017 %]]</f>
        <v>0</v>
      </c>
      <c r="I41" s="16">
        <f>Table11[[#This Row],['#Planted]]*Table11[[#This Row],[Canada Allocation2017 %]]</f>
        <v>0</v>
      </c>
      <c r="J41" s="16">
        <f>Table11[[#This Row],[Contract Amendment]]*Table11[[#This Row],[Canada Allocation2017 %]]</f>
        <v>0</v>
      </c>
      <c r="K41" s="16">
        <f>Table11[[#This Row],['#Trees as of 12/31/23]]*Table11[[#This Row],[Canada Allocation2017 %]]</f>
        <v>0</v>
      </c>
      <c r="L41" s="16">
        <f>Table11[[#This Row],['#Replace 24]]*Table11[[#This Row],[Canada Allocation2017 %]]</f>
        <v>0</v>
      </c>
      <c r="M41" s="16"/>
      <c r="N41" s="16">
        <f>(Table11[[#This Row],[2024 '#Trees Inventory + Estimate]]*Table11[[#This Row],[Canada Allocation2017 %]])-SUM(Table3789[[#This Row],['# Trees as of 12/31/23]:[New Trees/Planted in 2024]])</f>
        <v>0</v>
      </c>
      <c r="O41" s="32">
        <f>SUM(Table3789[[#This Row],['# Trees as of 12/31/23]:[2024 Tree Losses]])</f>
        <v>0</v>
      </c>
      <c r="P41" s="32">
        <f>SUM(Table3789[[#This Row],[Total Trees as of 12/31/24]]-Table3789[[#This Row],['# Trees as of 12/31/23]])</f>
        <v>0</v>
      </c>
      <c r="Q41" s="16">
        <f>Table11[[#This Row],['#Total Replacements]]*Table11[[#This Row],[Canada Allocation2017 %]]</f>
        <v>0</v>
      </c>
      <c r="R41" s="32">
        <f>IF(Table3789[[#This Row],['#Survival based on Inventory]]=0,Table3789['#Survival based on Last Year Estimate],Table3789['#Survival based on Inventory])</f>
        <v>0</v>
      </c>
      <c r="S41" s="16">
        <f>Table11[[#This Row],['#Planted]]*Table11[[#This Row],[Canada Allocation2017 %]]*Table11[[#This Row],[2024 Inventory Survival%-master]]</f>
        <v>0</v>
      </c>
      <c r="T41" s="16">
        <f>Table11[[#This Row],['#Planted]]*Table11[[#This Row],[Canada Allocation2017 %]]*Table11[[#This Row],[2024 Estimated Survival%]]</f>
        <v>0</v>
      </c>
      <c r="U41" s="7">
        <f>Table11[[#This Row],[ETP Year]]</f>
        <v>2016</v>
      </c>
      <c r="V41" s="7">
        <f>Table11[[#This Row],[Planting Year]]</f>
        <v>2017</v>
      </c>
      <c r="W41" s="17">
        <f>Table11[[#This Row],[Survival% as of 12/31/23]]</f>
        <v>0</v>
      </c>
      <c r="X41">
        <f>Table11[[#This Row],[ETP'#s]]</f>
        <v>1</v>
      </c>
    </row>
    <row r="42" spans="1:24" hidden="1" x14ac:dyDescent="0.25">
      <c r="A42">
        <f>Table11[[#This Row],[Farmer'#]]</f>
        <v>20016</v>
      </c>
      <c r="B42" t="str">
        <f>Table11[[#This Row],[Representative]]</f>
        <v>Manuel Rojas</v>
      </c>
      <c r="C42" t="str">
        <f>Table11[[#This Row],[Contract Name]]</f>
        <v xml:space="preserve">Rojas y Pacheco S.R.L, </v>
      </c>
      <c r="D42" t="str">
        <f>Table11[[#This Row],[Status]]</f>
        <v>Out of Program</v>
      </c>
      <c r="E42" t="str">
        <f>Table11[[#This Row],[Contract Code]]</f>
        <v>CR0017</v>
      </c>
      <c r="F42">
        <f>Table11[[#This Row],['#TreesContract]]</f>
        <v>1000</v>
      </c>
      <c r="G42">
        <f>Table11[[#This Row],['#Planted]]</f>
        <v>1000</v>
      </c>
      <c r="H42" s="16">
        <f>Table11[[#This Row],['#TreesContract]]*Table11[[#This Row],[Canada Allocation2017 %]]</f>
        <v>0</v>
      </c>
      <c r="I42" s="16">
        <f>Table11[[#This Row],['#Planted]]*Table11[[#This Row],[Canada Allocation2017 %]]</f>
        <v>0</v>
      </c>
      <c r="J42" s="16">
        <f>Table11[[#This Row],[Contract Amendment]]*Table11[[#This Row],[Canada Allocation2017 %]]</f>
        <v>0</v>
      </c>
      <c r="K42" s="16">
        <f>Table11[[#This Row],['#Trees as of 12/31/23]]*Table11[[#This Row],[Canada Allocation2017 %]]</f>
        <v>0</v>
      </c>
      <c r="L42" s="16">
        <f>Table11[[#This Row],['#Replace 24]]*Table11[[#This Row],[Canada Allocation2017 %]]</f>
        <v>0</v>
      </c>
      <c r="M42" s="16"/>
      <c r="N42" s="16">
        <f>(Table11[[#This Row],[2024 '#Trees Inventory + Estimate]]*Table11[[#This Row],[Canada Allocation2017 %]])-SUM(Table3789[[#This Row],['# Trees as of 12/31/23]:[New Trees/Planted in 2024]])</f>
        <v>0</v>
      </c>
      <c r="O42" s="32">
        <f>SUM(Table3789[[#This Row],['# Trees as of 12/31/23]:[2024 Tree Losses]])</f>
        <v>0</v>
      </c>
      <c r="P42" s="32">
        <f>SUM(Table3789[[#This Row],[Total Trees as of 12/31/24]]-Table3789[[#This Row],['# Trees as of 12/31/23]])</f>
        <v>0</v>
      </c>
      <c r="Q42" s="16">
        <f>Table11[[#This Row],['#Total Replacements]]*Table11[[#This Row],[Canada Allocation2017 %]]</f>
        <v>0</v>
      </c>
      <c r="R42" s="32">
        <f>IF(Table3789[[#This Row],['#Survival based on Inventory]]=0,Table3789['#Survival based on Last Year Estimate],Table3789['#Survival based on Inventory])</f>
        <v>0</v>
      </c>
      <c r="S42" s="16">
        <f>Table11[[#This Row],['#Planted]]*Table11[[#This Row],[Canada Allocation2017 %]]*Table11[[#This Row],[2024 Inventory Survival%-master]]</f>
        <v>0</v>
      </c>
      <c r="T42" s="16">
        <f>Table11[[#This Row],['#Planted]]*Table11[[#This Row],[Canada Allocation2017 %]]*Table11[[#This Row],[2024 Estimated Survival%]]</f>
        <v>0</v>
      </c>
      <c r="U42" s="7">
        <f>Table11[[#This Row],[ETP Year]]</f>
        <v>2016</v>
      </c>
      <c r="V42" s="7">
        <f>Table11[[#This Row],[Planting Year]]</f>
        <v>2017</v>
      </c>
      <c r="W42" s="17">
        <f>Table11[[#This Row],[Survival% as of 12/31/23]]</f>
        <v>0</v>
      </c>
      <c r="X42">
        <f>Table11[[#This Row],[ETP'#s]]</f>
        <v>1</v>
      </c>
    </row>
    <row r="43" spans="1:24" hidden="1" x14ac:dyDescent="0.25">
      <c r="A43">
        <f>Table11[[#This Row],[Farmer'#]]</f>
        <v>20017</v>
      </c>
      <c r="B43" t="str">
        <f>Table11[[#This Row],[Representative]]</f>
        <v>Martin Gutierrez</v>
      </c>
      <c r="C43" t="str">
        <f>Table11[[#This Row],[Contract Name]]</f>
        <v>Martin Gutierrez</v>
      </c>
      <c r="D43" t="str">
        <f>Table11[[#This Row],[Status]]</f>
        <v>Out of Program</v>
      </c>
      <c r="E43" t="str">
        <f>Table11[[#This Row],[Contract Code]]</f>
        <v>CR0018</v>
      </c>
      <c r="F43">
        <f>Table11[[#This Row],['#TreesContract]]</f>
        <v>250</v>
      </c>
      <c r="G43">
        <f>Table11[[#This Row],['#Planted]]</f>
        <v>250</v>
      </c>
      <c r="H43" s="16">
        <f>Table11[[#This Row],['#TreesContract]]*Table11[[#This Row],[Canada Allocation2017 %]]</f>
        <v>0</v>
      </c>
      <c r="I43" s="16">
        <f>Table11[[#This Row],['#Planted]]*Table11[[#This Row],[Canada Allocation2017 %]]</f>
        <v>0</v>
      </c>
      <c r="J43" s="16">
        <f>Table11[[#This Row],[Contract Amendment]]*Table11[[#This Row],[Canada Allocation2017 %]]</f>
        <v>0</v>
      </c>
      <c r="K43" s="16">
        <f>Table11[[#This Row],['#Trees as of 12/31/23]]*Table11[[#This Row],[Canada Allocation2017 %]]</f>
        <v>0</v>
      </c>
      <c r="L43" s="16">
        <f>Table11[[#This Row],['#Replace 24]]*Table11[[#This Row],[Canada Allocation2017 %]]</f>
        <v>0</v>
      </c>
      <c r="M43" s="16"/>
      <c r="N43" s="16">
        <f>(Table11[[#This Row],[2024 '#Trees Inventory + Estimate]]*Table11[[#This Row],[Canada Allocation2017 %]])-SUM(Table3789[[#This Row],['# Trees as of 12/31/23]:[New Trees/Planted in 2024]])</f>
        <v>0</v>
      </c>
      <c r="O43" s="32">
        <f>SUM(Table3789[[#This Row],['# Trees as of 12/31/23]:[2024 Tree Losses]])</f>
        <v>0</v>
      </c>
      <c r="P43" s="32">
        <f>SUM(Table3789[[#This Row],[Total Trees as of 12/31/24]]-Table3789[[#This Row],['# Trees as of 12/31/23]])</f>
        <v>0</v>
      </c>
      <c r="Q43" s="16">
        <f>Table11[[#This Row],['#Total Replacements]]*Table11[[#This Row],[Canada Allocation2017 %]]</f>
        <v>0</v>
      </c>
      <c r="R43" s="32">
        <f>IF(Table3789[[#This Row],['#Survival based on Inventory]]=0,Table3789['#Survival based on Last Year Estimate],Table3789['#Survival based on Inventory])</f>
        <v>0</v>
      </c>
      <c r="S43" s="16">
        <f>Table11[[#This Row],['#Planted]]*Table11[[#This Row],[Canada Allocation2017 %]]*Table11[[#This Row],[2024 Inventory Survival%-master]]</f>
        <v>0</v>
      </c>
      <c r="T43" s="16">
        <f>Table11[[#This Row],['#Planted]]*Table11[[#This Row],[Canada Allocation2017 %]]*Table11[[#This Row],[2024 Estimated Survival%]]</f>
        <v>0</v>
      </c>
      <c r="U43" s="7">
        <f>Table11[[#This Row],[ETP Year]]</f>
        <v>2016</v>
      </c>
      <c r="V43" s="7">
        <f>Table11[[#This Row],[Planting Year]]</f>
        <v>2017</v>
      </c>
      <c r="W43" s="17">
        <f>Table11[[#This Row],[Survival% as of 12/31/23]]</f>
        <v>0</v>
      </c>
      <c r="X43">
        <f>Table11[[#This Row],[ETP'#s]]</f>
        <v>1</v>
      </c>
    </row>
    <row r="44" spans="1:24" hidden="1" x14ac:dyDescent="0.25">
      <c r="A44">
        <f>Table11[[#This Row],[Farmer'#]]</f>
        <v>20018</v>
      </c>
      <c r="B44" t="str">
        <f>Table11[[#This Row],[Representative]]</f>
        <v>Miguel Angel Cabezas</v>
      </c>
      <c r="C44" t="str">
        <f>Table11[[#This Row],[Contract Name]]</f>
        <v>Miriam Mora Salazar</v>
      </c>
      <c r="D44" t="str">
        <f>Table11[[#This Row],[Status]]</f>
        <v>Out of Program</v>
      </c>
      <c r="E44" t="str">
        <f>Table11[[#This Row],[Contract Code]]</f>
        <v>CR0019</v>
      </c>
      <c r="F44">
        <f>Table11[[#This Row],['#TreesContract]]</f>
        <v>500</v>
      </c>
      <c r="G44">
        <f>Table11[[#This Row],['#Planted]]</f>
        <v>500</v>
      </c>
      <c r="H44" s="16">
        <f>Table11[[#This Row],['#TreesContract]]*Table11[[#This Row],[Canada Allocation2017 %]]</f>
        <v>0</v>
      </c>
      <c r="I44" s="16">
        <f>Table11[[#This Row],['#Planted]]*Table11[[#This Row],[Canada Allocation2017 %]]</f>
        <v>0</v>
      </c>
      <c r="J44" s="16">
        <f>Table11[[#This Row],[Contract Amendment]]*Table11[[#This Row],[Canada Allocation2017 %]]</f>
        <v>0</v>
      </c>
      <c r="K44" s="16">
        <f>Table11[[#This Row],['#Trees as of 12/31/23]]*Table11[[#This Row],[Canada Allocation2017 %]]</f>
        <v>0</v>
      </c>
      <c r="L44" s="16">
        <f>Table11[[#This Row],['#Replace 24]]*Table11[[#This Row],[Canada Allocation2017 %]]</f>
        <v>0</v>
      </c>
      <c r="M44" s="16"/>
      <c r="N44" s="16">
        <f>(Table11[[#This Row],[2024 '#Trees Inventory + Estimate]]*Table11[[#This Row],[Canada Allocation2017 %]])-SUM(Table3789[[#This Row],['# Trees as of 12/31/23]:[New Trees/Planted in 2024]])</f>
        <v>0</v>
      </c>
      <c r="O44" s="32">
        <f>SUM(Table3789[[#This Row],['# Trees as of 12/31/23]:[2024 Tree Losses]])</f>
        <v>0</v>
      </c>
      <c r="P44" s="32">
        <f>SUM(Table3789[[#This Row],[Total Trees as of 12/31/24]]-Table3789[[#This Row],['# Trees as of 12/31/23]])</f>
        <v>0</v>
      </c>
      <c r="Q44" s="16">
        <f>Table11[[#This Row],['#Total Replacements]]*Table11[[#This Row],[Canada Allocation2017 %]]</f>
        <v>0</v>
      </c>
      <c r="R44" s="32">
        <f>IF(Table3789[[#This Row],['#Survival based on Inventory]]=0,Table3789['#Survival based on Last Year Estimate],Table3789['#Survival based on Inventory])</f>
        <v>0</v>
      </c>
      <c r="S44" s="16">
        <f>Table11[[#This Row],['#Planted]]*Table11[[#This Row],[Canada Allocation2017 %]]*Table11[[#This Row],[2024 Inventory Survival%-master]]</f>
        <v>0</v>
      </c>
      <c r="T44" s="16">
        <f>Table11[[#This Row],['#Planted]]*Table11[[#This Row],[Canada Allocation2017 %]]*Table11[[#This Row],[2024 Estimated Survival%]]</f>
        <v>0</v>
      </c>
      <c r="U44" s="7">
        <f>Table11[[#This Row],[ETP Year]]</f>
        <v>2016</v>
      </c>
      <c r="V44" s="7">
        <f>Table11[[#This Row],[Planting Year]]</f>
        <v>2017</v>
      </c>
      <c r="W44" s="17">
        <f>Table11[[#This Row],[Survival% as of 12/31/23]]</f>
        <v>0</v>
      </c>
      <c r="X44">
        <f>Table11[[#This Row],[ETP'#s]]</f>
        <v>1</v>
      </c>
    </row>
    <row r="45" spans="1:24" hidden="1" x14ac:dyDescent="0.25">
      <c r="A45">
        <f>Table11[[#This Row],[Farmer'#]]</f>
        <v>20019</v>
      </c>
      <c r="B45" t="str">
        <f>Table11[[#This Row],[Representative]]</f>
        <v xml:space="preserve">Fernando Chacon </v>
      </c>
      <c r="C45" t="str">
        <f>Table11[[#This Row],[Contract Name]]</f>
        <v xml:space="preserve">Esteban Fernando Chacon </v>
      </c>
      <c r="D45" t="str">
        <f>Table11[[#This Row],[Status]]</f>
        <v>Out of Program</v>
      </c>
      <c r="E45" t="str">
        <f>Table11[[#This Row],[Contract Code]]</f>
        <v>CR0020</v>
      </c>
      <c r="F45">
        <f>Table11[[#This Row],['#TreesContract]]</f>
        <v>300</v>
      </c>
      <c r="G45">
        <f>Table11[[#This Row],['#Planted]]</f>
        <v>300</v>
      </c>
      <c r="H45" s="16">
        <f>Table11[[#This Row],['#TreesContract]]*Table11[[#This Row],[Canada Allocation2017 %]]</f>
        <v>0</v>
      </c>
      <c r="I45" s="16">
        <f>Table11[[#This Row],['#Planted]]*Table11[[#This Row],[Canada Allocation2017 %]]</f>
        <v>0</v>
      </c>
      <c r="J45" s="16">
        <f>Table11[[#This Row],[Contract Amendment]]*Table11[[#This Row],[Canada Allocation2017 %]]</f>
        <v>0</v>
      </c>
      <c r="K45" s="16">
        <f>Table11[[#This Row],['#Trees as of 12/31/23]]*Table11[[#This Row],[Canada Allocation2017 %]]</f>
        <v>0</v>
      </c>
      <c r="L45" s="16">
        <f>Table11[[#This Row],['#Replace 24]]*Table11[[#This Row],[Canada Allocation2017 %]]</f>
        <v>0</v>
      </c>
      <c r="M45" s="16"/>
      <c r="N45" s="16">
        <f>(Table11[[#This Row],[2024 '#Trees Inventory + Estimate]]*Table11[[#This Row],[Canada Allocation2017 %]])-SUM(Table3789[[#This Row],['# Trees as of 12/31/23]:[New Trees/Planted in 2024]])</f>
        <v>0</v>
      </c>
      <c r="O45" s="32">
        <f>SUM(Table3789[[#This Row],['# Trees as of 12/31/23]:[2024 Tree Losses]])</f>
        <v>0</v>
      </c>
      <c r="P45" s="32">
        <f>SUM(Table3789[[#This Row],[Total Trees as of 12/31/24]]-Table3789[[#This Row],['# Trees as of 12/31/23]])</f>
        <v>0</v>
      </c>
      <c r="Q45" s="16">
        <f>Table11[[#This Row],['#Total Replacements]]*Table11[[#This Row],[Canada Allocation2017 %]]</f>
        <v>0</v>
      </c>
      <c r="R45" s="32">
        <f>IF(Table3789[[#This Row],['#Survival based on Inventory]]=0,Table3789['#Survival based on Last Year Estimate],Table3789['#Survival based on Inventory])</f>
        <v>0</v>
      </c>
      <c r="S45" s="16">
        <f>Table11[[#This Row],['#Planted]]*Table11[[#This Row],[Canada Allocation2017 %]]*Table11[[#This Row],[2024 Inventory Survival%-master]]</f>
        <v>0</v>
      </c>
      <c r="T45" s="16">
        <f>Table11[[#This Row],['#Planted]]*Table11[[#This Row],[Canada Allocation2017 %]]*Table11[[#This Row],[2024 Estimated Survival%]]</f>
        <v>0</v>
      </c>
      <c r="U45" s="7">
        <f>Table11[[#This Row],[ETP Year]]</f>
        <v>2016</v>
      </c>
      <c r="V45" s="7">
        <f>Table11[[#This Row],[Planting Year]]</f>
        <v>2017</v>
      </c>
      <c r="W45" s="17">
        <f>Table11[[#This Row],[Survival% as of 12/31/23]]</f>
        <v>0</v>
      </c>
      <c r="X45">
        <f>Table11[[#This Row],[ETP'#s]]</f>
        <v>1</v>
      </c>
    </row>
    <row r="46" spans="1:24" hidden="1" x14ac:dyDescent="0.25">
      <c r="A46">
        <f>Table11[[#This Row],[Farmer'#]]</f>
        <v>20020</v>
      </c>
      <c r="B46" t="str">
        <f>Table11[[#This Row],[Representative]]</f>
        <v>Oscar Viquez</v>
      </c>
      <c r="C46" t="str">
        <f>Table11[[#This Row],[Contract Name]]</f>
        <v>Oscar Viquez,María Isabel Quesada Víquez, Eraida Quesada Víquez, Estelia Quesada Víquez</v>
      </c>
      <c r="D46" t="str">
        <f>Table11[[#This Row],[Status]]</f>
        <v>Out of Program</v>
      </c>
      <c r="E46" t="str">
        <f>Table11[[#This Row],[Contract Code]]</f>
        <v>CR0021</v>
      </c>
      <c r="F46">
        <f>Table11[[#This Row],['#TreesContract]]</f>
        <v>1000</v>
      </c>
      <c r="G46">
        <f>Table11[[#This Row],['#Planted]]</f>
        <v>1000</v>
      </c>
      <c r="H46" s="16">
        <f>Table11[[#This Row],['#TreesContract]]*Table11[[#This Row],[Canada Allocation2017 %]]</f>
        <v>0</v>
      </c>
      <c r="I46" s="16">
        <f>Table11[[#This Row],['#Planted]]*Table11[[#This Row],[Canada Allocation2017 %]]</f>
        <v>0</v>
      </c>
      <c r="J46" s="16">
        <f>Table11[[#This Row],[Contract Amendment]]*Table11[[#This Row],[Canada Allocation2017 %]]</f>
        <v>0</v>
      </c>
      <c r="K46" s="16">
        <f>Table11[[#This Row],['#Trees as of 12/31/23]]*Table11[[#This Row],[Canada Allocation2017 %]]</f>
        <v>0</v>
      </c>
      <c r="L46" s="16">
        <f>Table11[[#This Row],['#Replace 24]]*Table11[[#This Row],[Canada Allocation2017 %]]</f>
        <v>0</v>
      </c>
      <c r="M46" s="16"/>
      <c r="N46" s="16">
        <f>(Table11[[#This Row],[2024 '#Trees Inventory + Estimate]]*Table11[[#This Row],[Canada Allocation2017 %]])-SUM(Table3789[[#This Row],['# Trees as of 12/31/23]:[New Trees/Planted in 2024]])</f>
        <v>0</v>
      </c>
      <c r="O46" s="32">
        <f>SUM(Table3789[[#This Row],['# Trees as of 12/31/23]:[2024 Tree Losses]])</f>
        <v>0</v>
      </c>
      <c r="P46" s="32">
        <f>SUM(Table3789[[#This Row],[Total Trees as of 12/31/24]]-Table3789[[#This Row],['# Trees as of 12/31/23]])</f>
        <v>0</v>
      </c>
      <c r="Q46" s="16">
        <f>Table11[[#This Row],['#Total Replacements]]*Table11[[#This Row],[Canada Allocation2017 %]]</f>
        <v>0</v>
      </c>
      <c r="R46" s="32">
        <f>IF(Table3789[[#This Row],['#Survival based on Inventory]]=0,Table3789['#Survival based on Last Year Estimate],Table3789['#Survival based on Inventory])</f>
        <v>0</v>
      </c>
      <c r="S46" s="16">
        <f>Table11[[#This Row],['#Planted]]*Table11[[#This Row],[Canada Allocation2017 %]]*Table11[[#This Row],[2024 Inventory Survival%-master]]</f>
        <v>0</v>
      </c>
      <c r="T46" s="16">
        <f>Table11[[#This Row],['#Planted]]*Table11[[#This Row],[Canada Allocation2017 %]]*Table11[[#This Row],[2024 Estimated Survival%]]</f>
        <v>0</v>
      </c>
      <c r="U46" s="7">
        <f>Table11[[#This Row],[ETP Year]]</f>
        <v>2016</v>
      </c>
      <c r="V46" s="7">
        <f>Table11[[#This Row],[Planting Year]]</f>
        <v>2017</v>
      </c>
      <c r="W46" s="17">
        <f>Table11[[#This Row],[Survival% as of 12/31/23]]</f>
        <v>0</v>
      </c>
      <c r="X46">
        <f>Table11[[#This Row],[ETP'#s]]</f>
        <v>1</v>
      </c>
    </row>
    <row r="47" spans="1:24" hidden="1" x14ac:dyDescent="0.25">
      <c r="A47">
        <f>Table11[[#This Row],[Farmer'#]]</f>
        <v>20021</v>
      </c>
      <c r="B47" t="str">
        <f>Table11[[#This Row],[Representative]]</f>
        <v>Susy Calderon</v>
      </c>
      <c r="C47" t="str">
        <f>Table11[[#This Row],[Contract Name]]</f>
        <v>Susy Calderon</v>
      </c>
      <c r="D47" t="str">
        <f>Table11[[#This Row],[Status]]</f>
        <v>Out of Program</v>
      </c>
      <c r="E47" t="str">
        <f>Table11[[#This Row],[Contract Code]]</f>
        <v>CR0022</v>
      </c>
      <c r="F47">
        <f>Table11[[#This Row],['#TreesContract]]</f>
        <v>250</v>
      </c>
      <c r="G47">
        <f>Table11[[#This Row],['#Planted]]</f>
        <v>250</v>
      </c>
      <c r="H47" s="16">
        <f>Table11[[#This Row],['#TreesContract]]*Table11[[#This Row],[Canada Allocation2017 %]]</f>
        <v>0</v>
      </c>
      <c r="I47" s="16">
        <f>Table11[[#This Row],['#Planted]]*Table11[[#This Row],[Canada Allocation2017 %]]</f>
        <v>0</v>
      </c>
      <c r="J47" s="16">
        <f>Table11[[#This Row],[Contract Amendment]]*Table11[[#This Row],[Canada Allocation2017 %]]</f>
        <v>0</v>
      </c>
      <c r="K47" s="16">
        <f>Table11[[#This Row],['#Trees as of 12/31/23]]*Table11[[#This Row],[Canada Allocation2017 %]]</f>
        <v>0</v>
      </c>
      <c r="L47" s="16">
        <f>Table11[[#This Row],['#Replace 24]]*Table11[[#This Row],[Canada Allocation2017 %]]</f>
        <v>0</v>
      </c>
      <c r="M47" s="16"/>
      <c r="N47" s="16">
        <f>(Table11[[#This Row],[2024 '#Trees Inventory + Estimate]]*Table11[[#This Row],[Canada Allocation2017 %]])-SUM(Table3789[[#This Row],['# Trees as of 12/31/23]:[New Trees/Planted in 2024]])</f>
        <v>0</v>
      </c>
      <c r="O47" s="32">
        <f>SUM(Table3789[[#This Row],['# Trees as of 12/31/23]:[2024 Tree Losses]])</f>
        <v>0</v>
      </c>
      <c r="P47" s="32">
        <f>SUM(Table3789[[#This Row],[Total Trees as of 12/31/24]]-Table3789[[#This Row],['# Trees as of 12/31/23]])</f>
        <v>0</v>
      </c>
      <c r="Q47" s="16">
        <f>Table11[[#This Row],['#Total Replacements]]*Table11[[#This Row],[Canada Allocation2017 %]]</f>
        <v>0</v>
      </c>
      <c r="R47" s="32">
        <f>IF(Table3789[[#This Row],['#Survival based on Inventory]]=0,Table3789['#Survival based on Last Year Estimate],Table3789['#Survival based on Inventory])</f>
        <v>0</v>
      </c>
      <c r="S47" s="16">
        <f>Table11[[#This Row],['#Planted]]*Table11[[#This Row],[Canada Allocation2017 %]]*Table11[[#This Row],[2024 Inventory Survival%-master]]</f>
        <v>0</v>
      </c>
      <c r="T47" s="16">
        <f>Table11[[#This Row],['#Planted]]*Table11[[#This Row],[Canada Allocation2017 %]]*Table11[[#This Row],[2024 Estimated Survival%]]</f>
        <v>0</v>
      </c>
      <c r="U47" s="7">
        <f>Table11[[#This Row],[ETP Year]]</f>
        <v>2016</v>
      </c>
      <c r="V47" s="7">
        <f>Table11[[#This Row],[Planting Year]]</f>
        <v>2017</v>
      </c>
      <c r="W47" s="17">
        <f>Table11[[#This Row],[Survival% as of 12/31/23]]</f>
        <v>0</v>
      </c>
      <c r="X47">
        <f>Table11[[#This Row],[ETP'#s]]</f>
        <v>1</v>
      </c>
    </row>
    <row r="48" spans="1:24" hidden="1" x14ac:dyDescent="0.25">
      <c r="A48">
        <f>Table11[[#This Row],[Farmer'#]]</f>
        <v>0</v>
      </c>
      <c r="B48" t="str">
        <f>Table11[[#This Row],[Representative]]</f>
        <v>Jorge Arrieta</v>
      </c>
      <c r="C48" t="str">
        <f>Table11[[#This Row],[Contract Name]]</f>
        <v>Olymar Santa Lucia</v>
      </c>
      <c r="D48" t="str">
        <f>Table11[[#This Row],[Status]]</f>
        <v>Out of Program</v>
      </c>
      <c r="E48" t="str">
        <f>Table11[[#This Row],[Contract Code]]</f>
        <v>CR0014</v>
      </c>
      <c r="F48">
        <f>Table11[[#This Row],['#TreesContract]]</f>
        <v>1000</v>
      </c>
      <c r="G48">
        <f>Table11[[#This Row],['#Planted]]</f>
        <v>1000</v>
      </c>
      <c r="H48" s="16">
        <f>Table11[[#This Row],['#TreesContract]]*Table11[[#This Row],[Canada Allocation2017 %]]</f>
        <v>0</v>
      </c>
      <c r="I48" s="16">
        <f>Table11[[#This Row],['#Planted]]*Table11[[#This Row],[Canada Allocation2017 %]]</f>
        <v>0</v>
      </c>
      <c r="J48" s="16">
        <f>Table11[[#This Row],[Contract Amendment]]*Table11[[#This Row],[Canada Allocation2017 %]]</f>
        <v>0</v>
      </c>
      <c r="K48" s="16">
        <f>Table11[[#This Row],['#Trees as of 12/31/23]]*Table11[[#This Row],[Canada Allocation2017 %]]</f>
        <v>0</v>
      </c>
      <c r="L48" s="16">
        <f>Table11[[#This Row],['#Replace 24]]*Table11[[#This Row],[Canada Allocation2017 %]]</f>
        <v>0</v>
      </c>
      <c r="M48" s="16"/>
      <c r="N48" s="16">
        <f>(Table11[[#This Row],[2024 '#Trees Inventory + Estimate]]*Table11[[#This Row],[Canada Allocation2017 %]])-SUM(Table3789[[#This Row],['# Trees as of 12/31/23]:[New Trees/Planted in 2024]])</f>
        <v>0</v>
      </c>
      <c r="O48" s="32">
        <f>SUM(Table3789[[#This Row],['# Trees as of 12/31/23]:[2024 Tree Losses]])</f>
        <v>0</v>
      </c>
      <c r="P48" s="32">
        <f>SUM(Table3789[[#This Row],[Total Trees as of 12/31/24]]-Table3789[[#This Row],['# Trees as of 12/31/23]])</f>
        <v>0</v>
      </c>
      <c r="Q48" s="16">
        <f>Table11[[#This Row],['#Total Replacements]]*Table11[[#This Row],[Canada Allocation2017 %]]</f>
        <v>0</v>
      </c>
      <c r="R48" s="32">
        <f>IF(Table3789[[#This Row],['#Survival based on Inventory]]=0,Table3789['#Survival based on Last Year Estimate],Table3789['#Survival based on Inventory])</f>
        <v>0</v>
      </c>
      <c r="S48" s="16">
        <f>Table11[[#This Row],['#Planted]]*Table11[[#This Row],[Canada Allocation2017 %]]*Table11[[#This Row],[2024 Inventory Survival%-master]]</f>
        <v>0</v>
      </c>
      <c r="T48" s="16">
        <f>Table11[[#This Row],['#Planted]]*Table11[[#This Row],[Canada Allocation2017 %]]*Table11[[#This Row],[2024 Estimated Survival%]]</f>
        <v>0</v>
      </c>
      <c r="U48" s="7">
        <f>Table11[[#This Row],[ETP Year]]</f>
        <v>2016</v>
      </c>
      <c r="V48" s="7">
        <f>Table11[[#This Row],[Planting Year]]</f>
        <v>2017</v>
      </c>
      <c r="W48" s="17">
        <f>Table11[[#This Row],[Survival% as of 12/31/23]]</f>
        <v>0</v>
      </c>
      <c r="X48">
        <f>Table11[[#This Row],[ETP'#s]]</f>
        <v>1</v>
      </c>
    </row>
    <row r="49" spans="1:24" hidden="1" x14ac:dyDescent="0.25">
      <c r="A49">
        <f>Table11[[#This Row],[Farmer'#]]</f>
        <v>10006</v>
      </c>
      <c r="B49" t="str">
        <f>Table11[[#This Row],[Representative]]</f>
        <v>Eugene Martens</v>
      </c>
      <c r="C49" t="str">
        <f>Table11[[#This Row],[Contract Name]]</f>
        <v>Eugene Martens</v>
      </c>
      <c r="D49" t="str">
        <f>Table11[[#This Row],[Status]]</f>
        <v>Active</v>
      </c>
      <c r="E49" t="str">
        <f>Table11[[#This Row],[Contract Code]]</f>
        <v>US0023</v>
      </c>
      <c r="F49">
        <f>Table11[[#This Row],['#TreesContract]]</f>
        <v>660</v>
      </c>
      <c r="G49">
        <f>Table11[[#This Row],['#Planted]]</f>
        <v>660</v>
      </c>
      <c r="H49" s="16">
        <f>Table11[[#This Row],['#TreesContract]]*Table11[[#This Row],[Canada Allocation2017 %]]</f>
        <v>366</v>
      </c>
      <c r="I49" s="16">
        <f>Table11[[#This Row],['#Planted]]*Table11[[#This Row],[Canada Allocation2017 %]]</f>
        <v>366</v>
      </c>
      <c r="J49" s="16">
        <f>Table11[[#This Row],[Contract Amendment]]*Table11[[#This Row],[Canada Allocation2017 %]]</f>
        <v>0</v>
      </c>
      <c r="K49" s="16">
        <f>Table11[[#This Row],['#Trees as of 12/31/23]]*Table11[[#This Row],[Canada Allocation2017 %]]</f>
        <v>279.31578947368416</v>
      </c>
      <c r="L49" s="16">
        <f>Table11[[#This Row],['#Replace 24]]*Table11[[#This Row],[Canada Allocation2017 %]]</f>
        <v>0</v>
      </c>
      <c r="M49" s="16"/>
      <c r="N49" s="16">
        <f>(Table11[[#This Row],[2024 '#Trees Inventory + Estimate]]*Table11[[#This Row],[Canada Allocation2017 %]])-SUM(Table3789[[#This Row],['# Trees as of 12/31/23]:[New Trees/Planted in 2024]])</f>
        <v>0</v>
      </c>
      <c r="O49" s="32">
        <f>SUM(Table3789[[#This Row],['# Trees as of 12/31/23]:[2024 Tree Losses]])</f>
        <v>279.31578947368416</v>
      </c>
      <c r="P49" s="32">
        <f>SUM(Table3789[[#This Row],[Total Trees as of 12/31/24]]-Table3789[[#This Row],['# Trees as of 12/31/23]])</f>
        <v>0</v>
      </c>
      <c r="Q49" s="16">
        <f>Table11[[#This Row],['#Total Replacements]]*Table11[[#This Row],[Canada Allocation2017 %]]</f>
        <v>125.32727272727273</v>
      </c>
      <c r="R49" s="32">
        <f>IF(Table3789[[#This Row],['#Survival based on Inventory]]=0,Table3789['#Survival based on Last Year Estimate],Table3789['#Survival based on Inventory])</f>
        <v>279.31578947368416</v>
      </c>
      <c r="S49" s="16">
        <f>Table11[[#This Row],['#Planted]]*Table11[[#This Row],[Canada Allocation2017 %]]*Table11[[#This Row],[2024 Inventory Survival%-master]]</f>
        <v>0</v>
      </c>
      <c r="T49" s="16">
        <f>Table11[[#This Row],['#Planted]]*Table11[[#This Row],[Canada Allocation2017 %]]*Table11[[#This Row],[2024 Estimated Survival%]]</f>
        <v>279.31578947368416</v>
      </c>
      <c r="U49" s="7">
        <f>Table11[[#This Row],[ETP Year]]</f>
        <v>2016</v>
      </c>
      <c r="V49" s="7">
        <f>Table11[[#This Row],[Planting Year]]</f>
        <v>2018</v>
      </c>
      <c r="W49" s="17">
        <f>Table11[[#This Row],[Survival% as of 12/31/23]]</f>
        <v>0.76315789473684204</v>
      </c>
      <c r="X49">
        <f>Table11[[#This Row],[ETP'#s]]</f>
        <v>1</v>
      </c>
    </row>
    <row r="50" spans="1:24" hidden="1" x14ac:dyDescent="0.25">
      <c r="A50">
        <f>Table11[[#This Row],[Farmer'#]]</f>
        <v>10016</v>
      </c>
      <c r="B50" t="str">
        <f>Table11[[#This Row],[Representative]]</f>
        <v>Marlene Lewis</v>
      </c>
      <c r="C50" t="str">
        <f>Table11[[#This Row],[Contract Name]]</f>
        <v>Lewauta Landholdings Inc</v>
      </c>
      <c r="D50" t="str">
        <f>Table11[[#This Row],[Status]]</f>
        <v>Out of Program</v>
      </c>
      <c r="E50" t="str">
        <f>Table11[[#This Row],[Contract Code]]</f>
        <v>US0027</v>
      </c>
      <c r="F50">
        <f>Table11[[#This Row],['#TreesContract]]</f>
        <v>425</v>
      </c>
      <c r="G50">
        <f>Table11[[#This Row],['#Planted]]</f>
        <v>425</v>
      </c>
      <c r="H50" s="16">
        <f>Table11[[#This Row],['#TreesContract]]*Table11[[#This Row],[Canada Allocation2017 %]]</f>
        <v>236</v>
      </c>
      <c r="I50" s="16">
        <f>Table11[[#This Row],['#Planted]]*Table11[[#This Row],[Canada Allocation2017 %]]</f>
        <v>236</v>
      </c>
      <c r="J50" s="16">
        <f>Table11[[#This Row],[Contract Amendment]]*Table11[[#This Row],[Canada Allocation2017 %]]</f>
        <v>0</v>
      </c>
      <c r="K50" s="16">
        <f>Table11[[#This Row],['#Trees as of 12/31/23]]*Table11[[#This Row],[Canada Allocation2017 %]]</f>
        <v>194.35294117647058</v>
      </c>
      <c r="L50" s="16">
        <f>Table11[[#This Row],['#Replace 24]]*Table11[[#This Row],[Canada Allocation2017 %]]</f>
        <v>0</v>
      </c>
      <c r="M50" s="16"/>
      <c r="N50" s="16">
        <f>(Table11[[#This Row],[2024 '#Trees Inventory + Estimate]]*Table11[[#This Row],[Canada Allocation2017 %]])-SUM(Table3789[[#This Row],['# Trees as of 12/31/23]:[New Trees/Planted in 2024]])</f>
        <v>-194.35294117647058</v>
      </c>
      <c r="O50" s="32">
        <f>SUM(Table3789[[#This Row],['# Trees as of 12/31/23]:[2024 Tree Losses]])</f>
        <v>0</v>
      </c>
      <c r="P50" s="32">
        <f>SUM(Table3789[[#This Row],[Total Trees as of 12/31/24]]-Table3789[[#This Row],['# Trees as of 12/31/23]])</f>
        <v>-194.35294117647058</v>
      </c>
      <c r="Q50" s="16">
        <f>Table11[[#This Row],['#Total Replacements]]*Table11[[#This Row],[Canada Allocation2017 %]]</f>
        <v>111.05882352941177</v>
      </c>
      <c r="R50" s="32">
        <f>IF(Table3789[[#This Row],['#Survival based on Inventory]]=0,Table3789['#Survival based on Last Year Estimate],Table3789['#Survival based on Inventory])</f>
        <v>0</v>
      </c>
      <c r="S50" s="16">
        <f>Table11[[#This Row],['#Planted]]*Table11[[#This Row],[Canada Allocation2017 %]]*Table11[[#This Row],[2024 Inventory Survival%-master]]</f>
        <v>0</v>
      </c>
      <c r="T50" s="16">
        <f>Table11[[#This Row],['#Planted]]*Table11[[#This Row],[Canada Allocation2017 %]]*Table11[[#This Row],[2024 Estimated Survival%]]</f>
        <v>0</v>
      </c>
      <c r="U50" s="7">
        <f>Table11[[#This Row],[ETP Year]]</f>
        <v>2016</v>
      </c>
      <c r="V50" s="7">
        <f>Table11[[#This Row],[Planting Year]]</f>
        <v>2018</v>
      </c>
      <c r="W50" s="17">
        <f>Table11[[#This Row],[Survival% as of 12/31/23]]</f>
        <v>0.82352941176470584</v>
      </c>
      <c r="X50">
        <f>Table11[[#This Row],[ETP'#s]]</f>
        <v>1</v>
      </c>
    </row>
    <row r="51" spans="1:24" hidden="1" x14ac:dyDescent="0.25">
      <c r="A51">
        <f>Table11[[#This Row],[Farmer'#]]</f>
        <v>10019</v>
      </c>
      <c r="B51" t="str">
        <f>Table11[[#This Row],[Representative]]</f>
        <v>Brandon Bailey</v>
      </c>
      <c r="C51" t="str">
        <f>Table11[[#This Row],[Contract Name]]</f>
        <v>Brandon Bailey</v>
      </c>
      <c r="D51" t="str">
        <f>Table11[[#This Row],[Status]]</f>
        <v>Out of Program</v>
      </c>
      <c r="E51" t="str">
        <f>Table11[[#This Row],[Contract Code]]</f>
        <v>US0021</v>
      </c>
      <c r="F51">
        <f>Table11[[#This Row],['#TreesContract]]</f>
        <v>2200</v>
      </c>
      <c r="G51">
        <f>Table11[[#This Row],['#Planted]]</f>
        <v>2200</v>
      </c>
      <c r="H51" s="16">
        <f>Table11[[#This Row],['#TreesContract]]*Table11[[#This Row],[Canada Allocation2017 %]]</f>
        <v>1221</v>
      </c>
      <c r="I51" s="16">
        <f>Table11[[#This Row],['#Planted]]*Table11[[#This Row],[Canada Allocation2017 %]]</f>
        <v>1221</v>
      </c>
      <c r="J51" s="16">
        <f>Table11[[#This Row],[Contract Amendment]]*Table11[[#This Row],[Canada Allocation2017 %]]</f>
        <v>0</v>
      </c>
      <c r="K51" s="16">
        <f>Table11[[#This Row],['#Trees as of 12/31/23]]*Table11[[#This Row],[Canada Allocation2017 %]]</f>
        <v>0</v>
      </c>
      <c r="L51" s="16">
        <f>Table11[[#This Row],['#Replace 24]]*Table11[[#This Row],[Canada Allocation2017 %]]</f>
        <v>0</v>
      </c>
      <c r="M51" s="16"/>
      <c r="N51" s="16">
        <f>(Table11[[#This Row],[2024 '#Trees Inventory + Estimate]]*Table11[[#This Row],[Canada Allocation2017 %]])-SUM(Table3789[[#This Row],['# Trees as of 12/31/23]:[New Trees/Planted in 2024]])</f>
        <v>0</v>
      </c>
      <c r="O51" s="32">
        <f>SUM(Table3789[[#This Row],['# Trees as of 12/31/23]:[2024 Tree Losses]])</f>
        <v>0</v>
      </c>
      <c r="P51" s="32">
        <f>SUM(Table3789[[#This Row],[Total Trees as of 12/31/24]]-Table3789[[#This Row],['# Trees as of 12/31/23]])</f>
        <v>0</v>
      </c>
      <c r="Q51" s="16">
        <f>Table11[[#This Row],['#Total Replacements]]*Table11[[#This Row],[Canada Allocation2017 %]]</f>
        <v>0</v>
      </c>
      <c r="R51" s="32">
        <f>IF(Table3789[[#This Row],['#Survival based on Inventory]]=0,Table3789['#Survival based on Last Year Estimate],Table3789['#Survival based on Inventory])</f>
        <v>0</v>
      </c>
      <c r="S51" s="16">
        <f>Table11[[#This Row],['#Planted]]*Table11[[#This Row],[Canada Allocation2017 %]]*Table11[[#This Row],[2024 Inventory Survival%-master]]</f>
        <v>0</v>
      </c>
      <c r="T51" s="16">
        <f>Table11[[#This Row],['#Planted]]*Table11[[#This Row],[Canada Allocation2017 %]]*Table11[[#This Row],[2024 Estimated Survival%]]</f>
        <v>0</v>
      </c>
      <c r="U51" s="7">
        <f>Table11[[#This Row],[ETP Year]]</f>
        <v>2016</v>
      </c>
      <c r="V51" s="7">
        <f>Table11[[#This Row],[Planting Year]]</f>
        <v>2018</v>
      </c>
      <c r="W51" s="17">
        <f>Table11[[#This Row],[Survival% as of 12/31/23]]</f>
        <v>0</v>
      </c>
      <c r="X51">
        <f>Table11[[#This Row],[ETP'#s]]</f>
        <v>1</v>
      </c>
    </row>
    <row r="52" spans="1:24" hidden="1" x14ac:dyDescent="0.25">
      <c r="A52">
        <f>Table11[[#This Row],[Farmer'#]]</f>
        <v>10020</v>
      </c>
      <c r="B52" t="str">
        <f>Table11[[#This Row],[Representative]]</f>
        <v>Daniel Byrd</v>
      </c>
      <c r="C52" t="str">
        <f>Table11[[#This Row],[Contract Name]]</f>
        <v>Daniel Bryd</v>
      </c>
      <c r="D52" t="str">
        <f>Table11[[#This Row],[Status]]</f>
        <v>Active</v>
      </c>
      <c r="E52" t="str">
        <f>Table11[[#This Row],[Contract Code]]</f>
        <v>US0022</v>
      </c>
      <c r="F52">
        <f>Table11[[#This Row],['#TreesContract]]</f>
        <v>2530</v>
      </c>
      <c r="G52">
        <f>Table11[[#This Row],['#Planted]]</f>
        <v>2530</v>
      </c>
      <c r="H52" s="16">
        <f>Table11[[#This Row],['#TreesContract]]*Table11[[#This Row],[Canada Allocation2017 %]]</f>
        <v>1404</v>
      </c>
      <c r="I52" s="16">
        <f>Table11[[#This Row],['#Planted]]*Table11[[#This Row],[Canada Allocation2017 %]]</f>
        <v>1404</v>
      </c>
      <c r="J52" s="16">
        <f>Table11[[#This Row],[Contract Amendment]]*Table11[[#This Row],[Canada Allocation2017 %]]</f>
        <v>0</v>
      </c>
      <c r="K52" s="16">
        <f>Table11[[#This Row],['#Trees as of 12/31/23]]*Table11[[#This Row],[Canada Allocation2017 %]]</f>
        <v>923.74386941566036</v>
      </c>
      <c r="L52" s="16">
        <f>Table11[[#This Row],['#Replace 24]]*Table11[[#This Row],[Canada Allocation2017 %]]</f>
        <v>0</v>
      </c>
      <c r="M52" s="16"/>
      <c r="N52" s="16">
        <f>(Table11[[#This Row],[2024 '#Trees Inventory + Estimate]]*Table11[[#This Row],[Canada Allocation2017 %]])-SUM(Table3789[[#This Row],['# Trees as of 12/31/23]:[New Trees/Planted in 2024]])</f>
        <v>0</v>
      </c>
      <c r="O52" s="32">
        <f>SUM(Table3789[[#This Row],['# Trees as of 12/31/23]:[2024 Tree Losses]])</f>
        <v>923.74386941566036</v>
      </c>
      <c r="P52" s="32">
        <f>SUM(Table3789[[#This Row],[Total Trees as of 12/31/24]]-Table3789[[#This Row],['# Trees as of 12/31/23]])</f>
        <v>0</v>
      </c>
      <c r="Q52" s="16">
        <f>Table11[[#This Row],['#Total Replacements]]*Table11[[#This Row],[Canada Allocation2017 %]]</f>
        <v>147.05928853754941</v>
      </c>
      <c r="R52" s="32">
        <f>IF(Table3789[[#This Row],['#Survival based on Inventory]]=0,Table3789['#Survival based on Last Year Estimate],Table3789['#Survival based on Inventory])</f>
        <v>923.74386941566036</v>
      </c>
      <c r="S52" s="16">
        <f>Table11[[#This Row],['#Planted]]*Table11[[#This Row],[Canada Allocation2017 %]]*Table11[[#This Row],[2024 Inventory Survival%-master]]</f>
        <v>0</v>
      </c>
      <c r="T52" s="16">
        <f>Table11[[#This Row],['#Planted]]*Table11[[#This Row],[Canada Allocation2017 %]]*Table11[[#This Row],[2024 Estimated Survival%]]</f>
        <v>923.74386941566036</v>
      </c>
      <c r="U52" s="7">
        <f>Table11[[#This Row],[ETP Year]]</f>
        <v>2016</v>
      </c>
      <c r="V52" s="7">
        <f>Table11[[#This Row],[Planting Year]]</f>
        <v>2018</v>
      </c>
      <c r="W52" s="17">
        <f>Table11[[#This Row],[Survival% as of 12/31/23]]</f>
        <v>0.65793722892853301</v>
      </c>
      <c r="X52">
        <f>Table11[[#This Row],[ETP'#s]]</f>
        <v>1</v>
      </c>
    </row>
    <row r="53" spans="1:24" hidden="1" x14ac:dyDescent="0.25">
      <c r="A53">
        <f>Table11[[#This Row],[Farmer'#]]</f>
        <v>10021</v>
      </c>
      <c r="B53" t="str">
        <f>Table11[[#This Row],[Representative]]</f>
        <v>Grover Plunkett</v>
      </c>
      <c r="C53" t="str">
        <f>Table11[[#This Row],[Contract Name]]</f>
        <v>Southern Innovative Investments LLC</v>
      </c>
      <c r="D53" t="str">
        <f>Table11[[#This Row],[Status]]</f>
        <v>Active</v>
      </c>
      <c r="E53" t="str">
        <f>Table11[[#This Row],[Contract Code]]</f>
        <v>US0024</v>
      </c>
      <c r="F53">
        <f>Table11[[#This Row],['#TreesContract]]</f>
        <v>2200</v>
      </c>
      <c r="G53">
        <f>Table11[[#This Row],['#Planted]]</f>
        <v>2200</v>
      </c>
      <c r="H53" s="16">
        <f>Table11[[#This Row],['#TreesContract]]*Table11[[#This Row],[Canada Allocation2017 %]]</f>
        <v>1221</v>
      </c>
      <c r="I53" s="16">
        <f>Table11[[#This Row],['#Planted]]*Table11[[#This Row],[Canada Allocation2017 %]]</f>
        <v>1221</v>
      </c>
      <c r="J53" s="16">
        <f>Table11[[#This Row],[Contract Amendment]]*Table11[[#This Row],[Canada Allocation2017 %]]</f>
        <v>0</v>
      </c>
      <c r="K53" s="16">
        <f>Table11[[#This Row],['#Trees as of 12/31/23]]*Table11[[#This Row],[Canada Allocation2017 %]]</f>
        <v>817.95145631067942</v>
      </c>
      <c r="L53" s="16">
        <f>Table11[[#This Row],['#Replace 24]]*Table11[[#This Row],[Canada Allocation2017 %]]</f>
        <v>0</v>
      </c>
      <c r="M53" s="16"/>
      <c r="N53" s="16">
        <f>(Table11[[#This Row],[2024 '#Trees Inventory + Estimate]]*Table11[[#This Row],[Canada Allocation2017 %]])-SUM(Table3789[[#This Row],['# Trees as of 12/31/23]:[New Trees/Planted in 2024]])</f>
        <v>0</v>
      </c>
      <c r="O53" s="32">
        <f>SUM(Table3789[[#This Row],['# Trees as of 12/31/23]:[2024 Tree Losses]])</f>
        <v>817.95145631067942</v>
      </c>
      <c r="P53" s="32">
        <f>SUM(Table3789[[#This Row],[Total Trees as of 12/31/24]]-Table3789[[#This Row],['# Trees as of 12/31/23]])</f>
        <v>0</v>
      </c>
      <c r="Q53" s="16">
        <f>Table11[[#This Row],['#Total Replacements]]*Table11[[#This Row],[Canada Allocation2017 %]]</f>
        <v>0</v>
      </c>
      <c r="R53" s="32">
        <f>IF(Table3789[[#This Row],['#Survival based on Inventory]]=0,Table3789['#Survival based on Last Year Estimate],Table3789['#Survival based on Inventory])</f>
        <v>817.95145631067942</v>
      </c>
      <c r="S53" s="16">
        <f>Table11[[#This Row],['#Planted]]*Table11[[#This Row],[Canada Allocation2017 %]]*Table11[[#This Row],[2024 Inventory Survival%-master]]</f>
        <v>0</v>
      </c>
      <c r="T53" s="16">
        <f>Table11[[#This Row],['#Planted]]*Table11[[#This Row],[Canada Allocation2017 %]]*Table11[[#This Row],[2024 Estimated Survival%]]</f>
        <v>817.95145631067942</v>
      </c>
      <c r="U53" s="7">
        <f>Table11[[#This Row],[ETP Year]]</f>
        <v>2016</v>
      </c>
      <c r="V53" s="7">
        <f>Table11[[#This Row],[Planting Year]]</f>
        <v>2018</v>
      </c>
      <c r="W53" s="17">
        <f>Table11[[#This Row],[Survival% as of 12/31/23]]</f>
        <v>0.66990291262135904</v>
      </c>
      <c r="X53">
        <f>Table11[[#This Row],[ETP'#s]]</f>
        <v>1</v>
      </c>
    </row>
    <row r="54" spans="1:24" hidden="1" x14ac:dyDescent="0.25">
      <c r="A54">
        <f>Table11[[#This Row],[Farmer'#]]</f>
        <v>10022</v>
      </c>
      <c r="B54" t="str">
        <f>Table11[[#This Row],[Representative]]</f>
        <v>Jacob Schwartz</v>
      </c>
      <c r="C54" t="str">
        <f>Table11[[#This Row],[Contract Name]]</f>
        <v>Jacob Schwartz</v>
      </c>
      <c r="D54" t="str">
        <f>Table11[[#This Row],[Status]]</f>
        <v>RFT</v>
      </c>
      <c r="E54" t="str">
        <f>Table11[[#This Row],[Contract Code]]</f>
        <v>US0025</v>
      </c>
      <c r="F54">
        <f>Table11[[#This Row],['#TreesContract]]</f>
        <v>1100</v>
      </c>
      <c r="G54">
        <f>Table11[[#This Row],['#Planted]]</f>
        <v>1100</v>
      </c>
      <c r="H54" s="16">
        <f>Table11[[#This Row],['#TreesContract]]*Table11[[#This Row],[Canada Allocation2017 %]]</f>
        <v>611</v>
      </c>
      <c r="I54" s="16">
        <f>Table11[[#This Row],['#Planted]]*Table11[[#This Row],[Canada Allocation2017 %]]</f>
        <v>611</v>
      </c>
      <c r="J54" s="16">
        <f>Table11[[#This Row],[Contract Amendment]]*Table11[[#This Row],[Canada Allocation2017 %]]</f>
        <v>0</v>
      </c>
      <c r="K54" s="16">
        <f>Table11[[#This Row],['#Trees as of 12/31/23]]*Table11[[#This Row],[Canada Allocation2017 %]]</f>
        <v>442.74488311688265</v>
      </c>
      <c r="L54" s="16">
        <f>Table11[[#This Row],['#Replace 24]]*Table11[[#This Row],[Canada Allocation2017 %]]</f>
        <v>0</v>
      </c>
      <c r="M54" s="16"/>
      <c r="N54" s="16">
        <f>(Table11[[#This Row],[2024 '#Trees Inventory + Estimate]]*Table11[[#This Row],[Canada Allocation2017 %]])-SUM(Table3789[[#This Row],['# Trees as of 12/31/23]:[New Trees/Planted in 2024]])</f>
        <v>0</v>
      </c>
      <c r="O54" s="32">
        <f>SUM(Table3789[[#This Row],['# Trees as of 12/31/23]:[2024 Tree Losses]])</f>
        <v>442.74488311688265</v>
      </c>
      <c r="P54" s="32">
        <f>SUM(Table3789[[#This Row],[Total Trees as of 12/31/24]]-Table3789[[#This Row],['# Trees as of 12/31/23]])</f>
        <v>0</v>
      </c>
      <c r="Q54" s="16">
        <f>Table11[[#This Row],['#Total Replacements]]*Table11[[#This Row],[Canada Allocation2017 %]]</f>
        <v>158.85999999999999</v>
      </c>
      <c r="R54" s="32">
        <f>IF(Table3789[[#This Row],['#Survival based on Inventory]]=0,Table3789['#Survival based on Last Year Estimate],Table3789['#Survival based on Inventory])</f>
        <v>442.7448831168827</v>
      </c>
      <c r="S54" s="16">
        <f>Table11[[#This Row],['#Planted]]*Table11[[#This Row],[Canada Allocation2017 %]]*Table11[[#This Row],[2024 Inventory Survival%-master]]</f>
        <v>0</v>
      </c>
      <c r="T54" s="16">
        <f>Table11[[#This Row],['#Planted]]*Table11[[#This Row],[Canada Allocation2017 %]]*Table11[[#This Row],[2024 Estimated Survival%]]</f>
        <v>442.7448831168827</v>
      </c>
      <c r="U54" s="7">
        <f>Table11[[#This Row],[ETP Year]]</f>
        <v>2016</v>
      </c>
      <c r="V54" s="7">
        <f>Table11[[#This Row],[Planting Year]]</f>
        <v>2018</v>
      </c>
      <c r="W54" s="17">
        <f>Table11[[#This Row],[Survival% as of 12/31/23]]</f>
        <v>0.72462337662337595</v>
      </c>
      <c r="X54">
        <f>Table11[[#This Row],[ETP'#s]]</f>
        <v>1</v>
      </c>
    </row>
    <row r="55" spans="1:24" hidden="1" x14ac:dyDescent="0.25">
      <c r="A55">
        <f>Table11[[#This Row],[Farmer'#]]</f>
        <v>10023</v>
      </c>
      <c r="B55" t="str">
        <f>Table11[[#This Row],[Representative]]</f>
        <v>John Cline</v>
      </c>
      <c r="C55" t="str">
        <f>Table11[[#This Row],[Contract Name]]</f>
        <v>John Cline</v>
      </c>
      <c r="D55" t="str">
        <f>Table11[[#This Row],[Status]]</f>
        <v>Out of Program</v>
      </c>
      <c r="E55" t="str">
        <f>Table11[[#This Row],[Contract Code]]</f>
        <v>US0026</v>
      </c>
      <c r="F55">
        <f>Table11[[#This Row],['#TreesContract]]</f>
        <v>550</v>
      </c>
      <c r="G55">
        <f>Table11[[#This Row],['#Planted]]</f>
        <v>550</v>
      </c>
      <c r="H55" s="16">
        <f>Table11[[#This Row],['#TreesContract]]*Table11[[#This Row],[Canada Allocation2017 %]]</f>
        <v>0</v>
      </c>
      <c r="I55" s="16">
        <f>Table11[[#This Row],['#Planted]]*Table11[[#This Row],[Canada Allocation2017 %]]</f>
        <v>0</v>
      </c>
      <c r="J55" s="16">
        <f>Table11[[#This Row],[Contract Amendment]]*Table11[[#This Row],[Canada Allocation2017 %]]</f>
        <v>0</v>
      </c>
      <c r="K55" s="16">
        <f>Table11[[#This Row],['#Trees as of 12/31/23]]*Table11[[#This Row],[Canada Allocation2017 %]]</f>
        <v>0</v>
      </c>
      <c r="L55" s="16">
        <f>Table11[[#This Row],['#Replace 24]]*Table11[[#This Row],[Canada Allocation2017 %]]</f>
        <v>0</v>
      </c>
      <c r="M55" s="16"/>
      <c r="N55" s="16">
        <f>(Table11[[#This Row],[2024 '#Trees Inventory + Estimate]]*Table11[[#This Row],[Canada Allocation2017 %]])-SUM(Table3789[[#This Row],['# Trees as of 12/31/23]:[New Trees/Planted in 2024]])</f>
        <v>0</v>
      </c>
      <c r="O55" s="32">
        <f>SUM(Table3789[[#This Row],['# Trees as of 12/31/23]:[2024 Tree Losses]])</f>
        <v>0</v>
      </c>
      <c r="P55" s="32">
        <f>SUM(Table3789[[#This Row],[Total Trees as of 12/31/24]]-Table3789[[#This Row],['# Trees as of 12/31/23]])</f>
        <v>0</v>
      </c>
      <c r="Q55" s="16">
        <f>Table11[[#This Row],['#Total Replacements]]*Table11[[#This Row],[Canada Allocation2017 %]]</f>
        <v>0</v>
      </c>
      <c r="R55" s="32">
        <f>IF(Table3789[[#This Row],['#Survival based on Inventory]]=0,Table3789['#Survival based on Last Year Estimate],Table3789['#Survival based on Inventory])</f>
        <v>0</v>
      </c>
      <c r="S55" s="16">
        <f>Table11[[#This Row],['#Planted]]*Table11[[#This Row],[Canada Allocation2017 %]]*Table11[[#This Row],[2024 Inventory Survival%-master]]</f>
        <v>0</v>
      </c>
      <c r="T55" s="16">
        <f>Table11[[#This Row],['#Planted]]*Table11[[#This Row],[Canada Allocation2017 %]]*Table11[[#This Row],[2024 Estimated Survival%]]</f>
        <v>0</v>
      </c>
      <c r="U55" s="7">
        <f>Table11[[#This Row],[ETP Year]]</f>
        <v>2018</v>
      </c>
      <c r="V55" s="7">
        <f>Table11[[#This Row],[Planting Year]]</f>
        <v>2018</v>
      </c>
      <c r="W55" s="17">
        <f>Table11[[#This Row],[Survival% as of 12/31/23]]</f>
        <v>0</v>
      </c>
      <c r="X55">
        <f>Table11[[#This Row],[ETP'#s]]</f>
        <v>1</v>
      </c>
    </row>
    <row r="56" spans="1:24" hidden="1" x14ac:dyDescent="0.25">
      <c r="A56">
        <f>Table11[[#This Row],[Farmer'#]]</f>
        <v>10024</v>
      </c>
      <c r="B56" t="str">
        <f>Table11[[#This Row],[Representative]]</f>
        <v>Matthew Knox</v>
      </c>
      <c r="C56" t="str">
        <f>Table11[[#This Row],[Contract Name]]</f>
        <v>Matthew Knox</v>
      </c>
      <c r="D56" t="str">
        <f>Table11[[#This Row],[Status]]</f>
        <v>Active</v>
      </c>
      <c r="E56" t="str">
        <f>Table11[[#This Row],[Contract Code]]</f>
        <v>US0028</v>
      </c>
      <c r="F56">
        <f>Table11[[#This Row],['#TreesContract]]</f>
        <v>550</v>
      </c>
      <c r="G56">
        <f>Table11[[#This Row],['#Planted]]</f>
        <v>550</v>
      </c>
      <c r="H56" s="16">
        <f>Table11[[#This Row],['#TreesContract]]*Table11[[#This Row],[Canada Allocation2017 %]]</f>
        <v>305</v>
      </c>
      <c r="I56" s="16">
        <f>Table11[[#This Row],['#Planted]]*Table11[[#This Row],[Canada Allocation2017 %]]</f>
        <v>305</v>
      </c>
      <c r="J56" s="16">
        <f>Table11[[#This Row],[Contract Amendment]]*Table11[[#This Row],[Canada Allocation2017 %]]</f>
        <v>0</v>
      </c>
      <c r="K56" s="16">
        <f>Table11[[#This Row],['#Trees as of 12/31/23]]*Table11[[#This Row],[Canada Allocation2017 %]]</f>
        <v>271.84782608695656</v>
      </c>
      <c r="L56" s="16">
        <f>Table11[[#This Row],['#Replace 24]]*Table11[[#This Row],[Canada Allocation2017 %]]</f>
        <v>0</v>
      </c>
      <c r="M56" s="16"/>
      <c r="N56" s="16">
        <f>(Table11[[#This Row],[2024 '#Trees Inventory + Estimate]]*Table11[[#This Row],[Canada Allocation2017 %]])-SUM(Table3789[[#This Row],['# Trees as of 12/31/23]:[New Trees/Planted in 2024]])</f>
        <v>0</v>
      </c>
      <c r="O56" s="32">
        <f>SUM(Table3789[[#This Row],['# Trees as of 12/31/23]:[2024 Tree Losses]])</f>
        <v>271.84782608695656</v>
      </c>
      <c r="P56" s="32">
        <f>SUM(Table3789[[#This Row],[Total Trees as of 12/31/24]]-Table3789[[#This Row],['# Trees as of 12/31/23]])</f>
        <v>0</v>
      </c>
      <c r="Q56" s="16">
        <f>Table11[[#This Row],['#Total Replacements]]*Table11[[#This Row],[Canada Allocation2017 %]]</f>
        <v>0</v>
      </c>
      <c r="R56" s="32">
        <f>IF(Table3789[[#This Row],['#Survival based on Inventory]]=0,Table3789['#Survival based on Last Year Estimate],Table3789['#Survival based on Inventory])</f>
        <v>271.84782608695656</v>
      </c>
      <c r="S56" s="16">
        <f>Table11[[#This Row],['#Planted]]*Table11[[#This Row],[Canada Allocation2017 %]]*Table11[[#This Row],[2024 Inventory Survival%-master]]</f>
        <v>0</v>
      </c>
      <c r="T56" s="16">
        <f>Table11[[#This Row],['#Planted]]*Table11[[#This Row],[Canada Allocation2017 %]]*Table11[[#This Row],[2024 Estimated Survival%]]</f>
        <v>271.84782608695656</v>
      </c>
      <c r="U56" s="7">
        <f>Table11[[#This Row],[ETP Year]]</f>
        <v>2016</v>
      </c>
      <c r="V56" s="7">
        <f>Table11[[#This Row],[Planting Year]]</f>
        <v>2018</v>
      </c>
      <c r="W56" s="17">
        <f>Table11[[#This Row],[Survival% as of 12/31/23]]</f>
        <v>0.89130434782608703</v>
      </c>
      <c r="X56">
        <f>Table11[[#This Row],[ETP'#s]]</f>
        <v>1</v>
      </c>
    </row>
    <row r="57" spans="1:24" hidden="1" x14ac:dyDescent="0.25">
      <c r="A57">
        <f>Table11[[#This Row],[Farmer'#]]</f>
        <v>10025</v>
      </c>
      <c r="B57" t="str">
        <f>Table11[[#This Row],[Representative]]</f>
        <v>Tracy Sturgeon</v>
      </c>
      <c r="C57" t="str">
        <f>Table11[[#This Row],[Contract Name]]</f>
        <v>Tracy Sturgeon</v>
      </c>
      <c r="D57" t="str">
        <f>Table11[[#This Row],[Status]]</f>
        <v>RFT</v>
      </c>
      <c r="E57" t="str">
        <f>Table11[[#This Row],[Contract Code]]</f>
        <v>US0029</v>
      </c>
      <c r="F57">
        <f>Table11[[#This Row],['#TreesContract]]</f>
        <v>1100</v>
      </c>
      <c r="G57">
        <f>Table11[[#This Row],['#Planted]]</f>
        <v>1100</v>
      </c>
      <c r="H57" s="16">
        <f>Table11[[#This Row],['#TreesContract]]*Table11[[#This Row],[Canada Allocation2017 %]]</f>
        <v>611</v>
      </c>
      <c r="I57" s="16">
        <f>Table11[[#This Row],['#Planted]]*Table11[[#This Row],[Canada Allocation2017 %]]</f>
        <v>611</v>
      </c>
      <c r="J57" s="16">
        <f>Table11[[#This Row],[Contract Amendment]]*Table11[[#This Row],[Canada Allocation2017 %]]</f>
        <v>0</v>
      </c>
      <c r="K57" s="16">
        <f>Table11[[#This Row],['#Trees as of 12/31/23]]*Table11[[#This Row],[Canada Allocation2017 %]]</f>
        <v>290.22499999999997</v>
      </c>
      <c r="L57" s="16">
        <f>Table11[[#This Row],['#Replace 24]]*Table11[[#This Row],[Canada Allocation2017 %]]</f>
        <v>0</v>
      </c>
      <c r="M57" s="16"/>
      <c r="N57" s="16">
        <f>(Table11[[#This Row],[2024 '#Trees Inventory + Estimate]]*Table11[[#This Row],[Canada Allocation2017 %]])-SUM(Table3789[[#This Row],['# Trees as of 12/31/23]:[New Trees/Planted in 2024]])</f>
        <v>0</v>
      </c>
      <c r="O57" s="32">
        <f>SUM(Table3789[[#This Row],['# Trees as of 12/31/23]:[2024 Tree Losses]])</f>
        <v>290.22499999999997</v>
      </c>
      <c r="P57" s="32">
        <f>SUM(Table3789[[#This Row],[Total Trees as of 12/31/24]]-Table3789[[#This Row],['# Trees as of 12/31/23]])</f>
        <v>0</v>
      </c>
      <c r="Q57" s="16">
        <f>Table11[[#This Row],['#Total Replacements]]*Table11[[#This Row],[Canada Allocation2017 %]]</f>
        <v>394.37272727272727</v>
      </c>
      <c r="R57" s="32">
        <f>IF(Table3789[[#This Row],['#Survival based on Inventory]]=0,Table3789['#Survival based on Last Year Estimate],Table3789['#Survival based on Inventory])</f>
        <v>290.22499999999997</v>
      </c>
      <c r="S57" s="16">
        <f>Table11[[#This Row],['#Planted]]*Table11[[#This Row],[Canada Allocation2017 %]]*Table11[[#This Row],[2024 Inventory Survival%-master]]</f>
        <v>0</v>
      </c>
      <c r="T57" s="16">
        <f>Table11[[#This Row],['#Planted]]*Table11[[#This Row],[Canada Allocation2017 %]]*Table11[[#This Row],[2024 Estimated Survival%]]</f>
        <v>290.22499999999997</v>
      </c>
      <c r="U57" s="7">
        <f>Table11[[#This Row],[ETP Year]]</f>
        <v>2016</v>
      </c>
      <c r="V57" s="7">
        <f>Table11[[#This Row],[Planting Year]]</f>
        <v>2018</v>
      </c>
      <c r="W57" s="17">
        <f>Table11[[#This Row],[Survival% as of 12/31/23]]</f>
        <v>0.47499999999999998</v>
      </c>
      <c r="X57">
        <f>Table11[[#This Row],[ETP'#s]]</f>
        <v>1</v>
      </c>
    </row>
    <row r="58" spans="1:24" hidden="1" x14ac:dyDescent="0.25">
      <c r="A58">
        <f>Table11[[#This Row],[Farmer'#]]</f>
        <v>10026</v>
      </c>
      <c r="B58" t="str">
        <f>Table11[[#This Row],[Representative]]</f>
        <v>Wayne Crotty</v>
      </c>
      <c r="C58" t="str">
        <f>Table11[[#This Row],[Contract Name]]</f>
        <v>Wayne Crotty</v>
      </c>
      <c r="D58" t="str">
        <f>Table11[[#This Row],[Status]]</f>
        <v>Active</v>
      </c>
      <c r="E58" t="str">
        <f>Table11[[#This Row],[Contract Code]]</f>
        <v>US0030</v>
      </c>
      <c r="F58">
        <f>Table11[[#This Row],['#TreesContract]]</f>
        <v>2530</v>
      </c>
      <c r="G58">
        <f>Table11[[#This Row],['#Planted]]</f>
        <v>2530</v>
      </c>
      <c r="H58" s="16">
        <f>Table11[[#This Row],['#TreesContract]]*Table11[[#This Row],[Canada Allocation2017 %]]</f>
        <v>1404</v>
      </c>
      <c r="I58" s="16">
        <f>Table11[[#This Row],['#Planted]]*Table11[[#This Row],[Canada Allocation2017 %]]</f>
        <v>1404</v>
      </c>
      <c r="J58" s="16">
        <f>Table11[[#This Row],[Contract Amendment]]*Table11[[#This Row],[Canada Allocation2017 %]]</f>
        <v>0</v>
      </c>
      <c r="K58" s="16">
        <f>Table11[[#This Row],['#Trees as of 12/31/23]]*Table11[[#This Row],[Canada Allocation2017 %]]</f>
        <v>1294.5838772101251</v>
      </c>
      <c r="L58" s="16">
        <f>Table11[[#This Row],['#Replace 24]]*Table11[[#This Row],[Canada Allocation2017 %]]</f>
        <v>0</v>
      </c>
      <c r="M58" s="16"/>
      <c r="N58" s="16">
        <f>(Table11[[#This Row],[2024 '#Trees Inventory + Estimate]]*Table11[[#This Row],[Canada Allocation2017 %]])-SUM(Table3789[[#This Row],['# Trees as of 12/31/23]:[New Trees/Planted in 2024]])</f>
        <v>0</v>
      </c>
      <c r="O58" s="32">
        <f>SUM(Table3789[[#This Row],['# Trees as of 12/31/23]:[2024 Tree Losses]])</f>
        <v>1294.5838772101251</v>
      </c>
      <c r="P58" s="32">
        <f>SUM(Table3789[[#This Row],[Total Trees as of 12/31/24]]-Table3789[[#This Row],['# Trees as of 12/31/23]])</f>
        <v>0</v>
      </c>
      <c r="Q58" s="16">
        <f>Table11[[#This Row],['#Total Replacements]]*Table11[[#This Row],[Canada Allocation2017 %]]</f>
        <v>772.47747035573127</v>
      </c>
      <c r="R58" s="32">
        <f>IF(Table3789[[#This Row],['#Survival based on Inventory]]=0,Table3789['#Survival based on Last Year Estimate],Table3789['#Survival based on Inventory])</f>
        <v>1294.5838772101249</v>
      </c>
      <c r="S58" s="16">
        <f>Table11[[#This Row],['#Planted]]*Table11[[#This Row],[Canada Allocation2017 %]]*Table11[[#This Row],[2024 Inventory Survival%-master]]</f>
        <v>0</v>
      </c>
      <c r="T58" s="16">
        <f>Table11[[#This Row],['#Planted]]*Table11[[#This Row],[Canada Allocation2017 %]]*Table11[[#This Row],[2024 Estimated Survival%]]</f>
        <v>1294.5838772101249</v>
      </c>
      <c r="U58" s="7">
        <f>Table11[[#This Row],[ETP Year]]</f>
        <v>2016</v>
      </c>
      <c r="V58" s="7">
        <f>Table11[[#This Row],[Planting Year]]</f>
        <v>2018</v>
      </c>
      <c r="W58" s="17">
        <f>Table11[[#This Row],[Survival% as of 12/31/23]]</f>
        <v>0.92206828861120005</v>
      </c>
      <c r="X58">
        <f>Table11[[#This Row],[ETP'#s]]</f>
        <v>1</v>
      </c>
    </row>
    <row r="59" spans="1:24" hidden="1" x14ac:dyDescent="0.25">
      <c r="A59">
        <f>Table11[[#This Row],[Farmer'#]]</f>
        <v>10027</v>
      </c>
      <c r="B59" t="str">
        <f>Table11[[#This Row],[Representative]]</f>
        <v>Wendell Lynn</v>
      </c>
      <c r="C59" t="str">
        <f>Table11[[#This Row],[Contract Name]]</f>
        <v>Wendell Lynn</v>
      </c>
      <c r="D59" t="str">
        <f>Table11[[#This Row],[Status]]</f>
        <v>Active</v>
      </c>
      <c r="E59" t="str">
        <f>Table11[[#This Row],[Contract Code]]</f>
        <v>US0031</v>
      </c>
      <c r="F59">
        <f>Table11[[#This Row],['#TreesContract]]</f>
        <v>550</v>
      </c>
      <c r="G59">
        <f>Table11[[#This Row],['#Planted]]</f>
        <v>550</v>
      </c>
      <c r="H59" s="16">
        <f>Table11[[#This Row],['#TreesContract]]*Table11[[#This Row],[Canada Allocation2017 %]]</f>
        <v>305</v>
      </c>
      <c r="I59" s="16">
        <f>Table11[[#This Row],['#Planted]]*Table11[[#This Row],[Canada Allocation2017 %]]</f>
        <v>305</v>
      </c>
      <c r="J59" s="16">
        <f>Table11[[#This Row],[Contract Amendment]]*Table11[[#This Row],[Canada Allocation2017 %]]</f>
        <v>0</v>
      </c>
      <c r="K59" s="16">
        <f>Table11[[#This Row],['#Trees as of 12/31/23]]*Table11[[#This Row],[Canada Allocation2017 %]]</f>
        <v>238.69565217391306</v>
      </c>
      <c r="L59" s="16">
        <f>Table11[[#This Row],['#Replace 24]]*Table11[[#This Row],[Canada Allocation2017 %]]</f>
        <v>0</v>
      </c>
      <c r="M59" s="16"/>
      <c r="N59" s="16">
        <f>(Table11[[#This Row],[2024 '#Trees Inventory + Estimate]]*Table11[[#This Row],[Canada Allocation2017 %]])-SUM(Table3789[[#This Row],['# Trees as of 12/31/23]:[New Trees/Planted in 2024]])</f>
        <v>0</v>
      </c>
      <c r="O59" s="32">
        <f>SUM(Table3789[[#This Row],['# Trees as of 12/31/23]:[2024 Tree Losses]])</f>
        <v>238.69565217391306</v>
      </c>
      <c r="P59" s="32">
        <f>SUM(Table3789[[#This Row],[Total Trees as of 12/31/24]]-Table3789[[#This Row],['# Trees as of 12/31/23]])</f>
        <v>0</v>
      </c>
      <c r="Q59" s="16">
        <f>Table11[[#This Row],['#Total Replacements]]*Table11[[#This Row],[Canada Allocation2017 %]]</f>
        <v>110.90909090909091</v>
      </c>
      <c r="R59" s="32">
        <f>IF(Table3789[[#This Row],['#Survival based on Inventory]]=0,Table3789['#Survival based on Last Year Estimate],Table3789['#Survival based on Inventory])</f>
        <v>238.69565217391306</v>
      </c>
      <c r="S59" s="16">
        <f>Table11[[#This Row],['#Planted]]*Table11[[#This Row],[Canada Allocation2017 %]]*Table11[[#This Row],[2024 Inventory Survival%-master]]</f>
        <v>0</v>
      </c>
      <c r="T59" s="16">
        <f>Table11[[#This Row],['#Planted]]*Table11[[#This Row],[Canada Allocation2017 %]]*Table11[[#This Row],[2024 Estimated Survival%]]</f>
        <v>238.69565217391306</v>
      </c>
      <c r="U59" s="7">
        <f>Table11[[#This Row],[ETP Year]]</f>
        <v>2016</v>
      </c>
      <c r="V59" s="7">
        <f>Table11[[#This Row],[Planting Year]]</f>
        <v>2018</v>
      </c>
      <c r="W59" s="17">
        <f>Table11[[#This Row],[Survival% as of 12/31/23]]</f>
        <v>0.78260869565217395</v>
      </c>
      <c r="X59">
        <f>Table11[[#This Row],[ETP'#s]]</f>
        <v>1</v>
      </c>
    </row>
    <row r="60" spans="1:24" hidden="1" x14ac:dyDescent="0.25">
      <c r="A60">
        <f>Table11[[#This Row],[Farmer'#]]</f>
        <v>10028</v>
      </c>
      <c r="B60" t="str">
        <f>Table11[[#This Row],[Representative]]</f>
        <v>Will Johnson</v>
      </c>
      <c r="C60" t="str">
        <f>Table11[[#This Row],[Contract Name]]</f>
        <v>Will and Amanda Johnson</v>
      </c>
      <c r="D60" t="str">
        <f>Table11[[#This Row],[Status]]</f>
        <v>Active</v>
      </c>
      <c r="E60" t="str">
        <f>Table11[[#This Row],[Contract Code]]</f>
        <v>US0032</v>
      </c>
      <c r="F60">
        <f>Table11[[#This Row],['#TreesContract]]</f>
        <v>1166</v>
      </c>
      <c r="G60">
        <f>Table11[[#This Row],['#Planted]]</f>
        <v>1166</v>
      </c>
      <c r="H60" s="16">
        <f>Table11[[#This Row],['#TreesContract]]*Table11[[#This Row],[Canada Allocation2017 %]]</f>
        <v>647.13000000000011</v>
      </c>
      <c r="I60" s="16">
        <f>Table11[[#This Row],['#Planted]]*Table11[[#This Row],[Canada Allocation2017 %]]</f>
        <v>647.13000000000011</v>
      </c>
      <c r="J60" s="16">
        <f>Table11[[#This Row],[Contract Amendment]]*Table11[[#This Row],[Canada Allocation2017 %]]</f>
        <v>0</v>
      </c>
      <c r="K60" s="16">
        <f>Table11[[#This Row],['#Trees as of 12/31/23]]*Table11[[#This Row],[Canada Allocation2017 %]]</f>
        <v>605.37967741935483</v>
      </c>
      <c r="L60" s="16">
        <f>Table11[[#This Row],['#Replace 24]]*Table11[[#This Row],[Canada Allocation2017 %]]</f>
        <v>0</v>
      </c>
      <c r="M60" s="16"/>
      <c r="N60" s="16">
        <f>(Table11[[#This Row],[2024 '#Trees Inventory + Estimate]]*Table11[[#This Row],[Canada Allocation2017 %]])-SUM(Table3789[[#This Row],['# Trees as of 12/31/23]:[New Trees/Planted in 2024]])</f>
        <v>0</v>
      </c>
      <c r="O60" s="32">
        <f>SUM(Table3789[[#This Row],['# Trees as of 12/31/23]:[2024 Tree Losses]])</f>
        <v>605.37967741935483</v>
      </c>
      <c r="P60" s="32">
        <f>SUM(Table3789[[#This Row],[Total Trees as of 12/31/24]]-Table3789[[#This Row],['# Trees as of 12/31/23]])</f>
        <v>0</v>
      </c>
      <c r="Q60" s="16">
        <f>Table11[[#This Row],['#Total Replacements]]*Table11[[#This Row],[Canada Allocation2017 %]]</f>
        <v>0</v>
      </c>
      <c r="R60" s="32">
        <f>IF(Table3789[[#This Row],['#Survival based on Inventory]]=0,Table3789['#Survival based on Last Year Estimate],Table3789['#Survival based on Inventory])</f>
        <v>605.37967741935495</v>
      </c>
      <c r="S60" s="16">
        <f>Table11[[#This Row],['#Planted]]*Table11[[#This Row],[Canada Allocation2017 %]]*Table11[[#This Row],[2024 Inventory Survival%-master]]</f>
        <v>0</v>
      </c>
      <c r="T60" s="16">
        <f>Table11[[#This Row],['#Planted]]*Table11[[#This Row],[Canada Allocation2017 %]]*Table11[[#This Row],[2024 Estimated Survival%]]</f>
        <v>605.37967741935495</v>
      </c>
      <c r="U60" s="7">
        <f>Table11[[#This Row],[ETP Year]]</f>
        <v>2016</v>
      </c>
      <c r="V60" s="7">
        <f>Table11[[#This Row],[Planting Year]]</f>
        <v>2018</v>
      </c>
      <c r="W60" s="17">
        <f>Table11[[#This Row],[Survival% as of 12/31/23]]</f>
        <v>0.93548387096774199</v>
      </c>
      <c r="X60">
        <f>Table11[[#This Row],[ETP'#s]]</f>
        <v>1</v>
      </c>
    </row>
    <row r="61" spans="1:24" hidden="1" x14ac:dyDescent="0.25">
      <c r="A61">
        <f>Table11[[#This Row],[Farmer'#]]</f>
        <v>20008</v>
      </c>
      <c r="B61" t="str">
        <f>Table11[[#This Row],[Representative]]</f>
        <v>Carlos Navarro</v>
      </c>
      <c r="C61" t="str">
        <f>Table11[[#This Row],[Contract Name]]</f>
        <v>Carlos Navarro</v>
      </c>
      <c r="D61" t="str">
        <f>Table11[[#This Row],[Status]]</f>
        <v>Out of Program</v>
      </c>
      <c r="E61" t="str">
        <f>Table11[[#This Row],[Contract Code]]</f>
        <v>CR0025</v>
      </c>
      <c r="F61">
        <f>Table11[[#This Row],['#TreesContract]]</f>
        <v>350</v>
      </c>
      <c r="G61">
        <f>Table11[[#This Row],['#Planted]]</f>
        <v>350</v>
      </c>
      <c r="H61" s="16">
        <f>Table11[[#This Row],['#TreesContract]]*Table11[[#This Row],[Canada Allocation2017 %]]</f>
        <v>194</v>
      </c>
      <c r="I61" s="16">
        <f>Table11[[#This Row],['#Planted]]*Table11[[#This Row],[Canada Allocation2017 %]]</f>
        <v>194</v>
      </c>
      <c r="J61" s="16">
        <f>Table11[[#This Row],[Contract Amendment]]*Table11[[#This Row],[Canada Allocation2017 %]]</f>
        <v>0</v>
      </c>
      <c r="K61" s="16">
        <f>Table11[[#This Row],['#Trees as of 12/31/23]]*Table11[[#This Row],[Canada Allocation2017 %]]</f>
        <v>0</v>
      </c>
      <c r="L61" s="16">
        <f>Table11[[#This Row],['#Replace 24]]*Table11[[#This Row],[Canada Allocation2017 %]]</f>
        <v>0</v>
      </c>
      <c r="M61" s="16"/>
      <c r="N61" s="16">
        <f>(Table11[[#This Row],[2024 '#Trees Inventory + Estimate]]*Table11[[#This Row],[Canada Allocation2017 %]])-SUM(Table3789[[#This Row],['# Trees as of 12/31/23]:[New Trees/Planted in 2024]])</f>
        <v>0</v>
      </c>
      <c r="O61" s="32">
        <f>SUM(Table3789[[#This Row],['# Trees as of 12/31/23]:[2024 Tree Losses]])</f>
        <v>0</v>
      </c>
      <c r="P61" s="32">
        <f>SUM(Table3789[[#This Row],[Total Trees as of 12/31/24]]-Table3789[[#This Row],['# Trees as of 12/31/23]])</f>
        <v>0</v>
      </c>
      <c r="Q61" s="16">
        <f>Table11[[#This Row],['#Total Replacements]]*Table11[[#This Row],[Canada Allocation2017 %]]</f>
        <v>0</v>
      </c>
      <c r="R61" s="32">
        <f>IF(Table3789[[#This Row],['#Survival based on Inventory]]=0,Table3789['#Survival based on Last Year Estimate],Table3789['#Survival based on Inventory])</f>
        <v>0</v>
      </c>
      <c r="S61" s="16">
        <f>Table11[[#This Row],['#Planted]]*Table11[[#This Row],[Canada Allocation2017 %]]*Table11[[#This Row],[2024 Inventory Survival%-master]]</f>
        <v>0</v>
      </c>
      <c r="T61" s="16">
        <f>Table11[[#This Row],['#Planted]]*Table11[[#This Row],[Canada Allocation2017 %]]*Table11[[#This Row],[2024 Estimated Survival%]]</f>
        <v>0</v>
      </c>
      <c r="U61" s="7">
        <f>Table11[[#This Row],[ETP Year]]</f>
        <v>2016</v>
      </c>
      <c r="V61" s="7">
        <f>Table11[[#This Row],[Planting Year]]</f>
        <v>2018</v>
      </c>
      <c r="W61" s="17">
        <f>Table11[[#This Row],[Survival% as of 12/31/23]]</f>
        <v>0</v>
      </c>
      <c r="X61">
        <f>Table11[[#This Row],[ETP'#s]]</f>
        <v>1</v>
      </c>
    </row>
    <row r="62" spans="1:24" hidden="1" x14ac:dyDescent="0.25">
      <c r="A62">
        <f>Table11[[#This Row],[Farmer'#]]</f>
        <v>20009</v>
      </c>
      <c r="B62" t="str">
        <f>Table11[[#This Row],[Representative]]</f>
        <v xml:space="preserve">David Guiterrez </v>
      </c>
      <c r="C62" t="str">
        <f>Table11[[#This Row],[Contract Name]]</f>
        <v>Edgar Gutierrez</v>
      </c>
      <c r="D62" t="str">
        <f>Table11[[#This Row],[Status]]</f>
        <v>Out of Program</v>
      </c>
      <c r="E62" t="str">
        <f>Table11[[#This Row],[Contract Code]]</f>
        <v>CR0026</v>
      </c>
      <c r="F62">
        <f>Table11[[#This Row],['#TreesContract]]</f>
        <v>500</v>
      </c>
      <c r="G62">
        <f>Table11[[#This Row],['#Planted]]</f>
        <v>500</v>
      </c>
      <c r="H62" s="16">
        <f>Table11[[#This Row],['#TreesContract]]*Table11[[#This Row],[Canada Allocation2017 %]]</f>
        <v>278</v>
      </c>
      <c r="I62" s="16">
        <f>Table11[[#This Row],['#Planted]]*Table11[[#This Row],[Canada Allocation2017 %]]</f>
        <v>278</v>
      </c>
      <c r="J62" s="16">
        <f>Table11[[#This Row],[Contract Amendment]]*Table11[[#This Row],[Canada Allocation2017 %]]</f>
        <v>0</v>
      </c>
      <c r="K62" s="16">
        <f>Table11[[#This Row],['#Trees as of 12/31/23]]*Table11[[#This Row],[Canada Allocation2017 %]]</f>
        <v>0</v>
      </c>
      <c r="L62" s="16">
        <f>Table11[[#This Row],['#Replace 24]]*Table11[[#This Row],[Canada Allocation2017 %]]</f>
        <v>0</v>
      </c>
      <c r="M62" s="16"/>
      <c r="N62" s="16">
        <f>(Table11[[#This Row],[2024 '#Trees Inventory + Estimate]]*Table11[[#This Row],[Canada Allocation2017 %]])-SUM(Table3789[[#This Row],['# Trees as of 12/31/23]:[New Trees/Planted in 2024]])</f>
        <v>0</v>
      </c>
      <c r="O62" s="32">
        <f>SUM(Table3789[[#This Row],['# Trees as of 12/31/23]:[2024 Tree Losses]])</f>
        <v>0</v>
      </c>
      <c r="P62" s="32">
        <f>SUM(Table3789[[#This Row],[Total Trees as of 12/31/24]]-Table3789[[#This Row],['# Trees as of 12/31/23]])</f>
        <v>0</v>
      </c>
      <c r="Q62" s="16">
        <f>Table11[[#This Row],['#Total Replacements]]*Table11[[#This Row],[Canada Allocation2017 %]]</f>
        <v>0</v>
      </c>
      <c r="R62" s="32">
        <f>IF(Table3789[[#This Row],['#Survival based on Inventory]]=0,Table3789['#Survival based on Last Year Estimate],Table3789['#Survival based on Inventory])</f>
        <v>0</v>
      </c>
      <c r="S62" s="16">
        <f>Table11[[#This Row],['#Planted]]*Table11[[#This Row],[Canada Allocation2017 %]]*Table11[[#This Row],[2024 Inventory Survival%-master]]</f>
        <v>0</v>
      </c>
      <c r="T62" s="16">
        <f>Table11[[#This Row],['#Planted]]*Table11[[#This Row],[Canada Allocation2017 %]]*Table11[[#This Row],[2024 Estimated Survival%]]</f>
        <v>0</v>
      </c>
      <c r="U62" s="7">
        <f>Table11[[#This Row],[ETP Year]]</f>
        <v>2016</v>
      </c>
      <c r="V62" s="7">
        <f>Table11[[#This Row],[Planting Year]]</f>
        <v>2018</v>
      </c>
      <c r="W62" s="17">
        <f>Table11[[#This Row],[Survival% as of 12/31/23]]</f>
        <v>0</v>
      </c>
      <c r="X62">
        <f>Table11[[#This Row],[ETP'#s]]</f>
        <v>1</v>
      </c>
    </row>
    <row r="63" spans="1:24" hidden="1" x14ac:dyDescent="0.25">
      <c r="A63">
        <f>Table11[[#This Row],[Farmer'#]]</f>
        <v>20020</v>
      </c>
      <c r="B63" t="str">
        <f>Table11[[#This Row],[Representative]]</f>
        <v xml:space="preserve">Oscar Viquez </v>
      </c>
      <c r="C63" t="str">
        <f>Table11[[#This Row],[Contract Name]]</f>
        <v>Oscar Viquez,María Isabel Quesada Víquez, Eraida Quesada Víquez, Estelia Quesada Víquez</v>
      </c>
      <c r="D63" t="str">
        <f>Table11[[#This Row],[Status]]</f>
        <v>Out of Program</v>
      </c>
      <c r="E63" t="str">
        <f>Table11[[#This Row],[Contract Code]]</f>
        <v>CR0031</v>
      </c>
      <c r="F63">
        <f>Table11[[#This Row],['#TreesContract]]</f>
        <v>1000</v>
      </c>
      <c r="G63">
        <f>Table11[[#This Row],['#Planted]]</f>
        <v>1000</v>
      </c>
      <c r="H63" s="16">
        <f>Table11[[#This Row],['#TreesContract]]*Table11[[#This Row],[Canada Allocation2017 %]]</f>
        <v>555</v>
      </c>
      <c r="I63" s="16">
        <f>Table11[[#This Row],['#Planted]]*Table11[[#This Row],[Canada Allocation2017 %]]</f>
        <v>555</v>
      </c>
      <c r="J63" s="16">
        <f>Table11[[#This Row],[Contract Amendment]]*Table11[[#This Row],[Canada Allocation2017 %]]</f>
        <v>0</v>
      </c>
      <c r="K63" s="16">
        <f>Table11[[#This Row],['#Trees as of 12/31/23]]*Table11[[#This Row],[Canada Allocation2017 %]]</f>
        <v>0</v>
      </c>
      <c r="L63" s="16">
        <f>Table11[[#This Row],['#Replace 24]]*Table11[[#This Row],[Canada Allocation2017 %]]</f>
        <v>0</v>
      </c>
      <c r="M63" s="16"/>
      <c r="N63" s="16">
        <f>(Table11[[#This Row],[2024 '#Trees Inventory + Estimate]]*Table11[[#This Row],[Canada Allocation2017 %]])-SUM(Table3789[[#This Row],['# Trees as of 12/31/23]:[New Trees/Planted in 2024]])</f>
        <v>0</v>
      </c>
      <c r="O63" s="32">
        <f>SUM(Table3789[[#This Row],['# Trees as of 12/31/23]:[2024 Tree Losses]])</f>
        <v>0</v>
      </c>
      <c r="P63" s="32">
        <f>SUM(Table3789[[#This Row],[Total Trees as of 12/31/24]]-Table3789[[#This Row],['# Trees as of 12/31/23]])</f>
        <v>0</v>
      </c>
      <c r="Q63" s="16">
        <f>Table11[[#This Row],['#Total Replacements]]*Table11[[#This Row],[Canada Allocation2017 %]]</f>
        <v>0</v>
      </c>
      <c r="R63" s="32">
        <f>IF(Table3789[[#This Row],['#Survival based on Inventory]]=0,Table3789['#Survival based on Last Year Estimate],Table3789['#Survival based on Inventory])</f>
        <v>0</v>
      </c>
      <c r="S63" s="16">
        <f>Table11[[#This Row],['#Planted]]*Table11[[#This Row],[Canada Allocation2017 %]]*Table11[[#This Row],[2024 Inventory Survival%-master]]</f>
        <v>0</v>
      </c>
      <c r="T63" s="16">
        <f>Table11[[#This Row],['#Planted]]*Table11[[#This Row],[Canada Allocation2017 %]]*Table11[[#This Row],[2024 Estimated Survival%]]</f>
        <v>0</v>
      </c>
      <c r="U63" s="7">
        <f>Table11[[#This Row],[ETP Year]]</f>
        <v>2016</v>
      </c>
      <c r="V63" s="7">
        <f>Table11[[#This Row],[Planting Year]]</f>
        <v>2018</v>
      </c>
      <c r="W63" s="17">
        <f>Table11[[#This Row],[Survival% as of 12/31/23]]</f>
        <v>0</v>
      </c>
      <c r="X63">
        <f>Table11[[#This Row],[ETP'#s]]</f>
        <v>1</v>
      </c>
    </row>
    <row r="64" spans="1:24" hidden="1" x14ac:dyDescent="0.25">
      <c r="A64">
        <f>Table11[[#This Row],[Farmer'#]]</f>
        <v>20022</v>
      </c>
      <c r="B64" t="str">
        <f>Table11[[#This Row],[Representative]]</f>
        <v>Carlos Hernandez</v>
      </c>
      <c r="C64" t="str">
        <f>Table11[[#This Row],[Contract Name]]</f>
        <v>Carlos Hernandez</v>
      </c>
      <c r="D64" t="str">
        <f>Table11[[#This Row],[Status]]</f>
        <v>Out of Program</v>
      </c>
      <c r="E64" t="str">
        <f>Table11[[#This Row],[Contract Code]]</f>
        <v>CR0023</v>
      </c>
      <c r="F64">
        <f>Table11[[#This Row],['#TreesContract]]</f>
        <v>750</v>
      </c>
      <c r="G64">
        <f>Table11[[#This Row],['#Planted]]</f>
        <v>750</v>
      </c>
      <c r="H64" s="16">
        <f>Table11[[#This Row],['#TreesContract]]*Table11[[#This Row],[Canada Allocation2017 %]]</f>
        <v>416</v>
      </c>
      <c r="I64" s="16">
        <f>Table11[[#This Row],['#Planted]]*Table11[[#This Row],[Canada Allocation2017 %]]</f>
        <v>416</v>
      </c>
      <c r="J64" s="16">
        <f>Table11[[#This Row],[Contract Amendment]]*Table11[[#This Row],[Canada Allocation2017 %]]</f>
        <v>0</v>
      </c>
      <c r="K64" s="16">
        <f>Table11[[#This Row],['#Trees as of 12/31/23]]*Table11[[#This Row],[Canada Allocation2017 %]]</f>
        <v>0</v>
      </c>
      <c r="L64" s="16">
        <f>Table11[[#This Row],['#Replace 24]]*Table11[[#This Row],[Canada Allocation2017 %]]</f>
        <v>0</v>
      </c>
      <c r="M64" s="16"/>
      <c r="N64" s="16">
        <f>(Table11[[#This Row],[2024 '#Trees Inventory + Estimate]]*Table11[[#This Row],[Canada Allocation2017 %]])-SUM(Table3789[[#This Row],['# Trees as of 12/31/23]:[New Trees/Planted in 2024]])</f>
        <v>0</v>
      </c>
      <c r="O64" s="32">
        <f>SUM(Table3789[[#This Row],['# Trees as of 12/31/23]:[2024 Tree Losses]])</f>
        <v>0</v>
      </c>
      <c r="P64" s="32">
        <f>SUM(Table3789[[#This Row],[Total Trees as of 12/31/24]]-Table3789[[#This Row],['# Trees as of 12/31/23]])</f>
        <v>0</v>
      </c>
      <c r="Q64" s="16">
        <f>Table11[[#This Row],['#Total Replacements]]*Table11[[#This Row],[Canada Allocation2017 %]]</f>
        <v>27.733333333333331</v>
      </c>
      <c r="R64" s="32">
        <f>IF(Table3789[[#This Row],['#Survival based on Inventory]]=0,Table3789['#Survival based on Last Year Estimate],Table3789['#Survival based on Inventory])</f>
        <v>0</v>
      </c>
      <c r="S64" s="16">
        <f>Table11[[#This Row],['#Planted]]*Table11[[#This Row],[Canada Allocation2017 %]]*Table11[[#This Row],[2024 Inventory Survival%-master]]</f>
        <v>0</v>
      </c>
      <c r="T64" s="16">
        <f>Table11[[#This Row],['#Planted]]*Table11[[#This Row],[Canada Allocation2017 %]]*Table11[[#This Row],[2024 Estimated Survival%]]</f>
        <v>0</v>
      </c>
      <c r="U64" s="7">
        <f>Table11[[#This Row],[ETP Year]]</f>
        <v>2016</v>
      </c>
      <c r="V64" s="7">
        <f>Table11[[#This Row],[Planting Year]]</f>
        <v>2018</v>
      </c>
      <c r="W64" s="17">
        <f>Table11[[#This Row],[Survival% as of 12/31/23]]</f>
        <v>0</v>
      </c>
      <c r="X64">
        <f>Table11[[#This Row],[ETP'#s]]</f>
        <v>1</v>
      </c>
    </row>
    <row r="65" spans="1:24" hidden="1" x14ac:dyDescent="0.25">
      <c r="A65">
        <f>Table11[[#This Row],[Farmer'#]]</f>
        <v>20023</v>
      </c>
      <c r="B65" t="str">
        <f>Table11[[#This Row],[Representative]]</f>
        <v>Carlos Montero</v>
      </c>
      <c r="C65" t="str">
        <f>Table11[[#This Row],[Contract Name]]</f>
        <v>Carlos Montero</v>
      </c>
      <c r="D65" t="str">
        <f>Table11[[#This Row],[Status]]</f>
        <v>Out of Program</v>
      </c>
      <c r="E65" t="str">
        <f>Table11[[#This Row],[Contract Code]]</f>
        <v>CR0024</v>
      </c>
      <c r="F65">
        <f>Table11[[#This Row],['#TreesContract]]</f>
        <v>2500</v>
      </c>
      <c r="G65">
        <f>Table11[[#This Row],['#Planted]]</f>
        <v>2500</v>
      </c>
      <c r="H65" s="16">
        <f>Table11[[#This Row],['#TreesContract]]*Table11[[#This Row],[Canada Allocation2017 %]]</f>
        <v>1388</v>
      </c>
      <c r="I65" s="16">
        <f>Table11[[#This Row],['#Planted]]*Table11[[#This Row],[Canada Allocation2017 %]]</f>
        <v>1388</v>
      </c>
      <c r="J65" s="16">
        <f>Table11[[#This Row],[Contract Amendment]]*Table11[[#This Row],[Canada Allocation2017 %]]</f>
        <v>0</v>
      </c>
      <c r="K65" s="16">
        <f>Table11[[#This Row],['#Trees as of 12/31/23]]*Table11[[#This Row],[Canada Allocation2017 %]]</f>
        <v>0</v>
      </c>
      <c r="L65" s="16">
        <f>Table11[[#This Row],['#Replace 24]]*Table11[[#This Row],[Canada Allocation2017 %]]</f>
        <v>0</v>
      </c>
      <c r="M65" s="16"/>
      <c r="N65" s="16">
        <f>(Table11[[#This Row],[2024 '#Trees Inventory + Estimate]]*Table11[[#This Row],[Canada Allocation2017 %]])-SUM(Table3789[[#This Row],['# Trees as of 12/31/23]:[New Trees/Planted in 2024]])</f>
        <v>0</v>
      </c>
      <c r="O65" s="32">
        <f>SUM(Table3789[[#This Row],['# Trees as of 12/31/23]:[2024 Tree Losses]])</f>
        <v>0</v>
      </c>
      <c r="P65" s="32">
        <f>SUM(Table3789[[#This Row],[Total Trees as of 12/31/24]]-Table3789[[#This Row],['# Trees as of 12/31/23]])</f>
        <v>0</v>
      </c>
      <c r="Q65" s="16">
        <f>Table11[[#This Row],['#Total Replacements]]*Table11[[#This Row],[Canada Allocation2017 %]]</f>
        <v>0</v>
      </c>
      <c r="R65" s="32">
        <f>IF(Table3789[[#This Row],['#Survival based on Inventory]]=0,Table3789['#Survival based on Last Year Estimate],Table3789['#Survival based on Inventory])</f>
        <v>0</v>
      </c>
      <c r="S65" s="16">
        <f>Table11[[#This Row],['#Planted]]*Table11[[#This Row],[Canada Allocation2017 %]]*Table11[[#This Row],[2024 Inventory Survival%-master]]</f>
        <v>0</v>
      </c>
      <c r="T65" s="16">
        <f>Table11[[#This Row],['#Planted]]*Table11[[#This Row],[Canada Allocation2017 %]]*Table11[[#This Row],[2024 Estimated Survival%]]</f>
        <v>0</v>
      </c>
      <c r="U65" s="7">
        <f>Table11[[#This Row],[ETP Year]]</f>
        <v>2016</v>
      </c>
      <c r="V65" s="7">
        <f>Table11[[#This Row],[Planting Year]]</f>
        <v>2018</v>
      </c>
      <c r="W65" s="17">
        <f>Table11[[#This Row],[Survival% as of 12/31/23]]</f>
        <v>0</v>
      </c>
      <c r="X65">
        <f>Table11[[#This Row],[ETP'#s]]</f>
        <v>1</v>
      </c>
    </row>
    <row r="66" spans="1:24" hidden="1" x14ac:dyDescent="0.25">
      <c r="A66">
        <f>Table11[[#This Row],[Farmer'#]]</f>
        <v>20024</v>
      </c>
      <c r="B66" t="str">
        <f>Table11[[#This Row],[Representative]]</f>
        <v>Eduardo Gurdian</v>
      </c>
      <c r="C66" t="str">
        <f>Table11[[#This Row],[Contract Name]]</f>
        <v>Eduardo Gurdian</v>
      </c>
      <c r="D66" t="str">
        <f>Table11[[#This Row],[Status]]</f>
        <v>Out of Program</v>
      </c>
      <c r="E66" t="str">
        <f>Table11[[#This Row],[Contract Code]]</f>
        <v>CR0027</v>
      </c>
      <c r="F66">
        <f>Table11[[#This Row],['#TreesContract]]</f>
        <v>500</v>
      </c>
      <c r="G66">
        <f>Table11[[#This Row],['#Planted]]</f>
        <v>500</v>
      </c>
      <c r="H66" s="16">
        <f>Table11[[#This Row],['#TreesContract]]*Table11[[#This Row],[Canada Allocation2017 %]]</f>
        <v>278</v>
      </c>
      <c r="I66" s="16">
        <f>Table11[[#This Row],['#Planted]]*Table11[[#This Row],[Canada Allocation2017 %]]</f>
        <v>278</v>
      </c>
      <c r="J66" s="16">
        <f>Table11[[#This Row],[Contract Amendment]]*Table11[[#This Row],[Canada Allocation2017 %]]</f>
        <v>0</v>
      </c>
      <c r="K66" s="16">
        <f>Table11[[#This Row],['#Trees as of 12/31/23]]*Table11[[#This Row],[Canada Allocation2017 %]]</f>
        <v>0</v>
      </c>
      <c r="L66" s="16">
        <f>Table11[[#This Row],['#Replace 24]]*Table11[[#This Row],[Canada Allocation2017 %]]</f>
        <v>0</v>
      </c>
      <c r="M66" s="16"/>
      <c r="N66" s="16">
        <f>(Table11[[#This Row],[2024 '#Trees Inventory + Estimate]]*Table11[[#This Row],[Canada Allocation2017 %]])-SUM(Table3789[[#This Row],['# Trees as of 12/31/23]:[New Trees/Planted in 2024]])</f>
        <v>0</v>
      </c>
      <c r="O66" s="32">
        <f>SUM(Table3789[[#This Row],['# Trees as of 12/31/23]:[2024 Tree Losses]])</f>
        <v>0</v>
      </c>
      <c r="P66" s="32">
        <f>SUM(Table3789[[#This Row],[Total Trees as of 12/31/24]]-Table3789[[#This Row],['# Trees as of 12/31/23]])</f>
        <v>0</v>
      </c>
      <c r="Q66" s="16">
        <f>Table11[[#This Row],['#Total Replacements]]*Table11[[#This Row],[Canada Allocation2017 %]]</f>
        <v>0</v>
      </c>
      <c r="R66" s="32">
        <f>IF(Table3789[[#This Row],['#Survival based on Inventory]]=0,Table3789['#Survival based on Last Year Estimate],Table3789['#Survival based on Inventory])</f>
        <v>0</v>
      </c>
      <c r="S66" s="16">
        <f>Table11[[#This Row],['#Planted]]*Table11[[#This Row],[Canada Allocation2017 %]]*Table11[[#This Row],[2024 Inventory Survival%-master]]</f>
        <v>0</v>
      </c>
      <c r="T66" s="16">
        <f>Table11[[#This Row],['#Planted]]*Table11[[#This Row],[Canada Allocation2017 %]]*Table11[[#This Row],[2024 Estimated Survival%]]</f>
        <v>0</v>
      </c>
      <c r="U66" s="7">
        <f>Table11[[#This Row],[ETP Year]]</f>
        <v>2016</v>
      </c>
      <c r="V66" s="7">
        <f>Table11[[#This Row],[Planting Year]]</f>
        <v>2018</v>
      </c>
      <c r="W66" s="17">
        <f>Table11[[#This Row],[Survival% as of 12/31/23]]</f>
        <v>0</v>
      </c>
      <c r="X66">
        <f>Table11[[#This Row],[ETP'#s]]</f>
        <v>1</v>
      </c>
    </row>
    <row r="67" spans="1:24" hidden="1" x14ac:dyDescent="0.25">
      <c r="A67">
        <f>Table11[[#This Row],[Farmer'#]]</f>
        <v>20025</v>
      </c>
      <c r="B67" t="str">
        <f>Table11[[#This Row],[Representative]]</f>
        <v>Edgardo Matamoros</v>
      </c>
      <c r="C67" t="str">
        <f>Table11[[#This Row],[Contract Name]]</f>
        <v>Juan Manuel Sanchez</v>
      </c>
      <c r="D67" t="str">
        <f>Table11[[#This Row],[Status]]</f>
        <v>Active</v>
      </c>
      <c r="E67" t="str">
        <f>Table11[[#This Row],[Contract Code]]</f>
        <v>CR0028</v>
      </c>
      <c r="F67">
        <f>Table11[[#This Row],['#TreesContract]]</f>
        <v>2000</v>
      </c>
      <c r="G67">
        <f>Table11[[#This Row],['#Planted]]</f>
        <v>2000</v>
      </c>
      <c r="H67" s="16">
        <f>Table11[[#This Row],['#TreesContract]]*Table11[[#This Row],[Canada Allocation2017 %]]</f>
        <v>1110</v>
      </c>
      <c r="I67" s="16">
        <f>Table11[[#This Row],['#Planted]]*Table11[[#This Row],[Canada Allocation2017 %]]</f>
        <v>1110</v>
      </c>
      <c r="J67" s="16">
        <f>Table11[[#This Row],[Contract Amendment]]*Table11[[#This Row],[Canada Allocation2017 %]]</f>
        <v>0</v>
      </c>
      <c r="K67" s="16">
        <f>Table11[[#This Row],['#Trees as of 12/31/23]]*Table11[[#This Row],[Canada Allocation2017 %]]</f>
        <v>621.6</v>
      </c>
      <c r="L67" s="16">
        <f>Table11[[#This Row],['#Replace 24]]*Table11[[#This Row],[Canada Allocation2017 %]]</f>
        <v>0</v>
      </c>
      <c r="M67" s="16"/>
      <c r="N67" s="16">
        <f>(Table11[[#This Row],[2024 '#Trees Inventory + Estimate]]*Table11[[#This Row],[Canada Allocation2017 %]])-SUM(Table3789[[#This Row],['# Trees as of 12/31/23]:[New Trees/Planted in 2024]])</f>
        <v>0</v>
      </c>
      <c r="O67" s="32">
        <f>SUM(Table3789[[#This Row],['# Trees as of 12/31/23]:[2024 Tree Losses]])</f>
        <v>621.6</v>
      </c>
      <c r="P67" s="32">
        <f>SUM(Table3789[[#This Row],[Total Trees as of 12/31/24]]-Table3789[[#This Row],['# Trees as of 12/31/23]])</f>
        <v>0</v>
      </c>
      <c r="Q67" s="16">
        <f>Table11[[#This Row],['#Total Replacements]]*Table11[[#This Row],[Canada Allocation2017 %]]</f>
        <v>943.50000000000011</v>
      </c>
      <c r="R67" s="32">
        <f>IF(Table3789[[#This Row],['#Survival based on Inventory]]=0,Table3789['#Survival based on Last Year Estimate],Table3789['#Survival based on Inventory])</f>
        <v>621.6</v>
      </c>
      <c r="S67" s="16">
        <f>Table11[[#This Row],['#Planted]]*Table11[[#This Row],[Canada Allocation2017 %]]*Table11[[#This Row],[2024 Inventory Survival%-master]]</f>
        <v>0</v>
      </c>
      <c r="T67" s="16">
        <f>Table11[[#This Row],['#Planted]]*Table11[[#This Row],[Canada Allocation2017 %]]*Table11[[#This Row],[2024 Estimated Survival%]]</f>
        <v>621.6</v>
      </c>
      <c r="U67" s="7">
        <f>Table11[[#This Row],[ETP Year]]</f>
        <v>2016</v>
      </c>
      <c r="V67" s="7">
        <f>Table11[[#This Row],[Planting Year]]</f>
        <v>2018</v>
      </c>
      <c r="W67" s="17">
        <f>Table11[[#This Row],[Survival% as of 12/31/23]]</f>
        <v>0.56000000000000005</v>
      </c>
      <c r="X67">
        <f>Table11[[#This Row],[ETP'#s]]</f>
        <v>1</v>
      </c>
    </row>
    <row r="68" spans="1:24" hidden="1" x14ac:dyDescent="0.25">
      <c r="A68">
        <f>Table11[[#This Row],[Farmer'#]]</f>
        <v>20026</v>
      </c>
      <c r="B68" t="str">
        <f>Table11[[#This Row],[Representative]]</f>
        <v>María Julia Ramirez</v>
      </c>
      <c r="C68" t="str">
        <f>Table11[[#This Row],[Contract Name]]</f>
        <v>María Julia Ramirez</v>
      </c>
      <c r="D68" t="str">
        <f>Table11[[#This Row],[Status]]</f>
        <v>Active</v>
      </c>
      <c r="E68" t="str">
        <f>Table11[[#This Row],[Contract Code]]</f>
        <v>CR0029</v>
      </c>
      <c r="F68">
        <f>Table11[[#This Row],['#TreesContract]]</f>
        <v>500</v>
      </c>
      <c r="G68">
        <f>Table11[[#This Row],['#Planted]]</f>
        <v>500</v>
      </c>
      <c r="H68" s="16">
        <f>Table11[[#This Row],['#TreesContract]]*Table11[[#This Row],[Canada Allocation2017 %]]</f>
        <v>278</v>
      </c>
      <c r="I68" s="16">
        <f>Table11[[#This Row],['#Planted]]*Table11[[#This Row],[Canada Allocation2017 %]]</f>
        <v>278</v>
      </c>
      <c r="J68" s="16">
        <f>Table11[[#This Row],[Contract Amendment]]*Table11[[#This Row],[Canada Allocation2017 %]]</f>
        <v>0</v>
      </c>
      <c r="K68" s="16">
        <f>Table11[[#This Row],['#Trees as of 12/31/23]]*Table11[[#This Row],[Canada Allocation2017 %]]</f>
        <v>166.8</v>
      </c>
      <c r="L68" s="16">
        <f>Table11[[#This Row],['#Replace 24]]*Table11[[#This Row],[Canada Allocation2017 %]]</f>
        <v>0</v>
      </c>
      <c r="M68" s="16"/>
      <c r="N68" s="16">
        <f>(Table11[[#This Row],[2024 '#Trees Inventory + Estimate]]*Table11[[#This Row],[Canada Allocation2017 %]])-SUM(Table3789[[#This Row],['# Trees as of 12/31/23]:[New Trees/Planted in 2024]])</f>
        <v>0</v>
      </c>
      <c r="O68" s="32">
        <f>SUM(Table3789[[#This Row],['# Trees as of 12/31/23]:[2024 Tree Losses]])</f>
        <v>166.8</v>
      </c>
      <c r="P68" s="32">
        <f>SUM(Table3789[[#This Row],[Total Trees as of 12/31/24]]-Table3789[[#This Row],['# Trees as of 12/31/23]])</f>
        <v>0</v>
      </c>
      <c r="Q68" s="16">
        <f>Table11[[#This Row],['#Total Replacements]]*Table11[[#This Row],[Canada Allocation2017 %]]</f>
        <v>222.40000000000003</v>
      </c>
      <c r="R68" s="32">
        <f>IF(Table3789[[#This Row],['#Survival based on Inventory]]=0,Table3789['#Survival based on Last Year Estimate],Table3789['#Survival based on Inventory])</f>
        <v>166.79999999999998</v>
      </c>
      <c r="S68" s="16">
        <f>Table11[[#This Row],['#Planted]]*Table11[[#This Row],[Canada Allocation2017 %]]*Table11[[#This Row],[2024 Inventory Survival%-master]]</f>
        <v>0</v>
      </c>
      <c r="T68" s="16">
        <f>Table11[[#This Row],['#Planted]]*Table11[[#This Row],[Canada Allocation2017 %]]*Table11[[#This Row],[2024 Estimated Survival%]]</f>
        <v>166.79999999999998</v>
      </c>
      <c r="U68" s="7">
        <f>Table11[[#This Row],[ETP Year]]</f>
        <v>2016</v>
      </c>
      <c r="V68" s="7">
        <f>Table11[[#This Row],[Planting Year]]</f>
        <v>2018</v>
      </c>
      <c r="W68" s="17">
        <f>Table11[[#This Row],[Survival% as of 12/31/23]]</f>
        <v>0.6</v>
      </c>
      <c r="X68">
        <f>Table11[[#This Row],[ETP'#s]]</f>
        <v>1</v>
      </c>
    </row>
    <row r="69" spans="1:24" hidden="1" x14ac:dyDescent="0.25">
      <c r="A69">
        <f>Table11[[#This Row],[Farmer'#]]</f>
        <v>20027</v>
      </c>
      <c r="B69" t="str">
        <f>Table11[[#This Row],[Representative]]</f>
        <v>Mayela Quesada</v>
      </c>
      <c r="C69" t="str">
        <f>Table11[[#This Row],[Contract Name]]</f>
        <v>Mayela Quesada</v>
      </c>
      <c r="D69" t="str">
        <f>Table11[[#This Row],[Status]]</f>
        <v>Active</v>
      </c>
      <c r="E69" t="str">
        <f>Table11[[#This Row],[Contract Code]]</f>
        <v>CR0030</v>
      </c>
      <c r="F69">
        <f>Table11[[#This Row],['#TreesContract]]</f>
        <v>1000</v>
      </c>
      <c r="G69">
        <f>Table11[[#This Row],['#Planted]]</f>
        <v>1000</v>
      </c>
      <c r="H69" s="16">
        <f>Table11[[#This Row],['#TreesContract]]*Table11[[#This Row],[Canada Allocation2017 %]]</f>
        <v>555</v>
      </c>
      <c r="I69" s="16">
        <f>Table11[[#This Row],['#Planted]]*Table11[[#This Row],[Canada Allocation2017 %]]</f>
        <v>555</v>
      </c>
      <c r="J69" s="16">
        <f>Table11[[#This Row],[Contract Amendment]]*Table11[[#This Row],[Canada Allocation2017 %]]</f>
        <v>0</v>
      </c>
      <c r="K69" s="16">
        <f>Table11[[#This Row],['#Trees as of 12/31/23]]*Table11[[#This Row],[Canada Allocation2017 %]]</f>
        <v>333.00000000000006</v>
      </c>
      <c r="L69" s="16">
        <f>Table11[[#This Row],['#Replace 24]]*Table11[[#This Row],[Canada Allocation2017 %]]</f>
        <v>0</v>
      </c>
      <c r="M69" s="16"/>
      <c r="N69" s="16">
        <f>(Table11[[#This Row],[2024 '#Trees Inventory + Estimate]]*Table11[[#This Row],[Canada Allocation2017 %]])-SUM(Table3789[[#This Row],['# Trees as of 12/31/23]:[New Trees/Planted in 2024]])</f>
        <v>0</v>
      </c>
      <c r="O69" s="32">
        <f>SUM(Table3789[[#This Row],['# Trees as of 12/31/23]:[2024 Tree Losses]])</f>
        <v>333.00000000000006</v>
      </c>
      <c r="P69" s="32">
        <f>SUM(Table3789[[#This Row],[Total Trees as of 12/31/24]]-Table3789[[#This Row],['# Trees as of 12/31/23]])</f>
        <v>0</v>
      </c>
      <c r="Q69" s="16">
        <f>Table11[[#This Row],['#Total Replacements]]*Table11[[#This Row],[Canada Allocation2017 %]]</f>
        <v>521.70000000000005</v>
      </c>
      <c r="R69" s="32">
        <f>IF(Table3789[[#This Row],['#Survival based on Inventory]]=0,Table3789['#Survival based on Last Year Estimate],Table3789['#Survival based on Inventory])</f>
        <v>333</v>
      </c>
      <c r="S69" s="16">
        <f>Table11[[#This Row],['#Planted]]*Table11[[#This Row],[Canada Allocation2017 %]]*Table11[[#This Row],[2024 Inventory Survival%-master]]</f>
        <v>0</v>
      </c>
      <c r="T69" s="16">
        <f>Table11[[#This Row],['#Planted]]*Table11[[#This Row],[Canada Allocation2017 %]]*Table11[[#This Row],[2024 Estimated Survival%]]</f>
        <v>333</v>
      </c>
      <c r="U69" s="7">
        <f>Table11[[#This Row],[ETP Year]]</f>
        <v>2016</v>
      </c>
      <c r="V69" s="7">
        <f>Table11[[#This Row],[Planting Year]]</f>
        <v>2018</v>
      </c>
      <c r="W69" s="17">
        <f>Table11[[#This Row],[Survival% as of 12/31/23]]</f>
        <v>0.6</v>
      </c>
      <c r="X69">
        <f>Table11[[#This Row],[ETP'#s]]</f>
        <v>1</v>
      </c>
    </row>
    <row r="70" spans="1:24" hidden="1" x14ac:dyDescent="0.25">
      <c r="A70">
        <f>Table11[[#This Row],[Farmer'#]]</f>
        <v>20028</v>
      </c>
      <c r="B70" t="str">
        <f>Table11[[#This Row],[Representative]]</f>
        <v>Rene Ceciliano</v>
      </c>
      <c r="C70" t="str">
        <f>Table11[[#This Row],[Contract Name]]</f>
        <v>Inversiones Los Alpinos S.A</v>
      </c>
      <c r="D70" t="str">
        <f>Table11[[#This Row],[Status]]</f>
        <v>Out of Program</v>
      </c>
      <c r="E70" t="str">
        <f>Table11[[#This Row],[Contract Code]]</f>
        <v>CR0032</v>
      </c>
      <c r="F70">
        <f>Table11[[#This Row],['#TreesContract]]</f>
        <v>1000</v>
      </c>
      <c r="G70">
        <f>Table11[[#This Row],['#Planted]]</f>
        <v>1000</v>
      </c>
      <c r="H70" s="16">
        <f>Table11[[#This Row],['#TreesContract]]*Table11[[#This Row],[Canada Allocation2017 %]]</f>
        <v>555</v>
      </c>
      <c r="I70" s="16">
        <f>Table11[[#This Row],['#Planted]]*Table11[[#This Row],[Canada Allocation2017 %]]</f>
        <v>555</v>
      </c>
      <c r="J70" s="16">
        <f>Table11[[#This Row],[Contract Amendment]]*Table11[[#This Row],[Canada Allocation2017 %]]</f>
        <v>0</v>
      </c>
      <c r="K70" s="16">
        <f>Table11[[#This Row],['#Trees as of 12/31/23]]*Table11[[#This Row],[Canada Allocation2017 %]]</f>
        <v>0</v>
      </c>
      <c r="L70" s="16">
        <f>Table11[[#This Row],['#Replace 24]]*Table11[[#This Row],[Canada Allocation2017 %]]</f>
        <v>0</v>
      </c>
      <c r="M70" s="16"/>
      <c r="N70" s="16">
        <f>(Table11[[#This Row],[2024 '#Trees Inventory + Estimate]]*Table11[[#This Row],[Canada Allocation2017 %]])-SUM(Table3789[[#This Row],['# Trees as of 12/31/23]:[New Trees/Planted in 2024]])</f>
        <v>0</v>
      </c>
      <c r="O70" s="32">
        <f>SUM(Table3789[[#This Row],['# Trees as of 12/31/23]:[2024 Tree Losses]])</f>
        <v>0</v>
      </c>
      <c r="P70" s="32">
        <f>SUM(Table3789[[#This Row],[Total Trees as of 12/31/24]]-Table3789[[#This Row],['# Trees as of 12/31/23]])</f>
        <v>0</v>
      </c>
      <c r="Q70" s="16">
        <f>Table11[[#This Row],['#Total Replacements]]*Table11[[#This Row],[Canada Allocation2017 %]]</f>
        <v>277.5</v>
      </c>
      <c r="R70" s="32">
        <f>IF(Table3789[[#This Row],['#Survival based on Inventory]]=0,Table3789['#Survival based on Last Year Estimate],Table3789['#Survival based on Inventory])</f>
        <v>0</v>
      </c>
      <c r="S70" s="16">
        <f>Table11[[#This Row],['#Planted]]*Table11[[#This Row],[Canada Allocation2017 %]]*Table11[[#This Row],[2024 Inventory Survival%-master]]</f>
        <v>0</v>
      </c>
      <c r="T70" s="16">
        <f>Table11[[#This Row],['#Planted]]*Table11[[#This Row],[Canada Allocation2017 %]]*Table11[[#This Row],[2024 Estimated Survival%]]</f>
        <v>0</v>
      </c>
      <c r="U70" s="7">
        <f>Table11[[#This Row],[ETP Year]]</f>
        <v>2016</v>
      </c>
      <c r="V70" s="7">
        <f>Table11[[#This Row],[Planting Year]]</f>
        <v>2018</v>
      </c>
      <c r="W70" s="17">
        <f>Table11[[#This Row],[Survival% as of 12/31/23]]</f>
        <v>0</v>
      </c>
      <c r="X70">
        <f>Table11[[#This Row],[ETP'#s]]</f>
        <v>1</v>
      </c>
    </row>
    <row r="71" spans="1:24" hidden="1" x14ac:dyDescent="0.25">
      <c r="A71">
        <f>Table11[[#This Row],[Farmer'#]]</f>
        <v>20029</v>
      </c>
      <c r="B71" t="str">
        <f>Table11[[#This Row],[Representative]]</f>
        <v>Ricardo Simpson</v>
      </c>
      <c r="C71" t="str">
        <f>Table11[[#This Row],[Contract Name]]</f>
        <v>Ricardo Simpson</v>
      </c>
      <c r="D71" t="str">
        <f>Table11[[#This Row],[Status]]</f>
        <v>Out of Program</v>
      </c>
      <c r="E71" t="str">
        <f>Table11[[#This Row],[Contract Code]]</f>
        <v>CR0033</v>
      </c>
      <c r="F71">
        <f>Table11[[#This Row],['#TreesContract]]</f>
        <v>1100</v>
      </c>
      <c r="G71">
        <f>Table11[[#This Row],['#Planted]]</f>
        <v>1100</v>
      </c>
      <c r="H71" s="16">
        <f>Table11[[#This Row],['#TreesContract]]*Table11[[#This Row],[Canada Allocation2017 %]]</f>
        <v>611</v>
      </c>
      <c r="I71" s="16">
        <f>Table11[[#This Row],['#Planted]]*Table11[[#This Row],[Canada Allocation2017 %]]</f>
        <v>611</v>
      </c>
      <c r="J71" s="16">
        <f>Table11[[#This Row],[Contract Amendment]]*Table11[[#This Row],[Canada Allocation2017 %]]</f>
        <v>0</v>
      </c>
      <c r="K71" s="16">
        <f>Table11[[#This Row],['#Trees as of 12/31/23]]*Table11[[#This Row],[Canada Allocation2017 %]]</f>
        <v>0</v>
      </c>
      <c r="L71" s="16">
        <f>Table11[[#This Row],['#Replace 24]]*Table11[[#This Row],[Canada Allocation2017 %]]</f>
        <v>0</v>
      </c>
      <c r="M71" s="16"/>
      <c r="N71" s="16">
        <f>(Table11[[#This Row],[2024 '#Trees Inventory + Estimate]]*Table11[[#This Row],[Canada Allocation2017 %]])-SUM(Table3789[[#This Row],['# Trees as of 12/31/23]:[New Trees/Planted in 2024]])</f>
        <v>0</v>
      </c>
      <c r="O71" s="32">
        <f>SUM(Table3789[[#This Row],['# Trees as of 12/31/23]:[2024 Tree Losses]])</f>
        <v>0</v>
      </c>
      <c r="P71" s="32">
        <f>SUM(Table3789[[#This Row],[Total Trees as of 12/31/24]]-Table3789[[#This Row],['# Trees as of 12/31/23]])</f>
        <v>0</v>
      </c>
      <c r="Q71" s="16">
        <f>Table11[[#This Row],['#Total Replacements]]*Table11[[#This Row],[Canada Allocation2017 %]]</f>
        <v>166.63636363636363</v>
      </c>
      <c r="R71" s="32">
        <f>IF(Table3789[[#This Row],['#Survival based on Inventory]]=0,Table3789['#Survival based on Last Year Estimate],Table3789['#Survival based on Inventory])</f>
        <v>0</v>
      </c>
      <c r="S71" s="16">
        <f>Table11[[#This Row],['#Planted]]*Table11[[#This Row],[Canada Allocation2017 %]]*Table11[[#This Row],[2024 Inventory Survival%-master]]</f>
        <v>0</v>
      </c>
      <c r="T71" s="16">
        <f>Table11[[#This Row],['#Planted]]*Table11[[#This Row],[Canada Allocation2017 %]]*Table11[[#This Row],[2024 Estimated Survival%]]</f>
        <v>0</v>
      </c>
      <c r="U71" s="7">
        <f>Table11[[#This Row],[ETP Year]]</f>
        <v>2016</v>
      </c>
      <c r="V71" s="7">
        <f>Table11[[#This Row],[Planting Year]]</f>
        <v>2018</v>
      </c>
      <c r="W71" s="17">
        <f>Table11[[#This Row],[Survival% as of 12/31/23]]</f>
        <v>0</v>
      </c>
      <c r="X71">
        <f>Table11[[#This Row],[ETP'#s]]</f>
        <v>1</v>
      </c>
    </row>
    <row r="72" spans="1:24" hidden="1" x14ac:dyDescent="0.25">
      <c r="A72">
        <f>Table11[[#This Row],[Farmer'#]]</f>
        <v>20030</v>
      </c>
      <c r="B72" t="str">
        <f>Table11[[#This Row],[Representative]]</f>
        <v>Richard Valverde</v>
      </c>
      <c r="C72" t="str">
        <f>Table11[[#This Row],[Contract Name]]</f>
        <v>Richard Valverde</v>
      </c>
      <c r="D72" t="str">
        <f>Table11[[#This Row],[Status]]</f>
        <v>Out of Program</v>
      </c>
      <c r="E72" t="str">
        <f>Table11[[#This Row],[Contract Code]]</f>
        <v>CR0034</v>
      </c>
      <c r="F72">
        <f>Table11[[#This Row],['#TreesContract]]</f>
        <v>1100</v>
      </c>
      <c r="G72">
        <f>Table11[[#This Row],['#Planted]]</f>
        <v>1100</v>
      </c>
      <c r="H72" s="16">
        <f>Table11[[#This Row],['#TreesContract]]*Table11[[#This Row],[Canada Allocation2017 %]]</f>
        <v>612</v>
      </c>
      <c r="I72" s="16">
        <f>Table11[[#This Row],['#Planted]]*Table11[[#This Row],[Canada Allocation2017 %]]</f>
        <v>612</v>
      </c>
      <c r="J72" s="16">
        <f>Table11[[#This Row],[Contract Amendment]]*Table11[[#This Row],[Canada Allocation2017 %]]</f>
        <v>0</v>
      </c>
      <c r="K72" s="16">
        <f>Table11[[#This Row],['#Trees as of 12/31/23]]*Table11[[#This Row],[Canada Allocation2017 %]]</f>
        <v>0</v>
      </c>
      <c r="L72" s="16">
        <f>Table11[[#This Row],['#Replace 24]]*Table11[[#This Row],[Canada Allocation2017 %]]</f>
        <v>0</v>
      </c>
      <c r="M72" s="16"/>
      <c r="N72" s="16">
        <f>(Table11[[#This Row],[2024 '#Trees Inventory + Estimate]]*Table11[[#This Row],[Canada Allocation2017 %]])-SUM(Table3789[[#This Row],['# Trees as of 12/31/23]:[New Trees/Planted in 2024]])</f>
        <v>0</v>
      </c>
      <c r="O72" s="32">
        <f>SUM(Table3789[[#This Row],['# Trees as of 12/31/23]:[2024 Tree Losses]])</f>
        <v>0</v>
      </c>
      <c r="P72" s="32">
        <f>SUM(Table3789[[#This Row],[Total Trees as of 12/31/24]]-Table3789[[#This Row],['# Trees as of 12/31/23]])</f>
        <v>0</v>
      </c>
      <c r="Q72" s="16">
        <f>Table11[[#This Row],['#Total Replacements]]*Table11[[#This Row],[Canada Allocation2017 %]]</f>
        <v>0</v>
      </c>
      <c r="R72" s="32">
        <f>IF(Table3789[[#This Row],['#Survival based on Inventory]]=0,Table3789['#Survival based on Last Year Estimate],Table3789['#Survival based on Inventory])</f>
        <v>0</v>
      </c>
      <c r="S72" s="16">
        <f>Table11[[#This Row],['#Planted]]*Table11[[#This Row],[Canada Allocation2017 %]]*Table11[[#This Row],[2024 Inventory Survival%-master]]</f>
        <v>0</v>
      </c>
      <c r="T72" s="16">
        <f>Table11[[#This Row],['#Planted]]*Table11[[#This Row],[Canada Allocation2017 %]]*Table11[[#This Row],[2024 Estimated Survival%]]</f>
        <v>0</v>
      </c>
      <c r="U72" s="7">
        <f>Table11[[#This Row],[ETP Year]]</f>
        <v>2016</v>
      </c>
      <c r="V72" s="7">
        <f>Table11[[#This Row],[Planting Year]]</f>
        <v>2018</v>
      </c>
      <c r="W72" s="17">
        <f>Table11[[#This Row],[Survival% as of 12/31/23]]</f>
        <v>0</v>
      </c>
      <c r="X72">
        <f>Table11[[#This Row],[ETP'#s]]</f>
        <v>1</v>
      </c>
    </row>
    <row r="73" spans="1:24" hidden="1" x14ac:dyDescent="0.25">
      <c r="A73">
        <f>Table11[[#This Row],[Farmer'#]]</f>
        <v>10021</v>
      </c>
      <c r="B73" t="str">
        <f>Table11[[#This Row],[Representative]]</f>
        <v>Grover Plunkett</v>
      </c>
      <c r="C73" t="str">
        <f>Table11[[#This Row],[Contract Name]]</f>
        <v>Southern Innovative Investments LLC</v>
      </c>
      <c r="D73" t="str">
        <f>Table11[[#This Row],[Status]]</f>
        <v>Active</v>
      </c>
      <c r="E73" t="str">
        <f>Table11[[#This Row],[Contract Code]]</f>
        <v>US0042</v>
      </c>
      <c r="F73">
        <f>Table11[[#This Row],['#TreesContract]]</f>
        <v>15620</v>
      </c>
      <c r="G73">
        <f>Table11[[#This Row],['#Planted]]</f>
        <v>15620</v>
      </c>
      <c r="H73" s="16">
        <f>Table11[[#This Row],['#TreesContract]]*Table11[[#This Row],[Canada Allocation2017 %]]</f>
        <v>15620</v>
      </c>
      <c r="I73" s="16">
        <f>Table11[[#This Row],['#Planted]]*Table11[[#This Row],[Canada Allocation2017 %]]</f>
        <v>15620</v>
      </c>
      <c r="J73" s="16">
        <f>Table11[[#This Row],[Contract Amendment]]*Table11[[#This Row],[Canada Allocation2017 %]]</f>
        <v>0</v>
      </c>
      <c r="K73" s="16">
        <f>Table11[[#This Row],['#Trees as of 12/31/23]]*Table11[[#This Row],[Canada Allocation2017 %]]</f>
        <v>6485.9745762711864</v>
      </c>
      <c r="L73" s="16">
        <f>Table11[[#This Row],['#Replace 24]]*Table11[[#This Row],[Canada Allocation2017 %]]</f>
        <v>0</v>
      </c>
      <c r="M73" s="16"/>
      <c r="N73" s="16">
        <f>(Table11[[#This Row],[2024 '#Trees Inventory + Estimate]]*Table11[[#This Row],[Canada Allocation2017 %]])-SUM(Table3789[[#This Row],['# Trees as of 12/31/23]:[New Trees/Planted in 2024]])</f>
        <v>0</v>
      </c>
      <c r="O73" s="32">
        <f>SUM(Table3789[[#This Row],['# Trees as of 12/31/23]:[2024 Tree Losses]])</f>
        <v>6485.9745762711864</v>
      </c>
      <c r="P73" s="32">
        <f>SUM(Table3789[[#This Row],[Total Trees as of 12/31/24]]-Table3789[[#This Row],['# Trees as of 12/31/23]])</f>
        <v>0</v>
      </c>
      <c r="Q73" s="16">
        <f>Table11[[#This Row],['#Total Replacements]]*Table11[[#This Row],[Canada Allocation2017 %]]</f>
        <v>0</v>
      </c>
      <c r="R73" s="32">
        <f>IF(Table3789[[#This Row],['#Survival based on Inventory]]=0,Table3789['#Survival based on Last Year Estimate],Table3789['#Survival based on Inventory])</f>
        <v>6485.9745762711864</v>
      </c>
      <c r="S73" s="16">
        <f>Table11[[#This Row],['#Planted]]*Table11[[#This Row],[Canada Allocation2017 %]]*Table11[[#This Row],[2024 Inventory Survival%-master]]</f>
        <v>0</v>
      </c>
      <c r="T73" s="16">
        <f>Table11[[#This Row],['#Planted]]*Table11[[#This Row],[Canada Allocation2017 %]]*Table11[[#This Row],[2024 Estimated Survival%]]</f>
        <v>6485.9745762711864</v>
      </c>
      <c r="U73" s="7">
        <f>Table11[[#This Row],[ETP Year]]</f>
        <v>2017</v>
      </c>
      <c r="V73" s="7">
        <f>Table11[[#This Row],[Planting Year]]</f>
        <v>2019</v>
      </c>
      <c r="W73" s="17">
        <f>Table11[[#This Row],[Survival% as of 12/31/23]]</f>
        <v>0.4152352481607674</v>
      </c>
      <c r="X73">
        <f>Table11[[#This Row],[ETP'#s]]</f>
        <v>1</v>
      </c>
    </row>
    <row r="74" spans="1:24" hidden="1" x14ac:dyDescent="0.25">
      <c r="A74">
        <f>Table11[[#This Row],[Farmer'#]]</f>
        <v>10029</v>
      </c>
      <c r="B74" t="str">
        <f>Table11[[#This Row],[Representative]]</f>
        <v>Alfie Kelly</v>
      </c>
      <c r="C74" t="str">
        <f>Table11[[#This Row],[Contract Name]]</f>
        <v>Alfie Kelly</v>
      </c>
      <c r="D74" t="str">
        <f>Table11[[#This Row],[Status]]</f>
        <v>Out of Program</v>
      </c>
      <c r="E74" t="str">
        <f>Table11[[#This Row],[Contract Code]]</f>
        <v>US0033</v>
      </c>
      <c r="F74">
        <f>Table11[[#This Row],['#TreesContract]]</f>
        <v>4400</v>
      </c>
      <c r="G74">
        <f>Table11[[#This Row],['#Planted]]</f>
        <v>4400</v>
      </c>
      <c r="H74" s="16">
        <f>Table11[[#This Row],['#TreesContract]]*Table11[[#This Row],[Canada Allocation2017 %]]</f>
        <v>0</v>
      </c>
      <c r="I74" s="16">
        <f>Table11[[#This Row],['#Planted]]*Table11[[#This Row],[Canada Allocation2017 %]]</f>
        <v>0</v>
      </c>
      <c r="J74" s="16">
        <f>Table11[[#This Row],[Contract Amendment]]*Table11[[#This Row],[Canada Allocation2017 %]]</f>
        <v>0</v>
      </c>
      <c r="K74" s="16">
        <f>Table11[[#This Row],['#Trees as of 12/31/23]]*Table11[[#This Row],[Canada Allocation2017 %]]</f>
        <v>0</v>
      </c>
      <c r="L74" s="16">
        <f>Table11[[#This Row],['#Replace 24]]*Table11[[#This Row],[Canada Allocation2017 %]]</f>
        <v>0</v>
      </c>
      <c r="M74" s="16"/>
      <c r="N74" s="16">
        <f>(Table11[[#This Row],[2024 '#Trees Inventory + Estimate]]*Table11[[#This Row],[Canada Allocation2017 %]])-SUM(Table3789[[#This Row],['# Trees as of 12/31/23]:[New Trees/Planted in 2024]])</f>
        <v>0</v>
      </c>
      <c r="O74" s="32">
        <f>SUM(Table3789[[#This Row],['# Trees as of 12/31/23]:[2024 Tree Losses]])</f>
        <v>0</v>
      </c>
      <c r="P74" s="32">
        <f>SUM(Table3789[[#This Row],[Total Trees as of 12/31/24]]-Table3789[[#This Row],['# Trees as of 12/31/23]])</f>
        <v>0</v>
      </c>
      <c r="Q74" s="16">
        <f>Table11[[#This Row],['#Total Replacements]]*Table11[[#This Row],[Canada Allocation2017 %]]</f>
        <v>0</v>
      </c>
      <c r="R74" s="32">
        <f>IF(Table3789[[#This Row],['#Survival based on Inventory]]=0,Table3789['#Survival based on Last Year Estimate],Table3789['#Survival based on Inventory])</f>
        <v>0</v>
      </c>
      <c r="S74" s="16">
        <f>Table11[[#This Row],['#Planted]]*Table11[[#This Row],[Canada Allocation2017 %]]*Table11[[#This Row],[2024 Inventory Survival%-master]]</f>
        <v>0</v>
      </c>
      <c r="T74" s="16">
        <f>Table11[[#This Row],['#Planted]]*Table11[[#This Row],[Canada Allocation2017 %]]*Table11[[#This Row],[2024 Estimated Survival%]]</f>
        <v>0</v>
      </c>
      <c r="U74" s="7">
        <f>Table11[[#This Row],[ETP Year]]</f>
        <v>2018</v>
      </c>
      <c r="V74" s="7">
        <f>Table11[[#This Row],[Planting Year]]</f>
        <v>2019</v>
      </c>
      <c r="W74" s="17">
        <f>Table11[[#This Row],[Survival% as of 12/31/23]]</f>
        <v>0</v>
      </c>
      <c r="X74">
        <f>Table11[[#This Row],[ETP'#s]]</f>
        <v>1</v>
      </c>
    </row>
    <row r="75" spans="1:24" hidden="1" x14ac:dyDescent="0.25">
      <c r="A75">
        <f>Table11[[#This Row],[Farmer'#]]</f>
        <v>10030</v>
      </c>
      <c r="B75" t="str">
        <f>Table11[[#This Row],[Representative]]</f>
        <v>Billy Whittaker</v>
      </c>
      <c r="C75" t="str">
        <f>Table11[[#This Row],[Contract Name]]</f>
        <v>Billy Whittaker</v>
      </c>
      <c r="D75" t="str">
        <f>Table11[[#This Row],[Status]]</f>
        <v>Active</v>
      </c>
      <c r="E75" t="str">
        <f>Table11[[#This Row],[Contract Code]]</f>
        <v>US0034</v>
      </c>
      <c r="F75">
        <f>Table11[[#This Row],['#TreesContract]]</f>
        <v>1100</v>
      </c>
      <c r="G75">
        <f>Table11[[#This Row],['#Planted]]</f>
        <v>1100</v>
      </c>
      <c r="H75" s="16">
        <f>Table11[[#This Row],['#TreesContract]]*Table11[[#This Row],[Canada Allocation2017 %]]</f>
        <v>0</v>
      </c>
      <c r="I75" s="16">
        <f>Table11[[#This Row],['#Planted]]*Table11[[#This Row],[Canada Allocation2017 %]]</f>
        <v>0</v>
      </c>
      <c r="J75" s="16">
        <f>Table11[[#This Row],[Contract Amendment]]*Table11[[#This Row],[Canada Allocation2017 %]]</f>
        <v>0</v>
      </c>
      <c r="K75" s="16">
        <f>Table11[[#This Row],['#Trees as of 12/31/23]]*Table11[[#This Row],[Canada Allocation2017 %]]</f>
        <v>0</v>
      </c>
      <c r="L75" s="16">
        <f>Table11[[#This Row],['#Replace 24]]*Table11[[#This Row],[Canada Allocation2017 %]]</f>
        <v>0</v>
      </c>
      <c r="M75" s="16"/>
      <c r="N75" s="16">
        <f>(Table11[[#This Row],[2024 '#Trees Inventory + Estimate]]*Table11[[#This Row],[Canada Allocation2017 %]])-SUM(Table3789[[#This Row],['# Trees as of 12/31/23]:[New Trees/Planted in 2024]])</f>
        <v>0</v>
      </c>
      <c r="O75" s="32">
        <f>SUM(Table3789[[#This Row],['# Trees as of 12/31/23]:[2024 Tree Losses]])</f>
        <v>0</v>
      </c>
      <c r="P75" s="32">
        <f>SUM(Table3789[[#This Row],[Total Trees as of 12/31/24]]-Table3789[[#This Row],['# Trees as of 12/31/23]])</f>
        <v>0</v>
      </c>
      <c r="Q75" s="16">
        <f>Table11[[#This Row],['#Total Replacements]]*Table11[[#This Row],[Canada Allocation2017 %]]</f>
        <v>0</v>
      </c>
      <c r="R75" s="32">
        <f>IF(Table3789[[#This Row],['#Survival based on Inventory]]=0,Table3789['#Survival based on Last Year Estimate],Table3789['#Survival based on Inventory])</f>
        <v>0</v>
      </c>
      <c r="S75" s="16">
        <f>Table11[[#This Row],['#Planted]]*Table11[[#This Row],[Canada Allocation2017 %]]*Table11[[#This Row],[2024 Inventory Survival%-master]]</f>
        <v>0</v>
      </c>
      <c r="T75" s="16">
        <f>Table11[[#This Row],['#Planted]]*Table11[[#This Row],[Canada Allocation2017 %]]*Table11[[#This Row],[2024 Estimated Survival%]]</f>
        <v>0</v>
      </c>
      <c r="U75" s="7">
        <f>Table11[[#This Row],[ETP Year]]</f>
        <v>2018</v>
      </c>
      <c r="V75" s="7">
        <f>Table11[[#This Row],[Planting Year]]</f>
        <v>2019</v>
      </c>
      <c r="W75" s="17">
        <f>Table11[[#This Row],[Survival% as of 12/31/23]]</f>
        <v>0.9550545454545456</v>
      </c>
      <c r="X75">
        <f>Table11[[#This Row],[ETP'#s]]</f>
        <v>1</v>
      </c>
    </row>
    <row r="76" spans="1:24" hidden="1" x14ac:dyDescent="0.25">
      <c r="A76">
        <f>Table11[[#This Row],[Farmer'#]]</f>
        <v>10030</v>
      </c>
      <c r="B76" t="str">
        <f>Table11[[#This Row],[Representative]]</f>
        <v>Billy Whittaker</v>
      </c>
      <c r="C76" t="str">
        <f>Table11[[#This Row],[Contract Name]]</f>
        <v>Billy Whittaker and Joyce P Earnest</v>
      </c>
      <c r="D76" t="str">
        <f>Table11[[#This Row],[Status]]</f>
        <v>Active</v>
      </c>
      <c r="E76" t="str">
        <f>Table11[[#This Row],[Contract Code]]</f>
        <v>US0035</v>
      </c>
      <c r="F76">
        <f>Table11[[#This Row],['#TreesContract]]</f>
        <v>460</v>
      </c>
      <c r="G76">
        <f>Table11[[#This Row],['#Planted]]</f>
        <v>460</v>
      </c>
      <c r="H76" s="16">
        <f>Table11[[#This Row],['#TreesContract]]*Table11[[#This Row],[Canada Allocation2017 %]]</f>
        <v>0</v>
      </c>
      <c r="I76" s="16">
        <f>Table11[[#This Row],['#Planted]]*Table11[[#This Row],[Canada Allocation2017 %]]</f>
        <v>0</v>
      </c>
      <c r="J76" s="16">
        <f>Table11[[#This Row],[Contract Amendment]]*Table11[[#This Row],[Canada Allocation2017 %]]</f>
        <v>0</v>
      </c>
      <c r="K76" s="16">
        <f>Table11[[#This Row],['#Trees as of 12/31/23]]*Table11[[#This Row],[Canada Allocation2017 %]]</f>
        <v>0</v>
      </c>
      <c r="L76" s="16">
        <f>Table11[[#This Row],['#Replace 24]]*Table11[[#This Row],[Canada Allocation2017 %]]</f>
        <v>0</v>
      </c>
      <c r="M76" s="16"/>
      <c r="N76" s="16">
        <f>(Table11[[#This Row],[2024 '#Trees Inventory + Estimate]]*Table11[[#This Row],[Canada Allocation2017 %]])-SUM(Table3789[[#This Row],['# Trees as of 12/31/23]:[New Trees/Planted in 2024]])</f>
        <v>0</v>
      </c>
      <c r="O76" s="32">
        <f>SUM(Table3789[[#This Row],['# Trees as of 12/31/23]:[2024 Tree Losses]])</f>
        <v>0</v>
      </c>
      <c r="P76" s="32">
        <f>SUM(Table3789[[#This Row],[Total Trees as of 12/31/24]]-Table3789[[#This Row],['# Trees as of 12/31/23]])</f>
        <v>0</v>
      </c>
      <c r="Q76" s="16">
        <f>Table11[[#This Row],['#Total Replacements]]*Table11[[#This Row],[Canada Allocation2017 %]]</f>
        <v>0</v>
      </c>
      <c r="R76" s="32">
        <f>IF(Table3789[[#This Row],['#Survival based on Inventory]]=0,Table3789['#Survival based on Last Year Estimate],Table3789['#Survival based on Inventory])</f>
        <v>0</v>
      </c>
      <c r="S76" s="16">
        <f>Table11[[#This Row],['#Planted]]*Table11[[#This Row],[Canada Allocation2017 %]]*Table11[[#This Row],[2024 Inventory Survival%-master]]</f>
        <v>0</v>
      </c>
      <c r="T76" s="16">
        <f>Table11[[#This Row],['#Planted]]*Table11[[#This Row],[Canada Allocation2017 %]]*Table11[[#This Row],[2024 Estimated Survival%]]</f>
        <v>0</v>
      </c>
      <c r="U76" s="7">
        <f>Table11[[#This Row],[ETP Year]]</f>
        <v>2018</v>
      </c>
      <c r="V76" s="7">
        <f>Table11[[#This Row],[Planting Year]]</f>
        <v>2019</v>
      </c>
      <c r="W76" s="17">
        <f>Table11[[#This Row],[Survival% as of 12/31/23]]</f>
        <v>0.1521739130434783</v>
      </c>
      <c r="X76">
        <f>Table11[[#This Row],[ETP'#s]]</f>
        <v>1</v>
      </c>
    </row>
    <row r="77" spans="1:24" hidden="1" x14ac:dyDescent="0.25">
      <c r="A77">
        <f>Table11[[#This Row],[Farmer'#]]</f>
        <v>10030</v>
      </c>
      <c r="B77" t="str">
        <f>Table11[[#This Row],[Representative]]</f>
        <v>Billy Whittaker</v>
      </c>
      <c r="C77" t="str">
        <f>Table11[[#This Row],[Contract Name]]</f>
        <v>Two Rivers Timbers LLC</v>
      </c>
      <c r="D77" t="str">
        <f>Table11[[#This Row],[Status]]</f>
        <v>Out of Program</v>
      </c>
      <c r="E77" t="str">
        <f>Table11[[#This Row],[Contract Code]]</f>
        <v>US0036</v>
      </c>
      <c r="F77">
        <f>Table11[[#This Row],['#TreesContract]]</f>
        <v>1300</v>
      </c>
      <c r="G77">
        <f>Table11[[#This Row],['#Planted]]</f>
        <v>1300</v>
      </c>
      <c r="H77" s="16">
        <f>Table11[[#This Row],['#TreesContract]]*Table11[[#This Row],[Canada Allocation2017 %]]</f>
        <v>0</v>
      </c>
      <c r="I77" s="16">
        <f>Table11[[#This Row],['#Planted]]*Table11[[#This Row],[Canada Allocation2017 %]]</f>
        <v>0</v>
      </c>
      <c r="J77" s="16">
        <f>Table11[[#This Row],[Contract Amendment]]*Table11[[#This Row],[Canada Allocation2017 %]]</f>
        <v>0</v>
      </c>
      <c r="K77" s="16">
        <f>Table11[[#This Row],['#Trees as of 12/31/23]]*Table11[[#This Row],[Canada Allocation2017 %]]</f>
        <v>0</v>
      </c>
      <c r="L77" s="16">
        <f>Table11[[#This Row],['#Replace 24]]*Table11[[#This Row],[Canada Allocation2017 %]]</f>
        <v>0</v>
      </c>
      <c r="M77" s="16"/>
      <c r="N77" s="16">
        <f>(Table11[[#This Row],[2024 '#Trees Inventory + Estimate]]*Table11[[#This Row],[Canada Allocation2017 %]])-SUM(Table3789[[#This Row],['# Trees as of 12/31/23]:[New Trees/Planted in 2024]])</f>
        <v>0</v>
      </c>
      <c r="O77" s="32">
        <f>SUM(Table3789[[#This Row],['# Trees as of 12/31/23]:[2024 Tree Losses]])</f>
        <v>0</v>
      </c>
      <c r="P77" s="32">
        <f>SUM(Table3789[[#This Row],[Total Trees as of 12/31/24]]-Table3789[[#This Row],['# Trees as of 12/31/23]])</f>
        <v>0</v>
      </c>
      <c r="Q77" s="16">
        <f>Table11[[#This Row],['#Total Replacements]]*Table11[[#This Row],[Canada Allocation2017 %]]</f>
        <v>0</v>
      </c>
      <c r="R77" s="32">
        <f>IF(Table3789[[#This Row],['#Survival based on Inventory]]=0,Table3789['#Survival based on Last Year Estimate],Table3789['#Survival based on Inventory])</f>
        <v>0</v>
      </c>
      <c r="S77" s="16">
        <f>Table11[[#This Row],['#Planted]]*Table11[[#This Row],[Canada Allocation2017 %]]*Table11[[#This Row],[2024 Inventory Survival%-master]]</f>
        <v>0</v>
      </c>
      <c r="T77" s="16">
        <f>Table11[[#This Row],['#Planted]]*Table11[[#This Row],[Canada Allocation2017 %]]*Table11[[#This Row],[2024 Estimated Survival%]]</f>
        <v>0</v>
      </c>
      <c r="U77" s="7">
        <f>Table11[[#This Row],[ETP Year]]</f>
        <v>2018</v>
      </c>
      <c r="V77" s="7">
        <f>Table11[[#This Row],[Planting Year]]</f>
        <v>2019</v>
      </c>
      <c r="W77" s="17">
        <f>Table11[[#This Row],[Survival% as of 12/31/23]]</f>
        <v>0</v>
      </c>
      <c r="X77">
        <f>Table11[[#This Row],[ETP'#s]]</f>
        <v>1</v>
      </c>
    </row>
    <row r="78" spans="1:24" hidden="1" x14ac:dyDescent="0.25">
      <c r="A78">
        <f>Table11[[#This Row],[Farmer'#]]</f>
        <v>10031</v>
      </c>
      <c r="B78" t="str">
        <f>Table11[[#This Row],[Representative]]</f>
        <v>Cheryl Meserole</v>
      </c>
      <c r="C78" t="str">
        <f>Table11[[#This Row],[Contract Name]]</f>
        <v>Cheryl Meserole</v>
      </c>
      <c r="D78" t="str">
        <f>Table11[[#This Row],[Status]]</f>
        <v>Active</v>
      </c>
      <c r="E78" t="str">
        <f>Table11[[#This Row],[Contract Code]]</f>
        <v>US0037</v>
      </c>
      <c r="F78">
        <f>Table11[[#This Row],['#TreesContract]]</f>
        <v>550</v>
      </c>
      <c r="G78">
        <f>Table11[[#This Row],['#Planted]]</f>
        <v>550</v>
      </c>
      <c r="H78" s="16">
        <f>Table11[[#This Row],['#TreesContract]]*Table11[[#This Row],[Canada Allocation2017 %]]</f>
        <v>0</v>
      </c>
      <c r="I78" s="16">
        <f>Table11[[#This Row],['#Planted]]*Table11[[#This Row],[Canada Allocation2017 %]]</f>
        <v>0</v>
      </c>
      <c r="J78" s="16">
        <f>Table11[[#This Row],[Contract Amendment]]*Table11[[#This Row],[Canada Allocation2017 %]]</f>
        <v>0</v>
      </c>
      <c r="K78" s="16">
        <f>Table11[[#This Row],['#Trees as of 12/31/23]]*Table11[[#This Row],[Canada Allocation2017 %]]</f>
        <v>0</v>
      </c>
      <c r="L78" s="16">
        <f>Table11[[#This Row],['#Replace 24]]*Table11[[#This Row],[Canada Allocation2017 %]]</f>
        <v>0</v>
      </c>
      <c r="M78" s="16"/>
      <c r="N78" s="16">
        <f>(Table11[[#This Row],[2024 '#Trees Inventory + Estimate]]*Table11[[#This Row],[Canada Allocation2017 %]])-SUM(Table3789[[#This Row],['# Trees as of 12/31/23]:[New Trees/Planted in 2024]])</f>
        <v>0</v>
      </c>
      <c r="O78" s="32">
        <f>SUM(Table3789[[#This Row],['# Trees as of 12/31/23]:[2024 Tree Losses]])</f>
        <v>0</v>
      </c>
      <c r="P78" s="32">
        <f>SUM(Table3789[[#This Row],[Total Trees as of 12/31/24]]-Table3789[[#This Row],['# Trees as of 12/31/23]])</f>
        <v>0</v>
      </c>
      <c r="Q78" s="16">
        <f>Table11[[#This Row],['#Total Replacements]]*Table11[[#This Row],[Canada Allocation2017 %]]</f>
        <v>0</v>
      </c>
      <c r="R78" s="32">
        <f>IF(Table3789[[#This Row],['#Survival based on Inventory]]=0,Table3789['#Survival based on Last Year Estimate],Table3789['#Survival based on Inventory])</f>
        <v>0</v>
      </c>
      <c r="S78" s="16">
        <f>Table11[[#This Row],['#Planted]]*Table11[[#This Row],[Canada Allocation2017 %]]*Table11[[#This Row],[2024 Inventory Survival%-master]]</f>
        <v>0</v>
      </c>
      <c r="T78" s="16">
        <f>Table11[[#This Row],['#Planted]]*Table11[[#This Row],[Canada Allocation2017 %]]*Table11[[#This Row],[2024 Estimated Survival%]]</f>
        <v>0</v>
      </c>
      <c r="U78" s="7">
        <f>Table11[[#This Row],[ETP Year]]</f>
        <v>2018</v>
      </c>
      <c r="V78" s="7">
        <f>Table11[[#This Row],[Planting Year]]</f>
        <v>2019</v>
      </c>
      <c r="W78" s="17">
        <f>Table11[[#This Row],[Survival% as of 12/31/23]]</f>
        <v>0.98399999999999987</v>
      </c>
      <c r="X78">
        <f>Table11[[#This Row],[ETP'#s]]</f>
        <v>1</v>
      </c>
    </row>
    <row r="79" spans="1:24" hidden="1" x14ac:dyDescent="0.25">
      <c r="A79">
        <f>Table11[[#This Row],[Farmer'#]]</f>
        <v>10032</v>
      </c>
      <c r="B79" t="str">
        <f>Table11[[#This Row],[Representative]]</f>
        <v>Dan McClure</v>
      </c>
      <c r="C79" t="str">
        <f>Table11[[#This Row],[Contract Name]]</f>
        <v>The Langdon Group WW LLC</v>
      </c>
      <c r="D79" t="str">
        <f>Table11[[#This Row],[Status]]</f>
        <v>Active</v>
      </c>
      <c r="E79" t="str">
        <f>Table11[[#This Row],[Contract Code]]</f>
        <v>US0038</v>
      </c>
      <c r="F79">
        <f>Table11[[#This Row],['#TreesContract]]</f>
        <v>3400</v>
      </c>
      <c r="G79">
        <f>Table11[[#This Row],['#Planted]]</f>
        <v>3400</v>
      </c>
      <c r="H79" s="16">
        <f>Table11[[#This Row],['#TreesContract]]*Table11[[#This Row],[Canada Allocation2017 %]]</f>
        <v>0</v>
      </c>
      <c r="I79" s="16">
        <f>Table11[[#This Row],['#Planted]]*Table11[[#This Row],[Canada Allocation2017 %]]</f>
        <v>0</v>
      </c>
      <c r="J79" s="16">
        <f>Table11[[#This Row],[Contract Amendment]]*Table11[[#This Row],[Canada Allocation2017 %]]</f>
        <v>0</v>
      </c>
      <c r="K79" s="16">
        <f>Table11[[#This Row],['#Trees as of 12/31/23]]*Table11[[#This Row],[Canada Allocation2017 %]]</f>
        <v>0</v>
      </c>
      <c r="L79" s="16">
        <f>Table11[[#This Row],['#Replace 24]]*Table11[[#This Row],[Canada Allocation2017 %]]</f>
        <v>0</v>
      </c>
      <c r="M79" s="16"/>
      <c r="N79" s="16">
        <f>(Table11[[#This Row],[2024 '#Trees Inventory + Estimate]]*Table11[[#This Row],[Canada Allocation2017 %]])-SUM(Table3789[[#This Row],['# Trees as of 12/31/23]:[New Trees/Planted in 2024]])</f>
        <v>0</v>
      </c>
      <c r="O79" s="32">
        <f>SUM(Table3789[[#This Row],['# Trees as of 12/31/23]:[2024 Tree Losses]])</f>
        <v>0</v>
      </c>
      <c r="P79" s="32">
        <f>SUM(Table3789[[#This Row],[Total Trees as of 12/31/24]]-Table3789[[#This Row],['# Trees as of 12/31/23]])</f>
        <v>0</v>
      </c>
      <c r="Q79" s="16">
        <f>Table11[[#This Row],['#Total Replacements]]*Table11[[#This Row],[Canada Allocation2017 %]]</f>
        <v>0</v>
      </c>
      <c r="R79" s="32">
        <f>IF(Table3789[[#This Row],['#Survival based on Inventory]]=0,Table3789['#Survival based on Last Year Estimate],Table3789['#Survival based on Inventory])</f>
        <v>0</v>
      </c>
      <c r="S79" s="16">
        <f>Table11[[#This Row],['#Planted]]*Table11[[#This Row],[Canada Allocation2017 %]]*Table11[[#This Row],[2024 Inventory Survival%-master]]</f>
        <v>0</v>
      </c>
      <c r="T79" s="16">
        <f>Table11[[#This Row],['#Planted]]*Table11[[#This Row],[Canada Allocation2017 %]]*Table11[[#This Row],[2024 Estimated Survival%]]</f>
        <v>0</v>
      </c>
      <c r="U79" s="7">
        <f>Table11[[#This Row],[ETP Year]]</f>
        <v>2018</v>
      </c>
      <c r="V79" s="7">
        <f>Table11[[#This Row],[Planting Year]]</f>
        <v>2019</v>
      </c>
      <c r="W79" s="17">
        <f>Table11[[#This Row],[Survival% as of 12/31/23]]</f>
        <v>0.625</v>
      </c>
      <c r="X79">
        <f>Table11[[#This Row],[ETP'#s]]</f>
        <v>1</v>
      </c>
    </row>
    <row r="80" spans="1:24" hidden="1" x14ac:dyDescent="0.25">
      <c r="A80">
        <f>Table11[[#This Row],[Farmer'#]]</f>
        <v>10033</v>
      </c>
      <c r="B80" t="str">
        <f>Table11[[#This Row],[Representative]]</f>
        <v>David Chang</v>
      </c>
      <c r="C80" t="str">
        <f>Table11[[#This Row],[Contract Name]]</f>
        <v>David Chang</v>
      </c>
      <c r="D80" t="str">
        <f>Table11[[#This Row],[Status]]</f>
        <v>Active</v>
      </c>
      <c r="E80" t="str">
        <f>Table11[[#This Row],[Contract Code]]</f>
        <v>US0039</v>
      </c>
      <c r="F80">
        <f>Table11[[#This Row],['#TreesContract]]</f>
        <v>1100</v>
      </c>
      <c r="G80">
        <f>Table11[[#This Row],['#Planted]]</f>
        <v>1100</v>
      </c>
      <c r="H80" s="16">
        <f>Table11[[#This Row],['#TreesContract]]*Table11[[#This Row],[Canada Allocation2017 %]]</f>
        <v>0</v>
      </c>
      <c r="I80" s="16">
        <f>Table11[[#This Row],['#Planted]]*Table11[[#This Row],[Canada Allocation2017 %]]</f>
        <v>0</v>
      </c>
      <c r="J80" s="16">
        <f>Table11[[#This Row],[Contract Amendment]]*Table11[[#This Row],[Canada Allocation2017 %]]</f>
        <v>0</v>
      </c>
      <c r="K80" s="16">
        <f>Table11[[#This Row],['#Trees as of 12/31/23]]*Table11[[#This Row],[Canada Allocation2017 %]]</f>
        <v>0</v>
      </c>
      <c r="L80" s="16">
        <f>Table11[[#This Row],['#Replace 24]]*Table11[[#This Row],[Canada Allocation2017 %]]</f>
        <v>0</v>
      </c>
      <c r="M80" s="16"/>
      <c r="N80" s="16">
        <f>(Table11[[#This Row],[2024 '#Trees Inventory + Estimate]]*Table11[[#This Row],[Canada Allocation2017 %]])-SUM(Table3789[[#This Row],['# Trees as of 12/31/23]:[New Trees/Planted in 2024]])</f>
        <v>0</v>
      </c>
      <c r="O80" s="32">
        <f>SUM(Table3789[[#This Row],['# Trees as of 12/31/23]:[2024 Tree Losses]])</f>
        <v>0</v>
      </c>
      <c r="P80" s="32">
        <f>SUM(Table3789[[#This Row],[Total Trees as of 12/31/24]]-Table3789[[#This Row],['# Trees as of 12/31/23]])</f>
        <v>0</v>
      </c>
      <c r="Q80" s="16">
        <f>Table11[[#This Row],['#Total Replacements]]*Table11[[#This Row],[Canada Allocation2017 %]]</f>
        <v>0</v>
      </c>
      <c r="R80" s="32">
        <f>IF(Table3789[[#This Row],['#Survival based on Inventory]]=0,Table3789['#Survival based on Last Year Estimate],Table3789['#Survival based on Inventory])</f>
        <v>0</v>
      </c>
      <c r="S80" s="16">
        <f>Table11[[#This Row],['#Planted]]*Table11[[#This Row],[Canada Allocation2017 %]]*Table11[[#This Row],[2024 Inventory Survival%-master]]</f>
        <v>0</v>
      </c>
      <c r="T80" s="16">
        <f>Table11[[#This Row],['#Planted]]*Table11[[#This Row],[Canada Allocation2017 %]]*Table11[[#This Row],[2024 Estimated Survival%]]</f>
        <v>0</v>
      </c>
      <c r="U80" s="7">
        <f>Table11[[#This Row],[ETP Year]]</f>
        <v>2018</v>
      </c>
      <c r="V80" s="7">
        <f>Table11[[#This Row],[Planting Year]]</f>
        <v>2019</v>
      </c>
      <c r="W80" s="17">
        <f>Table11[[#This Row],[Survival% as of 12/31/23]]</f>
        <v>0.96193846153846152</v>
      </c>
      <c r="X80">
        <f>Table11[[#This Row],[ETP'#s]]</f>
        <v>1</v>
      </c>
    </row>
    <row r="81" spans="1:24" hidden="1" x14ac:dyDescent="0.25">
      <c r="A81">
        <f>Table11[[#This Row],[Farmer'#]]</f>
        <v>10034</v>
      </c>
      <c r="B81" t="str">
        <f>Table11[[#This Row],[Representative]]</f>
        <v>David Peterson</v>
      </c>
      <c r="C81" t="str">
        <f>Table11[[#This Row],[Contract Name]]</f>
        <v>David Peterson</v>
      </c>
      <c r="D81" t="str">
        <f>Table11[[#This Row],[Status]]</f>
        <v>Active</v>
      </c>
      <c r="E81" t="str">
        <f>Table11[[#This Row],[Contract Code]]</f>
        <v>US0040</v>
      </c>
      <c r="F81">
        <f>Table11[[#This Row],['#TreesContract]]</f>
        <v>1320</v>
      </c>
      <c r="G81">
        <f>Table11[[#This Row],['#Planted]]</f>
        <v>1320</v>
      </c>
      <c r="H81" s="16">
        <f>Table11[[#This Row],['#TreesContract]]*Table11[[#This Row],[Canada Allocation2017 %]]</f>
        <v>0</v>
      </c>
      <c r="I81" s="16">
        <f>Table11[[#This Row],['#Planted]]*Table11[[#This Row],[Canada Allocation2017 %]]</f>
        <v>0</v>
      </c>
      <c r="J81" s="16">
        <f>Table11[[#This Row],[Contract Amendment]]*Table11[[#This Row],[Canada Allocation2017 %]]</f>
        <v>0</v>
      </c>
      <c r="K81" s="16">
        <f>Table11[[#This Row],['#Trees as of 12/31/23]]*Table11[[#This Row],[Canada Allocation2017 %]]</f>
        <v>0</v>
      </c>
      <c r="L81" s="16">
        <f>Table11[[#This Row],['#Replace 24]]*Table11[[#This Row],[Canada Allocation2017 %]]</f>
        <v>0</v>
      </c>
      <c r="M81" s="16"/>
      <c r="N81" s="16">
        <f>(Table11[[#This Row],[2024 '#Trees Inventory + Estimate]]*Table11[[#This Row],[Canada Allocation2017 %]])-SUM(Table3789[[#This Row],['# Trees as of 12/31/23]:[New Trees/Planted in 2024]])</f>
        <v>0</v>
      </c>
      <c r="O81" s="32">
        <f>SUM(Table3789[[#This Row],['# Trees as of 12/31/23]:[2024 Tree Losses]])</f>
        <v>0</v>
      </c>
      <c r="P81" s="32">
        <f>SUM(Table3789[[#This Row],[Total Trees as of 12/31/24]]-Table3789[[#This Row],['# Trees as of 12/31/23]])</f>
        <v>0</v>
      </c>
      <c r="Q81" s="16">
        <f>Table11[[#This Row],['#Total Replacements]]*Table11[[#This Row],[Canada Allocation2017 %]]</f>
        <v>0</v>
      </c>
      <c r="R81" s="32">
        <f>IF(Table3789[[#This Row],['#Survival based on Inventory]]=0,Table3789['#Survival based on Last Year Estimate],Table3789['#Survival based on Inventory])</f>
        <v>0</v>
      </c>
      <c r="S81" s="16">
        <f>Table11[[#This Row],['#Planted]]*Table11[[#This Row],[Canada Allocation2017 %]]*Table11[[#This Row],[2024 Inventory Survival%-master]]</f>
        <v>0</v>
      </c>
      <c r="T81" s="16">
        <f>Table11[[#This Row],['#Planted]]*Table11[[#This Row],[Canada Allocation2017 %]]*Table11[[#This Row],[2024 Estimated Survival%]]</f>
        <v>0</v>
      </c>
      <c r="U81" s="7">
        <f>Table11[[#This Row],[ETP Year]]</f>
        <v>2018</v>
      </c>
      <c r="V81" s="7">
        <f>Table11[[#This Row],[Planting Year]]</f>
        <v>2019</v>
      </c>
      <c r="W81" s="17">
        <f>Table11[[#This Row],[Survival% as of 12/31/23]]</f>
        <v>0.93502418363529483</v>
      </c>
      <c r="X81">
        <f>Table11[[#This Row],[ETP'#s]]</f>
        <v>1</v>
      </c>
    </row>
    <row r="82" spans="1:24" hidden="1" x14ac:dyDescent="0.25">
      <c r="A82">
        <f>Table11[[#This Row],[Farmer'#]]</f>
        <v>10035</v>
      </c>
      <c r="B82" t="str">
        <f>Table11[[#This Row],[Representative]]</f>
        <v>Derek Bass</v>
      </c>
      <c r="C82" t="str">
        <f>Table11[[#This Row],[Contract Name]]</f>
        <v>Derek Bass</v>
      </c>
      <c r="D82" t="str">
        <f>Table11[[#This Row],[Status]]</f>
        <v>Active</v>
      </c>
      <c r="E82" t="str">
        <f>Table11[[#This Row],[Contract Code]]</f>
        <v>US0041</v>
      </c>
      <c r="F82">
        <f>Table11[[#This Row],['#TreesContract]]</f>
        <v>1100</v>
      </c>
      <c r="G82">
        <f>Table11[[#This Row],['#Planted]]</f>
        <v>1100</v>
      </c>
      <c r="H82" s="16">
        <f>Table11[[#This Row],['#TreesContract]]*Table11[[#This Row],[Canada Allocation2017 %]]</f>
        <v>0</v>
      </c>
      <c r="I82" s="16">
        <f>Table11[[#This Row],['#Planted]]*Table11[[#This Row],[Canada Allocation2017 %]]</f>
        <v>0</v>
      </c>
      <c r="J82" s="16">
        <f>Table11[[#This Row],[Contract Amendment]]*Table11[[#This Row],[Canada Allocation2017 %]]</f>
        <v>0</v>
      </c>
      <c r="K82" s="16">
        <f>Table11[[#This Row],['#Trees as of 12/31/23]]*Table11[[#This Row],[Canada Allocation2017 %]]</f>
        <v>0</v>
      </c>
      <c r="L82" s="16">
        <f>Table11[[#This Row],['#Replace 24]]*Table11[[#This Row],[Canada Allocation2017 %]]</f>
        <v>0</v>
      </c>
      <c r="M82" s="16"/>
      <c r="N82" s="16">
        <f>(Table11[[#This Row],[2024 '#Trees Inventory + Estimate]]*Table11[[#This Row],[Canada Allocation2017 %]])-SUM(Table3789[[#This Row],['# Trees as of 12/31/23]:[New Trees/Planted in 2024]])</f>
        <v>0</v>
      </c>
      <c r="O82" s="32">
        <f>SUM(Table3789[[#This Row],['# Trees as of 12/31/23]:[2024 Tree Losses]])</f>
        <v>0</v>
      </c>
      <c r="P82" s="32">
        <f>SUM(Table3789[[#This Row],[Total Trees as of 12/31/24]]-Table3789[[#This Row],['# Trees as of 12/31/23]])</f>
        <v>0</v>
      </c>
      <c r="Q82" s="16">
        <f>Table11[[#This Row],['#Total Replacements]]*Table11[[#This Row],[Canada Allocation2017 %]]</f>
        <v>0</v>
      </c>
      <c r="R82" s="32">
        <f>IF(Table3789[[#This Row],['#Survival based on Inventory]]=0,Table3789['#Survival based on Last Year Estimate],Table3789['#Survival based on Inventory])</f>
        <v>0</v>
      </c>
      <c r="S82" s="16">
        <f>Table11[[#This Row],['#Planted]]*Table11[[#This Row],[Canada Allocation2017 %]]*Table11[[#This Row],[2024 Inventory Survival%-master]]</f>
        <v>0</v>
      </c>
      <c r="T82" s="16">
        <f>Table11[[#This Row],['#Planted]]*Table11[[#This Row],[Canada Allocation2017 %]]*Table11[[#This Row],[2024 Estimated Survival%]]</f>
        <v>0</v>
      </c>
      <c r="U82" s="7">
        <f>Table11[[#This Row],[ETP Year]]</f>
        <v>2018</v>
      </c>
      <c r="V82" s="7">
        <f>Table11[[#This Row],[Planting Year]]</f>
        <v>2019</v>
      </c>
      <c r="W82" s="17">
        <f>Table11[[#This Row],[Survival% as of 12/31/23]]</f>
        <v>0.79071177226813594</v>
      </c>
      <c r="X82">
        <f>Table11[[#This Row],[ETP'#s]]</f>
        <v>1</v>
      </c>
    </row>
    <row r="83" spans="1:24" hidden="1" x14ac:dyDescent="0.25">
      <c r="A83">
        <f>Table11[[#This Row],[Farmer'#]]</f>
        <v>10036</v>
      </c>
      <c r="B83" t="str">
        <f>Table11[[#This Row],[Representative]]</f>
        <v>Jason Humphries</v>
      </c>
      <c r="C83" t="str">
        <f>Table11[[#This Row],[Contract Name]]</f>
        <v>Jason Humphries</v>
      </c>
      <c r="D83" t="str">
        <f>Table11[[#This Row],[Status]]</f>
        <v>Active</v>
      </c>
      <c r="E83" t="str">
        <f>Table11[[#This Row],[Contract Code]]</f>
        <v>US0043</v>
      </c>
      <c r="F83">
        <f>Table11[[#This Row],['#TreesContract]]</f>
        <v>3170</v>
      </c>
      <c r="G83">
        <f>Table11[[#This Row],['#Planted]]</f>
        <v>3170</v>
      </c>
      <c r="H83" s="16">
        <f>Table11[[#This Row],['#TreesContract]]*Table11[[#This Row],[Canada Allocation2017 %]]</f>
        <v>0</v>
      </c>
      <c r="I83" s="16">
        <f>Table11[[#This Row],['#Planted]]*Table11[[#This Row],[Canada Allocation2017 %]]</f>
        <v>0</v>
      </c>
      <c r="J83" s="16">
        <f>Table11[[#This Row],[Contract Amendment]]*Table11[[#This Row],[Canada Allocation2017 %]]</f>
        <v>0</v>
      </c>
      <c r="K83" s="16">
        <f>Table11[[#This Row],['#Trees as of 12/31/23]]*Table11[[#This Row],[Canada Allocation2017 %]]</f>
        <v>0</v>
      </c>
      <c r="L83" s="16">
        <f>Table11[[#This Row],['#Replace 24]]*Table11[[#This Row],[Canada Allocation2017 %]]</f>
        <v>0</v>
      </c>
      <c r="M83" s="16"/>
      <c r="N83" s="16">
        <f>(Table11[[#This Row],[2024 '#Trees Inventory + Estimate]]*Table11[[#This Row],[Canada Allocation2017 %]])-SUM(Table3789[[#This Row],['# Trees as of 12/31/23]:[New Trees/Planted in 2024]])</f>
        <v>0</v>
      </c>
      <c r="O83" s="32">
        <f>SUM(Table3789[[#This Row],['# Trees as of 12/31/23]:[2024 Tree Losses]])</f>
        <v>0</v>
      </c>
      <c r="P83" s="32">
        <f>SUM(Table3789[[#This Row],[Total Trees as of 12/31/24]]-Table3789[[#This Row],['# Trees as of 12/31/23]])</f>
        <v>0</v>
      </c>
      <c r="Q83" s="16">
        <f>Table11[[#This Row],['#Total Replacements]]*Table11[[#This Row],[Canada Allocation2017 %]]</f>
        <v>0</v>
      </c>
      <c r="R83" s="32">
        <f>IF(Table3789[[#This Row],['#Survival based on Inventory]]=0,Table3789['#Survival based on Last Year Estimate],Table3789['#Survival based on Inventory])</f>
        <v>0</v>
      </c>
      <c r="S83" s="16">
        <f>Table11[[#This Row],['#Planted]]*Table11[[#This Row],[Canada Allocation2017 %]]*Table11[[#This Row],[2024 Inventory Survival%-master]]</f>
        <v>0</v>
      </c>
      <c r="T83" s="16">
        <f>Table11[[#This Row],['#Planted]]*Table11[[#This Row],[Canada Allocation2017 %]]*Table11[[#This Row],[2024 Estimated Survival%]]</f>
        <v>0</v>
      </c>
      <c r="U83" s="7">
        <f>Table11[[#This Row],[ETP Year]]</f>
        <v>2018</v>
      </c>
      <c r="V83" s="7">
        <f>Table11[[#This Row],[Planting Year]]</f>
        <v>2019</v>
      </c>
      <c r="W83" s="17">
        <f>Table11[[#This Row],[Survival% as of 12/31/23]]</f>
        <v>0.97915080314732228</v>
      </c>
      <c r="X83">
        <f>Table11[[#This Row],[ETP'#s]]</f>
        <v>1</v>
      </c>
    </row>
    <row r="84" spans="1:24" hidden="1" x14ac:dyDescent="0.25">
      <c r="A84">
        <f>Table11[[#This Row],[Farmer'#]]</f>
        <v>10037</v>
      </c>
      <c r="B84" t="str">
        <f>Table11[[#This Row],[Representative]]</f>
        <v>Jimmy Aplin</v>
      </c>
      <c r="C84" t="str">
        <f>Table11[[#This Row],[Contract Name]]</f>
        <v>Jimmy Aplin</v>
      </c>
      <c r="D84" t="str">
        <f>Table11[[#This Row],[Status]]</f>
        <v>Out of Program</v>
      </c>
      <c r="E84" t="str">
        <f>Table11[[#This Row],[Contract Code]]</f>
        <v>US0044</v>
      </c>
      <c r="F84">
        <f>Table11[[#This Row],['#TreesContract]]</f>
        <v>1100</v>
      </c>
      <c r="G84">
        <f>Table11[[#This Row],['#Planted]]</f>
        <v>1100</v>
      </c>
      <c r="H84" s="16">
        <f>Table11[[#This Row],['#TreesContract]]*Table11[[#This Row],[Canada Allocation2017 %]]</f>
        <v>0</v>
      </c>
      <c r="I84" s="16">
        <f>Table11[[#This Row],['#Planted]]*Table11[[#This Row],[Canada Allocation2017 %]]</f>
        <v>0</v>
      </c>
      <c r="J84" s="16">
        <f>Table11[[#This Row],[Contract Amendment]]*Table11[[#This Row],[Canada Allocation2017 %]]</f>
        <v>0</v>
      </c>
      <c r="K84" s="16">
        <f>Table11[[#This Row],['#Trees as of 12/31/23]]*Table11[[#This Row],[Canada Allocation2017 %]]</f>
        <v>0</v>
      </c>
      <c r="L84" s="16">
        <f>Table11[[#This Row],['#Replace 24]]*Table11[[#This Row],[Canada Allocation2017 %]]</f>
        <v>0</v>
      </c>
      <c r="M84" s="16"/>
      <c r="N84" s="16">
        <f>(Table11[[#This Row],[2024 '#Trees Inventory + Estimate]]*Table11[[#This Row],[Canada Allocation2017 %]])-SUM(Table3789[[#This Row],['# Trees as of 12/31/23]:[New Trees/Planted in 2024]])</f>
        <v>0</v>
      </c>
      <c r="O84" s="32">
        <f>SUM(Table3789[[#This Row],['# Trees as of 12/31/23]:[2024 Tree Losses]])</f>
        <v>0</v>
      </c>
      <c r="P84" s="32">
        <f>SUM(Table3789[[#This Row],[Total Trees as of 12/31/24]]-Table3789[[#This Row],['# Trees as of 12/31/23]])</f>
        <v>0</v>
      </c>
      <c r="Q84" s="16">
        <f>Table11[[#This Row],['#Total Replacements]]*Table11[[#This Row],[Canada Allocation2017 %]]</f>
        <v>0</v>
      </c>
      <c r="R84" s="32">
        <f>IF(Table3789[[#This Row],['#Survival based on Inventory]]=0,Table3789['#Survival based on Last Year Estimate],Table3789['#Survival based on Inventory])</f>
        <v>0</v>
      </c>
      <c r="S84" s="16">
        <f>Table11[[#This Row],['#Planted]]*Table11[[#This Row],[Canada Allocation2017 %]]*Table11[[#This Row],[2024 Inventory Survival%-master]]</f>
        <v>0</v>
      </c>
      <c r="T84" s="16">
        <f>Table11[[#This Row],['#Planted]]*Table11[[#This Row],[Canada Allocation2017 %]]*Table11[[#This Row],[2024 Estimated Survival%]]</f>
        <v>0</v>
      </c>
      <c r="U84" s="7">
        <f>Table11[[#This Row],[ETP Year]]</f>
        <v>2018</v>
      </c>
      <c r="V84" s="7">
        <f>Table11[[#This Row],[Planting Year]]</f>
        <v>2019</v>
      </c>
      <c r="W84" s="17">
        <f>Table11[[#This Row],[Survival% as of 12/31/23]]</f>
        <v>0</v>
      </c>
      <c r="X84">
        <f>Table11[[#This Row],[ETP'#s]]</f>
        <v>1</v>
      </c>
    </row>
    <row r="85" spans="1:24" hidden="1" x14ac:dyDescent="0.25">
      <c r="A85">
        <f>Table11[[#This Row],[Farmer'#]]</f>
        <v>10038</v>
      </c>
      <c r="B85" t="str">
        <f>Table11[[#This Row],[Representative]]</f>
        <v>Michael Masengil</v>
      </c>
      <c r="C85" t="str">
        <f>Table11[[#This Row],[Contract Name]]</f>
        <v>Michael Masengil</v>
      </c>
      <c r="D85" t="str">
        <f>Table11[[#This Row],[Status]]</f>
        <v>Active</v>
      </c>
      <c r="E85" t="str">
        <f>Table11[[#This Row],[Contract Code]]</f>
        <v>US0045</v>
      </c>
      <c r="F85">
        <f>Table11[[#This Row],['#TreesContract]]</f>
        <v>1100</v>
      </c>
      <c r="G85">
        <f>Table11[[#This Row],['#Planted]]</f>
        <v>1100</v>
      </c>
      <c r="H85" s="16">
        <f>Table11[[#This Row],['#TreesContract]]*Table11[[#This Row],[Canada Allocation2017 %]]</f>
        <v>0</v>
      </c>
      <c r="I85" s="16">
        <f>Table11[[#This Row],['#Planted]]*Table11[[#This Row],[Canada Allocation2017 %]]</f>
        <v>0</v>
      </c>
      <c r="J85" s="16">
        <f>Table11[[#This Row],[Contract Amendment]]*Table11[[#This Row],[Canada Allocation2017 %]]</f>
        <v>0</v>
      </c>
      <c r="K85" s="16">
        <f>Table11[[#This Row],['#Trees as of 12/31/23]]*Table11[[#This Row],[Canada Allocation2017 %]]</f>
        <v>0</v>
      </c>
      <c r="L85" s="16">
        <f>Table11[[#This Row],['#Replace 24]]*Table11[[#This Row],[Canada Allocation2017 %]]</f>
        <v>0</v>
      </c>
      <c r="M85" s="16"/>
      <c r="N85" s="16">
        <f>(Table11[[#This Row],[2024 '#Trees Inventory + Estimate]]*Table11[[#This Row],[Canada Allocation2017 %]])-SUM(Table3789[[#This Row],['# Trees as of 12/31/23]:[New Trees/Planted in 2024]])</f>
        <v>0</v>
      </c>
      <c r="O85" s="32">
        <f>SUM(Table3789[[#This Row],['# Trees as of 12/31/23]:[2024 Tree Losses]])</f>
        <v>0</v>
      </c>
      <c r="P85" s="32">
        <f>SUM(Table3789[[#This Row],[Total Trees as of 12/31/24]]-Table3789[[#This Row],['# Trees as of 12/31/23]])</f>
        <v>0</v>
      </c>
      <c r="Q85" s="16">
        <f>Table11[[#This Row],['#Total Replacements]]*Table11[[#This Row],[Canada Allocation2017 %]]</f>
        <v>0</v>
      </c>
      <c r="R85" s="32">
        <f>IF(Table3789[[#This Row],['#Survival based on Inventory]]=0,Table3789['#Survival based on Last Year Estimate],Table3789['#Survival based on Inventory])</f>
        <v>0</v>
      </c>
      <c r="S85" s="16">
        <f>Table11[[#This Row],['#Planted]]*Table11[[#This Row],[Canada Allocation2017 %]]*Table11[[#This Row],[2024 Inventory Survival%-master]]</f>
        <v>0</v>
      </c>
      <c r="T85" s="16">
        <f>Table11[[#This Row],['#Planted]]*Table11[[#This Row],[Canada Allocation2017 %]]*Table11[[#This Row],[2024 Estimated Survival%]]</f>
        <v>0</v>
      </c>
      <c r="U85" s="7">
        <f>Table11[[#This Row],[ETP Year]]</f>
        <v>2018</v>
      </c>
      <c r="V85" s="7">
        <f>Table11[[#This Row],[Planting Year]]</f>
        <v>2019</v>
      </c>
      <c r="W85" s="17">
        <f>Table11[[#This Row],[Survival% as of 12/31/23]]</f>
        <v>0.84739022435897426</v>
      </c>
      <c r="X85">
        <f>Table11[[#This Row],[ETP'#s]]</f>
        <v>1</v>
      </c>
    </row>
    <row r="86" spans="1:24" hidden="1" x14ac:dyDescent="0.25">
      <c r="A86">
        <f>Table11[[#This Row],[Farmer'#]]</f>
        <v>10039</v>
      </c>
      <c r="B86" t="str">
        <f>Table11[[#This Row],[Representative]]</f>
        <v>Ricky and Darcy Dollar</v>
      </c>
      <c r="C86" t="str">
        <f>Table11[[#This Row],[Contract Name]]</f>
        <v>Ricky and/or Darcy Dollar</v>
      </c>
      <c r="D86" t="str">
        <f>Table11[[#This Row],[Status]]</f>
        <v>Out of Program</v>
      </c>
      <c r="E86" t="str">
        <f>Table11[[#This Row],[Contract Code]]</f>
        <v>US0046</v>
      </c>
      <c r="F86">
        <f>Table11[[#This Row],['#TreesContract]]</f>
        <v>1100</v>
      </c>
      <c r="G86">
        <f>Table11[[#This Row],['#Planted]]</f>
        <v>1100</v>
      </c>
      <c r="H86" s="16">
        <f>Table11[[#This Row],['#TreesContract]]*Table11[[#This Row],[Canada Allocation2017 %]]</f>
        <v>0</v>
      </c>
      <c r="I86" s="16">
        <f>Table11[[#This Row],['#Planted]]*Table11[[#This Row],[Canada Allocation2017 %]]</f>
        <v>0</v>
      </c>
      <c r="J86" s="16">
        <f>Table11[[#This Row],[Contract Amendment]]*Table11[[#This Row],[Canada Allocation2017 %]]</f>
        <v>0</v>
      </c>
      <c r="K86" s="16">
        <f>Table11[[#This Row],['#Trees as of 12/31/23]]*Table11[[#This Row],[Canada Allocation2017 %]]</f>
        <v>0</v>
      </c>
      <c r="L86" s="16">
        <f>Table11[[#This Row],['#Replace 24]]*Table11[[#This Row],[Canada Allocation2017 %]]</f>
        <v>0</v>
      </c>
      <c r="M86" s="16"/>
      <c r="N86" s="16">
        <f>(Table11[[#This Row],[2024 '#Trees Inventory + Estimate]]*Table11[[#This Row],[Canada Allocation2017 %]])-SUM(Table3789[[#This Row],['# Trees as of 12/31/23]:[New Trees/Planted in 2024]])</f>
        <v>0</v>
      </c>
      <c r="O86" s="32">
        <f>SUM(Table3789[[#This Row],['# Trees as of 12/31/23]:[2024 Tree Losses]])</f>
        <v>0</v>
      </c>
      <c r="P86" s="32">
        <f>SUM(Table3789[[#This Row],[Total Trees as of 12/31/24]]-Table3789[[#This Row],['# Trees as of 12/31/23]])</f>
        <v>0</v>
      </c>
      <c r="Q86" s="16">
        <f>Table11[[#This Row],['#Total Replacements]]*Table11[[#This Row],[Canada Allocation2017 %]]</f>
        <v>0</v>
      </c>
      <c r="R86" s="32">
        <f>IF(Table3789[[#This Row],['#Survival based on Inventory]]=0,Table3789['#Survival based on Last Year Estimate],Table3789['#Survival based on Inventory])</f>
        <v>0</v>
      </c>
      <c r="S86" s="16">
        <f>Table11[[#This Row],['#Planted]]*Table11[[#This Row],[Canada Allocation2017 %]]*Table11[[#This Row],[2024 Inventory Survival%-master]]</f>
        <v>0</v>
      </c>
      <c r="T86" s="16">
        <f>Table11[[#This Row],['#Planted]]*Table11[[#This Row],[Canada Allocation2017 %]]*Table11[[#This Row],[2024 Estimated Survival%]]</f>
        <v>0</v>
      </c>
      <c r="U86" s="7">
        <f>Table11[[#This Row],[ETP Year]]</f>
        <v>2018</v>
      </c>
      <c r="V86" s="7">
        <f>Table11[[#This Row],[Planting Year]]</f>
        <v>2019</v>
      </c>
      <c r="W86" s="17">
        <f>Table11[[#This Row],[Survival% as of 12/31/23]]</f>
        <v>0.43659090909090909</v>
      </c>
      <c r="X86">
        <f>Table11[[#This Row],[ETP'#s]]</f>
        <v>1</v>
      </c>
    </row>
    <row r="87" spans="1:24" hidden="1" x14ac:dyDescent="0.25">
      <c r="A87">
        <f>Table11[[#This Row],[Farmer'#]]</f>
        <v>10040</v>
      </c>
      <c r="B87" t="str">
        <f>Table11[[#This Row],[Representative]]</f>
        <v>Scott Willis</v>
      </c>
      <c r="C87" t="str">
        <f>Table11[[#This Row],[Contract Name]]</f>
        <v>Scott Willis</v>
      </c>
      <c r="D87" t="str">
        <f>Table11[[#This Row],[Status]]</f>
        <v>Active</v>
      </c>
      <c r="E87" t="str">
        <f>Table11[[#This Row],[Contract Code]]</f>
        <v>US0047</v>
      </c>
      <c r="F87">
        <f>Table11[[#This Row],['#TreesContract]]</f>
        <v>1100</v>
      </c>
      <c r="G87">
        <f>Table11[[#This Row],['#Planted]]</f>
        <v>1100</v>
      </c>
      <c r="H87" s="16">
        <f>Table11[[#This Row],['#TreesContract]]*Table11[[#This Row],[Canada Allocation2017 %]]</f>
        <v>0</v>
      </c>
      <c r="I87" s="16">
        <f>Table11[[#This Row],['#Planted]]*Table11[[#This Row],[Canada Allocation2017 %]]</f>
        <v>0</v>
      </c>
      <c r="J87" s="16">
        <f>Table11[[#This Row],[Contract Amendment]]*Table11[[#This Row],[Canada Allocation2017 %]]</f>
        <v>0</v>
      </c>
      <c r="K87" s="16">
        <f>Table11[[#This Row],['#Trees as of 12/31/23]]*Table11[[#This Row],[Canada Allocation2017 %]]</f>
        <v>0</v>
      </c>
      <c r="L87" s="16">
        <f>Table11[[#This Row],['#Replace 24]]*Table11[[#This Row],[Canada Allocation2017 %]]</f>
        <v>0</v>
      </c>
      <c r="M87" s="16"/>
      <c r="N87" s="16">
        <f>(Table11[[#This Row],[2024 '#Trees Inventory + Estimate]]*Table11[[#This Row],[Canada Allocation2017 %]])-SUM(Table3789[[#This Row],['# Trees as of 12/31/23]:[New Trees/Planted in 2024]])</f>
        <v>0</v>
      </c>
      <c r="O87" s="32">
        <f>SUM(Table3789[[#This Row],['# Trees as of 12/31/23]:[2024 Tree Losses]])</f>
        <v>0</v>
      </c>
      <c r="P87" s="32">
        <f>SUM(Table3789[[#This Row],[Total Trees as of 12/31/24]]-Table3789[[#This Row],['# Trees as of 12/31/23]])</f>
        <v>0</v>
      </c>
      <c r="Q87" s="16">
        <f>Table11[[#This Row],['#Total Replacements]]*Table11[[#This Row],[Canada Allocation2017 %]]</f>
        <v>0</v>
      </c>
      <c r="R87" s="32">
        <f>IF(Table3789[[#This Row],['#Survival based on Inventory]]=0,Table3789['#Survival based on Last Year Estimate],Table3789['#Survival based on Inventory])</f>
        <v>0</v>
      </c>
      <c r="S87" s="16">
        <f>Table11[[#This Row],['#Planted]]*Table11[[#This Row],[Canada Allocation2017 %]]*Table11[[#This Row],[2024 Inventory Survival%-master]]</f>
        <v>0</v>
      </c>
      <c r="T87" s="16">
        <f>Table11[[#This Row],['#Planted]]*Table11[[#This Row],[Canada Allocation2017 %]]*Table11[[#This Row],[2024 Estimated Survival%]]</f>
        <v>0</v>
      </c>
      <c r="U87" s="7">
        <f>Table11[[#This Row],[ETP Year]]</f>
        <v>2018</v>
      </c>
      <c r="V87" s="7">
        <f>Table11[[#This Row],[Planting Year]]</f>
        <v>2019</v>
      </c>
      <c r="W87" s="17">
        <f>Table11[[#This Row],[Survival% as of 12/31/23]]</f>
        <v>0.97496103896103914</v>
      </c>
      <c r="X87">
        <f>Table11[[#This Row],[ETP'#s]]</f>
        <v>1</v>
      </c>
    </row>
    <row r="88" spans="1:24" hidden="1" x14ac:dyDescent="0.25">
      <c r="A88">
        <f>Table11[[#This Row],[Farmer'#]]</f>
        <v>10041</v>
      </c>
      <c r="B88" t="str">
        <f>Table11[[#This Row],[Representative]]</f>
        <v>Shawn Harrison</v>
      </c>
      <c r="C88" t="str">
        <f>Table11[[#This Row],[Contract Name]]</f>
        <v>Shawn Harrison</v>
      </c>
      <c r="D88" t="str">
        <f>Table11[[#This Row],[Status]]</f>
        <v>Out of Program</v>
      </c>
      <c r="E88" t="str">
        <f>Table11[[#This Row],[Contract Code]]</f>
        <v>US0048</v>
      </c>
      <c r="F88">
        <f>Table11[[#This Row],['#TreesContract]]</f>
        <v>1100</v>
      </c>
      <c r="G88">
        <f>Table11[[#This Row],['#Planted]]</f>
        <v>1100</v>
      </c>
      <c r="H88" s="16">
        <f>Table11[[#This Row],['#TreesContract]]*Table11[[#This Row],[Canada Allocation2017 %]]</f>
        <v>0</v>
      </c>
      <c r="I88" s="16">
        <f>Table11[[#This Row],['#Planted]]*Table11[[#This Row],[Canada Allocation2017 %]]</f>
        <v>0</v>
      </c>
      <c r="J88" s="16">
        <f>Table11[[#This Row],[Contract Amendment]]*Table11[[#This Row],[Canada Allocation2017 %]]</f>
        <v>0</v>
      </c>
      <c r="K88" s="16">
        <f>Table11[[#This Row],['#Trees as of 12/31/23]]*Table11[[#This Row],[Canada Allocation2017 %]]</f>
        <v>0</v>
      </c>
      <c r="L88" s="16">
        <f>Table11[[#This Row],['#Replace 24]]*Table11[[#This Row],[Canada Allocation2017 %]]</f>
        <v>0</v>
      </c>
      <c r="M88" s="16"/>
      <c r="N88" s="16">
        <f>(Table11[[#This Row],[2024 '#Trees Inventory + Estimate]]*Table11[[#This Row],[Canada Allocation2017 %]])-SUM(Table3789[[#This Row],['# Trees as of 12/31/23]:[New Trees/Planted in 2024]])</f>
        <v>0</v>
      </c>
      <c r="O88" s="32">
        <f>SUM(Table3789[[#This Row],['# Trees as of 12/31/23]:[2024 Tree Losses]])</f>
        <v>0</v>
      </c>
      <c r="P88" s="32">
        <f>SUM(Table3789[[#This Row],[Total Trees as of 12/31/24]]-Table3789[[#This Row],['# Trees as of 12/31/23]])</f>
        <v>0</v>
      </c>
      <c r="Q88" s="16">
        <f>Table11[[#This Row],['#Total Replacements]]*Table11[[#This Row],[Canada Allocation2017 %]]</f>
        <v>0</v>
      </c>
      <c r="R88" s="32">
        <f>IF(Table3789[[#This Row],['#Survival based on Inventory]]=0,Table3789['#Survival based on Last Year Estimate],Table3789['#Survival based on Inventory])</f>
        <v>0</v>
      </c>
      <c r="S88" s="16">
        <f>Table11[[#This Row],['#Planted]]*Table11[[#This Row],[Canada Allocation2017 %]]*Table11[[#This Row],[2024 Inventory Survival%-master]]</f>
        <v>0</v>
      </c>
      <c r="T88" s="16">
        <f>Table11[[#This Row],['#Planted]]*Table11[[#This Row],[Canada Allocation2017 %]]*Table11[[#This Row],[2024 Estimated Survival%]]</f>
        <v>0</v>
      </c>
      <c r="U88" s="7">
        <f>Table11[[#This Row],[ETP Year]]</f>
        <v>2018</v>
      </c>
      <c r="V88" s="7">
        <f>Table11[[#This Row],[Planting Year]]</f>
        <v>2019</v>
      </c>
      <c r="W88" s="17">
        <f>Table11[[#This Row],[Survival% as of 12/31/23]]</f>
        <v>0</v>
      </c>
      <c r="X88">
        <f>Table11[[#This Row],[ETP'#s]]</f>
        <v>1</v>
      </c>
    </row>
    <row r="89" spans="1:24" hidden="1" x14ac:dyDescent="0.25">
      <c r="A89">
        <f>Table11[[#This Row],[Farmer'#]]</f>
        <v>10042</v>
      </c>
      <c r="B89" t="str">
        <f>Table11[[#This Row],[Representative]]</f>
        <v>Steven Whittaker</v>
      </c>
      <c r="C89" t="str">
        <f>Table11[[#This Row],[Contract Name]]</f>
        <v>Steven Whittaker</v>
      </c>
      <c r="D89" t="str">
        <f>Table11[[#This Row],[Status]]</f>
        <v>Active</v>
      </c>
      <c r="E89" t="str">
        <f>Table11[[#This Row],[Contract Code]]</f>
        <v>US0049</v>
      </c>
      <c r="F89">
        <f>Table11[[#This Row],['#TreesContract]]</f>
        <v>880</v>
      </c>
      <c r="G89">
        <f>Table11[[#This Row],['#Planted]]</f>
        <v>880</v>
      </c>
      <c r="H89" s="16">
        <f>Table11[[#This Row],['#TreesContract]]*Table11[[#This Row],[Canada Allocation2017 %]]</f>
        <v>0</v>
      </c>
      <c r="I89" s="16">
        <f>Table11[[#This Row],['#Planted]]*Table11[[#This Row],[Canada Allocation2017 %]]</f>
        <v>0</v>
      </c>
      <c r="J89" s="16">
        <f>Table11[[#This Row],[Contract Amendment]]*Table11[[#This Row],[Canada Allocation2017 %]]</f>
        <v>0</v>
      </c>
      <c r="K89" s="16">
        <f>Table11[[#This Row],['#Trees as of 12/31/23]]*Table11[[#This Row],[Canada Allocation2017 %]]</f>
        <v>0</v>
      </c>
      <c r="L89" s="16">
        <f>Table11[[#This Row],['#Replace 24]]*Table11[[#This Row],[Canada Allocation2017 %]]</f>
        <v>0</v>
      </c>
      <c r="M89" s="16"/>
      <c r="N89" s="16">
        <f>(Table11[[#This Row],[2024 '#Trees Inventory + Estimate]]*Table11[[#This Row],[Canada Allocation2017 %]])-SUM(Table3789[[#This Row],['# Trees as of 12/31/23]:[New Trees/Planted in 2024]])</f>
        <v>0</v>
      </c>
      <c r="O89" s="32">
        <f>SUM(Table3789[[#This Row],['# Trees as of 12/31/23]:[2024 Tree Losses]])</f>
        <v>0</v>
      </c>
      <c r="P89" s="32">
        <f>SUM(Table3789[[#This Row],[Total Trees as of 12/31/24]]-Table3789[[#This Row],['# Trees as of 12/31/23]])</f>
        <v>0</v>
      </c>
      <c r="Q89" s="16">
        <f>Table11[[#This Row],['#Total Replacements]]*Table11[[#This Row],[Canada Allocation2017 %]]</f>
        <v>0</v>
      </c>
      <c r="R89" s="32">
        <f>IF(Table3789[[#This Row],['#Survival based on Inventory]]=0,Table3789['#Survival based on Last Year Estimate],Table3789['#Survival based on Inventory])</f>
        <v>0</v>
      </c>
      <c r="S89" s="16">
        <f>Table11[[#This Row],['#Planted]]*Table11[[#This Row],[Canada Allocation2017 %]]*Table11[[#This Row],[2024 Inventory Survival%-master]]</f>
        <v>0</v>
      </c>
      <c r="T89" s="16">
        <f>Table11[[#This Row],['#Planted]]*Table11[[#This Row],[Canada Allocation2017 %]]*Table11[[#This Row],[2024 Estimated Survival%]]</f>
        <v>0</v>
      </c>
      <c r="U89" s="7">
        <f>Table11[[#This Row],[ETP Year]]</f>
        <v>2018</v>
      </c>
      <c r="V89" s="7">
        <f>Table11[[#This Row],[Planting Year]]</f>
        <v>2019</v>
      </c>
      <c r="W89" s="17">
        <f>Table11[[#This Row],[Survival% as of 12/31/23]]</f>
        <v>1</v>
      </c>
      <c r="X89">
        <f>Table11[[#This Row],[ETP'#s]]</f>
        <v>1</v>
      </c>
    </row>
    <row r="90" spans="1:24" hidden="1" x14ac:dyDescent="0.25">
      <c r="A90">
        <f>Table11[[#This Row],[Farmer'#]]</f>
        <v>10043</v>
      </c>
      <c r="B90" t="str">
        <f>Table11[[#This Row],[Representative]]</f>
        <v>Teddy Meeks</v>
      </c>
      <c r="C90" t="str">
        <f>Table11[[#This Row],[Contract Name]]</f>
        <v>Teddy Meeks</v>
      </c>
      <c r="D90" t="str">
        <f>Table11[[#This Row],[Status]]</f>
        <v>RFT</v>
      </c>
      <c r="E90" t="str">
        <f>Table11[[#This Row],[Contract Code]]</f>
        <v>US0050</v>
      </c>
      <c r="F90">
        <f>Table11[[#This Row],['#TreesContract]]</f>
        <v>1100</v>
      </c>
      <c r="G90">
        <f>Table11[[#This Row],['#Planted]]</f>
        <v>1100</v>
      </c>
      <c r="H90" s="16">
        <f>Table11[[#This Row],['#TreesContract]]*Table11[[#This Row],[Canada Allocation2017 %]]</f>
        <v>0</v>
      </c>
      <c r="I90" s="16">
        <f>Table11[[#This Row],['#Planted]]*Table11[[#This Row],[Canada Allocation2017 %]]</f>
        <v>0</v>
      </c>
      <c r="J90" s="16">
        <f>Table11[[#This Row],[Contract Amendment]]*Table11[[#This Row],[Canada Allocation2017 %]]</f>
        <v>0</v>
      </c>
      <c r="K90" s="16">
        <f>Table11[[#This Row],['#Trees as of 12/31/23]]*Table11[[#This Row],[Canada Allocation2017 %]]</f>
        <v>0</v>
      </c>
      <c r="L90" s="16">
        <f>Table11[[#This Row],['#Replace 24]]*Table11[[#This Row],[Canada Allocation2017 %]]</f>
        <v>0</v>
      </c>
      <c r="M90" s="16"/>
      <c r="N90" s="16">
        <f>(Table11[[#This Row],[2024 '#Trees Inventory + Estimate]]*Table11[[#This Row],[Canada Allocation2017 %]])-SUM(Table3789[[#This Row],['# Trees as of 12/31/23]:[New Trees/Planted in 2024]])</f>
        <v>0</v>
      </c>
      <c r="O90" s="32">
        <f>SUM(Table3789[[#This Row],['# Trees as of 12/31/23]:[2024 Tree Losses]])</f>
        <v>0</v>
      </c>
      <c r="P90" s="32">
        <f>SUM(Table3789[[#This Row],[Total Trees as of 12/31/24]]-Table3789[[#This Row],['# Trees as of 12/31/23]])</f>
        <v>0</v>
      </c>
      <c r="Q90" s="16">
        <f>Table11[[#This Row],['#Total Replacements]]*Table11[[#This Row],[Canada Allocation2017 %]]</f>
        <v>0</v>
      </c>
      <c r="R90" s="32">
        <f>IF(Table3789[[#This Row],['#Survival based on Inventory]]=0,Table3789['#Survival based on Last Year Estimate],Table3789['#Survival based on Inventory])</f>
        <v>0</v>
      </c>
      <c r="S90" s="16">
        <f>Table11[[#This Row],['#Planted]]*Table11[[#This Row],[Canada Allocation2017 %]]*Table11[[#This Row],[2024 Inventory Survival%-master]]</f>
        <v>0</v>
      </c>
      <c r="T90" s="16">
        <f>Table11[[#This Row],['#Planted]]*Table11[[#This Row],[Canada Allocation2017 %]]*Table11[[#This Row],[2024 Estimated Survival%]]</f>
        <v>0</v>
      </c>
      <c r="U90" s="7">
        <f>Table11[[#This Row],[ETP Year]]</f>
        <v>2018</v>
      </c>
      <c r="V90" s="7">
        <f>Table11[[#This Row],[Planting Year]]</f>
        <v>2019</v>
      </c>
      <c r="W90" s="17">
        <f>Table11[[#This Row],[Survival% as of 12/31/23]]</f>
        <v>0</v>
      </c>
      <c r="X90">
        <f>Table11[[#This Row],[ETP'#s]]</f>
        <v>1</v>
      </c>
    </row>
    <row r="91" spans="1:24" hidden="1" x14ac:dyDescent="0.25">
      <c r="A91">
        <f>Table11[[#This Row],[Farmer'#]]</f>
        <v>10044</v>
      </c>
      <c r="B91" t="str">
        <f>Table11[[#This Row],[Representative]]</f>
        <v>Wayne Moseley</v>
      </c>
      <c r="C91" t="str">
        <f>Table11[[#This Row],[Contract Name]]</f>
        <v>Wayne Moseley</v>
      </c>
      <c r="D91" t="str">
        <f>Table11[[#This Row],[Status]]</f>
        <v>Active</v>
      </c>
      <c r="E91" t="str">
        <f>Table11[[#This Row],[Contract Code]]</f>
        <v>US0051</v>
      </c>
      <c r="F91">
        <f>Table11[[#This Row],['#TreesContract]]</f>
        <v>1100</v>
      </c>
      <c r="G91">
        <f>Table11[[#This Row],['#Planted]]</f>
        <v>1100</v>
      </c>
      <c r="H91" s="16">
        <f>Table11[[#This Row],['#TreesContract]]*Table11[[#This Row],[Canada Allocation2017 %]]</f>
        <v>0</v>
      </c>
      <c r="I91" s="16">
        <f>Table11[[#This Row],['#Planted]]*Table11[[#This Row],[Canada Allocation2017 %]]</f>
        <v>0</v>
      </c>
      <c r="J91" s="16">
        <f>Table11[[#This Row],[Contract Amendment]]*Table11[[#This Row],[Canada Allocation2017 %]]</f>
        <v>0</v>
      </c>
      <c r="K91" s="16">
        <f>Table11[[#This Row],['#Trees as of 12/31/23]]*Table11[[#This Row],[Canada Allocation2017 %]]</f>
        <v>0</v>
      </c>
      <c r="L91" s="16">
        <f>Table11[[#This Row],['#Replace 24]]*Table11[[#This Row],[Canada Allocation2017 %]]</f>
        <v>0</v>
      </c>
      <c r="M91" s="16"/>
      <c r="N91" s="16">
        <f>(Table11[[#This Row],[2024 '#Trees Inventory + Estimate]]*Table11[[#This Row],[Canada Allocation2017 %]])-SUM(Table3789[[#This Row],['# Trees as of 12/31/23]:[New Trees/Planted in 2024]])</f>
        <v>0</v>
      </c>
      <c r="O91" s="32">
        <f>SUM(Table3789[[#This Row],['# Trees as of 12/31/23]:[2024 Tree Losses]])</f>
        <v>0</v>
      </c>
      <c r="P91" s="32">
        <f>SUM(Table3789[[#This Row],[Total Trees as of 12/31/24]]-Table3789[[#This Row],['# Trees as of 12/31/23]])</f>
        <v>0</v>
      </c>
      <c r="Q91" s="16">
        <f>Table11[[#This Row],['#Total Replacements]]*Table11[[#This Row],[Canada Allocation2017 %]]</f>
        <v>0</v>
      </c>
      <c r="R91" s="32">
        <f>IF(Table3789[[#This Row],['#Survival based on Inventory]]=0,Table3789['#Survival based on Last Year Estimate],Table3789['#Survival based on Inventory])</f>
        <v>0</v>
      </c>
      <c r="S91" s="16">
        <f>Table11[[#This Row],['#Planted]]*Table11[[#This Row],[Canada Allocation2017 %]]*Table11[[#This Row],[2024 Inventory Survival%-master]]</f>
        <v>0</v>
      </c>
      <c r="T91" s="16">
        <f>Table11[[#This Row],['#Planted]]*Table11[[#This Row],[Canada Allocation2017 %]]*Table11[[#This Row],[2024 Estimated Survival%]]</f>
        <v>0</v>
      </c>
      <c r="U91" s="7">
        <f>Table11[[#This Row],[ETP Year]]</f>
        <v>2018</v>
      </c>
      <c r="V91" s="7">
        <f>Table11[[#This Row],[Planting Year]]</f>
        <v>2019</v>
      </c>
      <c r="W91" s="17">
        <f>Table11[[#This Row],[Survival% as of 12/31/23]]</f>
        <v>0.35181818181818175</v>
      </c>
      <c r="X91">
        <f>Table11[[#This Row],[ETP'#s]]</f>
        <v>1</v>
      </c>
    </row>
    <row r="92" spans="1:24" hidden="1" x14ac:dyDescent="0.25">
      <c r="A92">
        <f>Table11[[#This Row],[Farmer'#]]</f>
        <v>20009</v>
      </c>
      <c r="B92" t="str">
        <f>Table11[[#This Row],[Representative]]</f>
        <v>David Gutierrez</v>
      </c>
      <c r="C92" t="str">
        <f>Table11[[#This Row],[Contract Name]]</f>
        <v>Edgar Gutierrez</v>
      </c>
      <c r="D92" t="str">
        <f>Table11[[#This Row],[Status]]</f>
        <v>Out of Program</v>
      </c>
      <c r="E92" t="str">
        <f>Table11[[#This Row],[Contract Code]]</f>
        <v>CR0085</v>
      </c>
      <c r="F92">
        <f>Table11[[#This Row],['#TreesContract]]</f>
        <v>285</v>
      </c>
      <c r="G92">
        <f>Table11[[#This Row],['#Planted]]</f>
        <v>285</v>
      </c>
      <c r="H92" s="16">
        <f>Table11[[#This Row],['#TreesContract]]*Table11[[#This Row],[Canada Allocation2017 %]]</f>
        <v>0</v>
      </c>
      <c r="I92" s="16">
        <f>Table11[[#This Row],['#Planted]]*Table11[[#This Row],[Canada Allocation2017 %]]</f>
        <v>0</v>
      </c>
      <c r="J92" s="16">
        <f>Table11[[#This Row],[Contract Amendment]]*Table11[[#This Row],[Canada Allocation2017 %]]</f>
        <v>0</v>
      </c>
      <c r="K92" s="16">
        <f>Table11[[#This Row],['#Trees as of 12/31/23]]*Table11[[#This Row],[Canada Allocation2017 %]]</f>
        <v>0</v>
      </c>
      <c r="L92" s="16">
        <f>Table11[[#This Row],['#Replace 24]]*Table11[[#This Row],[Canada Allocation2017 %]]</f>
        <v>0</v>
      </c>
      <c r="M92" s="16"/>
      <c r="N92" s="16">
        <f>(Table11[[#This Row],[2024 '#Trees Inventory + Estimate]]*Table11[[#This Row],[Canada Allocation2017 %]])-SUM(Table3789[[#This Row],['# Trees as of 12/31/23]:[New Trees/Planted in 2024]])</f>
        <v>0</v>
      </c>
      <c r="O92" s="32">
        <f>SUM(Table3789[[#This Row],['# Trees as of 12/31/23]:[2024 Tree Losses]])</f>
        <v>0</v>
      </c>
      <c r="P92" s="32">
        <f>SUM(Table3789[[#This Row],[Total Trees as of 12/31/24]]-Table3789[[#This Row],['# Trees as of 12/31/23]])</f>
        <v>0</v>
      </c>
      <c r="Q92" s="16">
        <f>Table11[[#This Row],['#Total Replacements]]*Table11[[#This Row],[Canada Allocation2017 %]]</f>
        <v>0</v>
      </c>
      <c r="R92" s="32">
        <f>IF(Table3789[[#This Row],['#Survival based on Inventory]]=0,Table3789['#Survival based on Last Year Estimate],Table3789['#Survival based on Inventory])</f>
        <v>0</v>
      </c>
      <c r="S92" s="16">
        <f>Table11[[#This Row],['#Planted]]*Table11[[#This Row],[Canada Allocation2017 %]]*Table11[[#This Row],[2024 Inventory Survival%-master]]</f>
        <v>0</v>
      </c>
      <c r="T92" s="16">
        <f>Table11[[#This Row],['#Planted]]*Table11[[#This Row],[Canada Allocation2017 %]]*Table11[[#This Row],[2024 Estimated Survival%]]</f>
        <v>0</v>
      </c>
      <c r="U92" s="7">
        <f>Table11[[#This Row],[ETP Year]]</f>
        <v>2018</v>
      </c>
      <c r="V92" s="7">
        <f>Table11[[#This Row],[Planting Year]]</f>
        <v>2019</v>
      </c>
      <c r="W92" s="17">
        <f>Table11[[#This Row],[Survival% as of 12/31/23]]</f>
        <v>0</v>
      </c>
      <c r="X92">
        <f>Table11[[#This Row],[ETP'#s]]</f>
        <v>1</v>
      </c>
    </row>
    <row r="93" spans="1:24" hidden="1" x14ac:dyDescent="0.25">
      <c r="A93">
        <f>Table11[[#This Row],[Farmer'#]]</f>
        <v>20023</v>
      </c>
      <c r="B93" t="str">
        <f>Table11[[#This Row],[Representative]]</f>
        <v>Carlos Montero</v>
      </c>
      <c r="C93" t="str">
        <f>Table11[[#This Row],[Contract Name]]</f>
        <v>Carlos Montero</v>
      </c>
      <c r="D93" t="str">
        <f>Table11[[#This Row],[Status]]</f>
        <v>RFT</v>
      </c>
      <c r="E93" t="str">
        <f>Table11[[#This Row],[Contract Code]]</f>
        <v>CR0083</v>
      </c>
      <c r="F93">
        <f>Table11[[#This Row],['#TreesContract]]</f>
        <v>4000</v>
      </c>
      <c r="G93">
        <f>Table11[[#This Row],['#Planted]]</f>
        <v>4000</v>
      </c>
      <c r="H93" s="16">
        <f>Table11[[#This Row],['#TreesContract]]*Table11[[#This Row],[Canada Allocation2017 %]]</f>
        <v>0</v>
      </c>
      <c r="I93" s="16">
        <f>Table11[[#This Row],['#Planted]]*Table11[[#This Row],[Canada Allocation2017 %]]</f>
        <v>0</v>
      </c>
      <c r="J93" s="16">
        <f>Table11[[#This Row],[Contract Amendment]]*Table11[[#This Row],[Canada Allocation2017 %]]</f>
        <v>0</v>
      </c>
      <c r="K93" s="16">
        <f>Table11[[#This Row],['#Trees as of 12/31/23]]*Table11[[#This Row],[Canada Allocation2017 %]]</f>
        <v>0</v>
      </c>
      <c r="L93" s="16">
        <f>Table11[[#This Row],['#Replace 24]]*Table11[[#This Row],[Canada Allocation2017 %]]</f>
        <v>0</v>
      </c>
      <c r="M93" s="16"/>
      <c r="N93" s="16">
        <f>(Table11[[#This Row],[2024 '#Trees Inventory + Estimate]]*Table11[[#This Row],[Canada Allocation2017 %]])-SUM(Table3789[[#This Row],['# Trees as of 12/31/23]:[New Trees/Planted in 2024]])</f>
        <v>0</v>
      </c>
      <c r="O93" s="32">
        <f>SUM(Table3789[[#This Row],['# Trees as of 12/31/23]:[2024 Tree Losses]])</f>
        <v>0</v>
      </c>
      <c r="P93" s="32">
        <f>SUM(Table3789[[#This Row],[Total Trees as of 12/31/24]]-Table3789[[#This Row],['# Trees as of 12/31/23]])</f>
        <v>0</v>
      </c>
      <c r="Q93" s="16">
        <f>Table11[[#This Row],['#Total Replacements]]*Table11[[#This Row],[Canada Allocation2017 %]]</f>
        <v>0</v>
      </c>
      <c r="R93" s="32">
        <f>IF(Table3789[[#This Row],['#Survival based on Inventory]]=0,Table3789['#Survival based on Last Year Estimate],Table3789['#Survival based on Inventory])</f>
        <v>0</v>
      </c>
      <c r="S93" s="16">
        <f>Table11[[#This Row],['#Planted]]*Table11[[#This Row],[Canada Allocation2017 %]]*Table11[[#This Row],[2024 Inventory Survival%-master]]</f>
        <v>0</v>
      </c>
      <c r="T93" s="16">
        <f>Table11[[#This Row],['#Planted]]*Table11[[#This Row],[Canada Allocation2017 %]]*Table11[[#This Row],[2024 Estimated Survival%]]</f>
        <v>0</v>
      </c>
      <c r="U93" s="7">
        <f>Table11[[#This Row],[ETP Year]]</f>
        <v>2018</v>
      </c>
      <c r="V93" s="7">
        <f>Table11[[#This Row],[Planting Year]]</f>
        <v>2019</v>
      </c>
      <c r="W93" s="17">
        <f>Table11[[#This Row],[Survival% as of 12/31/23]]</f>
        <v>0</v>
      </c>
      <c r="X93">
        <f>Table11[[#This Row],[ETP'#s]]</f>
        <v>1</v>
      </c>
    </row>
    <row r="94" spans="1:24" hidden="1" x14ac:dyDescent="0.25">
      <c r="A94">
        <f>Table11[[#This Row],[Farmer'#]]</f>
        <v>20074</v>
      </c>
      <c r="B94" t="str">
        <f>Table11[[#This Row],[Representative]]</f>
        <v>Carlos Batalla</v>
      </c>
      <c r="C94" t="str">
        <f>Table11[[#This Row],[Contract Name]]</f>
        <v>Carlos Batalla</v>
      </c>
      <c r="D94" t="str">
        <f>Table11[[#This Row],[Status]]</f>
        <v>Out of Program</v>
      </c>
      <c r="E94" t="str">
        <f>Table11[[#This Row],[Contract Code]]</f>
        <v>CR0080</v>
      </c>
      <c r="F94">
        <f>Table11[[#This Row],['#TreesContract]]</f>
        <v>500</v>
      </c>
      <c r="G94">
        <f>Table11[[#This Row],['#Planted]]</f>
        <v>500</v>
      </c>
      <c r="H94" s="16">
        <f>Table11[[#This Row],['#TreesContract]]*Table11[[#This Row],[Canada Allocation2017 %]]</f>
        <v>0</v>
      </c>
      <c r="I94" s="16">
        <f>Table11[[#This Row],['#Planted]]*Table11[[#This Row],[Canada Allocation2017 %]]</f>
        <v>0</v>
      </c>
      <c r="J94" s="16">
        <f>Table11[[#This Row],[Contract Amendment]]*Table11[[#This Row],[Canada Allocation2017 %]]</f>
        <v>0</v>
      </c>
      <c r="K94" s="16">
        <f>Table11[[#This Row],['#Trees as of 12/31/23]]*Table11[[#This Row],[Canada Allocation2017 %]]</f>
        <v>0</v>
      </c>
      <c r="L94" s="16">
        <f>Table11[[#This Row],['#Replace 24]]*Table11[[#This Row],[Canada Allocation2017 %]]</f>
        <v>0</v>
      </c>
      <c r="M94" s="16"/>
      <c r="N94" s="16">
        <f>(Table11[[#This Row],[2024 '#Trees Inventory + Estimate]]*Table11[[#This Row],[Canada Allocation2017 %]])-SUM(Table3789[[#This Row],['# Trees as of 12/31/23]:[New Trees/Planted in 2024]])</f>
        <v>0</v>
      </c>
      <c r="O94" s="32">
        <f>SUM(Table3789[[#This Row],['# Trees as of 12/31/23]:[2024 Tree Losses]])</f>
        <v>0</v>
      </c>
      <c r="P94" s="32">
        <f>SUM(Table3789[[#This Row],[Total Trees as of 12/31/24]]-Table3789[[#This Row],['# Trees as of 12/31/23]])</f>
        <v>0</v>
      </c>
      <c r="Q94" s="16">
        <f>Table11[[#This Row],['#Total Replacements]]*Table11[[#This Row],[Canada Allocation2017 %]]</f>
        <v>0</v>
      </c>
      <c r="R94" s="32">
        <f>IF(Table3789[[#This Row],['#Survival based on Inventory]]=0,Table3789['#Survival based on Last Year Estimate],Table3789['#Survival based on Inventory])</f>
        <v>0</v>
      </c>
      <c r="S94" s="16">
        <f>Table11[[#This Row],['#Planted]]*Table11[[#This Row],[Canada Allocation2017 %]]*Table11[[#This Row],[2024 Inventory Survival%-master]]</f>
        <v>0</v>
      </c>
      <c r="T94" s="16">
        <f>Table11[[#This Row],['#Planted]]*Table11[[#This Row],[Canada Allocation2017 %]]*Table11[[#This Row],[2024 Estimated Survival%]]</f>
        <v>0</v>
      </c>
      <c r="U94" s="7">
        <f>Table11[[#This Row],[ETP Year]]</f>
        <v>2018</v>
      </c>
      <c r="V94" s="7">
        <f>Table11[[#This Row],[Planting Year]]</f>
        <v>2019</v>
      </c>
      <c r="W94" s="17">
        <f>Table11[[#This Row],[Survival% as of 12/31/23]]</f>
        <v>0</v>
      </c>
      <c r="X94">
        <f>Table11[[#This Row],[ETP'#s]]</f>
        <v>1</v>
      </c>
    </row>
    <row r="95" spans="1:24" hidden="1" x14ac:dyDescent="0.25">
      <c r="A95">
        <f>Table11[[#This Row],[Farmer'#]]</f>
        <v>20075</v>
      </c>
      <c r="B95" t="str">
        <f>Table11[[#This Row],[Representative]]</f>
        <v>Carlos Castro Solano</v>
      </c>
      <c r="C95" t="str">
        <f>Table11[[#This Row],[Contract Name]]</f>
        <v>Corporacion Lummal S.A</v>
      </c>
      <c r="D95" t="str">
        <f>Table11[[#This Row],[Status]]</f>
        <v>RFT</v>
      </c>
      <c r="E95" t="str">
        <f>Table11[[#This Row],[Contract Code]]</f>
        <v>CR0081</v>
      </c>
      <c r="F95">
        <f>Table11[[#This Row],['#TreesContract]]</f>
        <v>4000</v>
      </c>
      <c r="G95">
        <f>Table11[[#This Row],['#Planted]]</f>
        <v>4000</v>
      </c>
      <c r="H95" s="16">
        <f>Table11[[#This Row],['#TreesContract]]*Table11[[#This Row],[Canada Allocation2017 %]]</f>
        <v>0</v>
      </c>
      <c r="I95" s="16">
        <f>Table11[[#This Row],['#Planted]]*Table11[[#This Row],[Canada Allocation2017 %]]</f>
        <v>0</v>
      </c>
      <c r="J95" s="16">
        <f>Table11[[#This Row],[Contract Amendment]]*Table11[[#This Row],[Canada Allocation2017 %]]</f>
        <v>0</v>
      </c>
      <c r="K95" s="16">
        <f>Table11[[#This Row],['#Trees as of 12/31/23]]*Table11[[#This Row],[Canada Allocation2017 %]]</f>
        <v>0</v>
      </c>
      <c r="L95" s="16">
        <f>Table11[[#This Row],['#Replace 24]]*Table11[[#This Row],[Canada Allocation2017 %]]</f>
        <v>0</v>
      </c>
      <c r="M95" s="16"/>
      <c r="N95" s="16">
        <f>(Table11[[#This Row],[2024 '#Trees Inventory + Estimate]]*Table11[[#This Row],[Canada Allocation2017 %]])-SUM(Table3789[[#This Row],['# Trees as of 12/31/23]:[New Trees/Planted in 2024]])</f>
        <v>0</v>
      </c>
      <c r="O95" s="32">
        <f>SUM(Table3789[[#This Row],['# Trees as of 12/31/23]:[2024 Tree Losses]])</f>
        <v>0</v>
      </c>
      <c r="P95" s="32">
        <f>SUM(Table3789[[#This Row],[Total Trees as of 12/31/24]]-Table3789[[#This Row],['# Trees as of 12/31/23]])</f>
        <v>0</v>
      </c>
      <c r="Q95" s="16">
        <f>Table11[[#This Row],['#Total Replacements]]*Table11[[#This Row],[Canada Allocation2017 %]]</f>
        <v>0</v>
      </c>
      <c r="R95" s="32">
        <f>IF(Table3789[[#This Row],['#Survival based on Inventory]]=0,Table3789['#Survival based on Last Year Estimate],Table3789['#Survival based on Inventory])</f>
        <v>0</v>
      </c>
      <c r="S95" s="16">
        <f>Table11[[#This Row],['#Planted]]*Table11[[#This Row],[Canada Allocation2017 %]]*Table11[[#This Row],[2024 Inventory Survival%-master]]</f>
        <v>0</v>
      </c>
      <c r="T95" s="16">
        <f>Table11[[#This Row],['#Planted]]*Table11[[#This Row],[Canada Allocation2017 %]]*Table11[[#This Row],[2024 Estimated Survival%]]</f>
        <v>0</v>
      </c>
      <c r="U95" s="7">
        <f>Table11[[#This Row],[ETP Year]]</f>
        <v>2018</v>
      </c>
      <c r="V95" s="7">
        <f>Table11[[#This Row],[Planting Year]]</f>
        <v>2019</v>
      </c>
      <c r="W95" s="17">
        <f>Table11[[#This Row],[Survival% as of 12/31/23]]</f>
        <v>0.39</v>
      </c>
      <c r="X95">
        <f>Table11[[#This Row],[ETP'#s]]</f>
        <v>1</v>
      </c>
    </row>
    <row r="96" spans="1:24" hidden="1" x14ac:dyDescent="0.25">
      <c r="A96">
        <f>Table11[[#This Row],[Farmer'#]]</f>
        <v>20076</v>
      </c>
      <c r="B96" t="str">
        <f>Table11[[#This Row],[Representative]]</f>
        <v>Gustavo Arias</v>
      </c>
      <c r="C96" t="str">
        <f>Table11[[#This Row],[Contract Name]]</f>
        <v>Carlos Luis Arias</v>
      </c>
      <c r="D96" t="str">
        <f>Table11[[#This Row],[Status]]</f>
        <v>RFT</v>
      </c>
      <c r="E96" t="str">
        <f>Table11[[#This Row],[Contract Code]]</f>
        <v>CR0082</v>
      </c>
      <c r="F96">
        <f>Table11[[#This Row],['#TreesContract]]</f>
        <v>1000</v>
      </c>
      <c r="G96">
        <f>Table11[[#This Row],['#Planted]]</f>
        <v>1000</v>
      </c>
      <c r="H96" s="16">
        <f>Table11[[#This Row],['#TreesContract]]*Table11[[#This Row],[Canada Allocation2017 %]]</f>
        <v>0</v>
      </c>
      <c r="I96" s="16">
        <f>Table11[[#This Row],['#Planted]]*Table11[[#This Row],[Canada Allocation2017 %]]</f>
        <v>0</v>
      </c>
      <c r="J96" s="16">
        <f>Table11[[#This Row],[Contract Amendment]]*Table11[[#This Row],[Canada Allocation2017 %]]</f>
        <v>0</v>
      </c>
      <c r="K96" s="16">
        <f>Table11[[#This Row],['#Trees as of 12/31/23]]*Table11[[#This Row],[Canada Allocation2017 %]]</f>
        <v>0</v>
      </c>
      <c r="L96" s="16">
        <f>Table11[[#This Row],['#Replace 24]]*Table11[[#This Row],[Canada Allocation2017 %]]</f>
        <v>0</v>
      </c>
      <c r="M96" s="16"/>
      <c r="N96" s="16">
        <f>(Table11[[#This Row],[2024 '#Trees Inventory + Estimate]]*Table11[[#This Row],[Canada Allocation2017 %]])-SUM(Table3789[[#This Row],['# Trees as of 12/31/23]:[New Trees/Planted in 2024]])</f>
        <v>0</v>
      </c>
      <c r="O96" s="32">
        <f>SUM(Table3789[[#This Row],['# Trees as of 12/31/23]:[2024 Tree Losses]])</f>
        <v>0</v>
      </c>
      <c r="P96" s="32">
        <f>SUM(Table3789[[#This Row],[Total Trees as of 12/31/24]]-Table3789[[#This Row],['# Trees as of 12/31/23]])</f>
        <v>0</v>
      </c>
      <c r="Q96" s="16">
        <f>Table11[[#This Row],['#Total Replacements]]*Table11[[#This Row],[Canada Allocation2017 %]]</f>
        <v>0</v>
      </c>
      <c r="R96" s="32">
        <f>IF(Table3789[[#This Row],['#Survival based on Inventory]]=0,Table3789['#Survival based on Last Year Estimate],Table3789['#Survival based on Inventory])</f>
        <v>0</v>
      </c>
      <c r="S96" s="16">
        <f>Table11[[#This Row],['#Planted]]*Table11[[#This Row],[Canada Allocation2017 %]]*Table11[[#This Row],[2024 Inventory Survival%-master]]</f>
        <v>0</v>
      </c>
      <c r="T96" s="16">
        <f>Table11[[#This Row],['#Planted]]*Table11[[#This Row],[Canada Allocation2017 %]]*Table11[[#This Row],[2024 Estimated Survival%]]</f>
        <v>0</v>
      </c>
      <c r="U96" s="7">
        <f>Table11[[#This Row],[ETP Year]]</f>
        <v>2018</v>
      </c>
      <c r="V96" s="7">
        <f>Table11[[#This Row],[Planting Year]]</f>
        <v>2019</v>
      </c>
      <c r="W96" s="17">
        <f>Table11[[#This Row],[Survival% as of 12/31/23]]</f>
        <v>0.6186544270833334</v>
      </c>
      <c r="X96">
        <f>Table11[[#This Row],[ETP'#s]]</f>
        <v>1</v>
      </c>
    </row>
    <row r="97" spans="1:24" hidden="1" x14ac:dyDescent="0.25">
      <c r="A97">
        <f>Table11[[#This Row],[Farmer'#]]</f>
        <v>20077</v>
      </c>
      <c r="B97" t="str">
        <f>Table11[[#This Row],[Representative]]</f>
        <v>Carmelita Soto</v>
      </c>
      <c r="C97" t="str">
        <f>Table11[[#This Row],[Contract Name]]</f>
        <v>Carmelita Soto</v>
      </c>
      <c r="D97" t="str">
        <f>Table11[[#This Row],[Status]]</f>
        <v>Out of Program</v>
      </c>
      <c r="E97" t="str">
        <f>Table11[[#This Row],[Contract Code]]</f>
        <v>CR0084</v>
      </c>
      <c r="F97">
        <f>Table11[[#This Row],['#TreesContract]]</f>
        <v>1000</v>
      </c>
      <c r="G97">
        <f>Table11[[#This Row],['#Planted]]</f>
        <v>1000</v>
      </c>
      <c r="H97" s="16">
        <f>Table11[[#This Row],['#TreesContract]]*Table11[[#This Row],[Canada Allocation2017 %]]</f>
        <v>0</v>
      </c>
      <c r="I97" s="16">
        <f>Table11[[#This Row],['#Planted]]*Table11[[#This Row],[Canada Allocation2017 %]]</f>
        <v>0</v>
      </c>
      <c r="J97" s="16">
        <f>Table11[[#This Row],[Contract Amendment]]*Table11[[#This Row],[Canada Allocation2017 %]]</f>
        <v>0</v>
      </c>
      <c r="K97" s="16">
        <f>Table11[[#This Row],['#Trees as of 12/31/23]]*Table11[[#This Row],[Canada Allocation2017 %]]</f>
        <v>0</v>
      </c>
      <c r="L97" s="16">
        <f>Table11[[#This Row],['#Replace 24]]*Table11[[#This Row],[Canada Allocation2017 %]]</f>
        <v>0</v>
      </c>
      <c r="M97" s="16"/>
      <c r="N97" s="16">
        <f>(Table11[[#This Row],[2024 '#Trees Inventory + Estimate]]*Table11[[#This Row],[Canada Allocation2017 %]])-SUM(Table3789[[#This Row],['# Trees as of 12/31/23]:[New Trees/Planted in 2024]])</f>
        <v>0</v>
      </c>
      <c r="O97" s="32">
        <f>SUM(Table3789[[#This Row],['# Trees as of 12/31/23]:[2024 Tree Losses]])</f>
        <v>0</v>
      </c>
      <c r="P97" s="32">
        <f>SUM(Table3789[[#This Row],[Total Trees as of 12/31/24]]-Table3789[[#This Row],['# Trees as of 12/31/23]])</f>
        <v>0</v>
      </c>
      <c r="Q97" s="16">
        <f>Table11[[#This Row],['#Total Replacements]]*Table11[[#This Row],[Canada Allocation2017 %]]</f>
        <v>0</v>
      </c>
      <c r="R97" s="32">
        <f>IF(Table3789[[#This Row],['#Survival based on Inventory]]=0,Table3789['#Survival based on Last Year Estimate],Table3789['#Survival based on Inventory])</f>
        <v>0</v>
      </c>
      <c r="S97" s="16">
        <f>Table11[[#This Row],['#Planted]]*Table11[[#This Row],[Canada Allocation2017 %]]*Table11[[#This Row],[2024 Inventory Survival%-master]]</f>
        <v>0</v>
      </c>
      <c r="T97" s="16">
        <f>Table11[[#This Row],['#Planted]]*Table11[[#This Row],[Canada Allocation2017 %]]*Table11[[#This Row],[2024 Estimated Survival%]]</f>
        <v>0</v>
      </c>
      <c r="U97" s="7">
        <f>Table11[[#This Row],[ETP Year]]</f>
        <v>2018</v>
      </c>
      <c r="V97" s="7">
        <f>Table11[[#This Row],[Planting Year]]</f>
        <v>2019</v>
      </c>
      <c r="W97" s="17">
        <f>Table11[[#This Row],[Survival% as of 12/31/23]]</f>
        <v>1</v>
      </c>
      <c r="X97">
        <f>Table11[[#This Row],[ETP'#s]]</f>
        <v>1</v>
      </c>
    </row>
    <row r="98" spans="1:24" hidden="1" x14ac:dyDescent="0.25">
      <c r="A98">
        <f>Table11[[#This Row],[Farmer'#]]</f>
        <v>20078</v>
      </c>
      <c r="B98" t="str">
        <f>Table11[[#This Row],[Representative]]</f>
        <v>Agner Chinchlla</v>
      </c>
      <c r="C98" t="str">
        <f>Table11[[#This Row],[Contract Name]]</f>
        <v xml:space="preserve">Edgar Chinchilla Quesada </v>
      </c>
      <c r="D98" t="str">
        <f>Table11[[#This Row],[Status]]</f>
        <v>Out of Program</v>
      </c>
      <c r="E98" t="str">
        <f>Table11[[#This Row],[Contract Code]]</f>
        <v>CR0086</v>
      </c>
      <c r="F98">
        <f>Table11[[#This Row],['#TreesContract]]</f>
        <v>1700</v>
      </c>
      <c r="G98">
        <f>Table11[[#This Row],['#Planted]]</f>
        <v>1700</v>
      </c>
      <c r="H98" s="16">
        <f>Table11[[#This Row],['#TreesContract]]*Table11[[#This Row],[Canada Allocation2017 %]]</f>
        <v>0</v>
      </c>
      <c r="I98" s="16">
        <f>Table11[[#This Row],['#Planted]]*Table11[[#This Row],[Canada Allocation2017 %]]</f>
        <v>0</v>
      </c>
      <c r="J98" s="16">
        <f>Table11[[#This Row],[Contract Amendment]]*Table11[[#This Row],[Canada Allocation2017 %]]</f>
        <v>0</v>
      </c>
      <c r="K98" s="16">
        <f>Table11[[#This Row],['#Trees as of 12/31/23]]*Table11[[#This Row],[Canada Allocation2017 %]]</f>
        <v>0</v>
      </c>
      <c r="L98" s="16">
        <f>Table11[[#This Row],['#Replace 24]]*Table11[[#This Row],[Canada Allocation2017 %]]</f>
        <v>0</v>
      </c>
      <c r="M98" s="16"/>
      <c r="N98" s="16">
        <f>(Table11[[#This Row],[2024 '#Trees Inventory + Estimate]]*Table11[[#This Row],[Canada Allocation2017 %]])-SUM(Table3789[[#This Row],['# Trees as of 12/31/23]:[New Trees/Planted in 2024]])</f>
        <v>0</v>
      </c>
      <c r="O98" s="32">
        <f>SUM(Table3789[[#This Row],['# Trees as of 12/31/23]:[2024 Tree Losses]])</f>
        <v>0</v>
      </c>
      <c r="P98" s="32">
        <f>SUM(Table3789[[#This Row],[Total Trees as of 12/31/24]]-Table3789[[#This Row],['# Trees as of 12/31/23]])</f>
        <v>0</v>
      </c>
      <c r="Q98" s="16">
        <f>Table11[[#This Row],['#Total Replacements]]*Table11[[#This Row],[Canada Allocation2017 %]]</f>
        <v>0</v>
      </c>
      <c r="R98" s="32">
        <f>IF(Table3789[[#This Row],['#Survival based on Inventory]]=0,Table3789['#Survival based on Last Year Estimate],Table3789['#Survival based on Inventory])</f>
        <v>0</v>
      </c>
      <c r="S98" s="16">
        <f>Table11[[#This Row],['#Planted]]*Table11[[#This Row],[Canada Allocation2017 %]]*Table11[[#This Row],[2024 Inventory Survival%-master]]</f>
        <v>0</v>
      </c>
      <c r="T98" s="16">
        <f>Table11[[#This Row],['#Planted]]*Table11[[#This Row],[Canada Allocation2017 %]]*Table11[[#This Row],[2024 Estimated Survival%]]</f>
        <v>0</v>
      </c>
      <c r="U98" s="7">
        <f>Table11[[#This Row],[ETP Year]]</f>
        <v>2018</v>
      </c>
      <c r="V98" s="7">
        <f>Table11[[#This Row],[Planting Year]]</f>
        <v>2019</v>
      </c>
      <c r="W98" s="17">
        <f>Table11[[#This Row],[Survival% as of 12/31/23]]</f>
        <v>1</v>
      </c>
      <c r="X98">
        <f>Table11[[#This Row],[ETP'#s]]</f>
        <v>1</v>
      </c>
    </row>
    <row r="99" spans="1:24" hidden="1" x14ac:dyDescent="0.25">
      <c r="A99">
        <f>Table11[[#This Row],[Farmer'#]]</f>
        <v>20079</v>
      </c>
      <c r="B99" t="str">
        <f>Table11[[#This Row],[Representative]]</f>
        <v>Francisco Flores</v>
      </c>
      <c r="C99" t="str">
        <f>Table11[[#This Row],[Contract Name]]</f>
        <v>Beneficio La Guaria S.A</v>
      </c>
      <c r="D99" t="str">
        <f>Table11[[#This Row],[Status]]</f>
        <v>RFT</v>
      </c>
      <c r="E99" t="str">
        <f>Table11[[#This Row],[Contract Code]]</f>
        <v>CR0087</v>
      </c>
      <c r="F99">
        <f>Table11[[#This Row],['#TreesContract]]</f>
        <v>4500</v>
      </c>
      <c r="G99">
        <f>Table11[[#This Row],['#Planted]]</f>
        <v>4500</v>
      </c>
      <c r="H99" s="16">
        <f>Table11[[#This Row],['#TreesContract]]*Table11[[#This Row],[Canada Allocation2017 %]]</f>
        <v>0</v>
      </c>
      <c r="I99" s="16">
        <f>Table11[[#This Row],['#Planted]]*Table11[[#This Row],[Canada Allocation2017 %]]</f>
        <v>0</v>
      </c>
      <c r="J99" s="16">
        <f>Table11[[#This Row],[Contract Amendment]]*Table11[[#This Row],[Canada Allocation2017 %]]</f>
        <v>0</v>
      </c>
      <c r="K99" s="16">
        <f>Table11[[#This Row],['#Trees as of 12/31/23]]*Table11[[#This Row],[Canada Allocation2017 %]]</f>
        <v>0</v>
      </c>
      <c r="L99" s="16">
        <f>Table11[[#This Row],['#Replace 24]]*Table11[[#This Row],[Canada Allocation2017 %]]</f>
        <v>0</v>
      </c>
      <c r="M99" s="16"/>
      <c r="N99" s="16">
        <f>(Table11[[#This Row],[2024 '#Trees Inventory + Estimate]]*Table11[[#This Row],[Canada Allocation2017 %]])-SUM(Table3789[[#This Row],['# Trees as of 12/31/23]:[New Trees/Planted in 2024]])</f>
        <v>0</v>
      </c>
      <c r="O99" s="32">
        <f>SUM(Table3789[[#This Row],['# Trees as of 12/31/23]:[2024 Tree Losses]])</f>
        <v>0</v>
      </c>
      <c r="P99" s="32">
        <f>SUM(Table3789[[#This Row],[Total Trees as of 12/31/24]]-Table3789[[#This Row],['# Trees as of 12/31/23]])</f>
        <v>0</v>
      </c>
      <c r="Q99" s="16">
        <f>Table11[[#This Row],['#Total Replacements]]*Table11[[#This Row],[Canada Allocation2017 %]]</f>
        <v>0</v>
      </c>
      <c r="R99" s="32">
        <f>IF(Table3789[[#This Row],['#Survival based on Inventory]]=0,Table3789['#Survival based on Last Year Estimate],Table3789['#Survival based on Inventory])</f>
        <v>0</v>
      </c>
      <c r="S99" s="16">
        <f>Table11[[#This Row],['#Planted]]*Table11[[#This Row],[Canada Allocation2017 %]]*Table11[[#This Row],[2024 Inventory Survival%-master]]</f>
        <v>0</v>
      </c>
      <c r="T99" s="16">
        <f>Table11[[#This Row],['#Planted]]*Table11[[#This Row],[Canada Allocation2017 %]]*Table11[[#This Row],[2024 Estimated Survival%]]</f>
        <v>0</v>
      </c>
      <c r="U99" s="7">
        <f>Table11[[#This Row],[ETP Year]]</f>
        <v>2018</v>
      </c>
      <c r="V99" s="7">
        <f>Table11[[#This Row],[Planting Year]]</f>
        <v>2019</v>
      </c>
      <c r="W99" s="17">
        <f>Table11[[#This Row],[Survival% as of 12/31/23]]</f>
        <v>0.60207975308641981</v>
      </c>
      <c r="X99">
        <f>Table11[[#This Row],[ETP'#s]]</f>
        <v>1</v>
      </c>
    </row>
    <row r="100" spans="1:24" hidden="1" x14ac:dyDescent="0.25">
      <c r="A100">
        <f>Table11[[#This Row],[Farmer'#]]</f>
        <v>20080</v>
      </c>
      <c r="B100" t="str">
        <f>Table11[[#This Row],[Representative]]</f>
        <v>Leonardo Cordero</v>
      </c>
      <c r="C100" t="str">
        <f>Table11[[#This Row],[Contract Name]]</f>
        <v>Greivin Cordero</v>
      </c>
      <c r="D100" t="str">
        <f>Table11[[#This Row],[Status]]</f>
        <v>RFT</v>
      </c>
      <c r="E100" t="str">
        <f>Table11[[#This Row],[Contract Code]]</f>
        <v>CR0088</v>
      </c>
      <c r="F100">
        <f>Table11[[#This Row],['#TreesContract]]</f>
        <v>1000</v>
      </c>
      <c r="G100">
        <f>Table11[[#This Row],['#Planted]]</f>
        <v>1000</v>
      </c>
      <c r="H100" s="16">
        <f>Table11[[#This Row],['#TreesContract]]*Table11[[#This Row],[Canada Allocation2017 %]]</f>
        <v>0</v>
      </c>
      <c r="I100" s="16">
        <f>Table11[[#This Row],['#Planted]]*Table11[[#This Row],[Canada Allocation2017 %]]</f>
        <v>0</v>
      </c>
      <c r="J100" s="16">
        <f>Table11[[#This Row],[Contract Amendment]]*Table11[[#This Row],[Canada Allocation2017 %]]</f>
        <v>0</v>
      </c>
      <c r="K100" s="16">
        <f>Table11[[#This Row],['#Trees as of 12/31/23]]*Table11[[#This Row],[Canada Allocation2017 %]]</f>
        <v>0</v>
      </c>
      <c r="L100" s="16">
        <f>Table11[[#This Row],['#Replace 24]]*Table11[[#This Row],[Canada Allocation2017 %]]</f>
        <v>0</v>
      </c>
      <c r="M100" s="16"/>
      <c r="N100" s="16">
        <f>(Table11[[#This Row],[2024 '#Trees Inventory + Estimate]]*Table11[[#This Row],[Canada Allocation2017 %]])-SUM(Table3789[[#This Row],['# Trees as of 12/31/23]:[New Trees/Planted in 2024]])</f>
        <v>0</v>
      </c>
      <c r="O100" s="32">
        <f>SUM(Table3789[[#This Row],['# Trees as of 12/31/23]:[2024 Tree Losses]])</f>
        <v>0</v>
      </c>
      <c r="P100" s="32">
        <f>SUM(Table3789[[#This Row],[Total Trees as of 12/31/24]]-Table3789[[#This Row],['# Trees as of 12/31/23]])</f>
        <v>0</v>
      </c>
      <c r="Q100" s="16">
        <f>Table11[[#This Row],['#Total Replacements]]*Table11[[#This Row],[Canada Allocation2017 %]]</f>
        <v>0</v>
      </c>
      <c r="R100" s="32">
        <f>IF(Table3789[[#This Row],['#Survival based on Inventory]]=0,Table3789['#Survival based on Last Year Estimate],Table3789['#Survival based on Inventory])</f>
        <v>0</v>
      </c>
      <c r="S100" s="16">
        <f>Table11[[#This Row],['#Planted]]*Table11[[#This Row],[Canada Allocation2017 %]]*Table11[[#This Row],[2024 Inventory Survival%-master]]</f>
        <v>0</v>
      </c>
      <c r="T100" s="16">
        <f>Table11[[#This Row],['#Planted]]*Table11[[#This Row],[Canada Allocation2017 %]]*Table11[[#This Row],[2024 Estimated Survival%]]</f>
        <v>0</v>
      </c>
      <c r="U100" s="7">
        <f>Table11[[#This Row],[ETP Year]]</f>
        <v>2018</v>
      </c>
      <c r="V100" s="7">
        <f>Table11[[#This Row],[Planting Year]]</f>
        <v>2019</v>
      </c>
      <c r="W100" s="17">
        <f>Table11[[#This Row],[Survival% as of 12/31/23]]</f>
        <v>0.9</v>
      </c>
      <c r="X100">
        <f>Table11[[#This Row],[ETP'#s]]</f>
        <v>1</v>
      </c>
    </row>
    <row r="101" spans="1:24" hidden="1" x14ac:dyDescent="0.25">
      <c r="A101">
        <f>Table11[[#This Row],[Farmer'#]]</f>
        <v>20081</v>
      </c>
      <c r="B101" t="str">
        <f>Table11[[#This Row],[Representative]]</f>
        <v>Miguel Corrales Venegas</v>
      </c>
      <c r="C101" t="str">
        <f>Table11[[#This Row],[Contract Name]]</f>
        <v>Miguel Corrales Venegas</v>
      </c>
      <c r="D101" t="str">
        <f>Table11[[#This Row],[Status]]</f>
        <v>Active</v>
      </c>
      <c r="E101" t="str">
        <f>Table11[[#This Row],[Contract Code]]</f>
        <v>CR0089</v>
      </c>
      <c r="F101">
        <f>Table11[[#This Row],['#TreesContract]]</f>
        <v>2000</v>
      </c>
      <c r="G101">
        <f>Table11[[#This Row],['#Planted]]</f>
        <v>2000</v>
      </c>
      <c r="H101" s="16">
        <f>Table11[[#This Row],['#TreesContract]]*Table11[[#This Row],[Canada Allocation2017 %]]</f>
        <v>0</v>
      </c>
      <c r="I101" s="16">
        <f>Table11[[#This Row],['#Planted]]*Table11[[#This Row],[Canada Allocation2017 %]]</f>
        <v>0</v>
      </c>
      <c r="J101" s="16">
        <f>Table11[[#This Row],[Contract Amendment]]*Table11[[#This Row],[Canada Allocation2017 %]]</f>
        <v>0</v>
      </c>
      <c r="K101" s="16">
        <f>Table11[[#This Row],['#Trees as of 12/31/23]]*Table11[[#This Row],[Canada Allocation2017 %]]</f>
        <v>0</v>
      </c>
      <c r="L101" s="16">
        <f>Table11[[#This Row],['#Replace 24]]*Table11[[#This Row],[Canada Allocation2017 %]]</f>
        <v>0</v>
      </c>
      <c r="M101" s="16"/>
      <c r="N101" s="16">
        <f>(Table11[[#This Row],[2024 '#Trees Inventory + Estimate]]*Table11[[#This Row],[Canada Allocation2017 %]])-SUM(Table3789[[#This Row],['# Trees as of 12/31/23]:[New Trees/Planted in 2024]])</f>
        <v>0</v>
      </c>
      <c r="O101" s="32">
        <f>SUM(Table3789[[#This Row],['# Trees as of 12/31/23]:[2024 Tree Losses]])</f>
        <v>0</v>
      </c>
      <c r="P101" s="32">
        <f>SUM(Table3789[[#This Row],[Total Trees as of 12/31/24]]-Table3789[[#This Row],['# Trees as of 12/31/23]])</f>
        <v>0</v>
      </c>
      <c r="Q101" s="16">
        <f>Table11[[#This Row],['#Total Replacements]]*Table11[[#This Row],[Canada Allocation2017 %]]</f>
        <v>0</v>
      </c>
      <c r="R101" s="32">
        <f>IF(Table3789[[#This Row],['#Survival based on Inventory]]=0,Table3789['#Survival based on Last Year Estimate],Table3789['#Survival based on Inventory])</f>
        <v>0</v>
      </c>
      <c r="S101" s="16">
        <f>Table11[[#This Row],['#Planted]]*Table11[[#This Row],[Canada Allocation2017 %]]*Table11[[#This Row],[2024 Inventory Survival%-master]]</f>
        <v>0</v>
      </c>
      <c r="T101" s="16">
        <f>Table11[[#This Row],['#Planted]]*Table11[[#This Row],[Canada Allocation2017 %]]*Table11[[#This Row],[2024 Estimated Survival%]]</f>
        <v>0</v>
      </c>
      <c r="U101" s="7">
        <f>Table11[[#This Row],[ETP Year]]</f>
        <v>2018</v>
      </c>
      <c r="V101" s="7">
        <f>Table11[[#This Row],[Planting Year]]</f>
        <v>2019</v>
      </c>
      <c r="W101" s="17">
        <f>Table11[[#This Row],[Survival% as of 12/31/23]]</f>
        <v>0.70532954987550567</v>
      </c>
      <c r="X101">
        <f>Table11[[#This Row],[ETP'#s]]</f>
        <v>1</v>
      </c>
    </row>
    <row r="102" spans="1:24" hidden="1" x14ac:dyDescent="0.25">
      <c r="A102">
        <f>Table11[[#This Row],[Farmer'#]]</f>
        <v>20082</v>
      </c>
      <c r="B102" t="str">
        <f>Table11[[#This Row],[Representative]]</f>
        <v>Omar Cascante</v>
      </c>
      <c r="C102" t="str">
        <f>Table11[[#This Row],[Contract Name]]</f>
        <v>Omar Cascante</v>
      </c>
      <c r="D102" t="str">
        <f>Table11[[#This Row],[Status]]</f>
        <v>Out of Program</v>
      </c>
      <c r="E102" t="str">
        <f>Table11[[#This Row],[Contract Code]]</f>
        <v>CR0090</v>
      </c>
      <c r="F102">
        <f>Table11[[#This Row],['#TreesContract]]</f>
        <v>1800</v>
      </c>
      <c r="G102">
        <f>Table11[[#This Row],['#Planted]]</f>
        <v>1800</v>
      </c>
      <c r="H102" s="16">
        <f>Table11[[#This Row],['#TreesContract]]*Table11[[#This Row],[Canada Allocation2017 %]]</f>
        <v>0</v>
      </c>
      <c r="I102" s="16">
        <f>Table11[[#This Row],['#Planted]]*Table11[[#This Row],[Canada Allocation2017 %]]</f>
        <v>0</v>
      </c>
      <c r="J102" s="16">
        <f>Table11[[#This Row],[Contract Amendment]]*Table11[[#This Row],[Canada Allocation2017 %]]</f>
        <v>0</v>
      </c>
      <c r="K102" s="16">
        <f>Table11[[#This Row],['#Trees as of 12/31/23]]*Table11[[#This Row],[Canada Allocation2017 %]]</f>
        <v>0</v>
      </c>
      <c r="L102" s="16">
        <f>Table11[[#This Row],['#Replace 24]]*Table11[[#This Row],[Canada Allocation2017 %]]</f>
        <v>0</v>
      </c>
      <c r="M102" s="16"/>
      <c r="N102" s="16">
        <f>(Table11[[#This Row],[2024 '#Trees Inventory + Estimate]]*Table11[[#This Row],[Canada Allocation2017 %]])-SUM(Table3789[[#This Row],['# Trees as of 12/31/23]:[New Trees/Planted in 2024]])</f>
        <v>0</v>
      </c>
      <c r="O102" s="32">
        <f>SUM(Table3789[[#This Row],['# Trees as of 12/31/23]:[2024 Tree Losses]])</f>
        <v>0</v>
      </c>
      <c r="P102" s="32">
        <f>SUM(Table3789[[#This Row],[Total Trees as of 12/31/24]]-Table3789[[#This Row],['# Trees as of 12/31/23]])</f>
        <v>0</v>
      </c>
      <c r="Q102" s="16">
        <f>Table11[[#This Row],['#Total Replacements]]*Table11[[#This Row],[Canada Allocation2017 %]]</f>
        <v>0</v>
      </c>
      <c r="R102" s="32">
        <f>IF(Table3789[[#This Row],['#Survival based on Inventory]]=0,Table3789['#Survival based on Last Year Estimate],Table3789['#Survival based on Inventory])</f>
        <v>0</v>
      </c>
      <c r="S102" s="16">
        <f>Table11[[#This Row],['#Planted]]*Table11[[#This Row],[Canada Allocation2017 %]]*Table11[[#This Row],[2024 Inventory Survival%-master]]</f>
        <v>0</v>
      </c>
      <c r="T102" s="16">
        <f>Table11[[#This Row],['#Planted]]*Table11[[#This Row],[Canada Allocation2017 %]]*Table11[[#This Row],[2024 Estimated Survival%]]</f>
        <v>0</v>
      </c>
      <c r="U102" s="7">
        <f>Table11[[#This Row],[ETP Year]]</f>
        <v>2018</v>
      </c>
      <c r="V102" s="7">
        <f>Table11[[#This Row],[Planting Year]]</f>
        <v>2019</v>
      </c>
      <c r="W102" s="17">
        <f>Table11[[#This Row],[Survival% as of 12/31/23]]</f>
        <v>0</v>
      </c>
      <c r="X102">
        <f>Table11[[#This Row],[ETP'#s]]</f>
        <v>1</v>
      </c>
    </row>
    <row r="103" spans="1:24" hidden="1" x14ac:dyDescent="0.25">
      <c r="A103">
        <f>Table11[[#This Row],[Farmer'#]]</f>
        <v>20083</v>
      </c>
      <c r="B103" t="str">
        <f>Table11[[#This Row],[Representative]]</f>
        <v>William Mora</v>
      </c>
      <c r="C103" t="str">
        <f>Table11[[#This Row],[Contract Name]]</f>
        <v>William Mora</v>
      </c>
      <c r="D103" t="str">
        <f>Table11[[#This Row],[Status]]</f>
        <v>Out of Program</v>
      </c>
      <c r="E103" t="str">
        <f>Table11[[#This Row],[Contract Code]]</f>
        <v>CR0091</v>
      </c>
      <c r="F103">
        <f>Table11[[#This Row],['#TreesContract]]</f>
        <v>1000</v>
      </c>
      <c r="G103">
        <f>Table11[[#This Row],['#Planted]]</f>
        <v>1000</v>
      </c>
      <c r="H103" s="16">
        <f>Table11[[#This Row],['#TreesContract]]*Table11[[#This Row],[Canada Allocation2017 %]]</f>
        <v>0</v>
      </c>
      <c r="I103" s="16">
        <f>Table11[[#This Row],['#Planted]]*Table11[[#This Row],[Canada Allocation2017 %]]</f>
        <v>0</v>
      </c>
      <c r="J103" s="16">
        <f>Table11[[#This Row],[Contract Amendment]]*Table11[[#This Row],[Canada Allocation2017 %]]</f>
        <v>0</v>
      </c>
      <c r="K103" s="16">
        <f>Table11[[#This Row],['#Trees as of 12/31/23]]*Table11[[#This Row],[Canada Allocation2017 %]]</f>
        <v>0</v>
      </c>
      <c r="L103" s="16">
        <f>Table11[[#This Row],['#Replace 24]]*Table11[[#This Row],[Canada Allocation2017 %]]</f>
        <v>0</v>
      </c>
      <c r="M103" s="16"/>
      <c r="N103" s="16">
        <f>(Table11[[#This Row],[2024 '#Trees Inventory + Estimate]]*Table11[[#This Row],[Canada Allocation2017 %]])-SUM(Table3789[[#This Row],['# Trees as of 12/31/23]:[New Trees/Planted in 2024]])</f>
        <v>0</v>
      </c>
      <c r="O103" s="32">
        <f>SUM(Table3789[[#This Row],['# Trees as of 12/31/23]:[2024 Tree Losses]])</f>
        <v>0</v>
      </c>
      <c r="P103" s="32">
        <f>SUM(Table3789[[#This Row],[Total Trees as of 12/31/24]]-Table3789[[#This Row],['# Trees as of 12/31/23]])</f>
        <v>0</v>
      </c>
      <c r="Q103" s="16">
        <f>Table11[[#This Row],['#Total Replacements]]*Table11[[#This Row],[Canada Allocation2017 %]]</f>
        <v>0</v>
      </c>
      <c r="R103" s="32">
        <f>IF(Table3789[[#This Row],['#Survival based on Inventory]]=0,Table3789['#Survival based on Last Year Estimate],Table3789['#Survival based on Inventory])</f>
        <v>0</v>
      </c>
      <c r="S103" s="16">
        <f>Table11[[#This Row],['#Planted]]*Table11[[#This Row],[Canada Allocation2017 %]]*Table11[[#This Row],[2024 Inventory Survival%-master]]</f>
        <v>0</v>
      </c>
      <c r="T103" s="16">
        <f>Table11[[#This Row],['#Planted]]*Table11[[#This Row],[Canada Allocation2017 %]]*Table11[[#This Row],[2024 Estimated Survival%]]</f>
        <v>0</v>
      </c>
      <c r="U103" s="7">
        <f>Table11[[#This Row],[ETP Year]]</f>
        <v>2018</v>
      </c>
      <c r="V103" s="7">
        <f>Table11[[#This Row],[Planting Year]]</f>
        <v>2019</v>
      </c>
      <c r="W103" s="17">
        <f>Table11[[#This Row],[Survival% as of 12/31/23]]</f>
        <v>0</v>
      </c>
      <c r="X103">
        <f>Table11[[#This Row],[ETP'#s]]</f>
        <v>1</v>
      </c>
    </row>
    <row r="104" spans="1:24" hidden="1" x14ac:dyDescent="0.25">
      <c r="A104">
        <f>Table11[[#This Row],[Farmer'#]]</f>
        <v>30001</v>
      </c>
      <c r="B104" t="str">
        <f>Table11[[#This Row],[Representative]]</f>
        <v xml:space="preserve">José Scheel </v>
      </c>
      <c r="C104" t="str">
        <f>Table11[[#This Row],[Contract Name]]</f>
        <v>Ada Patricia Scheel Bartlett</v>
      </c>
      <c r="D104" t="str">
        <f>Table11[[#This Row],[Status]]</f>
        <v>Active</v>
      </c>
      <c r="E104" t="str">
        <f>Table11[[#This Row],[Contract Code]]</f>
        <v>GT0001</v>
      </c>
      <c r="F104">
        <f>Table11[[#This Row],['#TreesContract]]</f>
        <v>1000</v>
      </c>
      <c r="G104">
        <f>Table11[[#This Row],['#Planted]]</f>
        <v>1000</v>
      </c>
      <c r="H104" s="16">
        <f>Table11[[#This Row],['#TreesContract]]*Table11[[#This Row],[Canada Allocation2017 %]]</f>
        <v>0</v>
      </c>
      <c r="I104" s="16">
        <f>Table11[[#This Row],['#Planted]]*Table11[[#This Row],[Canada Allocation2017 %]]</f>
        <v>0</v>
      </c>
      <c r="J104" s="16">
        <f>Table11[[#This Row],[Contract Amendment]]*Table11[[#This Row],[Canada Allocation2017 %]]</f>
        <v>0</v>
      </c>
      <c r="K104" s="16">
        <f>Table11[[#This Row],['#Trees as of 12/31/23]]*Table11[[#This Row],[Canada Allocation2017 %]]</f>
        <v>0</v>
      </c>
      <c r="L104" s="16">
        <f>Table11[[#This Row],['#Replace 24]]*Table11[[#This Row],[Canada Allocation2017 %]]</f>
        <v>0</v>
      </c>
      <c r="M104" s="16"/>
      <c r="N104" s="16">
        <f>(Table11[[#This Row],[2024 '#Trees Inventory + Estimate]]*Table11[[#This Row],[Canada Allocation2017 %]])-SUM(Table3789[[#This Row],['# Trees as of 12/31/23]:[New Trees/Planted in 2024]])</f>
        <v>0</v>
      </c>
      <c r="O104" s="32">
        <f>SUM(Table3789[[#This Row],['# Trees as of 12/31/23]:[2024 Tree Losses]])</f>
        <v>0</v>
      </c>
      <c r="P104" s="32">
        <f>SUM(Table3789[[#This Row],[Total Trees as of 12/31/24]]-Table3789[[#This Row],['# Trees as of 12/31/23]])</f>
        <v>0</v>
      </c>
      <c r="Q104" s="16">
        <f>Table11[[#This Row],['#Total Replacements]]*Table11[[#This Row],[Canada Allocation2017 %]]</f>
        <v>0</v>
      </c>
      <c r="R104" s="32">
        <f>IF(Table3789[[#This Row],['#Survival based on Inventory]]=0,Table3789['#Survival based on Last Year Estimate],Table3789['#Survival based on Inventory])</f>
        <v>0</v>
      </c>
      <c r="S104" s="16">
        <f>Table11[[#This Row],['#Planted]]*Table11[[#This Row],[Canada Allocation2017 %]]*Table11[[#This Row],[2024 Inventory Survival%-master]]</f>
        <v>0</v>
      </c>
      <c r="T104" s="16">
        <f>Table11[[#This Row],['#Planted]]*Table11[[#This Row],[Canada Allocation2017 %]]*Table11[[#This Row],[2024 Estimated Survival%]]</f>
        <v>0</v>
      </c>
      <c r="U104" s="7">
        <f>Table11[[#This Row],[ETP Year]]</f>
        <v>2018</v>
      </c>
      <c r="V104" s="7">
        <f>Table11[[#This Row],[Planting Year]]</f>
        <v>2019</v>
      </c>
      <c r="W104" s="17">
        <f>Table11[[#This Row],[Survival% as of 12/31/23]]</f>
        <v>1</v>
      </c>
      <c r="X104">
        <f>Table11[[#This Row],[ETP'#s]]</f>
        <v>1</v>
      </c>
    </row>
    <row r="105" spans="1:24" hidden="1" x14ac:dyDescent="0.25">
      <c r="A105">
        <f>Table11[[#This Row],[Farmer'#]]</f>
        <v>30002</v>
      </c>
      <c r="B105" t="str">
        <f>Table11[[#This Row],[Representative]]</f>
        <v>Christopher Michael Schwart Marklan</v>
      </c>
      <c r="C105" t="str">
        <f>Table11[[#This Row],[Contract Name]]</f>
        <v>Christopher Michael Schwart Marklan</v>
      </c>
      <c r="D105" t="str">
        <f>Table11[[#This Row],[Status]]</f>
        <v>Out of Program</v>
      </c>
      <c r="E105" t="str">
        <f>Table11[[#This Row],[Contract Code]]</f>
        <v>GT0002</v>
      </c>
      <c r="F105">
        <f>Table11[[#This Row],['#TreesContract]]</f>
        <v>1000</v>
      </c>
      <c r="G105">
        <f>Table11[[#This Row],['#Planted]]</f>
        <v>1000</v>
      </c>
      <c r="H105" s="16">
        <f>Table11[[#This Row],['#TreesContract]]*Table11[[#This Row],[Canada Allocation2017 %]]</f>
        <v>0</v>
      </c>
      <c r="I105" s="16">
        <f>Table11[[#This Row],['#Planted]]*Table11[[#This Row],[Canada Allocation2017 %]]</f>
        <v>0</v>
      </c>
      <c r="J105" s="16">
        <f>Table11[[#This Row],[Contract Amendment]]*Table11[[#This Row],[Canada Allocation2017 %]]</f>
        <v>0</v>
      </c>
      <c r="K105" s="16">
        <f>Table11[[#This Row],['#Trees as of 12/31/23]]*Table11[[#This Row],[Canada Allocation2017 %]]</f>
        <v>0</v>
      </c>
      <c r="L105" s="16">
        <f>Table11[[#This Row],['#Replace 24]]*Table11[[#This Row],[Canada Allocation2017 %]]</f>
        <v>0</v>
      </c>
      <c r="M105" s="16"/>
      <c r="N105" s="16">
        <f>(Table11[[#This Row],[2024 '#Trees Inventory + Estimate]]*Table11[[#This Row],[Canada Allocation2017 %]])-SUM(Table3789[[#This Row],['# Trees as of 12/31/23]:[New Trees/Planted in 2024]])</f>
        <v>0</v>
      </c>
      <c r="O105" s="32">
        <f>SUM(Table3789[[#This Row],['# Trees as of 12/31/23]:[2024 Tree Losses]])</f>
        <v>0</v>
      </c>
      <c r="P105" s="32">
        <f>SUM(Table3789[[#This Row],[Total Trees as of 12/31/24]]-Table3789[[#This Row],['# Trees as of 12/31/23]])</f>
        <v>0</v>
      </c>
      <c r="Q105" s="16">
        <f>Table11[[#This Row],['#Total Replacements]]*Table11[[#This Row],[Canada Allocation2017 %]]</f>
        <v>0</v>
      </c>
      <c r="R105" s="32">
        <f>IF(Table3789[[#This Row],['#Survival based on Inventory]]=0,Table3789['#Survival based on Last Year Estimate],Table3789['#Survival based on Inventory])</f>
        <v>0</v>
      </c>
      <c r="S105" s="16">
        <f>Table11[[#This Row],['#Planted]]*Table11[[#This Row],[Canada Allocation2017 %]]*Table11[[#This Row],[2024 Inventory Survival%-master]]</f>
        <v>0</v>
      </c>
      <c r="T105" s="16">
        <f>Table11[[#This Row],['#Planted]]*Table11[[#This Row],[Canada Allocation2017 %]]*Table11[[#This Row],[2024 Estimated Survival%]]</f>
        <v>0</v>
      </c>
      <c r="U105" s="7">
        <f>Table11[[#This Row],[ETP Year]]</f>
        <v>2018</v>
      </c>
      <c r="V105" s="7">
        <f>Table11[[#This Row],[Planting Year]]</f>
        <v>2019</v>
      </c>
      <c r="W105" s="17">
        <f>Table11[[#This Row],[Survival% as of 12/31/23]]</f>
        <v>0</v>
      </c>
      <c r="X105">
        <f>Table11[[#This Row],[ETP'#s]]</f>
        <v>1</v>
      </c>
    </row>
    <row r="106" spans="1:24" hidden="1" x14ac:dyDescent="0.25">
      <c r="A106">
        <f>Table11[[#This Row],[Farmer'#]]</f>
        <v>30003</v>
      </c>
      <c r="B106" t="str">
        <f>Table11[[#This Row],[Representative]]</f>
        <v>Edgar Rodolfo Grisolia</v>
      </c>
      <c r="C106" t="str">
        <f>Table11[[#This Row],[Contract Name]]</f>
        <v>Edgar Rodolfo Grisolia</v>
      </c>
      <c r="D106" t="str">
        <f>Table11[[#This Row],[Status]]</f>
        <v>Out of Program</v>
      </c>
      <c r="E106" t="str">
        <f>Table11[[#This Row],[Contract Code]]</f>
        <v>GT0003</v>
      </c>
      <c r="F106">
        <f>Table11[[#This Row],['#TreesContract]]</f>
        <v>1000</v>
      </c>
      <c r="G106">
        <f>Table11[[#This Row],['#Planted]]</f>
        <v>1000</v>
      </c>
      <c r="H106" s="16">
        <f>Table11[[#This Row],['#TreesContract]]*Table11[[#This Row],[Canada Allocation2017 %]]</f>
        <v>0</v>
      </c>
      <c r="I106" s="16">
        <f>Table11[[#This Row],['#Planted]]*Table11[[#This Row],[Canada Allocation2017 %]]</f>
        <v>0</v>
      </c>
      <c r="J106" s="16">
        <f>Table11[[#This Row],[Contract Amendment]]*Table11[[#This Row],[Canada Allocation2017 %]]</f>
        <v>0</v>
      </c>
      <c r="K106" s="16">
        <f>Table11[[#This Row],['#Trees as of 12/31/23]]*Table11[[#This Row],[Canada Allocation2017 %]]</f>
        <v>0</v>
      </c>
      <c r="L106" s="16">
        <f>Table11[[#This Row],['#Replace 24]]*Table11[[#This Row],[Canada Allocation2017 %]]</f>
        <v>0</v>
      </c>
      <c r="M106" s="16"/>
      <c r="N106" s="16">
        <f>(Table11[[#This Row],[2024 '#Trees Inventory + Estimate]]*Table11[[#This Row],[Canada Allocation2017 %]])-SUM(Table3789[[#This Row],['# Trees as of 12/31/23]:[New Trees/Planted in 2024]])</f>
        <v>0</v>
      </c>
      <c r="O106" s="32">
        <f>SUM(Table3789[[#This Row],['# Trees as of 12/31/23]:[2024 Tree Losses]])</f>
        <v>0</v>
      </c>
      <c r="P106" s="32">
        <f>SUM(Table3789[[#This Row],[Total Trees as of 12/31/24]]-Table3789[[#This Row],['# Trees as of 12/31/23]])</f>
        <v>0</v>
      </c>
      <c r="Q106" s="16">
        <f>Table11[[#This Row],['#Total Replacements]]*Table11[[#This Row],[Canada Allocation2017 %]]</f>
        <v>0</v>
      </c>
      <c r="R106" s="32">
        <f>IF(Table3789[[#This Row],['#Survival based on Inventory]]=0,Table3789['#Survival based on Last Year Estimate],Table3789['#Survival based on Inventory])</f>
        <v>0</v>
      </c>
      <c r="S106" s="16">
        <f>Table11[[#This Row],['#Planted]]*Table11[[#This Row],[Canada Allocation2017 %]]*Table11[[#This Row],[2024 Inventory Survival%-master]]</f>
        <v>0</v>
      </c>
      <c r="T106" s="16">
        <f>Table11[[#This Row],['#Planted]]*Table11[[#This Row],[Canada Allocation2017 %]]*Table11[[#This Row],[2024 Estimated Survival%]]</f>
        <v>0</v>
      </c>
      <c r="U106" s="7">
        <f>Table11[[#This Row],[ETP Year]]</f>
        <v>2018</v>
      </c>
      <c r="V106" s="7">
        <f>Table11[[#This Row],[Planting Year]]</f>
        <v>2019</v>
      </c>
      <c r="W106" s="17">
        <f>Table11[[#This Row],[Survival% as of 12/31/23]]</f>
        <v>0</v>
      </c>
      <c r="X106">
        <f>Table11[[#This Row],[ETP'#s]]</f>
        <v>1</v>
      </c>
    </row>
    <row r="107" spans="1:24" hidden="1" x14ac:dyDescent="0.25">
      <c r="A107">
        <f>Table11[[#This Row],[Farmer'#]]</f>
        <v>30004</v>
      </c>
      <c r="B107" t="str">
        <f>Table11[[#This Row],[Representative]]</f>
        <v>Jorge Guillermo Castillo Mastahinich</v>
      </c>
      <c r="C107" t="str">
        <f>Table11[[#This Row],[Contract Name]]</f>
        <v>Jorge Guillermo Castillo Mastahinich</v>
      </c>
      <c r="D107" t="str">
        <f>Table11[[#This Row],[Status]]</f>
        <v>Out of Program</v>
      </c>
      <c r="E107" t="str">
        <f>Table11[[#This Row],[Contract Code]]</f>
        <v>GT0004</v>
      </c>
      <c r="F107">
        <f>Table11[[#This Row],['#TreesContract]]</f>
        <v>1000</v>
      </c>
      <c r="G107">
        <f>Table11[[#This Row],['#Planted]]</f>
        <v>1000</v>
      </c>
      <c r="H107" s="16">
        <f>Table11[[#This Row],['#TreesContract]]*Table11[[#This Row],[Canada Allocation2017 %]]</f>
        <v>0</v>
      </c>
      <c r="I107" s="16">
        <f>Table11[[#This Row],['#Planted]]*Table11[[#This Row],[Canada Allocation2017 %]]</f>
        <v>0</v>
      </c>
      <c r="J107" s="16">
        <f>Table11[[#This Row],[Contract Amendment]]*Table11[[#This Row],[Canada Allocation2017 %]]</f>
        <v>0</v>
      </c>
      <c r="K107" s="16">
        <f>Table11[[#This Row],['#Trees as of 12/31/23]]*Table11[[#This Row],[Canada Allocation2017 %]]</f>
        <v>0</v>
      </c>
      <c r="L107" s="16">
        <f>Table11[[#This Row],['#Replace 24]]*Table11[[#This Row],[Canada Allocation2017 %]]</f>
        <v>0</v>
      </c>
      <c r="M107" s="16"/>
      <c r="N107" s="16">
        <f>(Table11[[#This Row],[2024 '#Trees Inventory + Estimate]]*Table11[[#This Row],[Canada Allocation2017 %]])-SUM(Table3789[[#This Row],['# Trees as of 12/31/23]:[New Trees/Planted in 2024]])</f>
        <v>0</v>
      </c>
      <c r="O107" s="32">
        <f>SUM(Table3789[[#This Row],['# Trees as of 12/31/23]:[2024 Tree Losses]])</f>
        <v>0</v>
      </c>
      <c r="P107" s="32">
        <f>SUM(Table3789[[#This Row],[Total Trees as of 12/31/24]]-Table3789[[#This Row],['# Trees as of 12/31/23]])</f>
        <v>0</v>
      </c>
      <c r="Q107" s="16">
        <f>Table11[[#This Row],['#Total Replacements]]*Table11[[#This Row],[Canada Allocation2017 %]]</f>
        <v>0</v>
      </c>
      <c r="R107" s="32">
        <f>IF(Table3789[[#This Row],['#Survival based on Inventory]]=0,Table3789['#Survival based on Last Year Estimate],Table3789['#Survival based on Inventory])</f>
        <v>0</v>
      </c>
      <c r="S107" s="16">
        <f>Table11[[#This Row],['#Planted]]*Table11[[#This Row],[Canada Allocation2017 %]]*Table11[[#This Row],[2024 Inventory Survival%-master]]</f>
        <v>0</v>
      </c>
      <c r="T107" s="16">
        <f>Table11[[#This Row],['#Planted]]*Table11[[#This Row],[Canada Allocation2017 %]]*Table11[[#This Row],[2024 Estimated Survival%]]</f>
        <v>0</v>
      </c>
      <c r="U107" s="7">
        <f>Table11[[#This Row],[ETP Year]]</f>
        <v>2018</v>
      </c>
      <c r="V107" s="7">
        <f>Table11[[#This Row],[Planting Year]]</f>
        <v>2019</v>
      </c>
      <c r="W107" s="17">
        <f>Table11[[#This Row],[Survival% as of 12/31/23]]</f>
        <v>0</v>
      </c>
      <c r="X107">
        <f>Table11[[#This Row],[ETP'#s]]</f>
        <v>1</v>
      </c>
    </row>
    <row r="108" spans="1:24" hidden="1" x14ac:dyDescent="0.25">
      <c r="A108">
        <f>Table11[[#This Row],[Farmer'#]]</f>
        <v>30005</v>
      </c>
      <c r="B108" t="str">
        <f>Table11[[#This Row],[Representative]]</f>
        <v>Jose Antonio Mombiela Mastahinich</v>
      </c>
      <c r="C108" t="str">
        <f>Table11[[#This Row],[Contract Name]]</f>
        <v>Jose Antonio Mombiela Mastahinich</v>
      </c>
      <c r="D108" t="str">
        <f>Table11[[#This Row],[Status]]</f>
        <v>Out of Program</v>
      </c>
      <c r="E108" t="str">
        <f>Table11[[#This Row],[Contract Code]]</f>
        <v>GT0005</v>
      </c>
      <c r="F108">
        <f>Table11[[#This Row],['#TreesContract]]</f>
        <v>1056</v>
      </c>
      <c r="G108">
        <f>Table11[[#This Row],['#Planted]]</f>
        <v>1056</v>
      </c>
      <c r="H108" s="16">
        <f>Table11[[#This Row],['#TreesContract]]*Table11[[#This Row],[Canada Allocation2017 %]]</f>
        <v>0</v>
      </c>
      <c r="I108" s="16">
        <f>Table11[[#This Row],['#Planted]]*Table11[[#This Row],[Canada Allocation2017 %]]</f>
        <v>0</v>
      </c>
      <c r="J108" s="16">
        <f>Table11[[#This Row],[Contract Amendment]]*Table11[[#This Row],[Canada Allocation2017 %]]</f>
        <v>0</v>
      </c>
      <c r="K108" s="16">
        <f>Table11[[#This Row],['#Trees as of 12/31/23]]*Table11[[#This Row],[Canada Allocation2017 %]]</f>
        <v>0</v>
      </c>
      <c r="L108" s="16">
        <f>Table11[[#This Row],['#Replace 24]]*Table11[[#This Row],[Canada Allocation2017 %]]</f>
        <v>0</v>
      </c>
      <c r="M108" s="16"/>
      <c r="N108" s="16">
        <f>(Table11[[#This Row],[2024 '#Trees Inventory + Estimate]]*Table11[[#This Row],[Canada Allocation2017 %]])-SUM(Table3789[[#This Row],['# Trees as of 12/31/23]:[New Trees/Planted in 2024]])</f>
        <v>0</v>
      </c>
      <c r="O108" s="32">
        <f>SUM(Table3789[[#This Row],['# Trees as of 12/31/23]:[2024 Tree Losses]])</f>
        <v>0</v>
      </c>
      <c r="P108" s="32">
        <f>SUM(Table3789[[#This Row],[Total Trees as of 12/31/24]]-Table3789[[#This Row],['# Trees as of 12/31/23]])</f>
        <v>0</v>
      </c>
      <c r="Q108" s="16">
        <f>Table11[[#This Row],['#Total Replacements]]*Table11[[#This Row],[Canada Allocation2017 %]]</f>
        <v>0</v>
      </c>
      <c r="R108" s="32">
        <f>IF(Table3789[[#This Row],['#Survival based on Inventory]]=0,Table3789['#Survival based on Last Year Estimate],Table3789['#Survival based on Inventory])</f>
        <v>0</v>
      </c>
      <c r="S108" s="16">
        <f>Table11[[#This Row],['#Planted]]*Table11[[#This Row],[Canada Allocation2017 %]]*Table11[[#This Row],[2024 Inventory Survival%-master]]</f>
        <v>0</v>
      </c>
      <c r="T108" s="16">
        <f>Table11[[#This Row],['#Planted]]*Table11[[#This Row],[Canada Allocation2017 %]]*Table11[[#This Row],[2024 Estimated Survival%]]</f>
        <v>0</v>
      </c>
      <c r="U108" s="7">
        <f>Table11[[#This Row],[ETP Year]]</f>
        <v>2018</v>
      </c>
      <c r="V108" s="7">
        <f>Table11[[#This Row],[Planting Year]]</f>
        <v>2019</v>
      </c>
      <c r="W108" s="17">
        <f>Table11[[#This Row],[Survival% as of 12/31/23]]</f>
        <v>0</v>
      </c>
      <c r="X108">
        <f>Table11[[#This Row],[ETP'#s]]</f>
        <v>1</v>
      </c>
    </row>
    <row r="109" spans="1:24" hidden="1" x14ac:dyDescent="0.25">
      <c r="A109">
        <f>Table11[[#This Row],[Farmer'#]]</f>
        <v>30006</v>
      </c>
      <c r="B109" t="str">
        <f>Table11[[#This Row],[Representative]]</f>
        <v>Luis Fernando Morán Peréz</v>
      </c>
      <c r="C109" t="str">
        <f>Table11[[#This Row],[Contract Name]]</f>
        <v>Luis Fernando Morán Peréz</v>
      </c>
      <c r="D109" t="str">
        <f>Table11[[#This Row],[Status]]</f>
        <v>Active</v>
      </c>
      <c r="E109" t="str">
        <f>Table11[[#This Row],[Contract Code]]</f>
        <v>GT0006</v>
      </c>
      <c r="F109">
        <f>Table11[[#This Row],['#TreesContract]]</f>
        <v>15000</v>
      </c>
      <c r="G109">
        <f>Table11[[#This Row],['#Planted]]</f>
        <v>15000</v>
      </c>
      <c r="H109" s="16">
        <f>Table11[[#This Row],['#TreesContract]]*Table11[[#This Row],[Canada Allocation2017 %]]</f>
        <v>0</v>
      </c>
      <c r="I109" s="16">
        <f>Table11[[#This Row],['#Planted]]*Table11[[#This Row],[Canada Allocation2017 %]]</f>
        <v>0</v>
      </c>
      <c r="J109" s="16">
        <f>Table11[[#This Row],[Contract Amendment]]*Table11[[#This Row],[Canada Allocation2017 %]]</f>
        <v>0</v>
      </c>
      <c r="K109" s="16">
        <f>Table11[[#This Row],['#Trees as of 12/31/23]]*Table11[[#This Row],[Canada Allocation2017 %]]</f>
        <v>0</v>
      </c>
      <c r="L109" s="16">
        <f>Table11[[#This Row],['#Replace 24]]*Table11[[#This Row],[Canada Allocation2017 %]]</f>
        <v>0</v>
      </c>
      <c r="M109" s="16"/>
      <c r="N109" s="16">
        <f>(Table11[[#This Row],[2024 '#Trees Inventory + Estimate]]*Table11[[#This Row],[Canada Allocation2017 %]])-SUM(Table3789[[#This Row],['# Trees as of 12/31/23]:[New Trees/Planted in 2024]])</f>
        <v>0</v>
      </c>
      <c r="O109" s="32">
        <f>SUM(Table3789[[#This Row],['# Trees as of 12/31/23]:[2024 Tree Losses]])</f>
        <v>0</v>
      </c>
      <c r="P109" s="32">
        <f>SUM(Table3789[[#This Row],[Total Trees as of 12/31/24]]-Table3789[[#This Row],['# Trees as of 12/31/23]])</f>
        <v>0</v>
      </c>
      <c r="Q109" s="16">
        <f>Table11[[#This Row],['#Total Replacements]]*Table11[[#This Row],[Canada Allocation2017 %]]</f>
        <v>0</v>
      </c>
      <c r="R109" s="32">
        <f>IF(Table3789[[#This Row],['#Survival based on Inventory]]=0,Table3789['#Survival based on Last Year Estimate],Table3789['#Survival based on Inventory])</f>
        <v>0</v>
      </c>
      <c r="S109" s="16">
        <f>Table11[[#This Row],['#Planted]]*Table11[[#This Row],[Canada Allocation2017 %]]*Table11[[#This Row],[2024 Inventory Survival%-master]]</f>
        <v>0</v>
      </c>
      <c r="T109" s="16">
        <f>Table11[[#This Row],['#Planted]]*Table11[[#This Row],[Canada Allocation2017 %]]*Table11[[#This Row],[2024 Estimated Survival%]]</f>
        <v>0</v>
      </c>
      <c r="U109" s="7">
        <f>Table11[[#This Row],[ETP Year]]</f>
        <v>2018</v>
      </c>
      <c r="V109" s="7">
        <f>Table11[[#This Row],[Planting Year]]</f>
        <v>2019</v>
      </c>
      <c r="W109" s="17">
        <f>Table11[[#This Row],[Survival% as of 12/31/23]]</f>
        <v>0.48423591965479834</v>
      </c>
      <c r="X109">
        <f>Table11[[#This Row],[ETP'#s]]</f>
        <v>1</v>
      </c>
    </row>
    <row r="110" spans="1:24" hidden="1" x14ac:dyDescent="0.25">
      <c r="A110">
        <f>Table11[[#This Row],[Farmer'#]]</f>
        <v>30007</v>
      </c>
      <c r="B110" t="str">
        <f>Table11[[#This Row],[Representative]]</f>
        <v>Miguel Roberto Mombiela Bruni</v>
      </c>
      <c r="C110" t="str">
        <f>Table11[[#This Row],[Contract Name]]</f>
        <v>Miguel Roberto Mombiela Bruni</v>
      </c>
      <c r="D110" t="str">
        <f>Table11[[#This Row],[Status]]</f>
        <v>Active</v>
      </c>
      <c r="E110" t="str">
        <f>Table11[[#This Row],[Contract Code]]</f>
        <v>GT0007</v>
      </c>
      <c r="F110">
        <f>Table11[[#This Row],['#TreesContract]]</f>
        <v>300</v>
      </c>
      <c r="G110">
        <f>Table11[[#This Row],['#Planted]]</f>
        <v>300</v>
      </c>
      <c r="H110" s="16">
        <f>Table11[[#This Row],['#TreesContract]]*Table11[[#This Row],[Canada Allocation2017 %]]</f>
        <v>0</v>
      </c>
      <c r="I110" s="16">
        <f>Table11[[#This Row],['#Planted]]*Table11[[#This Row],[Canada Allocation2017 %]]</f>
        <v>0</v>
      </c>
      <c r="J110" s="16">
        <f>Table11[[#This Row],[Contract Amendment]]*Table11[[#This Row],[Canada Allocation2017 %]]</f>
        <v>0</v>
      </c>
      <c r="K110" s="16">
        <f>Table11[[#This Row],['#Trees as of 12/31/23]]*Table11[[#This Row],[Canada Allocation2017 %]]</f>
        <v>0</v>
      </c>
      <c r="L110" s="16">
        <f>Table11[[#This Row],['#Replace 24]]*Table11[[#This Row],[Canada Allocation2017 %]]</f>
        <v>0</v>
      </c>
      <c r="M110" s="16"/>
      <c r="N110" s="16">
        <f>(Table11[[#This Row],[2024 '#Trees Inventory + Estimate]]*Table11[[#This Row],[Canada Allocation2017 %]])-SUM(Table3789[[#This Row],['# Trees as of 12/31/23]:[New Trees/Planted in 2024]])</f>
        <v>0</v>
      </c>
      <c r="O110" s="32">
        <f>SUM(Table3789[[#This Row],['# Trees as of 12/31/23]:[2024 Tree Losses]])</f>
        <v>0</v>
      </c>
      <c r="P110" s="32">
        <f>SUM(Table3789[[#This Row],[Total Trees as of 12/31/24]]-Table3789[[#This Row],['# Trees as of 12/31/23]])</f>
        <v>0</v>
      </c>
      <c r="Q110" s="16">
        <f>Table11[[#This Row],['#Total Replacements]]*Table11[[#This Row],[Canada Allocation2017 %]]</f>
        <v>0</v>
      </c>
      <c r="R110" s="32">
        <f>IF(Table3789[[#This Row],['#Survival based on Inventory]]=0,Table3789['#Survival based on Last Year Estimate],Table3789['#Survival based on Inventory])</f>
        <v>0</v>
      </c>
      <c r="S110" s="16">
        <f>Table11[[#This Row],['#Planted]]*Table11[[#This Row],[Canada Allocation2017 %]]*Table11[[#This Row],[2024 Inventory Survival%-master]]</f>
        <v>0</v>
      </c>
      <c r="T110" s="16">
        <f>Table11[[#This Row],['#Planted]]*Table11[[#This Row],[Canada Allocation2017 %]]*Table11[[#This Row],[2024 Estimated Survival%]]</f>
        <v>0</v>
      </c>
      <c r="U110" s="7">
        <f>Table11[[#This Row],[ETP Year]]</f>
        <v>2018</v>
      </c>
      <c r="V110" s="7">
        <f>Table11[[#This Row],[Planting Year]]</f>
        <v>2019</v>
      </c>
      <c r="W110" s="17">
        <f>Table11[[#This Row],[Survival% as of 12/31/23]]</f>
        <v>0.8680524088888889</v>
      </c>
      <c r="X110">
        <f>Table11[[#This Row],[ETP'#s]]</f>
        <v>1</v>
      </c>
    </row>
    <row r="111" spans="1:24" hidden="1" x14ac:dyDescent="0.25">
      <c r="A111">
        <f>Table11[[#This Row],[Farmer'#]]</f>
        <v>30008</v>
      </c>
      <c r="B111" t="str">
        <f>Table11[[#This Row],[Representative]]</f>
        <v>Pablo Antonio Castillo Mastahinich</v>
      </c>
      <c r="C111" t="str">
        <f>Table11[[#This Row],[Contract Name]]</f>
        <v>Pablo Antonio Castillo Mastahinich</v>
      </c>
      <c r="D111" t="str">
        <f>Table11[[#This Row],[Status]]</f>
        <v>Out of Program</v>
      </c>
      <c r="E111" t="str">
        <f>Table11[[#This Row],[Contract Code]]</f>
        <v>GT0008</v>
      </c>
      <c r="F111">
        <f>Table11[[#This Row],['#TreesContract]]</f>
        <v>1000</v>
      </c>
      <c r="G111">
        <f>Table11[[#This Row],['#Planted]]</f>
        <v>1000</v>
      </c>
      <c r="H111" s="16">
        <f>Table11[[#This Row],['#TreesContract]]*Table11[[#This Row],[Canada Allocation2017 %]]</f>
        <v>0</v>
      </c>
      <c r="I111" s="16">
        <f>Table11[[#This Row],['#Planted]]*Table11[[#This Row],[Canada Allocation2017 %]]</f>
        <v>0</v>
      </c>
      <c r="J111" s="16">
        <f>Table11[[#This Row],[Contract Amendment]]*Table11[[#This Row],[Canada Allocation2017 %]]</f>
        <v>0</v>
      </c>
      <c r="K111" s="16">
        <f>Table11[[#This Row],['#Trees as of 12/31/23]]*Table11[[#This Row],[Canada Allocation2017 %]]</f>
        <v>0</v>
      </c>
      <c r="L111" s="16">
        <f>Table11[[#This Row],['#Replace 24]]*Table11[[#This Row],[Canada Allocation2017 %]]</f>
        <v>0</v>
      </c>
      <c r="M111" s="16"/>
      <c r="N111" s="16">
        <f>(Table11[[#This Row],[2024 '#Trees Inventory + Estimate]]*Table11[[#This Row],[Canada Allocation2017 %]])-SUM(Table3789[[#This Row],['# Trees as of 12/31/23]:[New Trees/Planted in 2024]])</f>
        <v>0</v>
      </c>
      <c r="O111" s="32">
        <f>SUM(Table3789[[#This Row],['# Trees as of 12/31/23]:[2024 Tree Losses]])</f>
        <v>0</v>
      </c>
      <c r="P111" s="32">
        <f>SUM(Table3789[[#This Row],[Total Trees as of 12/31/24]]-Table3789[[#This Row],['# Trees as of 12/31/23]])</f>
        <v>0</v>
      </c>
      <c r="Q111" s="16">
        <f>Table11[[#This Row],['#Total Replacements]]*Table11[[#This Row],[Canada Allocation2017 %]]</f>
        <v>0</v>
      </c>
      <c r="R111" s="32">
        <f>IF(Table3789[[#This Row],['#Survival based on Inventory]]=0,Table3789['#Survival based on Last Year Estimate],Table3789['#Survival based on Inventory])</f>
        <v>0</v>
      </c>
      <c r="S111" s="16">
        <f>Table11[[#This Row],['#Planted]]*Table11[[#This Row],[Canada Allocation2017 %]]*Table11[[#This Row],[2024 Inventory Survival%-master]]</f>
        <v>0</v>
      </c>
      <c r="T111" s="16">
        <f>Table11[[#This Row],['#Planted]]*Table11[[#This Row],[Canada Allocation2017 %]]*Table11[[#This Row],[2024 Estimated Survival%]]</f>
        <v>0</v>
      </c>
      <c r="U111" s="7">
        <f>Table11[[#This Row],[ETP Year]]</f>
        <v>2018</v>
      </c>
      <c r="V111" s="7">
        <f>Table11[[#This Row],[Planting Year]]</f>
        <v>2019</v>
      </c>
      <c r="W111" s="17">
        <f>Table11[[#This Row],[Survival% as of 12/31/23]]</f>
        <v>0</v>
      </c>
      <c r="X111">
        <f>Table11[[#This Row],[ETP'#s]]</f>
        <v>1</v>
      </c>
    </row>
    <row r="112" spans="1:24" hidden="1" x14ac:dyDescent="0.25">
      <c r="A112">
        <f>Table11[[#This Row],[Farmer'#]]</f>
        <v>30009</v>
      </c>
      <c r="B112" t="str">
        <f>Table11[[#This Row],[Representative]]</f>
        <v xml:space="preserve">Pedro Antonio Mombiela De León </v>
      </c>
      <c r="C112" t="str">
        <f>Table11[[#This Row],[Contract Name]]</f>
        <v xml:space="preserve">Pedro Antonio Mombiela De León </v>
      </c>
      <c r="D112" t="str">
        <f>Table11[[#This Row],[Status]]</f>
        <v>Active</v>
      </c>
      <c r="E112" t="str">
        <f>Table11[[#This Row],[Contract Code]]</f>
        <v>GT0009</v>
      </c>
      <c r="F112">
        <f>Table11[[#This Row],['#TreesContract]]</f>
        <v>550</v>
      </c>
      <c r="G112">
        <f>Table11[[#This Row],['#Planted]]</f>
        <v>550</v>
      </c>
      <c r="H112" s="16">
        <f>Table11[[#This Row],['#TreesContract]]*Table11[[#This Row],[Canada Allocation2017 %]]</f>
        <v>0</v>
      </c>
      <c r="I112" s="16">
        <f>Table11[[#This Row],['#Planted]]*Table11[[#This Row],[Canada Allocation2017 %]]</f>
        <v>0</v>
      </c>
      <c r="J112" s="16">
        <f>Table11[[#This Row],[Contract Amendment]]*Table11[[#This Row],[Canada Allocation2017 %]]</f>
        <v>0</v>
      </c>
      <c r="K112" s="16">
        <f>Table11[[#This Row],['#Trees as of 12/31/23]]*Table11[[#This Row],[Canada Allocation2017 %]]</f>
        <v>0</v>
      </c>
      <c r="L112" s="16">
        <f>Table11[[#This Row],['#Replace 24]]*Table11[[#This Row],[Canada Allocation2017 %]]</f>
        <v>0</v>
      </c>
      <c r="M112" s="16"/>
      <c r="N112" s="16">
        <f>(Table11[[#This Row],[2024 '#Trees Inventory + Estimate]]*Table11[[#This Row],[Canada Allocation2017 %]])-SUM(Table3789[[#This Row],['# Trees as of 12/31/23]:[New Trees/Planted in 2024]])</f>
        <v>0</v>
      </c>
      <c r="O112" s="32">
        <f>SUM(Table3789[[#This Row],['# Trees as of 12/31/23]:[2024 Tree Losses]])</f>
        <v>0</v>
      </c>
      <c r="P112" s="32">
        <f>SUM(Table3789[[#This Row],[Total Trees as of 12/31/24]]-Table3789[[#This Row],['# Trees as of 12/31/23]])</f>
        <v>0</v>
      </c>
      <c r="Q112" s="16">
        <f>Table11[[#This Row],['#Total Replacements]]*Table11[[#This Row],[Canada Allocation2017 %]]</f>
        <v>0</v>
      </c>
      <c r="R112" s="32">
        <f>IF(Table3789[[#This Row],['#Survival based on Inventory]]=0,Table3789['#Survival based on Last Year Estimate],Table3789['#Survival based on Inventory])</f>
        <v>0</v>
      </c>
      <c r="S112" s="16">
        <f>Table11[[#This Row],['#Planted]]*Table11[[#This Row],[Canada Allocation2017 %]]*Table11[[#This Row],[2024 Inventory Survival%-master]]</f>
        <v>0</v>
      </c>
      <c r="T112" s="16">
        <f>Table11[[#This Row],['#Planted]]*Table11[[#This Row],[Canada Allocation2017 %]]*Table11[[#This Row],[2024 Estimated Survival%]]</f>
        <v>0</v>
      </c>
      <c r="U112" s="7">
        <f>Table11[[#This Row],[ETP Year]]</f>
        <v>2018</v>
      </c>
      <c r="V112" s="7">
        <f>Table11[[#This Row],[Planting Year]]</f>
        <v>2019</v>
      </c>
      <c r="W112" s="17">
        <f>Table11[[#This Row],[Survival% as of 12/31/23]]</f>
        <v>0.81797103593073583</v>
      </c>
      <c r="X112">
        <f>Table11[[#This Row],[ETP'#s]]</f>
        <v>1</v>
      </c>
    </row>
    <row r="113" spans="1:24" hidden="1" x14ac:dyDescent="0.25">
      <c r="A113">
        <f>Table11[[#This Row],[Farmer'#]]</f>
        <v>30010</v>
      </c>
      <c r="B113" t="str">
        <f>Table11[[#This Row],[Representative]]</f>
        <v>Pedro Maximiliano Mombiela De Leon</v>
      </c>
      <c r="C113" t="str">
        <f>Table11[[#This Row],[Contract Name]]</f>
        <v>Pedro Maximiliano Mombiela De Leon</v>
      </c>
      <c r="D113" t="str">
        <f>Table11[[#This Row],[Status]]</f>
        <v>Out of Program</v>
      </c>
      <c r="E113" t="str">
        <f>Table11[[#This Row],[Contract Code]]</f>
        <v>GT0010</v>
      </c>
      <c r="F113">
        <f>Table11[[#This Row],['#TreesContract]]</f>
        <v>1000</v>
      </c>
      <c r="G113">
        <f>Table11[[#This Row],['#Planted]]</f>
        <v>0</v>
      </c>
      <c r="H113" s="16">
        <f>Table11[[#This Row],['#TreesContract]]*Table11[[#This Row],[Canada Allocation2017 %]]</f>
        <v>0</v>
      </c>
      <c r="I113" s="16">
        <f>Table11[[#This Row],['#Planted]]*Table11[[#This Row],[Canada Allocation2017 %]]</f>
        <v>0</v>
      </c>
      <c r="J113" s="16">
        <f>Table11[[#This Row],[Contract Amendment]]*Table11[[#This Row],[Canada Allocation2017 %]]</f>
        <v>0</v>
      </c>
      <c r="K113" s="16">
        <f>Table11[[#This Row],['#Trees as of 12/31/23]]*Table11[[#This Row],[Canada Allocation2017 %]]</f>
        <v>0</v>
      </c>
      <c r="L113" s="16">
        <f>Table11[[#This Row],['#Replace 24]]*Table11[[#This Row],[Canada Allocation2017 %]]</f>
        <v>0</v>
      </c>
      <c r="M113" s="16"/>
      <c r="N113" s="16">
        <f>(Table11[[#This Row],[2024 '#Trees Inventory + Estimate]]*Table11[[#This Row],[Canada Allocation2017 %]])-SUM(Table3789[[#This Row],['# Trees as of 12/31/23]:[New Trees/Planted in 2024]])</f>
        <v>0</v>
      </c>
      <c r="O113" s="32">
        <f>SUM(Table3789[[#This Row],['# Trees as of 12/31/23]:[2024 Tree Losses]])</f>
        <v>0</v>
      </c>
      <c r="P113" s="32">
        <f>SUM(Table3789[[#This Row],[Total Trees as of 12/31/24]]-Table3789[[#This Row],['# Trees as of 12/31/23]])</f>
        <v>0</v>
      </c>
      <c r="Q113" s="16">
        <f>Table11[[#This Row],['#Total Replacements]]*Table11[[#This Row],[Canada Allocation2017 %]]</f>
        <v>0</v>
      </c>
      <c r="R113" s="32">
        <f>IF(Table3789[[#This Row],['#Survival based on Inventory]]=0,Table3789['#Survival based on Last Year Estimate],Table3789['#Survival based on Inventory])</f>
        <v>0</v>
      </c>
      <c r="S113" s="16">
        <f>Table11[[#This Row],['#Planted]]*Table11[[#This Row],[Canada Allocation2017 %]]*Table11[[#This Row],[2024 Inventory Survival%-master]]</f>
        <v>0</v>
      </c>
      <c r="T113" s="16">
        <f>Table11[[#This Row],['#Planted]]*Table11[[#This Row],[Canada Allocation2017 %]]*Table11[[#This Row],[2024 Estimated Survival%]]</f>
        <v>0</v>
      </c>
      <c r="U113" s="7">
        <f>Table11[[#This Row],[ETP Year]]</f>
        <v>2018</v>
      </c>
      <c r="V113" s="7">
        <f>Table11[[#This Row],[Planting Year]]</f>
        <v>2019</v>
      </c>
      <c r="W113" s="17">
        <f>Table11[[#This Row],[Survival% as of 12/31/23]]</f>
        <v>0</v>
      </c>
      <c r="X113">
        <f>Table11[[#This Row],[ETP'#s]]</f>
        <v>0</v>
      </c>
    </row>
    <row r="114" spans="1:24" hidden="1" x14ac:dyDescent="0.25">
      <c r="A114">
        <f>Table11[[#This Row],[Farmer'#]]</f>
        <v>30011</v>
      </c>
      <c r="B114" t="str">
        <f>Table11[[#This Row],[Representative]]</f>
        <v xml:space="preserve">Erick Cienfuegos </v>
      </c>
      <c r="C114" t="str">
        <f>Table11[[#This Row],[Contract Name]]</f>
        <v>Rudy Israel Cienfuegos Cordón</v>
      </c>
      <c r="D114" t="str">
        <f>Table11[[#This Row],[Status]]</f>
        <v>RFT</v>
      </c>
      <c r="E114" t="str">
        <f>Table11[[#This Row],[Contract Code]]</f>
        <v>GT0011</v>
      </c>
      <c r="F114">
        <f>Table11[[#This Row],['#TreesContract]]</f>
        <v>1000</v>
      </c>
      <c r="G114">
        <f>Table11[[#This Row],['#Planted]]</f>
        <v>1000</v>
      </c>
      <c r="H114" s="16">
        <f>Table11[[#This Row],['#TreesContract]]*Table11[[#This Row],[Canada Allocation2017 %]]</f>
        <v>0</v>
      </c>
      <c r="I114" s="16">
        <f>Table11[[#This Row],['#Planted]]*Table11[[#This Row],[Canada Allocation2017 %]]</f>
        <v>0</v>
      </c>
      <c r="J114" s="16">
        <f>Table11[[#This Row],[Contract Amendment]]*Table11[[#This Row],[Canada Allocation2017 %]]</f>
        <v>0</v>
      </c>
      <c r="K114" s="16">
        <f>Table11[[#This Row],['#Trees as of 12/31/23]]*Table11[[#This Row],[Canada Allocation2017 %]]</f>
        <v>0</v>
      </c>
      <c r="L114" s="16">
        <f>Table11[[#This Row],['#Replace 24]]*Table11[[#This Row],[Canada Allocation2017 %]]</f>
        <v>0</v>
      </c>
      <c r="M114" s="16"/>
      <c r="N114" s="16">
        <f>(Table11[[#This Row],[2024 '#Trees Inventory + Estimate]]*Table11[[#This Row],[Canada Allocation2017 %]])-SUM(Table3789[[#This Row],['# Trees as of 12/31/23]:[New Trees/Planted in 2024]])</f>
        <v>0</v>
      </c>
      <c r="O114" s="32">
        <f>SUM(Table3789[[#This Row],['# Trees as of 12/31/23]:[2024 Tree Losses]])</f>
        <v>0</v>
      </c>
      <c r="P114" s="32">
        <f>SUM(Table3789[[#This Row],[Total Trees as of 12/31/24]]-Table3789[[#This Row],['# Trees as of 12/31/23]])</f>
        <v>0</v>
      </c>
      <c r="Q114" s="16">
        <f>Table11[[#This Row],['#Total Replacements]]*Table11[[#This Row],[Canada Allocation2017 %]]</f>
        <v>0</v>
      </c>
      <c r="R114" s="32">
        <f>IF(Table3789[[#This Row],['#Survival based on Inventory]]=0,Table3789['#Survival based on Last Year Estimate],Table3789['#Survival based on Inventory])</f>
        <v>0</v>
      </c>
      <c r="S114" s="16">
        <f>Table11[[#This Row],['#Planted]]*Table11[[#This Row],[Canada Allocation2017 %]]*Table11[[#This Row],[2024 Inventory Survival%-master]]</f>
        <v>0</v>
      </c>
      <c r="T114" s="16">
        <f>Table11[[#This Row],['#Planted]]*Table11[[#This Row],[Canada Allocation2017 %]]*Table11[[#This Row],[2024 Estimated Survival%]]</f>
        <v>0</v>
      </c>
      <c r="U114" s="7">
        <f>Table11[[#This Row],[ETP Year]]</f>
        <v>2018</v>
      </c>
      <c r="V114" s="7">
        <f>Table11[[#This Row],[Planting Year]]</f>
        <v>2019</v>
      </c>
      <c r="W114" s="17">
        <f>Table11[[#This Row],[Survival% as of 12/31/23]]</f>
        <v>0.18409090909090908</v>
      </c>
      <c r="X114">
        <f>Table11[[#This Row],[ETP'#s]]</f>
        <v>1</v>
      </c>
    </row>
    <row r="115" spans="1:24" hidden="1" x14ac:dyDescent="0.25">
      <c r="A115">
        <f>Table11[[#This Row],[Farmer'#]]</f>
        <v>40001</v>
      </c>
      <c r="B115" t="str">
        <f>Table11[[#This Row],[Representative]]</f>
        <v>Jose Angel Hurtado Márquez</v>
      </c>
      <c r="C115" t="str">
        <f>Table11[[#This Row],[Contract Name]]</f>
        <v>Jose Angel Hurtado Márquez</v>
      </c>
      <c r="D115" t="str">
        <f>Table11[[#This Row],[Status]]</f>
        <v>Out of Program</v>
      </c>
      <c r="E115" t="str">
        <f>Table11[[#This Row],[Contract Code]]</f>
        <v>MX0001</v>
      </c>
      <c r="F115">
        <f>Table11[[#This Row],['#TreesContract]]</f>
        <v>5000</v>
      </c>
      <c r="G115">
        <f>Table11[[#This Row],['#Planted]]</f>
        <v>5000</v>
      </c>
      <c r="H115" s="16">
        <f>Table11[[#This Row],['#TreesContract]]*Table11[[#This Row],[Canada Allocation2017 %]]</f>
        <v>0</v>
      </c>
      <c r="I115" s="16">
        <f>Table11[[#This Row],['#Planted]]*Table11[[#This Row],[Canada Allocation2017 %]]</f>
        <v>0</v>
      </c>
      <c r="J115" s="16">
        <f>Table11[[#This Row],[Contract Amendment]]*Table11[[#This Row],[Canada Allocation2017 %]]</f>
        <v>0</v>
      </c>
      <c r="K115" s="16">
        <f>Table11[[#This Row],['#Trees as of 12/31/23]]*Table11[[#This Row],[Canada Allocation2017 %]]</f>
        <v>0</v>
      </c>
      <c r="L115" s="16">
        <f>Table11[[#This Row],['#Replace 24]]*Table11[[#This Row],[Canada Allocation2017 %]]</f>
        <v>0</v>
      </c>
      <c r="M115" s="16"/>
      <c r="N115" s="16">
        <f>(Table11[[#This Row],[2024 '#Trees Inventory + Estimate]]*Table11[[#This Row],[Canada Allocation2017 %]])-SUM(Table3789[[#This Row],['# Trees as of 12/31/23]:[New Trees/Planted in 2024]])</f>
        <v>0</v>
      </c>
      <c r="O115" s="32">
        <f>SUM(Table3789[[#This Row],['# Trees as of 12/31/23]:[2024 Tree Losses]])</f>
        <v>0</v>
      </c>
      <c r="P115" s="32">
        <f>SUM(Table3789[[#This Row],[Total Trees as of 12/31/24]]-Table3789[[#This Row],['# Trees as of 12/31/23]])</f>
        <v>0</v>
      </c>
      <c r="Q115" s="16">
        <f>Table11[[#This Row],['#Total Replacements]]*Table11[[#This Row],[Canada Allocation2017 %]]</f>
        <v>0</v>
      </c>
      <c r="R115" s="32">
        <f>IF(Table3789[[#This Row],['#Survival based on Inventory]]=0,Table3789['#Survival based on Last Year Estimate],Table3789['#Survival based on Inventory])</f>
        <v>0</v>
      </c>
      <c r="S115" s="16">
        <f>Table11[[#This Row],['#Planted]]*Table11[[#This Row],[Canada Allocation2017 %]]*Table11[[#This Row],[2024 Inventory Survival%-master]]</f>
        <v>0</v>
      </c>
      <c r="T115" s="16">
        <f>Table11[[#This Row],['#Planted]]*Table11[[#This Row],[Canada Allocation2017 %]]*Table11[[#This Row],[2024 Estimated Survival%]]</f>
        <v>0</v>
      </c>
      <c r="U115" s="7">
        <f>Table11[[#This Row],[ETP Year]]</f>
        <v>2018</v>
      </c>
      <c r="V115" s="7">
        <f>Table11[[#This Row],[Planting Year]]</f>
        <v>2019</v>
      </c>
      <c r="W115" s="17">
        <f>Table11[[#This Row],[Survival% as of 12/31/23]]</f>
        <v>0</v>
      </c>
      <c r="X115">
        <f>Table11[[#This Row],[ETP'#s]]</f>
        <v>1</v>
      </c>
    </row>
    <row r="116" spans="1:24" hidden="1" x14ac:dyDescent="0.25">
      <c r="A116">
        <f>Table11[[#This Row],[Farmer'#]]</f>
        <v>40002</v>
      </c>
      <c r="B116" t="str">
        <f>Table11[[#This Row],[Representative]]</f>
        <v>José Francisco Sánchez Rojas</v>
      </c>
      <c r="C116" t="str">
        <f>Table11[[#This Row],[Contract Name]]</f>
        <v>José Francisco Sánchez Rojas</v>
      </c>
      <c r="D116" t="str">
        <f>Table11[[#This Row],[Status]]</f>
        <v>Out of Program</v>
      </c>
      <c r="E116" t="str">
        <f>Table11[[#This Row],[Contract Code]]</f>
        <v>MX0002</v>
      </c>
      <c r="F116">
        <f>Table11[[#This Row],['#TreesContract]]</f>
        <v>2000</v>
      </c>
      <c r="G116">
        <f>Table11[[#This Row],['#Planted]]</f>
        <v>2000</v>
      </c>
      <c r="H116" s="16">
        <f>Table11[[#This Row],['#TreesContract]]*Table11[[#This Row],[Canada Allocation2017 %]]</f>
        <v>0</v>
      </c>
      <c r="I116" s="16">
        <f>Table11[[#This Row],['#Planted]]*Table11[[#This Row],[Canada Allocation2017 %]]</f>
        <v>0</v>
      </c>
      <c r="J116" s="16">
        <f>Table11[[#This Row],[Contract Amendment]]*Table11[[#This Row],[Canada Allocation2017 %]]</f>
        <v>0</v>
      </c>
      <c r="K116" s="16">
        <f>Table11[[#This Row],['#Trees as of 12/31/23]]*Table11[[#This Row],[Canada Allocation2017 %]]</f>
        <v>0</v>
      </c>
      <c r="L116" s="16">
        <f>Table11[[#This Row],['#Replace 24]]*Table11[[#This Row],[Canada Allocation2017 %]]</f>
        <v>0</v>
      </c>
      <c r="M116" s="16"/>
      <c r="N116" s="16">
        <f>(Table11[[#This Row],[2024 '#Trees Inventory + Estimate]]*Table11[[#This Row],[Canada Allocation2017 %]])-SUM(Table3789[[#This Row],['# Trees as of 12/31/23]:[New Trees/Planted in 2024]])</f>
        <v>0</v>
      </c>
      <c r="O116" s="32">
        <f>SUM(Table3789[[#This Row],['# Trees as of 12/31/23]:[2024 Tree Losses]])</f>
        <v>0</v>
      </c>
      <c r="P116" s="32">
        <f>SUM(Table3789[[#This Row],[Total Trees as of 12/31/24]]-Table3789[[#This Row],['# Trees as of 12/31/23]])</f>
        <v>0</v>
      </c>
      <c r="Q116" s="16">
        <f>Table11[[#This Row],['#Total Replacements]]*Table11[[#This Row],[Canada Allocation2017 %]]</f>
        <v>0</v>
      </c>
      <c r="R116" s="32">
        <f>IF(Table3789[[#This Row],['#Survival based on Inventory]]=0,Table3789['#Survival based on Last Year Estimate],Table3789['#Survival based on Inventory])</f>
        <v>0</v>
      </c>
      <c r="S116" s="16">
        <f>Table11[[#This Row],['#Planted]]*Table11[[#This Row],[Canada Allocation2017 %]]*Table11[[#This Row],[2024 Inventory Survival%-master]]</f>
        <v>0</v>
      </c>
      <c r="T116" s="16">
        <f>Table11[[#This Row],['#Planted]]*Table11[[#This Row],[Canada Allocation2017 %]]*Table11[[#This Row],[2024 Estimated Survival%]]</f>
        <v>0</v>
      </c>
      <c r="U116" s="7">
        <f>Table11[[#This Row],[ETP Year]]</f>
        <v>2018</v>
      </c>
      <c r="V116" s="7">
        <f>Table11[[#This Row],[Planting Year]]</f>
        <v>2019</v>
      </c>
      <c r="W116" s="17">
        <f>Table11[[#This Row],[Survival% as of 12/31/23]]</f>
        <v>0</v>
      </c>
      <c r="X116">
        <f>Table11[[#This Row],[ETP'#s]]</f>
        <v>1</v>
      </c>
    </row>
    <row r="117" spans="1:24" hidden="1" x14ac:dyDescent="0.25">
      <c r="A117">
        <f>Table11[[#This Row],[Farmer'#]]</f>
        <v>10030</v>
      </c>
      <c r="B117" t="str">
        <f>Table11[[#This Row],[Representative]]</f>
        <v>Billy Whittaker</v>
      </c>
      <c r="C117" t="str">
        <f>Table11[[#This Row],[Contract Name]]</f>
        <v>Billy Whittaker</v>
      </c>
      <c r="D117" t="str">
        <f>Table11[[#This Row],[Status]]</f>
        <v>Active</v>
      </c>
      <c r="E117" t="str">
        <f>Table11[[#This Row],[Contract Code]]</f>
        <v>US0056</v>
      </c>
      <c r="F117">
        <f>Table11[[#This Row],['#TreesContract]]</f>
        <v>1320</v>
      </c>
      <c r="G117">
        <f>Table11[[#This Row],['#Planted]]</f>
        <v>1320</v>
      </c>
      <c r="H117" s="16">
        <f>Table11[[#This Row],['#TreesContract]]*Table11[[#This Row],[Canada Allocation2017 %]]</f>
        <v>0</v>
      </c>
      <c r="I117" s="16">
        <f>Table11[[#This Row],['#Planted]]*Table11[[#This Row],[Canada Allocation2017 %]]</f>
        <v>0</v>
      </c>
      <c r="J117" s="16">
        <f>Table11[[#This Row],[Contract Amendment]]*Table11[[#This Row],[Canada Allocation2017 %]]</f>
        <v>0</v>
      </c>
      <c r="K117" s="16">
        <f>Table11[[#This Row],['#Trees as of 12/31/23]]*Table11[[#This Row],[Canada Allocation2017 %]]</f>
        <v>0</v>
      </c>
      <c r="L117" s="16">
        <f>Table11[[#This Row],['#Replace 24]]*Table11[[#This Row],[Canada Allocation2017 %]]</f>
        <v>0</v>
      </c>
      <c r="M117" s="16"/>
      <c r="N117" s="16">
        <f>(Table11[[#This Row],[2024 '#Trees Inventory + Estimate]]*Table11[[#This Row],[Canada Allocation2017 %]])-SUM(Table3789[[#This Row],['# Trees as of 12/31/23]:[New Trees/Planted in 2024]])</f>
        <v>0</v>
      </c>
      <c r="O117" s="32">
        <f>SUM(Table3789[[#This Row],['# Trees as of 12/31/23]:[2024 Tree Losses]])</f>
        <v>0</v>
      </c>
      <c r="P117" s="32">
        <f>SUM(Table3789[[#This Row],[Total Trees as of 12/31/24]]-Table3789[[#This Row],['# Trees as of 12/31/23]])</f>
        <v>0</v>
      </c>
      <c r="Q117" s="16">
        <f>Table11[[#This Row],['#Total Replacements]]*Table11[[#This Row],[Canada Allocation2017 %]]</f>
        <v>0</v>
      </c>
      <c r="R117" s="32">
        <f>IF(Table3789[[#This Row],['#Survival based on Inventory]]=0,Table3789['#Survival based on Last Year Estimate],Table3789['#Survival based on Inventory])</f>
        <v>0</v>
      </c>
      <c r="S117" s="16">
        <f>Table11[[#This Row],['#Planted]]*Table11[[#This Row],[Canada Allocation2017 %]]*Table11[[#This Row],[2024 Inventory Survival%-master]]</f>
        <v>0</v>
      </c>
      <c r="T117" s="16">
        <f>Table11[[#This Row],['#Planted]]*Table11[[#This Row],[Canada Allocation2017 %]]*Table11[[#This Row],[2024 Estimated Survival%]]</f>
        <v>0</v>
      </c>
      <c r="U117" s="7">
        <f>Table11[[#This Row],[ETP Year]]</f>
        <v>2018</v>
      </c>
      <c r="V117" s="7">
        <f>Table11[[#This Row],[Planting Year]]</f>
        <v>2020</v>
      </c>
      <c r="W117" s="17">
        <f>Table11[[#This Row],[Survival% as of 12/31/23]]</f>
        <v>1</v>
      </c>
      <c r="X117">
        <f>Table11[[#This Row],[ETP'#s]]</f>
        <v>1</v>
      </c>
    </row>
    <row r="118" spans="1:24" hidden="1" x14ac:dyDescent="0.25">
      <c r="A118">
        <f>Table11[[#This Row],[Farmer'#]]</f>
        <v>10033</v>
      </c>
      <c r="B118" t="str">
        <f>Table11[[#This Row],[Representative]]</f>
        <v>David Chang</v>
      </c>
      <c r="C118" t="str">
        <f>Table11[[#This Row],[Contract Name]]</f>
        <v>David Chang</v>
      </c>
      <c r="D118" t="str">
        <f>Table11[[#This Row],[Status]]</f>
        <v>Active</v>
      </c>
      <c r="E118" t="str">
        <f>Table11[[#This Row],[Contract Code]]</f>
        <v>US0062</v>
      </c>
      <c r="F118">
        <f>Table11[[#This Row],['#TreesContract]]</f>
        <v>550</v>
      </c>
      <c r="G118">
        <f>Table11[[#This Row],['#Planted]]</f>
        <v>550</v>
      </c>
      <c r="H118" s="16">
        <f>Table11[[#This Row],['#TreesContract]]*Table11[[#This Row],[Canada Allocation2017 %]]</f>
        <v>0</v>
      </c>
      <c r="I118" s="16">
        <f>Table11[[#This Row],['#Planted]]*Table11[[#This Row],[Canada Allocation2017 %]]</f>
        <v>0</v>
      </c>
      <c r="J118" s="16">
        <f>Table11[[#This Row],[Contract Amendment]]*Table11[[#This Row],[Canada Allocation2017 %]]</f>
        <v>0</v>
      </c>
      <c r="K118" s="16">
        <f>Table11[[#This Row],['#Trees as of 12/31/23]]*Table11[[#This Row],[Canada Allocation2017 %]]</f>
        <v>0</v>
      </c>
      <c r="L118" s="16">
        <f>Table11[[#This Row],['#Replace 24]]*Table11[[#This Row],[Canada Allocation2017 %]]</f>
        <v>0</v>
      </c>
      <c r="M118" s="16"/>
      <c r="N118" s="16">
        <f>(Table11[[#This Row],[2024 '#Trees Inventory + Estimate]]*Table11[[#This Row],[Canada Allocation2017 %]])-SUM(Table3789[[#This Row],['# Trees as of 12/31/23]:[New Trees/Planted in 2024]])</f>
        <v>0</v>
      </c>
      <c r="O118" s="32">
        <f>SUM(Table3789[[#This Row],['# Trees as of 12/31/23]:[2024 Tree Losses]])</f>
        <v>0</v>
      </c>
      <c r="P118" s="32">
        <f>SUM(Table3789[[#This Row],[Total Trees as of 12/31/24]]-Table3789[[#This Row],['# Trees as of 12/31/23]])</f>
        <v>0</v>
      </c>
      <c r="Q118" s="16">
        <f>Table11[[#This Row],['#Total Replacements]]*Table11[[#This Row],[Canada Allocation2017 %]]</f>
        <v>0</v>
      </c>
      <c r="R118" s="32">
        <f>IF(Table3789[[#This Row],['#Survival based on Inventory]]=0,Table3789['#Survival based on Last Year Estimate],Table3789['#Survival based on Inventory])</f>
        <v>0</v>
      </c>
      <c r="S118" s="16">
        <f>Table11[[#This Row],['#Planted]]*Table11[[#This Row],[Canada Allocation2017 %]]*Table11[[#This Row],[2024 Inventory Survival%-master]]</f>
        <v>0</v>
      </c>
      <c r="T118" s="16">
        <f>Table11[[#This Row],['#Planted]]*Table11[[#This Row],[Canada Allocation2017 %]]*Table11[[#This Row],[2024 Estimated Survival%]]</f>
        <v>0</v>
      </c>
      <c r="U118" s="7">
        <f>Table11[[#This Row],[ETP Year]]</f>
        <v>2020</v>
      </c>
      <c r="V118" s="7">
        <f>Table11[[#This Row],[Planting Year]]</f>
        <v>2020</v>
      </c>
      <c r="W118" s="17">
        <f>Table11[[#This Row],[Survival% as of 12/31/23]]</f>
        <v>0.82499999999999996</v>
      </c>
      <c r="X118">
        <f>Table11[[#This Row],[ETP'#s]]</f>
        <v>1</v>
      </c>
    </row>
    <row r="119" spans="1:24" hidden="1" x14ac:dyDescent="0.25">
      <c r="A119">
        <f>Table11[[#This Row],[Farmer'#]]</f>
        <v>10035</v>
      </c>
      <c r="B119" t="str">
        <f>Table11[[#This Row],[Representative]]</f>
        <v>Derek Bass</v>
      </c>
      <c r="C119" t="str">
        <f>Table11[[#This Row],[Contract Name]]</f>
        <v>Derek Bass</v>
      </c>
      <c r="D119" t="str">
        <f>Table11[[#This Row],[Status]]</f>
        <v>Active</v>
      </c>
      <c r="E119" t="str">
        <f>Table11[[#This Row],[Contract Code]]</f>
        <v>US0063</v>
      </c>
      <c r="F119">
        <f>Table11[[#This Row],['#TreesContract]]</f>
        <v>440</v>
      </c>
      <c r="G119">
        <f>Table11[[#This Row],['#Planted]]</f>
        <v>440</v>
      </c>
      <c r="H119" s="16">
        <f>Table11[[#This Row],['#TreesContract]]*Table11[[#This Row],[Canada Allocation2017 %]]</f>
        <v>0</v>
      </c>
      <c r="I119" s="16">
        <f>Table11[[#This Row],['#Planted]]*Table11[[#This Row],[Canada Allocation2017 %]]</f>
        <v>0</v>
      </c>
      <c r="J119" s="16">
        <f>Table11[[#This Row],[Contract Amendment]]*Table11[[#This Row],[Canada Allocation2017 %]]</f>
        <v>0</v>
      </c>
      <c r="K119" s="16">
        <f>Table11[[#This Row],['#Trees as of 12/31/23]]*Table11[[#This Row],[Canada Allocation2017 %]]</f>
        <v>0</v>
      </c>
      <c r="L119" s="16">
        <f>Table11[[#This Row],['#Replace 24]]*Table11[[#This Row],[Canada Allocation2017 %]]</f>
        <v>0</v>
      </c>
      <c r="M119" s="16"/>
      <c r="N119" s="16">
        <f>(Table11[[#This Row],[2024 '#Trees Inventory + Estimate]]*Table11[[#This Row],[Canada Allocation2017 %]])-SUM(Table3789[[#This Row],['# Trees as of 12/31/23]:[New Trees/Planted in 2024]])</f>
        <v>0</v>
      </c>
      <c r="O119" s="32">
        <f>SUM(Table3789[[#This Row],['# Trees as of 12/31/23]:[2024 Tree Losses]])</f>
        <v>0</v>
      </c>
      <c r="P119" s="32">
        <f>SUM(Table3789[[#This Row],[Total Trees as of 12/31/24]]-Table3789[[#This Row],['# Trees as of 12/31/23]])</f>
        <v>0</v>
      </c>
      <c r="Q119" s="16">
        <f>Table11[[#This Row],['#Total Replacements]]*Table11[[#This Row],[Canada Allocation2017 %]]</f>
        <v>0</v>
      </c>
      <c r="R119" s="32">
        <f>IF(Table3789[[#This Row],['#Survival based on Inventory]]=0,Table3789['#Survival based on Last Year Estimate],Table3789['#Survival based on Inventory])</f>
        <v>0</v>
      </c>
      <c r="S119" s="16">
        <f>Table11[[#This Row],['#Planted]]*Table11[[#This Row],[Canada Allocation2017 %]]*Table11[[#This Row],[2024 Inventory Survival%-master]]</f>
        <v>0</v>
      </c>
      <c r="T119" s="16">
        <f>Table11[[#This Row],['#Planted]]*Table11[[#This Row],[Canada Allocation2017 %]]*Table11[[#This Row],[2024 Estimated Survival%]]</f>
        <v>0</v>
      </c>
      <c r="U119" s="7">
        <f>Table11[[#This Row],[ETP Year]]</f>
        <v>2020</v>
      </c>
      <c r="V119" s="7">
        <f>Table11[[#This Row],[Planting Year]]</f>
        <v>2020</v>
      </c>
      <c r="W119" s="17">
        <f>Table11[[#This Row],[Survival% as of 12/31/23]]</f>
        <v>0.76818181818181819</v>
      </c>
      <c r="X119">
        <f>Table11[[#This Row],[ETP'#s]]</f>
        <v>1</v>
      </c>
    </row>
    <row r="120" spans="1:24" hidden="1" x14ac:dyDescent="0.25">
      <c r="A120">
        <f>Table11[[#This Row],[Farmer'#]]</f>
        <v>10042</v>
      </c>
      <c r="B120" t="str">
        <f>Table11[[#This Row],[Representative]]</f>
        <v>Steven Whittaker</v>
      </c>
      <c r="C120" t="str">
        <f>Table11[[#This Row],[Contract Name]]</f>
        <v>Janet Whittaker</v>
      </c>
      <c r="D120" t="str">
        <f>Table11[[#This Row],[Status]]</f>
        <v>Active</v>
      </c>
      <c r="E120" t="str">
        <f>Table11[[#This Row],[Contract Code]]</f>
        <v>US0086</v>
      </c>
      <c r="F120">
        <f>Table11[[#This Row],['#TreesContract]]</f>
        <v>380</v>
      </c>
      <c r="G120">
        <f>Table11[[#This Row],['#Planted]]</f>
        <v>380</v>
      </c>
      <c r="H120" s="16">
        <f>Table11[[#This Row],['#TreesContract]]*Table11[[#This Row],[Canada Allocation2017 %]]</f>
        <v>0</v>
      </c>
      <c r="I120" s="16">
        <f>Table11[[#This Row],['#Planted]]*Table11[[#This Row],[Canada Allocation2017 %]]</f>
        <v>0</v>
      </c>
      <c r="J120" s="16">
        <f>Table11[[#This Row],[Contract Amendment]]*Table11[[#This Row],[Canada Allocation2017 %]]</f>
        <v>0</v>
      </c>
      <c r="K120" s="16">
        <f>Table11[[#This Row],['#Trees as of 12/31/23]]*Table11[[#This Row],[Canada Allocation2017 %]]</f>
        <v>0</v>
      </c>
      <c r="L120" s="16">
        <f>Table11[[#This Row],['#Replace 24]]*Table11[[#This Row],[Canada Allocation2017 %]]</f>
        <v>0</v>
      </c>
      <c r="M120" s="16"/>
      <c r="N120" s="16">
        <f>(Table11[[#This Row],[2024 '#Trees Inventory + Estimate]]*Table11[[#This Row],[Canada Allocation2017 %]])-SUM(Table3789[[#This Row],['# Trees as of 12/31/23]:[New Trees/Planted in 2024]])</f>
        <v>0</v>
      </c>
      <c r="O120" s="32">
        <f>SUM(Table3789[[#This Row],['# Trees as of 12/31/23]:[2024 Tree Losses]])</f>
        <v>0</v>
      </c>
      <c r="P120" s="32">
        <f>SUM(Table3789[[#This Row],[Total Trees as of 12/31/24]]-Table3789[[#This Row],['# Trees as of 12/31/23]])</f>
        <v>0</v>
      </c>
      <c r="Q120" s="16">
        <f>Table11[[#This Row],['#Total Replacements]]*Table11[[#This Row],[Canada Allocation2017 %]]</f>
        <v>0</v>
      </c>
      <c r="R120" s="32">
        <f>IF(Table3789[[#This Row],['#Survival based on Inventory]]=0,Table3789['#Survival based on Last Year Estimate],Table3789['#Survival based on Inventory])</f>
        <v>0</v>
      </c>
      <c r="S120" s="16">
        <f>Table11[[#This Row],['#Planted]]*Table11[[#This Row],[Canada Allocation2017 %]]*Table11[[#This Row],[2024 Inventory Survival%-master]]</f>
        <v>0</v>
      </c>
      <c r="T120" s="16">
        <f>Table11[[#This Row],['#Planted]]*Table11[[#This Row],[Canada Allocation2017 %]]*Table11[[#This Row],[2024 Estimated Survival%]]</f>
        <v>0</v>
      </c>
      <c r="U120" s="7">
        <f>Table11[[#This Row],[ETP Year]]</f>
        <v>2020</v>
      </c>
      <c r="V120" s="7">
        <f>Table11[[#This Row],[Planting Year]]</f>
        <v>2020</v>
      </c>
      <c r="W120" s="17">
        <f>Table11[[#This Row],[Survival% as of 12/31/23]]</f>
        <v>1</v>
      </c>
      <c r="X120">
        <f>Table11[[#This Row],[ETP'#s]]</f>
        <v>1</v>
      </c>
    </row>
    <row r="121" spans="1:24" hidden="1" x14ac:dyDescent="0.25">
      <c r="A121">
        <f>Table11[[#This Row],[Farmer'#]]</f>
        <v>10042</v>
      </c>
      <c r="B121" t="str">
        <f>Table11[[#This Row],[Representative]]</f>
        <v>Steven Whittaker</v>
      </c>
      <c r="C121" t="str">
        <f>Table11[[#This Row],[Contract Name]]</f>
        <v>Steven Whittaker</v>
      </c>
      <c r="D121" t="str">
        <f>Table11[[#This Row],[Status]]</f>
        <v>Active</v>
      </c>
      <c r="E121" t="str">
        <f>Table11[[#This Row],[Contract Code]]</f>
        <v>US0087</v>
      </c>
      <c r="F121">
        <f>Table11[[#This Row],['#TreesContract]]</f>
        <v>1100</v>
      </c>
      <c r="G121">
        <f>Table11[[#This Row],['#Planted]]</f>
        <v>1100</v>
      </c>
      <c r="H121" s="16">
        <f>Table11[[#This Row],['#TreesContract]]*Table11[[#This Row],[Canada Allocation2017 %]]</f>
        <v>0</v>
      </c>
      <c r="I121" s="16">
        <f>Table11[[#This Row],['#Planted]]*Table11[[#This Row],[Canada Allocation2017 %]]</f>
        <v>0</v>
      </c>
      <c r="J121" s="16">
        <f>Table11[[#This Row],[Contract Amendment]]*Table11[[#This Row],[Canada Allocation2017 %]]</f>
        <v>0</v>
      </c>
      <c r="K121" s="16">
        <f>Table11[[#This Row],['#Trees as of 12/31/23]]*Table11[[#This Row],[Canada Allocation2017 %]]</f>
        <v>0</v>
      </c>
      <c r="L121" s="16">
        <f>Table11[[#This Row],['#Replace 24]]*Table11[[#This Row],[Canada Allocation2017 %]]</f>
        <v>0</v>
      </c>
      <c r="M121" s="16"/>
      <c r="N121" s="16">
        <f>(Table11[[#This Row],[2024 '#Trees Inventory + Estimate]]*Table11[[#This Row],[Canada Allocation2017 %]])-SUM(Table3789[[#This Row],['# Trees as of 12/31/23]:[New Trees/Planted in 2024]])</f>
        <v>0</v>
      </c>
      <c r="O121" s="32">
        <f>SUM(Table3789[[#This Row],['# Trees as of 12/31/23]:[2024 Tree Losses]])</f>
        <v>0</v>
      </c>
      <c r="P121" s="32">
        <f>SUM(Table3789[[#This Row],[Total Trees as of 12/31/24]]-Table3789[[#This Row],['# Trees as of 12/31/23]])</f>
        <v>0</v>
      </c>
      <c r="Q121" s="16">
        <f>Table11[[#This Row],['#Total Replacements]]*Table11[[#This Row],[Canada Allocation2017 %]]</f>
        <v>0</v>
      </c>
      <c r="R121" s="32">
        <f>IF(Table3789[[#This Row],['#Survival based on Inventory]]=0,Table3789['#Survival based on Last Year Estimate],Table3789['#Survival based on Inventory])</f>
        <v>0</v>
      </c>
      <c r="S121" s="16">
        <f>Table11[[#This Row],['#Planted]]*Table11[[#This Row],[Canada Allocation2017 %]]*Table11[[#This Row],[2024 Inventory Survival%-master]]</f>
        <v>0</v>
      </c>
      <c r="T121" s="16">
        <f>Table11[[#This Row],['#Planted]]*Table11[[#This Row],[Canada Allocation2017 %]]*Table11[[#This Row],[2024 Estimated Survival%]]</f>
        <v>0</v>
      </c>
      <c r="U121" s="7">
        <f>Table11[[#This Row],[ETP Year]]</f>
        <v>2020</v>
      </c>
      <c r="V121" s="7">
        <f>Table11[[#This Row],[Planting Year]]</f>
        <v>2020</v>
      </c>
      <c r="W121" s="17">
        <f>Table11[[#This Row],[Survival% as of 12/31/23]]</f>
        <v>1</v>
      </c>
      <c r="X121">
        <f>Table11[[#This Row],[ETP'#s]]</f>
        <v>1</v>
      </c>
    </row>
    <row r="122" spans="1:24" hidden="1" x14ac:dyDescent="0.25">
      <c r="A122">
        <f>Table11[[#This Row],[Farmer'#]]</f>
        <v>10045</v>
      </c>
      <c r="B122" t="str">
        <f>Table11[[#This Row],[Representative]]</f>
        <v>Andy Youngblood</v>
      </c>
      <c r="C122" t="str">
        <f>Table11[[#This Row],[Contract Name]]</f>
        <v>Andy Youngblood</v>
      </c>
      <c r="D122" t="str">
        <f>Table11[[#This Row],[Status]]</f>
        <v>Active</v>
      </c>
      <c r="E122" t="str">
        <f>Table11[[#This Row],[Contract Code]]</f>
        <v>US0052</v>
      </c>
      <c r="F122">
        <f>Table11[[#This Row],['#TreesContract]]</f>
        <v>1100</v>
      </c>
      <c r="G122">
        <f>Table11[[#This Row],['#Planted]]</f>
        <v>1100</v>
      </c>
      <c r="H122" s="16">
        <f>Table11[[#This Row],['#TreesContract]]*Table11[[#This Row],[Canada Allocation2017 %]]</f>
        <v>0</v>
      </c>
      <c r="I122" s="16">
        <f>Table11[[#This Row],['#Planted]]*Table11[[#This Row],[Canada Allocation2017 %]]</f>
        <v>0</v>
      </c>
      <c r="J122" s="16">
        <f>Table11[[#This Row],[Contract Amendment]]*Table11[[#This Row],[Canada Allocation2017 %]]</f>
        <v>0</v>
      </c>
      <c r="K122" s="16">
        <f>Table11[[#This Row],['#Trees as of 12/31/23]]*Table11[[#This Row],[Canada Allocation2017 %]]</f>
        <v>0</v>
      </c>
      <c r="L122" s="16">
        <f>Table11[[#This Row],['#Replace 24]]*Table11[[#This Row],[Canada Allocation2017 %]]</f>
        <v>0</v>
      </c>
      <c r="M122" s="16"/>
      <c r="N122" s="16">
        <f>(Table11[[#This Row],[2024 '#Trees Inventory + Estimate]]*Table11[[#This Row],[Canada Allocation2017 %]])-SUM(Table3789[[#This Row],['# Trees as of 12/31/23]:[New Trees/Planted in 2024]])</f>
        <v>0</v>
      </c>
      <c r="O122" s="32">
        <f>SUM(Table3789[[#This Row],['# Trees as of 12/31/23]:[2024 Tree Losses]])</f>
        <v>0</v>
      </c>
      <c r="P122" s="32">
        <f>SUM(Table3789[[#This Row],[Total Trees as of 12/31/24]]-Table3789[[#This Row],['# Trees as of 12/31/23]])</f>
        <v>0</v>
      </c>
      <c r="Q122" s="16">
        <f>Table11[[#This Row],['#Total Replacements]]*Table11[[#This Row],[Canada Allocation2017 %]]</f>
        <v>0</v>
      </c>
      <c r="R122" s="32">
        <f>IF(Table3789[[#This Row],['#Survival based on Inventory]]=0,Table3789['#Survival based on Last Year Estimate],Table3789['#Survival based on Inventory])</f>
        <v>0</v>
      </c>
      <c r="S122" s="16">
        <f>Table11[[#This Row],['#Planted]]*Table11[[#This Row],[Canada Allocation2017 %]]*Table11[[#This Row],[2024 Inventory Survival%-master]]</f>
        <v>0</v>
      </c>
      <c r="T122" s="16">
        <f>Table11[[#This Row],['#Planted]]*Table11[[#This Row],[Canada Allocation2017 %]]*Table11[[#This Row],[2024 Estimated Survival%]]</f>
        <v>0</v>
      </c>
      <c r="U122" s="7">
        <f>Table11[[#This Row],[ETP Year]]</f>
        <v>2020</v>
      </c>
      <c r="V122" s="7">
        <f>Table11[[#This Row],[Planting Year]]</f>
        <v>2020</v>
      </c>
      <c r="W122" s="17">
        <f>Table11[[#This Row],[Survival% as of 12/31/23]]</f>
        <v>0.82499999999999996</v>
      </c>
      <c r="X122">
        <f>Table11[[#This Row],[ETP'#s]]</f>
        <v>1</v>
      </c>
    </row>
    <row r="123" spans="1:24" hidden="1" x14ac:dyDescent="0.25">
      <c r="A123">
        <f>Table11[[#This Row],[Farmer'#]]</f>
        <v>10046</v>
      </c>
      <c r="B123" t="str">
        <f>Table11[[#This Row],[Representative]]</f>
        <v>Anthony Cowart</v>
      </c>
      <c r="C123" t="str">
        <f>Table11[[#This Row],[Contract Name]]</f>
        <v>Jimmy A Cowart, Steve Anthony Cowart, and Christy Cowart Murphy</v>
      </c>
      <c r="D123" t="str">
        <f>Table11[[#This Row],[Status]]</f>
        <v>Out of Program</v>
      </c>
      <c r="E123" t="str">
        <f>Table11[[#This Row],[Contract Code]]</f>
        <v>US0053</v>
      </c>
      <c r="F123">
        <f>Table11[[#This Row],['#TreesContract]]</f>
        <v>3300</v>
      </c>
      <c r="G123">
        <f>Table11[[#This Row],['#Planted]]</f>
        <v>3300</v>
      </c>
      <c r="H123" s="16">
        <f>Table11[[#This Row],['#TreesContract]]*Table11[[#This Row],[Canada Allocation2017 %]]</f>
        <v>0</v>
      </c>
      <c r="I123" s="16">
        <f>Table11[[#This Row],['#Planted]]*Table11[[#This Row],[Canada Allocation2017 %]]</f>
        <v>0</v>
      </c>
      <c r="J123" s="16">
        <f>Table11[[#This Row],[Contract Amendment]]*Table11[[#This Row],[Canada Allocation2017 %]]</f>
        <v>0</v>
      </c>
      <c r="K123" s="16">
        <f>Table11[[#This Row],['#Trees as of 12/31/23]]*Table11[[#This Row],[Canada Allocation2017 %]]</f>
        <v>0</v>
      </c>
      <c r="L123" s="16">
        <f>Table11[[#This Row],['#Replace 24]]*Table11[[#This Row],[Canada Allocation2017 %]]</f>
        <v>0</v>
      </c>
      <c r="M123" s="16"/>
      <c r="N123" s="16">
        <f>(Table11[[#This Row],[2024 '#Trees Inventory + Estimate]]*Table11[[#This Row],[Canada Allocation2017 %]])-SUM(Table3789[[#This Row],['# Trees as of 12/31/23]:[New Trees/Planted in 2024]])</f>
        <v>0</v>
      </c>
      <c r="O123" s="32">
        <f>SUM(Table3789[[#This Row],['# Trees as of 12/31/23]:[2024 Tree Losses]])</f>
        <v>0</v>
      </c>
      <c r="P123" s="32">
        <f>SUM(Table3789[[#This Row],[Total Trees as of 12/31/24]]-Table3789[[#This Row],['# Trees as of 12/31/23]])</f>
        <v>0</v>
      </c>
      <c r="Q123" s="16">
        <f>Table11[[#This Row],['#Total Replacements]]*Table11[[#This Row],[Canada Allocation2017 %]]</f>
        <v>0</v>
      </c>
      <c r="R123" s="32">
        <f>IF(Table3789[[#This Row],['#Survival based on Inventory]]=0,Table3789['#Survival based on Last Year Estimate],Table3789['#Survival based on Inventory])</f>
        <v>0</v>
      </c>
      <c r="S123" s="16">
        <f>Table11[[#This Row],['#Planted]]*Table11[[#This Row],[Canada Allocation2017 %]]*Table11[[#This Row],[2024 Inventory Survival%-master]]</f>
        <v>0</v>
      </c>
      <c r="T123" s="16">
        <f>Table11[[#This Row],['#Planted]]*Table11[[#This Row],[Canada Allocation2017 %]]*Table11[[#This Row],[2024 Estimated Survival%]]</f>
        <v>0</v>
      </c>
      <c r="U123" s="7">
        <f>Table11[[#This Row],[ETP Year]]</f>
        <v>2020</v>
      </c>
      <c r="V123" s="7">
        <f>Table11[[#This Row],[Planting Year]]</f>
        <v>2020</v>
      </c>
      <c r="W123" s="17">
        <f>Table11[[#This Row],[Survival% as of 12/31/23]]</f>
        <v>0</v>
      </c>
      <c r="X123">
        <f>Table11[[#This Row],[ETP'#s]]</f>
        <v>1</v>
      </c>
    </row>
    <row r="124" spans="1:24" hidden="1" x14ac:dyDescent="0.25">
      <c r="A124">
        <f>Table11[[#This Row],[Farmer'#]]</f>
        <v>10047</v>
      </c>
      <c r="B124" t="str">
        <f>Table11[[#This Row],[Representative]]</f>
        <v>William Franklin</v>
      </c>
      <c r="C124" t="str">
        <f>Table11[[#This Row],[Contract Name]]</f>
        <v>William Franklin</v>
      </c>
      <c r="D124" t="str">
        <f>Table11[[#This Row],[Status]]</f>
        <v>Active</v>
      </c>
      <c r="E124" t="str">
        <f>Table11[[#This Row],[Contract Code]]</f>
        <v>US0054</v>
      </c>
      <c r="F124">
        <f>Table11[[#This Row],['#TreesContract]]</f>
        <v>1100</v>
      </c>
      <c r="G124">
        <f>Table11[[#This Row],['#Planted]]</f>
        <v>1100</v>
      </c>
      <c r="H124" s="16">
        <f>Table11[[#This Row],['#TreesContract]]*Table11[[#This Row],[Canada Allocation2017 %]]</f>
        <v>0</v>
      </c>
      <c r="I124" s="16">
        <f>Table11[[#This Row],['#Planted]]*Table11[[#This Row],[Canada Allocation2017 %]]</f>
        <v>0</v>
      </c>
      <c r="J124" s="16">
        <f>Table11[[#This Row],[Contract Amendment]]*Table11[[#This Row],[Canada Allocation2017 %]]</f>
        <v>0</v>
      </c>
      <c r="K124" s="16">
        <f>Table11[[#This Row],['#Trees as of 12/31/23]]*Table11[[#This Row],[Canada Allocation2017 %]]</f>
        <v>0</v>
      </c>
      <c r="L124" s="16">
        <f>Table11[[#This Row],['#Replace 24]]*Table11[[#This Row],[Canada Allocation2017 %]]</f>
        <v>0</v>
      </c>
      <c r="M124" s="16"/>
      <c r="N124" s="16">
        <f>(Table11[[#This Row],[2024 '#Trees Inventory + Estimate]]*Table11[[#This Row],[Canada Allocation2017 %]])-SUM(Table3789[[#This Row],['# Trees as of 12/31/23]:[New Trees/Planted in 2024]])</f>
        <v>0</v>
      </c>
      <c r="O124" s="32">
        <f>SUM(Table3789[[#This Row],['# Trees as of 12/31/23]:[2024 Tree Losses]])</f>
        <v>0</v>
      </c>
      <c r="P124" s="32">
        <f>SUM(Table3789[[#This Row],[Total Trees as of 12/31/24]]-Table3789[[#This Row],['# Trees as of 12/31/23]])</f>
        <v>0</v>
      </c>
      <c r="Q124" s="16">
        <f>Table11[[#This Row],['#Total Replacements]]*Table11[[#This Row],[Canada Allocation2017 %]]</f>
        <v>0</v>
      </c>
      <c r="R124" s="32">
        <f>IF(Table3789[[#This Row],['#Survival based on Inventory]]=0,Table3789['#Survival based on Last Year Estimate],Table3789['#Survival based on Inventory])</f>
        <v>0</v>
      </c>
      <c r="S124" s="16">
        <f>Table11[[#This Row],['#Planted]]*Table11[[#This Row],[Canada Allocation2017 %]]*Table11[[#This Row],[2024 Inventory Survival%-master]]</f>
        <v>0</v>
      </c>
      <c r="T124" s="16">
        <f>Table11[[#This Row],['#Planted]]*Table11[[#This Row],[Canada Allocation2017 %]]*Table11[[#This Row],[2024 Estimated Survival%]]</f>
        <v>0</v>
      </c>
      <c r="U124" s="7">
        <f>Table11[[#This Row],[ETP Year]]</f>
        <v>2020</v>
      </c>
      <c r="V124" s="7">
        <f>Table11[[#This Row],[Planting Year]]</f>
        <v>2020</v>
      </c>
      <c r="W124" s="17">
        <f>Table11[[#This Row],[Survival% as of 12/31/23]]</f>
        <v>1</v>
      </c>
      <c r="X124">
        <f>Table11[[#This Row],[ETP'#s]]</f>
        <v>1</v>
      </c>
    </row>
    <row r="125" spans="1:24" hidden="1" x14ac:dyDescent="0.25">
      <c r="A125">
        <f>Table11[[#This Row],[Farmer'#]]</f>
        <v>10048</v>
      </c>
      <c r="B125" t="str">
        <f>Table11[[#This Row],[Representative]]</f>
        <v>Billy Strange</v>
      </c>
      <c r="C125" t="str">
        <f>Table11[[#This Row],[Contract Name]]</f>
        <v>Billy Strange</v>
      </c>
      <c r="D125" t="str">
        <f>Table11[[#This Row],[Status]]</f>
        <v>Active</v>
      </c>
      <c r="E125" t="str">
        <f>Table11[[#This Row],[Contract Code]]</f>
        <v>US0055</v>
      </c>
      <c r="F125">
        <f>Table11[[#This Row],['#TreesContract]]</f>
        <v>500</v>
      </c>
      <c r="G125">
        <f>Table11[[#This Row],['#Planted]]</f>
        <v>500</v>
      </c>
      <c r="H125" s="16">
        <f>Table11[[#This Row],['#TreesContract]]*Table11[[#This Row],[Canada Allocation2017 %]]</f>
        <v>0</v>
      </c>
      <c r="I125" s="16">
        <f>Table11[[#This Row],['#Planted]]*Table11[[#This Row],[Canada Allocation2017 %]]</f>
        <v>0</v>
      </c>
      <c r="J125" s="16">
        <f>Table11[[#This Row],[Contract Amendment]]*Table11[[#This Row],[Canada Allocation2017 %]]</f>
        <v>0</v>
      </c>
      <c r="K125" s="16">
        <f>Table11[[#This Row],['#Trees as of 12/31/23]]*Table11[[#This Row],[Canada Allocation2017 %]]</f>
        <v>0</v>
      </c>
      <c r="L125" s="16">
        <f>Table11[[#This Row],['#Replace 24]]*Table11[[#This Row],[Canada Allocation2017 %]]</f>
        <v>0</v>
      </c>
      <c r="M125" s="16"/>
      <c r="N125" s="16">
        <f>(Table11[[#This Row],[2024 '#Trees Inventory + Estimate]]*Table11[[#This Row],[Canada Allocation2017 %]])-SUM(Table3789[[#This Row],['# Trees as of 12/31/23]:[New Trees/Planted in 2024]])</f>
        <v>0</v>
      </c>
      <c r="O125" s="32">
        <f>SUM(Table3789[[#This Row],['# Trees as of 12/31/23]:[2024 Tree Losses]])</f>
        <v>0</v>
      </c>
      <c r="P125" s="32">
        <f>SUM(Table3789[[#This Row],[Total Trees as of 12/31/24]]-Table3789[[#This Row],['# Trees as of 12/31/23]])</f>
        <v>0</v>
      </c>
      <c r="Q125" s="16">
        <f>Table11[[#This Row],['#Total Replacements]]*Table11[[#This Row],[Canada Allocation2017 %]]</f>
        <v>0</v>
      </c>
      <c r="R125" s="32">
        <f>IF(Table3789[[#This Row],['#Survival based on Inventory]]=0,Table3789['#Survival based on Last Year Estimate],Table3789['#Survival based on Inventory])</f>
        <v>0</v>
      </c>
      <c r="S125" s="16">
        <f>Table11[[#This Row],['#Planted]]*Table11[[#This Row],[Canada Allocation2017 %]]*Table11[[#This Row],[2024 Inventory Survival%-master]]</f>
        <v>0</v>
      </c>
      <c r="T125" s="16">
        <f>Table11[[#This Row],['#Planted]]*Table11[[#This Row],[Canada Allocation2017 %]]*Table11[[#This Row],[2024 Estimated Survival%]]</f>
        <v>0</v>
      </c>
      <c r="U125" s="7">
        <f>Table11[[#This Row],[ETP Year]]</f>
        <v>2020</v>
      </c>
      <c r="V125" s="7">
        <f>Table11[[#This Row],[Planting Year]]</f>
        <v>2020</v>
      </c>
      <c r="W125" s="17">
        <f>Table11[[#This Row],[Survival% as of 12/31/23]]</f>
        <v>1</v>
      </c>
      <c r="X125">
        <f>Table11[[#This Row],[ETP'#s]]</f>
        <v>1</v>
      </c>
    </row>
    <row r="126" spans="1:24" hidden="1" x14ac:dyDescent="0.25">
      <c r="A126">
        <f>Table11[[#This Row],[Farmer'#]]</f>
        <v>10049</v>
      </c>
      <c r="B126" t="str">
        <f>Table11[[#This Row],[Representative]]</f>
        <v>Carl Womack</v>
      </c>
      <c r="C126" t="str">
        <f>Table11[[#This Row],[Contract Name]]</f>
        <v>Carl Womack</v>
      </c>
      <c r="D126" t="str">
        <f>Table11[[#This Row],[Status]]</f>
        <v>Active</v>
      </c>
      <c r="E126" t="str">
        <f>Table11[[#This Row],[Contract Code]]</f>
        <v>US0057</v>
      </c>
      <c r="F126">
        <f>Table11[[#This Row],['#TreesContract]]</f>
        <v>1650</v>
      </c>
      <c r="G126">
        <f>Table11[[#This Row],['#Planted]]</f>
        <v>1650</v>
      </c>
      <c r="H126" s="16">
        <f>Table11[[#This Row],['#TreesContract]]*Table11[[#This Row],[Canada Allocation2017 %]]</f>
        <v>0</v>
      </c>
      <c r="I126" s="16">
        <f>Table11[[#This Row],['#Planted]]*Table11[[#This Row],[Canada Allocation2017 %]]</f>
        <v>0</v>
      </c>
      <c r="J126" s="16">
        <f>Table11[[#This Row],[Contract Amendment]]*Table11[[#This Row],[Canada Allocation2017 %]]</f>
        <v>0</v>
      </c>
      <c r="K126" s="16">
        <f>Table11[[#This Row],['#Trees as of 12/31/23]]*Table11[[#This Row],[Canada Allocation2017 %]]</f>
        <v>0</v>
      </c>
      <c r="L126" s="16">
        <f>Table11[[#This Row],['#Replace 24]]*Table11[[#This Row],[Canada Allocation2017 %]]</f>
        <v>0</v>
      </c>
      <c r="M126" s="16"/>
      <c r="N126" s="16">
        <f>(Table11[[#This Row],[2024 '#Trees Inventory + Estimate]]*Table11[[#This Row],[Canada Allocation2017 %]])-SUM(Table3789[[#This Row],['# Trees as of 12/31/23]:[New Trees/Planted in 2024]])</f>
        <v>0</v>
      </c>
      <c r="O126" s="32">
        <f>SUM(Table3789[[#This Row],['# Trees as of 12/31/23]:[2024 Tree Losses]])</f>
        <v>0</v>
      </c>
      <c r="P126" s="32">
        <f>SUM(Table3789[[#This Row],[Total Trees as of 12/31/24]]-Table3789[[#This Row],['# Trees as of 12/31/23]])</f>
        <v>0</v>
      </c>
      <c r="Q126" s="16">
        <f>Table11[[#This Row],['#Total Replacements]]*Table11[[#This Row],[Canada Allocation2017 %]]</f>
        <v>0</v>
      </c>
      <c r="R126" s="32">
        <f>IF(Table3789[[#This Row],['#Survival based on Inventory]]=0,Table3789['#Survival based on Last Year Estimate],Table3789['#Survival based on Inventory])</f>
        <v>0</v>
      </c>
      <c r="S126" s="16">
        <f>Table11[[#This Row],['#Planted]]*Table11[[#This Row],[Canada Allocation2017 %]]*Table11[[#This Row],[2024 Inventory Survival%-master]]</f>
        <v>0</v>
      </c>
      <c r="T126" s="16">
        <f>Table11[[#This Row],['#Planted]]*Table11[[#This Row],[Canada Allocation2017 %]]*Table11[[#This Row],[2024 Estimated Survival%]]</f>
        <v>0</v>
      </c>
      <c r="U126" s="7">
        <f>Table11[[#This Row],[ETP Year]]</f>
        <v>2020</v>
      </c>
      <c r="V126" s="7">
        <f>Table11[[#This Row],[Planting Year]]</f>
        <v>2020</v>
      </c>
      <c r="W126" s="17">
        <f>Table11[[#This Row],[Survival% as of 12/31/23]]</f>
        <v>1</v>
      </c>
      <c r="X126">
        <f>Table11[[#This Row],[ETP'#s]]</f>
        <v>1</v>
      </c>
    </row>
    <row r="127" spans="1:24" hidden="1" x14ac:dyDescent="0.25">
      <c r="A127">
        <f>Table11[[#This Row],[Farmer'#]]</f>
        <v>10050</v>
      </c>
      <c r="B127" t="str">
        <f>Table11[[#This Row],[Representative]]</f>
        <v>Chad Payne</v>
      </c>
      <c r="C127" t="str">
        <f>Table11[[#This Row],[Contract Name]]</f>
        <v>Chadwin Payne</v>
      </c>
      <c r="D127" t="str">
        <f>Table11[[#This Row],[Status]]</f>
        <v>Active</v>
      </c>
      <c r="E127" t="str">
        <f>Table11[[#This Row],[Contract Code]]</f>
        <v>US0058</v>
      </c>
      <c r="F127">
        <f>Table11[[#This Row],['#TreesContract]]</f>
        <v>1100</v>
      </c>
      <c r="G127">
        <f>Table11[[#This Row],['#Planted]]</f>
        <v>1100</v>
      </c>
      <c r="H127" s="16">
        <f>Table11[[#This Row],['#TreesContract]]*Table11[[#This Row],[Canada Allocation2017 %]]</f>
        <v>0</v>
      </c>
      <c r="I127" s="16">
        <f>Table11[[#This Row],['#Planted]]*Table11[[#This Row],[Canada Allocation2017 %]]</f>
        <v>0</v>
      </c>
      <c r="J127" s="16">
        <f>Table11[[#This Row],[Contract Amendment]]*Table11[[#This Row],[Canada Allocation2017 %]]</f>
        <v>0</v>
      </c>
      <c r="K127" s="16">
        <f>Table11[[#This Row],['#Trees as of 12/31/23]]*Table11[[#This Row],[Canada Allocation2017 %]]</f>
        <v>0</v>
      </c>
      <c r="L127" s="16">
        <f>Table11[[#This Row],['#Replace 24]]*Table11[[#This Row],[Canada Allocation2017 %]]</f>
        <v>0</v>
      </c>
      <c r="M127" s="16"/>
      <c r="N127" s="16">
        <f>(Table11[[#This Row],[2024 '#Trees Inventory + Estimate]]*Table11[[#This Row],[Canada Allocation2017 %]])-SUM(Table3789[[#This Row],['# Trees as of 12/31/23]:[New Trees/Planted in 2024]])</f>
        <v>0</v>
      </c>
      <c r="O127" s="32">
        <f>SUM(Table3789[[#This Row],['# Trees as of 12/31/23]:[2024 Tree Losses]])</f>
        <v>0</v>
      </c>
      <c r="P127" s="32">
        <f>SUM(Table3789[[#This Row],[Total Trees as of 12/31/24]]-Table3789[[#This Row],['# Trees as of 12/31/23]])</f>
        <v>0</v>
      </c>
      <c r="Q127" s="16">
        <f>Table11[[#This Row],['#Total Replacements]]*Table11[[#This Row],[Canada Allocation2017 %]]</f>
        <v>0</v>
      </c>
      <c r="R127" s="32">
        <f>IF(Table3789[[#This Row],['#Survival based on Inventory]]=0,Table3789['#Survival based on Last Year Estimate],Table3789['#Survival based on Inventory])</f>
        <v>0</v>
      </c>
      <c r="S127" s="16">
        <f>Table11[[#This Row],['#Planted]]*Table11[[#This Row],[Canada Allocation2017 %]]*Table11[[#This Row],[2024 Inventory Survival%-master]]</f>
        <v>0</v>
      </c>
      <c r="T127" s="16">
        <f>Table11[[#This Row],['#Planted]]*Table11[[#This Row],[Canada Allocation2017 %]]*Table11[[#This Row],[2024 Estimated Survival%]]</f>
        <v>0</v>
      </c>
      <c r="U127" s="7">
        <f>Table11[[#This Row],[ETP Year]]</f>
        <v>2020</v>
      </c>
      <c r="V127" s="7">
        <f>Table11[[#This Row],[Planting Year]]</f>
        <v>2020</v>
      </c>
      <c r="W127" s="17">
        <f>Table11[[#This Row],[Survival% as of 12/31/23]]</f>
        <v>0.98818181818181816</v>
      </c>
      <c r="X127">
        <f>Table11[[#This Row],[ETP'#s]]</f>
        <v>1</v>
      </c>
    </row>
    <row r="128" spans="1:24" hidden="1" x14ac:dyDescent="0.25">
      <c r="A128">
        <f>Table11[[#This Row],[Farmer'#]]</f>
        <v>10051</v>
      </c>
      <c r="B128" t="str">
        <f>Table11[[#This Row],[Representative]]</f>
        <v>Dale Ratliff</v>
      </c>
      <c r="C128" t="str">
        <f>Table11[[#This Row],[Contract Name]]</f>
        <v>W.D. Ratliff</v>
      </c>
      <c r="D128" t="str">
        <f>Table11[[#This Row],[Status]]</f>
        <v>Active</v>
      </c>
      <c r="E128" t="str">
        <f>Table11[[#This Row],[Contract Code]]</f>
        <v>US0059</v>
      </c>
      <c r="F128">
        <f>Table11[[#This Row],['#TreesContract]]</f>
        <v>1360</v>
      </c>
      <c r="G128">
        <f>Table11[[#This Row],['#Planted]]</f>
        <v>1360</v>
      </c>
      <c r="H128" s="16">
        <f>Table11[[#This Row],['#TreesContract]]*Table11[[#This Row],[Canada Allocation2017 %]]</f>
        <v>0</v>
      </c>
      <c r="I128" s="16">
        <f>Table11[[#This Row],['#Planted]]*Table11[[#This Row],[Canada Allocation2017 %]]</f>
        <v>0</v>
      </c>
      <c r="J128" s="16">
        <f>Table11[[#This Row],[Contract Amendment]]*Table11[[#This Row],[Canada Allocation2017 %]]</f>
        <v>0</v>
      </c>
      <c r="K128" s="16">
        <f>Table11[[#This Row],['#Trees as of 12/31/23]]*Table11[[#This Row],[Canada Allocation2017 %]]</f>
        <v>0</v>
      </c>
      <c r="L128" s="16">
        <f>Table11[[#This Row],['#Replace 24]]*Table11[[#This Row],[Canada Allocation2017 %]]</f>
        <v>0</v>
      </c>
      <c r="M128" s="16"/>
      <c r="N128" s="16">
        <f>(Table11[[#This Row],[2024 '#Trees Inventory + Estimate]]*Table11[[#This Row],[Canada Allocation2017 %]])-SUM(Table3789[[#This Row],['# Trees as of 12/31/23]:[New Trees/Planted in 2024]])</f>
        <v>0</v>
      </c>
      <c r="O128" s="32">
        <f>SUM(Table3789[[#This Row],['# Trees as of 12/31/23]:[2024 Tree Losses]])</f>
        <v>0</v>
      </c>
      <c r="P128" s="32">
        <f>SUM(Table3789[[#This Row],[Total Trees as of 12/31/24]]-Table3789[[#This Row],['# Trees as of 12/31/23]])</f>
        <v>0</v>
      </c>
      <c r="Q128" s="16">
        <f>Table11[[#This Row],['#Total Replacements]]*Table11[[#This Row],[Canada Allocation2017 %]]</f>
        <v>0</v>
      </c>
      <c r="R128" s="32">
        <f>IF(Table3789[[#This Row],['#Survival based on Inventory]]=0,Table3789['#Survival based on Last Year Estimate],Table3789['#Survival based on Inventory])</f>
        <v>0</v>
      </c>
      <c r="S128" s="16">
        <f>Table11[[#This Row],['#Planted]]*Table11[[#This Row],[Canada Allocation2017 %]]*Table11[[#This Row],[2024 Inventory Survival%-master]]</f>
        <v>0</v>
      </c>
      <c r="T128" s="16">
        <f>Table11[[#This Row],['#Planted]]*Table11[[#This Row],[Canada Allocation2017 %]]*Table11[[#This Row],[2024 Estimated Survival%]]</f>
        <v>0</v>
      </c>
      <c r="U128" s="7">
        <f>Table11[[#This Row],[ETP Year]]</f>
        <v>2020</v>
      </c>
      <c r="V128" s="7">
        <f>Table11[[#This Row],[Planting Year]]</f>
        <v>2020</v>
      </c>
      <c r="W128" s="8">
        <f>Table11[[#This Row],[Survival% as of 12/31/23]]</f>
        <v>1</v>
      </c>
      <c r="X128">
        <f>Table11[[#This Row],[ETP'#s]]</f>
        <v>1</v>
      </c>
    </row>
    <row r="129" spans="1:24" hidden="1" x14ac:dyDescent="0.25">
      <c r="A129">
        <f>Table11[[#This Row],[Farmer'#]]</f>
        <v>10052</v>
      </c>
      <c r="B129" t="str">
        <f>Table11[[#This Row],[Representative]]</f>
        <v>Daniel Perez</v>
      </c>
      <c r="C129" t="str">
        <f>Table11[[#This Row],[Contract Name]]</f>
        <v>Daniel Perez</v>
      </c>
      <c r="D129" t="str">
        <f>Table11[[#This Row],[Status]]</f>
        <v>RFT</v>
      </c>
      <c r="E129" t="str">
        <f>Table11[[#This Row],[Contract Code]]</f>
        <v>US0060</v>
      </c>
      <c r="F129">
        <f>Table11[[#This Row],['#TreesContract]]</f>
        <v>1100</v>
      </c>
      <c r="G129">
        <f>Table11[[#This Row],['#Planted]]</f>
        <v>1100</v>
      </c>
      <c r="H129" s="16">
        <f>Table11[[#This Row],['#TreesContract]]*Table11[[#This Row],[Canada Allocation2017 %]]</f>
        <v>0</v>
      </c>
      <c r="I129" s="16">
        <f>Table11[[#This Row],['#Planted]]*Table11[[#This Row],[Canada Allocation2017 %]]</f>
        <v>0</v>
      </c>
      <c r="J129" s="16">
        <f>Table11[[#This Row],[Contract Amendment]]*Table11[[#This Row],[Canada Allocation2017 %]]</f>
        <v>0</v>
      </c>
      <c r="K129" s="16">
        <f>Table11[[#This Row],['#Trees as of 12/31/23]]*Table11[[#This Row],[Canada Allocation2017 %]]</f>
        <v>0</v>
      </c>
      <c r="L129" s="16">
        <f>Table11[[#This Row],['#Replace 24]]*Table11[[#This Row],[Canada Allocation2017 %]]</f>
        <v>0</v>
      </c>
      <c r="M129" s="16"/>
      <c r="N129" s="16">
        <f>(Table11[[#This Row],[2024 '#Trees Inventory + Estimate]]*Table11[[#This Row],[Canada Allocation2017 %]])-SUM(Table3789[[#This Row],['# Trees as of 12/31/23]:[New Trees/Planted in 2024]])</f>
        <v>0</v>
      </c>
      <c r="O129" s="32">
        <f>SUM(Table3789[[#This Row],['# Trees as of 12/31/23]:[2024 Tree Losses]])</f>
        <v>0</v>
      </c>
      <c r="P129" s="32">
        <f>SUM(Table3789[[#This Row],[Total Trees as of 12/31/24]]-Table3789[[#This Row],['# Trees as of 12/31/23]])</f>
        <v>0</v>
      </c>
      <c r="Q129" s="16">
        <f>Table11[[#This Row],['#Total Replacements]]*Table11[[#This Row],[Canada Allocation2017 %]]</f>
        <v>0</v>
      </c>
      <c r="R129" s="32">
        <f>IF(Table3789[[#This Row],['#Survival based on Inventory]]=0,Table3789['#Survival based on Last Year Estimate],Table3789['#Survival based on Inventory])</f>
        <v>0</v>
      </c>
      <c r="S129" s="16">
        <f>Table11[[#This Row],['#Planted]]*Table11[[#This Row],[Canada Allocation2017 %]]*Table11[[#This Row],[2024 Inventory Survival%-master]]</f>
        <v>0</v>
      </c>
      <c r="T129" s="16">
        <f>Table11[[#This Row],['#Planted]]*Table11[[#This Row],[Canada Allocation2017 %]]*Table11[[#This Row],[2024 Estimated Survival%]]</f>
        <v>0</v>
      </c>
      <c r="U129" s="7">
        <f>Table11[[#This Row],[ETP Year]]</f>
        <v>2020</v>
      </c>
      <c r="V129" s="7">
        <f>Table11[[#This Row],[Planting Year]]</f>
        <v>2020</v>
      </c>
      <c r="W129" s="8">
        <f>Table11[[#This Row],[Survival% as of 12/31/23]]</f>
        <v>0.625</v>
      </c>
      <c r="X129">
        <f>Table11[[#This Row],[ETP'#s]]</f>
        <v>1</v>
      </c>
    </row>
    <row r="130" spans="1:24" hidden="1" x14ac:dyDescent="0.25">
      <c r="A130">
        <f>Table11[[#This Row],[Farmer'#]]</f>
        <v>10053</v>
      </c>
      <c r="B130" t="str">
        <f>Table11[[#This Row],[Representative]]</f>
        <v>Darren Beachem</v>
      </c>
      <c r="C130" t="str">
        <f>Table11[[#This Row],[Contract Name]]</f>
        <v>Darren Beachem</v>
      </c>
      <c r="D130" t="str">
        <f>Table11[[#This Row],[Status]]</f>
        <v>Active</v>
      </c>
      <c r="E130" t="str">
        <f>Table11[[#This Row],[Contract Code]]</f>
        <v>US0061</v>
      </c>
      <c r="F130">
        <f>Table11[[#This Row],['#TreesContract]]</f>
        <v>2200</v>
      </c>
      <c r="G130">
        <f>Table11[[#This Row],['#Planted]]</f>
        <v>2200</v>
      </c>
      <c r="H130" s="16">
        <f>Table11[[#This Row],['#TreesContract]]*Table11[[#This Row],[Canada Allocation2017 %]]</f>
        <v>0</v>
      </c>
      <c r="I130" s="16">
        <f>Table11[[#This Row],['#Planted]]*Table11[[#This Row],[Canada Allocation2017 %]]</f>
        <v>0</v>
      </c>
      <c r="J130" s="16">
        <f>Table11[[#This Row],[Contract Amendment]]*Table11[[#This Row],[Canada Allocation2017 %]]</f>
        <v>0</v>
      </c>
      <c r="K130" s="16">
        <f>Table11[[#This Row],['#Trees as of 12/31/23]]*Table11[[#This Row],[Canada Allocation2017 %]]</f>
        <v>0</v>
      </c>
      <c r="L130" s="16">
        <f>Table11[[#This Row],['#Replace 24]]*Table11[[#This Row],[Canada Allocation2017 %]]</f>
        <v>0</v>
      </c>
      <c r="M130" s="16"/>
      <c r="N130" s="16">
        <f>(Table11[[#This Row],[2024 '#Trees Inventory + Estimate]]*Table11[[#This Row],[Canada Allocation2017 %]])-SUM(Table3789[[#This Row],['# Trees as of 12/31/23]:[New Trees/Planted in 2024]])</f>
        <v>0</v>
      </c>
      <c r="O130" s="32">
        <f>SUM(Table3789[[#This Row],['# Trees as of 12/31/23]:[2024 Tree Losses]])</f>
        <v>0</v>
      </c>
      <c r="P130" s="32">
        <f>SUM(Table3789[[#This Row],[Total Trees as of 12/31/24]]-Table3789[[#This Row],['# Trees as of 12/31/23]])</f>
        <v>0</v>
      </c>
      <c r="Q130" s="16">
        <f>Table11[[#This Row],['#Total Replacements]]*Table11[[#This Row],[Canada Allocation2017 %]]</f>
        <v>0</v>
      </c>
      <c r="R130" s="32">
        <f>IF(Table3789[[#This Row],['#Survival based on Inventory]]=0,Table3789['#Survival based on Last Year Estimate],Table3789['#Survival based on Inventory])</f>
        <v>0</v>
      </c>
      <c r="S130" s="16">
        <f>Table11[[#This Row],['#Planted]]*Table11[[#This Row],[Canada Allocation2017 %]]*Table11[[#This Row],[2024 Inventory Survival%-master]]</f>
        <v>0</v>
      </c>
      <c r="T130" s="16">
        <f>Table11[[#This Row],['#Planted]]*Table11[[#This Row],[Canada Allocation2017 %]]*Table11[[#This Row],[2024 Estimated Survival%]]</f>
        <v>0</v>
      </c>
      <c r="U130" s="7">
        <f>Table11[[#This Row],[ETP Year]]</f>
        <v>2020</v>
      </c>
      <c r="V130" s="7">
        <f>Table11[[#This Row],[Planting Year]]</f>
        <v>2020</v>
      </c>
      <c r="W130" s="8">
        <f>Table11[[#This Row],[Survival% as of 12/31/23]]</f>
        <v>1</v>
      </c>
      <c r="X130">
        <f>Table11[[#This Row],[ETP'#s]]</f>
        <v>1</v>
      </c>
    </row>
    <row r="131" spans="1:24" hidden="1" x14ac:dyDescent="0.25">
      <c r="A131">
        <f>Table11[[#This Row],[Farmer'#]]</f>
        <v>10054</v>
      </c>
      <c r="B131" t="str">
        <f>Table11[[#This Row],[Representative]]</f>
        <v>Ed Davenport</v>
      </c>
      <c r="C131" t="str">
        <f>Table11[[#This Row],[Contract Name]]</f>
        <v>Ed Davenport</v>
      </c>
      <c r="D131" t="str">
        <f>Table11[[#This Row],[Status]]</f>
        <v>Active</v>
      </c>
      <c r="E131" t="str">
        <f>Table11[[#This Row],[Contract Code]]</f>
        <v>US0064</v>
      </c>
      <c r="F131">
        <f>Table11[[#This Row],['#TreesContract]]</f>
        <v>1100</v>
      </c>
      <c r="G131">
        <f>Table11[[#This Row],['#Planted]]</f>
        <v>1100</v>
      </c>
      <c r="H131" s="16">
        <f>Table11[[#This Row],['#TreesContract]]*Table11[[#This Row],[Canada Allocation2017 %]]</f>
        <v>0</v>
      </c>
      <c r="I131" s="16">
        <f>Table11[[#This Row],['#Planted]]*Table11[[#This Row],[Canada Allocation2017 %]]</f>
        <v>0</v>
      </c>
      <c r="J131" s="16">
        <f>Table11[[#This Row],[Contract Amendment]]*Table11[[#This Row],[Canada Allocation2017 %]]</f>
        <v>0</v>
      </c>
      <c r="K131" s="16">
        <f>Table11[[#This Row],['#Trees as of 12/31/23]]*Table11[[#This Row],[Canada Allocation2017 %]]</f>
        <v>0</v>
      </c>
      <c r="L131" s="16">
        <f>Table11[[#This Row],['#Replace 24]]*Table11[[#This Row],[Canada Allocation2017 %]]</f>
        <v>0</v>
      </c>
      <c r="M131" s="16"/>
      <c r="N131" s="16">
        <f>(Table11[[#This Row],[2024 '#Trees Inventory + Estimate]]*Table11[[#This Row],[Canada Allocation2017 %]])-SUM(Table3789[[#This Row],['# Trees as of 12/31/23]:[New Trees/Planted in 2024]])</f>
        <v>0</v>
      </c>
      <c r="O131" s="32">
        <f>SUM(Table3789[[#This Row],['# Trees as of 12/31/23]:[2024 Tree Losses]])</f>
        <v>0</v>
      </c>
      <c r="P131" s="32">
        <f>SUM(Table3789[[#This Row],[Total Trees as of 12/31/24]]-Table3789[[#This Row],['# Trees as of 12/31/23]])</f>
        <v>0</v>
      </c>
      <c r="Q131" s="16">
        <f>Table11[[#This Row],['#Total Replacements]]*Table11[[#This Row],[Canada Allocation2017 %]]</f>
        <v>0</v>
      </c>
      <c r="R131" s="32">
        <f>IF(Table3789[[#This Row],['#Survival based on Inventory]]=0,Table3789['#Survival based on Last Year Estimate],Table3789['#Survival based on Inventory])</f>
        <v>0</v>
      </c>
      <c r="S131" s="16">
        <f>Table11[[#This Row],['#Planted]]*Table11[[#This Row],[Canada Allocation2017 %]]*Table11[[#This Row],[2024 Inventory Survival%-master]]</f>
        <v>0</v>
      </c>
      <c r="T131" s="16">
        <f>Table11[[#This Row],['#Planted]]*Table11[[#This Row],[Canada Allocation2017 %]]*Table11[[#This Row],[2024 Estimated Survival%]]</f>
        <v>0</v>
      </c>
      <c r="U131" s="7">
        <f>Table11[[#This Row],[ETP Year]]</f>
        <v>2020</v>
      </c>
      <c r="V131" s="7">
        <f>Table11[[#This Row],[Planting Year]]</f>
        <v>2020</v>
      </c>
      <c r="W131" s="8">
        <f>Table11[[#This Row],[Survival% as of 12/31/23]]</f>
        <v>1</v>
      </c>
      <c r="X131">
        <f>Table11[[#This Row],[ETP'#s]]</f>
        <v>1</v>
      </c>
    </row>
    <row r="132" spans="1:24" hidden="1" x14ac:dyDescent="0.25">
      <c r="A132">
        <f>Table11[[#This Row],[Farmer'#]]</f>
        <v>10055</v>
      </c>
      <c r="B132" t="str">
        <f>Table11[[#This Row],[Representative]]</f>
        <v>Glenn Sanders</v>
      </c>
      <c r="C132" t="str">
        <f>Table11[[#This Row],[Contract Name]]</f>
        <v>Glen Sanders</v>
      </c>
      <c r="D132" t="str">
        <f>Table11[[#This Row],[Status]]</f>
        <v>Active</v>
      </c>
      <c r="E132" t="str">
        <f>Table11[[#This Row],[Contract Code]]</f>
        <v>US0065</v>
      </c>
      <c r="F132">
        <f>Table11[[#This Row],['#TreesContract]]</f>
        <v>1100</v>
      </c>
      <c r="G132">
        <f>Table11[[#This Row],['#Planted]]</f>
        <v>1100</v>
      </c>
      <c r="H132" s="16">
        <f>Table11[[#This Row],['#TreesContract]]*Table11[[#This Row],[Canada Allocation2017 %]]</f>
        <v>0</v>
      </c>
      <c r="I132" s="16">
        <f>Table11[[#This Row],['#Planted]]*Table11[[#This Row],[Canada Allocation2017 %]]</f>
        <v>0</v>
      </c>
      <c r="J132" s="16">
        <f>Table11[[#This Row],[Contract Amendment]]*Table11[[#This Row],[Canada Allocation2017 %]]</f>
        <v>0</v>
      </c>
      <c r="K132" s="16">
        <f>Table11[[#This Row],['#Trees as of 12/31/23]]*Table11[[#This Row],[Canada Allocation2017 %]]</f>
        <v>0</v>
      </c>
      <c r="L132" s="16">
        <f>Table11[[#This Row],['#Replace 24]]*Table11[[#This Row],[Canada Allocation2017 %]]</f>
        <v>0</v>
      </c>
      <c r="M132" s="16"/>
      <c r="N132" s="16">
        <f>(Table11[[#This Row],[2024 '#Trees Inventory + Estimate]]*Table11[[#This Row],[Canada Allocation2017 %]])-SUM(Table3789[[#This Row],['# Trees as of 12/31/23]:[New Trees/Planted in 2024]])</f>
        <v>0</v>
      </c>
      <c r="O132" s="32">
        <f>SUM(Table3789[[#This Row],['# Trees as of 12/31/23]:[2024 Tree Losses]])</f>
        <v>0</v>
      </c>
      <c r="P132" s="32">
        <f>SUM(Table3789[[#This Row],[Total Trees as of 12/31/24]]-Table3789[[#This Row],['# Trees as of 12/31/23]])</f>
        <v>0</v>
      </c>
      <c r="Q132" s="16">
        <f>Table11[[#This Row],['#Total Replacements]]*Table11[[#This Row],[Canada Allocation2017 %]]</f>
        <v>0</v>
      </c>
      <c r="R132" s="32">
        <f>IF(Table3789[[#This Row],['#Survival based on Inventory]]=0,Table3789['#Survival based on Last Year Estimate],Table3789['#Survival based on Inventory])</f>
        <v>0</v>
      </c>
      <c r="S132" s="16">
        <f>Table11[[#This Row],['#Planted]]*Table11[[#This Row],[Canada Allocation2017 %]]*Table11[[#This Row],[2024 Inventory Survival%-master]]</f>
        <v>0</v>
      </c>
      <c r="T132" s="16">
        <f>Table11[[#This Row],['#Planted]]*Table11[[#This Row],[Canada Allocation2017 %]]*Table11[[#This Row],[2024 Estimated Survival%]]</f>
        <v>0</v>
      </c>
      <c r="U132" s="7">
        <f>Table11[[#This Row],[ETP Year]]</f>
        <v>2020</v>
      </c>
      <c r="V132" s="7">
        <f>Table11[[#This Row],[Planting Year]]</f>
        <v>2020</v>
      </c>
      <c r="W132" s="8">
        <f>Table11[[#This Row],[Survival% as of 12/31/23]]</f>
        <v>0.98818181818181816</v>
      </c>
      <c r="X132">
        <f>Table11[[#This Row],[ETP'#s]]</f>
        <v>1</v>
      </c>
    </row>
    <row r="133" spans="1:24" hidden="1" x14ac:dyDescent="0.25">
      <c r="A133">
        <f>Table11[[#This Row],[Farmer'#]]</f>
        <v>10056</v>
      </c>
      <c r="B133" t="str">
        <f>Table11[[#This Row],[Representative]]</f>
        <v>Glenn Preskitt</v>
      </c>
      <c r="C133" t="str">
        <f>Table11[[#This Row],[Contract Name]]</f>
        <v>Glenn Preskitt</v>
      </c>
      <c r="D133" t="str">
        <f>Table11[[#This Row],[Status]]</f>
        <v>Out of Program</v>
      </c>
      <c r="E133" t="str">
        <f>Table11[[#This Row],[Contract Code]]</f>
        <v>US0066</v>
      </c>
      <c r="F133">
        <f>Table11[[#This Row],['#TreesContract]]</f>
        <v>5500</v>
      </c>
      <c r="G133">
        <f>Table11[[#This Row],['#Planted]]</f>
        <v>5500</v>
      </c>
      <c r="H133" s="16">
        <f>Table11[[#This Row],['#TreesContract]]*Table11[[#This Row],[Canada Allocation2017 %]]</f>
        <v>0</v>
      </c>
      <c r="I133" s="16">
        <f>Table11[[#This Row],['#Planted]]*Table11[[#This Row],[Canada Allocation2017 %]]</f>
        <v>0</v>
      </c>
      <c r="J133" s="16">
        <f>Table11[[#This Row],[Contract Amendment]]*Table11[[#This Row],[Canada Allocation2017 %]]</f>
        <v>0</v>
      </c>
      <c r="K133" s="16">
        <f>Table11[[#This Row],['#Trees as of 12/31/23]]*Table11[[#This Row],[Canada Allocation2017 %]]</f>
        <v>0</v>
      </c>
      <c r="L133" s="16">
        <f>Table11[[#This Row],['#Replace 24]]*Table11[[#This Row],[Canada Allocation2017 %]]</f>
        <v>0</v>
      </c>
      <c r="M133" s="16"/>
      <c r="N133" s="16">
        <f>(Table11[[#This Row],[2024 '#Trees Inventory + Estimate]]*Table11[[#This Row],[Canada Allocation2017 %]])-SUM(Table3789[[#This Row],['# Trees as of 12/31/23]:[New Trees/Planted in 2024]])</f>
        <v>0</v>
      </c>
      <c r="O133" s="32">
        <f>SUM(Table3789[[#This Row],['# Trees as of 12/31/23]:[2024 Tree Losses]])</f>
        <v>0</v>
      </c>
      <c r="P133" s="32">
        <f>SUM(Table3789[[#This Row],[Total Trees as of 12/31/24]]-Table3789[[#This Row],['# Trees as of 12/31/23]])</f>
        <v>0</v>
      </c>
      <c r="Q133" s="16">
        <f>Table11[[#This Row],['#Total Replacements]]*Table11[[#This Row],[Canada Allocation2017 %]]</f>
        <v>0</v>
      </c>
      <c r="R133" s="32">
        <f>IF(Table3789[[#This Row],['#Survival based on Inventory]]=0,Table3789['#Survival based on Last Year Estimate],Table3789['#Survival based on Inventory])</f>
        <v>0</v>
      </c>
      <c r="S133" s="16">
        <f>Table11[[#This Row],['#Planted]]*Table11[[#This Row],[Canada Allocation2017 %]]*Table11[[#This Row],[2024 Inventory Survival%-master]]</f>
        <v>0</v>
      </c>
      <c r="T133" s="16">
        <f>Table11[[#This Row],['#Planted]]*Table11[[#This Row],[Canada Allocation2017 %]]*Table11[[#This Row],[2024 Estimated Survival%]]</f>
        <v>0</v>
      </c>
      <c r="U133" s="7">
        <f>Table11[[#This Row],[ETP Year]]</f>
        <v>2020</v>
      </c>
      <c r="V133" s="7">
        <f>Table11[[#This Row],[Planting Year]]</f>
        <v>2020</v>
      </c>
      <c r="W133" s="8">
        <f>Table11[[#This Row],[Survival% as of 12/31/23]]</f>
        <v>0.78</v>
      </c>
      <c r="X133">
        <f>Table11[[#This Row],[ETP'#s]]</f>
        <v>1</v>
      </c>
    </row>
    <row r="134" spans="1:24" hidden="1" x14ac:dyDescent="0.25">
      <c r="A134">
        <f>Table11[[#This Row],[Farmer'#]]</f>
        <v>10057</v>
      </c>
      <c r="B134" t="str">
        <f>Table11[[#This Row],[Representative]]</f>
        <v>Guy Goodson</v>
      </c>
      <c r="C134" t="str">
        <f>Table11[[#This Row],[Contract Name]]</f>
        <v>Guy Goodson</v>
      </c>
      <c r="D134" t="str">
        <f>Table11[[#This Row],[Status]]</f>
        <v>Active</v>
      </c>
      <c r="E134" t="str">
        <f>Table11[[#This Row],[Contract Code]]</f>
        <v>US0067</v>
      </c>
      <c r="F134">
        <f>Table11[[#This Row],['#TreesContract]]</f>
        <v>2200</v>
      </c>
      <c r="G134">
        <f>Table11[[#This Row],['#Planted]]</f>
        <v>2200</v>
      </c>
      <c r="H134" s="16">
        <f>Table11[[#This Row],['#TreesContract]]*Table11[[#This Row],[Canada Allocation2017 %]]</f>
        <v>0</v>
      </c>
      <c r="I134" s="16">
        <f>Table11[[#This Row],['#Planted]]*Table11[[#This Row],[Canada Allocation2017 %]]</f>
        <v>0</v>
      </c>
      <c r="J134" s="16">
        <f>Table11[[#This Row],[Contract Amendment]]*Table11[[#This Row],[Canada Allocation2017 %]]</f>
        <v>0</v>
      </c>
      <c r="K134" s="16">
        <f>Table11[[#This Row],['#Trees as of 12/31/23]]*Table11[[#This Row],[Canada Allocation2017 %]]</f>
        <v>0</v>
      </c>
      <c r="L134" s="16">
        <f>Table11[[#This Row],['#Replace 24]]*Table11[[#This Row],[Canada Allocation2017 %]]</f>
        <v>0</v>
      </c>
      <c r="M134" s="16"/>
      <c r="N134" s="16">
        <f>(Table11[[#This Row],[2024 '#Trees Inventory + Estimate]]*Table11[[#This Row],[Canada Allocation2017 %]])-SUM(Table3789[[#This Row],['# Trees as of 12/31/23]:[New Trees/Planted in 2024]])</f>
        <v>0</v>
      </c>
      <c r="O134" s="32">
        <f>SUM(Table3789[[#This Row],['# Trees as of 12/31/23]:[2024 Tree Losses]])</f>
        <v>0</v>
      </c>
      <c r="P134" s="32">
        <f>SUM(Table3789[[#This Row],[Total Trees as of 12/31/24]]-Table3789[[#This Row],['# Trees as of 12/31/23]])</f>
        <v>0</v>
      </c>
      <c r="Q134" s="16">
        <f>Table11[[#This Row],['#Total Replacements]]*Table11[[#This Row],[Canada Allocation2017 %]]</f>
        <v>0</v>
      </c>
      <c r="R134" s="32">
        <f>IF(Table3789[[#This Row],['#Survival based on Inventory]]=0,Table3789['#Survival based on Last Year Estimate],Table3789['#Survival based on Inventory])</f>
        <v>0</v>
      </c>
      <c r="S134" s="16">
        <f>Table11[[#This Row],['#Planted]]*Table11[[#This Row],[Canada Allocation2017 %]]*Table11[[#This Row],[2024 Inventory Survival%-master]]</f>
        <v>0</v>
      </c>
      <c r="T134" s="16">
        <f>Table11[[#This Row],['#Planted]]*Table11[[#This Row],[Canada Allocation2017 %]]*Table11[[#This Row],[2024 Estimated Survival%]]</f>
        <v>0</v>
      </c>
      <c r="U134" s="7">
        <f>Table11[[#This Row],[ETP Year]]</f>
        <v>2020</v>
      </c>
      <c r="V134" s="7">
        <f>Table11[[#This Row],[Planting Year]]</f>
        <v>2020</v>
      </c>
      <c r="W134" s="8">
        <f>Table11[[#This Row],[Survival% as of 12/31/23]]</f>
        <v>0.92045454545454541</v>
      </c>
      <c r="X134">
        <f>Table11[[#This Row],[ETP'#s]]</f>
        <v>1</v>
      </c>
    </row>
    <row r="135" spans="1:24" hidden="1" x14ac:dyDescent="0.25">
      <c r="A135">
        <f>Table11[[#This Row],[Farmer'#]]</f>
        <v>10058</v>
      </c>
      <c r="B135" t="str">
        <f>Table11[[#This Row],[Representative]]</f>
        <v>Jeff Barnes</v>
      </c>
      <c r="C135" t="str">
        <f>Table11[[#This Row],[Contract Name]]</f>
        <v>Richard and Trudie Barnes</v>
      </c>
      <c r="D135" t="str">
        <f>Table11[[#This Row],[Status]]</f>
        <v>Active</v>
      </c>
      <c r="E135" t="str">
        <f>Table11[[#This Row],[Contract Code]]</f>
        <v>US0068</v>
      </c>
      <c r="F135">
        <f>Table11[[#This Row],['#TreesContract]]</f>
        <v>1100</v>
      </c>
      <c r="G135">
        <f>Table11[[#This Row],['#Planted]]</f>
        <v>1100</v>
      </c>
      <c r="H135" s="16">
        <f>Table11[[#This Row],['#TreesContract]]*Table11[[#This Row],[Canada Allocation2017 %]]</f>
        <v>0</v>
      </c>
      <c r="I135" s="16">
        <f>Table11[[#This Row],['#Planted]]*Table11[[#This Row],[Canada Allocation2017 %]]</f>
        <v>0</v>
      </c>
      <c r="J135" s="16">
        <f>Table11[[#This Row],[Contract Amendment]]*Table11[[#This Row],[Canada Allocation2017 %]]</f>
        <v>0</v>
      </c>
      <c r="K135" s="16">
        <f>Table11[[#This Row],['#Trees as of 12/31/23]]*Table11[[#This Row],[Canada Allocation2017 %]]</f>
        <v>0</v>
      </c>
      <c r="L135" s="16">
        <f>Table11[[#This Row],['#Replace 24]]*Table11[[#This Row],[Canada Allocation2017 %]]</f>
        <v>0</v>
      </c>
      <c r="M135" s="16"/>
      <c r="N135" s="16">
        <f>(Table11[[#This Row],[2024 '#Trees Inventory + Estimate]]*Table11[[#This Row],[Canada Allocation2017 %]])-SUM(Table3789[[#This Row],['# Trees as of 12/31/23]:[New Trees/Planted in 2024]])</f>
        <v>0</v>
      </c>
      <c r="O135" s="32">
        <f>SUM(Table3789[[#This Row],['# Trees as of 12/31/23]:[2024 Tree Losses]])</f>
        <v>0</v>
      </c>
      <c r="P135" s="32">
        <f>SUM(Table3789[[#This Row],[Total Trees as of 12/31/24]]-Table3789[[#This Row],['# Trees as of 12/31/23]])</f>
        <v>0</v>
      </c>
      <c r="Q135" s="16">
        <f>Table11[[#This Row],['#Total Replacements]]*Table11[[#This Row],[Canada Allocation2017 %]]</f>
        <v>0</v>
      </c>
      <c r="R135" s="32">
        <f>IF(Table3789[[#This Row],['#Survival based on Inventory]]=0,Table3789['#Survival based on Last Year Estimate],Table3789['#Survival based on Inventory])</f>
        <v>0</v>
      </c>
      <c r="S135" s="16">
        <f>Table11[[#This Row],['#Planted]]*Table11[[#This Row],[Canada Allocation2017 %]]*Table11[[#This Row],[2024 Inventory Survival%-master]]</f>
        <v>0</v>
      </c>
      <c r="T135" s="16">
        <f>Table11[[#This Row],['#Planted]]*Table11[[#This Row],[Canada Allocation2017 %]]*Table11[[#This Row],[2024 Estimated Survival%]]</f>
        <v>0</v>
      </c>
      <c r="U135" s="7">
        <f>Table11[[#This Row],[ETP Year]]</f>
        <v>2020</v>
      </c>
      <c r="V135" s="7">
        <f>Table11[[#This Row],[Planting Year]]</f>
        <v>2020</v>
      </c>
      <c r="W135" s="8">
        <f>Table11[[#This Row],[Survival% as of 12/31/23]]</f>
        <v>0.90227272727272723</v>
      </c>
      <c r="X135">
        <f>Table11[[#This Row],[ETP'#s]]</f>
        <v>1</v>
      </c>
    </row>
    <row r="136" spans="1:24" hidden="1" x14ac:dyDescent="0.25">
      <c r="A136">
        <f>Table11[[#This Row],[Farmer'#]]</f>
        <v>10059</v>
      </c>
      <c r="B136" t="str">
        <f>Table11[[#This Row],[Representative]]</f>
        <v>Jeff George</v>
      </c>
      <c r="C136" t="str">
        <f>Table11[[#This Row],[Contract Name]]</f>
        <v>Jeff George</v>
      </c>
      <c r="D136" t="str">
        <f>Table11[[#This Row],[Status]]</f>
        <v>Active</v>
      </c>
      <c r="E136" t="str">
        <f>Table11[[#This Row],[Contract Code]]</f>
        <v>US0069</v>
      </c>
      <c r="F136">
        <f>Table11[[#This Row],['#TreesContract]]</f>
        <v>1100</v>
      </c>
      <c r="G136">
        <f>Table11[[#This Row],['#Planted]]</f>
        <v>1100</v>
      </c>
      <c r="H136" s="16">
        <f>Table11[[#This Row],['#TreesContract]]*Table11[[#This Row],[Canada Allocation2017 %]]</f>
        <v>0</v>
      </c>
      <c r="I136" s="16">
        <f>Table11[[#This Row],['#Planted]]*Table11[[#This Row],[Canada Allocation2017 %]]</f>
        <v>0</v>
      </c>
      <c r="J136" s="16">
        <f>Table11[[#This Row],[Contract Amendment]]*Table11[[#This Row],[Canada Allocation2017 %]]</f>
        <v>0</v>
      </c>
      <c r="K136" s="16">
        <f>Table11[[#This Row],['#Trees as of 12/31/23]]*Table11[[#This Row],[Canada Allocation2017 %]]</f>
        <v>0</v>
      </c>
      <c r="L136" s="16">
        <f>Table11[[#This Row],['#Replace 24]]*Table11[[#This Row],[Canada Allocation2017 %]]</f>
        <v>0</v>
      </c>
      <c r="M136" s="16"/>
      <c r="N136" s="16">
        <f>(Table11[[#This Row],[2024 '#Trees Inventory + Estimate]]*Table11[[#This Row],[Canada Allocation2017 %]])-SUM(Table3789[[#This Row],['# Trees as of 12/31/23]:[New Trees/Planted in 2024]])</f>
        <v>0</v>
      </c>
      <c r="O136" s="32">
        <f>SUM(Table3789[[#This Row],['# Trees as of 12/31/23]:[2024 Tree Losses]])</f>
        <v>0</v>
      </c>
      <c r="P136" s="32">
        <f>SUM(Table3789[[#This Row],[Total Trees as of 12/31/24]]-Table3789[[#This Row],['# Trees as of 12/31/23]])</f>
        <v>0</v>
      </c>
      <c r="Q136" s="16">
        <f>Table11[[#This Row],['#Total Replacements]]*Table11[[#This Row],[Canada Allocation2017 %]]</f>
        <v>0</v>
      </c>
      <c r="R136" s="32">
        <f>IF(Table3789[[#This Row],['#Survival based on Inventory]]=0,Table3789['#Survival based on Last Year Estimate],Table3789['#Survival based on Inventory])</f>
        <v>0</v>
      </c>
      <c r="S136" s="16">
        <f>Table11[[#This Row],['#Planted]]*Table11[[#This Row],[Canada Allocation2017 %]]*Table11[[#This Row],[2024 Inventory Survival%-master]]</f>
        <v>0</v>
      </c>
      <c r="T136" s="16">
        <f>Table11[[#This Row],['#Planted]]*Table11[[#This Row],[Canada Allocation2017 %]]*Table11[[#This Row],[2024 Estimated Survival%]]</f>
        <v>0</v>
      </c>
      <c r="U136" s="7">
        <f>Table11[[#This Row],[ETP Year]]</f>
        <v>2020</v>
      </c>
      <c r="V136" s="7">
        <f>Table11[[#This Row],[Planting Year]]</f>
        <v>2020</v>
      </c>
      <c r="W136" s="8">
        <f>Table11[[#This Row],[Survival% as of 12/31/23]]</f>
        <v>1</v>
      </c>
      <c r="X136">
        <f>Table11[[#This Row],[ETP'#s]]</f>
        <v>1</v>
      </c>
    </row>
    <row r="137" spans="1:24" hidden="1" x14ac:dyDescent="0.25">
      <c r="A137">
        <f>Table11[[#This Row],[Farmer'#]]</f>
        <v>10060</v>
      </c>
      <c r="B137" t="str">
        <f>Table11[[#This Row],[Representative]]</f>
        <v>Jeff Rice</v>
      </c>
      <c r="C137" t="str">
        <f>Table11[[#This Row],[Contract Name]]</f>
        <v>Jeffrey Rice</v>
      </c>
      <c r="D137" t="str">
        <f>Table11[[#This Row],[Status]]</f>
        <v>Active</v>
      </c>
      <c r="E137" t="str">
        <f>Table11[[#This Row],[Contract Code]]</f>
        <v>US0070</v>
      </c>
      <c r="F137">
        <f>Table11[[#This Row],['#TreesContract]]</f>
        <v>1100</v>
      </c>
      <c r="G137">
        <f>Table11[[#This Row],['#Planted]]</f>
        <v>1100</v>
      </c>
      <c r="H137" s="16">
        <f>Table11[[#This Row],['#TreesContract]]*Table11[[#This Row],[Canada Allocation2017 %]]</f>
        <v>0</v>
      </c>
      <c r="I137" s="16">
        <f>Table11[[#This Row],['#Planted]]*Table11[[#This Row],[Canada Allocation2017 %]]</f>
        <v>0</v>
      </c>
      <c r="J137" s="16">
        <f>Table11[[#This Row],[Contract Amendment]]*Table11[[#This Row],[Canada Allocation2017 %]]</f>
        <v>0</v>
      </c>
      <c r="K137" s="16">
        <f>Table11[[#This Row],['#Trees as of 12/31/23]]*Table11[[#This Row],[Canada Allocation2017 %]]</f>
        <v>0</v>
      </c>
      <c r="L137" s="16">
        <f>Table11[[#This Row],['#Replace 24]]*Table11[[#This Row],[Canada Allocation2017 %]]</f>
        <v>0</v>
      </c>
      <c r="M137" s="16"/>
      <c r="N137" s="16">
        <f>(Table11[[#This Row],[2024 '#Trees Inventory + Estimate]]*Table11[[#This Row],[Canada Allocation2017 %]])-SUM(Table3789[[#This Row],['# Trees as of 12/31/23]:[New Trees/Planted in 2024]])</f>
        <v>0</v>
      </c>
      <c r="O137" s="32">
        <f>SUM(Table3789[[#This Row],['# Trees as of 12/31/23]:[2024 Tree Losses]])</f>
        <v>0</v>
      </c>
      <c r="P137" s="32">
        <f>SUM(Table3789[[#This Row],[Total Trees as of 12/31/24]]-Table3789[[#This Row],['# Trees as of 12/31/23]])</f>
        <v>0</v>
      </c>
      <c r="Q137" s="16">
        <f>Table11[[#This Row],['#Total Replacements]]*Table11[[#This Row],[Canada Allocation2017 %]]</f>
        <v>0</v>
      </c>
      <c r="R137" s="32">
        <f>IF(Table3789[[#This Row],['#Survival based on Inventory]]=0,Table3789['#Survival based on Last Year Estimate],Table3789['#Survival based on Inventory])</f>
        <v>0</v>
      </c>
      <c r="S137" s="16">
        <f>Table11[[#This Row],['#Planted]]*Table11[[#This Row],[Canada Allocation2017 %]]*Table11[[#This Row],[2024 Inventory Survival%-master]]</f>
        <v>0</v>
      </c>
      <c r="T137" s="16">
        <f>Table11[[#This Row],['#Planted]]*Table11[[#This Row],[Canada Allocation2017 %]]*Table11[[#This Row],[2024 Estimated Survival%]]</f>
        <v>0</v>
      </c>
      <c r="U137" s="7">
        <f>Table11[[#This Row],[ETP Year]]</f>
        <v>2020</v>
      </c>
      <c r="V137" s="7">
        <f>Table11[[#This Row],[Planting Year]]</f>
        <v>2020</v>
      </c>
      <c r="W137" s="8">
        <f>Table11[[#This Row],[Survival% as of 12/31/23]]</f>
        <v>0.88227272727272732</v>
      </c>
      <c r="X137">
        <f>Table11[[#This Row],[ETP'#s]]</f>
        <v>1</v>
      </c>
    </row>
    <row r="138" spans="1:24" hidden="1" x14ac:dyDescent="0.25">
      <c r="A138">
        <f>Table11[[#This Row],[Farmer'#]]</f>
        <v>10061</v>
      </c>
      <c r="B138" t="str">
        <f>Table11[[#This Row],[Representative]]</f>
        <v>Jim West</v>
      </c>
      <c r="C138" t="str">
        <f>Table11[[#This Row],[Contract Name]]</f>
        <v>Jim West</v>
      </c>
      <c r="D138" t="str">
        <f>Table11[[#This Row],[Status]]</f>
        <v>Active</v>
      </c>
      <c r="E138" t="str">
        <f>Table11[[#This Row],[Contract Code]]</f>
        <v>US0071</v>
      </c>
      <c r="F138">
        <f>Table11[[#This Row],['#TreesContract]]</f>
        <v>1100</v>
      </c>
      <c r="G138">
        <f>Table11[[#This Row],['#Planted]]</f>
        <v>1100</v>
      </c>
      <c r="H138" s="16">
        <f>Table11[[#This Row],['#TreesContract]]*Table11[[#This Row],[Canada Allocation2017 %]]</f>
        <v>0</v>
      </c>
      <c r="I138" s="16">
        <f>Table11[[#This Row],['#Planted]]*Table11[[#This Row],[Canada Allocation2017 %]]</f>
        <v>0</v>
      </c>
      <c r="J138" s="16">
        <f>Table11[[#This Row],[Contract Amendment]]*Table11[[#This Row],[Canada Allocation2017 %]]</f>
        <v>0</v>
      </c>
      <c r="K138" s="16">
        <f>Table11[[#This Row],['#Trees as of 12/31/23]]*Table11[[#This Row],[Canada Allocation2017 %]]</f>
        <v>0</v>
      </c>
      <c r="L138" s="16">
        <f>Table11[[#This Row],['#Replace 24]]*Table11[[#This Row],[Canada Allocation2017 %]]</f>
        <v>0</v>
      </c>
      <c r="M138" s="16"/>
      <c r="N138" s="16">
        <f>(Table11[[#This Row],[2024 '#Trees Inventory + Estimate]]*Table11[[#This Row],[Canada Allocation2017 %]])-SUM(Table3789[[#This Row],['# Trees as of 12/31/23]:[New Trees/Planted in 2024]])</f>
        <v>0</v>
      </c>
      <c r="O138" s="32">
        <f>SUM(Table3789[[#This Row],['# Trees as of 12/31/23]:[2024 Tree Losses]])</f>
        <v>0</v>
      </c>
      <c r="P138" s="32">
        <f>SUM(Table3789[[#This Row],[Total Trees as of 12/31/24]]-Table3789[[#This Row],['# Trees as of 12/31/23]])</f>
        <v>0</v>
      </c>
      <c r="Q138" s="16">
        <f>Table11[[#This Row],['#Total Replacements]]*Table11[[#This Row],[Canada Allocation2017 %]]</f>
        <v>0</v>
      </c>
      <c r="R138" s="32">
        <f>IF(Table3789[[#This Row],['#Survival based on Inventory]]=0,Table3789['#Survival based on Last Year Estimate],Table3789['#Survival based on Inventory])</f>
        <v>0</v>
      </c>
      <c r="S138" s="16">
        <f>Table11[[#This Row],['#Planted]]*Table11[[#This Row],[Canada Allocation2017 %]]*Table11[[#This Row],[2024 Inventory Survival%-master]]</f>
        <v>0</v>
      </c>
      <c r="T138" s="16">
        <f>Table11[[#This Row],['#Planted]]*Table11[[#This Row],[Canada Allocation2017 %]]*Table11[[#This Row],[2024 Estimated Survival%]]</f>
        <v>0</v>
      </c>
      <c r="U138" s="7">
        <f>Table11[[#This Row],[ETP Year]]</f>
        <v>2020</v>
      </c>
      <c r="V138" s="7">
        <f>Table11[[#This Row],[Planting Year]]</f>
        <v>2020</v>
      </c>
      <c r="W138" s="8">
        <f>Table11[[#This Row],[Survival% as of 12/31/23]]</f>
        <v>1</v>
      </c>
      <c r="X138">
        <f>Table11[[#This Row],[ETP'#s]]</f>
        <v>1</v>
      </c>
    </row>
    <row r="139" spans="1:24" hidden="1" x14ac:dyDescent="0.25">
      <c r="A139">
        <f>Table11[[#This Row],[Farmer'#]]</f>
        <v>10062</v>
      </c>
      <c r="B139" t="str">
        <f>Table11[[#This Row],[Representative]]</f>
        <v>John Hayes</v>
      </c>
      <c r="C139" t="str">
        <f>Table11[[#This Row],[Contract Name]]</f>
        <v>Hayes Farms LLC</v>
      </c>
      <c r="D139" t="str">
        <f>Table11[[#This Row],[Status]]</f>
        <v>Out of Program</v>
      </c>
      <c r="E139" t="str">
        <f>Table11[[#This Row],[Contract Code]]</f>
        <v>US0072</v>
      </c>
      <c r="F139">
        <f>Table11[[#This Row],['#TreesContract]]</f>
        <v>1100</v>
      </c>
      <c r="G139">
        <f>Table11[[#This Row],['#Planted]]</f>
        <v>1100</v>
      </c>
      <c r="H139" s="16">
        <f>Table11[[#This Row],['#TreesContract]]*Table11[[#This Row],[Canada Allocation2017 %]]</f>
        <v>0</v>
      </c>
      <c r="I139" s="16">
        <f>Table11[[#This Row],['#Planted]]*Table11[[#This Row],[Canada Allocation2017 %]]</f>
        <v>0</v>
      </c>
      <c r="J139" s="16">
        <f>Table11[[#This Row],[Contract Amendment]]*Table11[[#This Row],[Canada Allocation2017 %]]</f>
        <v>0</v>
      </c>
      <c r="K139" s="16">
        <f>Table11[[#This Row],['#Trees as of 12/31/23]]*Table11[[#This Row],[Canada Allocation2017 %]]</f>
        <v>0</v>
      </c>
      <c r="L139" s="16">
        <f>Table11[[#This Row],['#Replace 24]]*Table11[[#This Row],[Canada Allocation2017 %]]</f>
        <v>0</v>
      </c>
      <c r="M139" s="16"/>
      <c r="N139" s="16">
        <f>(Table11[[#This Row],[2024 '#Trees Inventory + Estimate]]*Table11[[#This Row],[Canada Allocation2017 %]])-SUM(Table3789[[#This Row],['# Trees as of 12/31/23]:[New Trees/Planted in 2024]])</f>
        <v>0</v>
      </c>
      <c r="O139" s="32">
        <f>SUM(Table3789[[#This Row],['# Trees as of 12/31/23]:[2024 Tree Losses]])</f>
        <v>0</v>
      </c>
      <c r="P139" s="32">
        <f>SUM(Table3789[[#This Row],[Total Trees as of 12/31/24]]-Table3789[[#This Row],['# Trees as of 12/31/23]])</f>
        <v>0</v>
      </c>
      <c r="Q139" s="16">
        <f>Table11[[#This Row],['#Total Replacements]]*Table11[[#This Row],[Canada Allocation2017 %]]</f>
        <v>0</v>
      </c>
      <c r="R139" s="32">
        <f>IF(Table3789[[#This Row],['#Survival based on Inventory]]=0,Table3789['#Survival based on Last Year Estimate],Table3789['#Survival based on Inventory])</f>
        <v>0</v>
      </c>
      <c r="S139" s="16">
        <f>Table11[[#This Row],['#Planted]]*Table11[[#This Row],[Canada Allocation2017 %]]*Table11[[#This Row],[2024 Inventory Survival%-master]]</f>
        <v>0</v>
      </c>
      <c r="T139" s="16">
        <f>Table11[[#This Row],['#Planted]]*Table11[[#This Row],[Canada Allocation2017 %]]*Table11[[#This Row],[2024 Estimated Survival%]]</f>
        <v>0</v>
      </c>
      <c r="U139" s="7">
        <f>Table11[[#This Row],[ETP Year]]</f>
        <v>2020</v>
      </c>
      <c r="V139" s="7">
        <f>Table11[[#This Row],[Planting Year]]</f>
        <v>2020</v>
      </c>
      <c r="W139" s="8">
        <f>Table11[[#This Row],[Survival% as of 12/31/23]]</f>
        <v>0.82499999999999996</v>
      </c>
      <c r="X139">
        <f>Table11[[#This Row],[ETP'#s]]</f>
        <v>1</v>
      </c>
    </row>
    <row r="140" spans="1:24" hidden="1" x14ac:dyDescent="0.25">
      <c r="A140">
        <f>Table11[[#This Row],[Farmer'#]]</f>
        <v>10063</v>
      </c>
      <c r="B140" t="str">
        <f>Table11[[#This Row],[Representative]]</f>
        <v>Joseph Garrett</v>
      </c>
      <c r="C140" t="str">
        <f>Table11[[#This Row],[Contract Name]]</f>
        <v>Joseph Garrett</v>
      </c>
      <c r="D140" t="str">
        <f>Table11[[#This Row],[Status]]</f>
        <v>Active</v>
      </c>
      <c r="E140" t="str">
        <f>Table11[[#This Row],[Contract Code]]</f>
        <v>US0073</v>
      </c>
      <c r="F140">
        <f>Table11[[#This Row],['#TreesContract]]</f>
        <v>1100</v>
      </c>
      <c r="G140">
        <f>Table11[[#This Row],['#Planted]]</f>
        <v>1100</v>
      </c>
      <c r="H140" s="16">
        <f>Table11[[#This Row],['#TreesContract]]*Table11[[#This Row],[Canada Allocation2017 %]]</f>
        <v>0</v>
      </c>
      <c r="I140" s="16">
        <f>Table11[[#This Row],['#Planted]]*Table11[[#This Row],[Canada Allocation2017 %]]</f>
        <v>0</v>
      </c>
      <c r="J140" s="16">
        <f>Table11[[#This Row],[Contract Amendment]]*Table11[[#This Row],[Canada Allocation2017 %]]</f>
        <v>0</v>
      </c>
      <c r="K140" s="16">
        <f>Table11[[#This Row],['#Trees as of 12/31/23]]*Table11[[#This Row],[Canada Allocation2017 %]]</f>
        <v>0</v>
      </c>
      <c r="L140" s="16">
        <f>Table11[[#This Row],['#Replace 24]]*Table11[[#This Row],[Canada Allocation2017 %]]</f>
        <v>0</v>
      </c>
      <c r="M140" s="16"/>
      <c r="N140" s="16">
        <f>(Table11[[#This Row],[2024 '#Trees Inventory + Estimate]]*Table11[[#This Row],[Canada Allocation2017 %]])-SUM(Table3789[[#This Row],['# Trees as of 12/31/23]:[New Trees/Planted in 2024]])</f>
        <v>0</v>
      </c>
      <c r="O140" s="32">
        <f>SUM(Table3789[[#This Row],['# Trees as of 12/31/23]:[2024 Tree Losses]])</f>
        <v>0</v>
      </c>
      <c r="P140" s="32">
        <f>SUM(Table3789[[#This Row],[Total Trees as of 12/31/24]]-Table3789[[#This Row],['# Trees as of 12/31/23]])</f>
        <v>0</v>
      </c>
      <c r="Q140" s="16">
        <f>Table11[[#This Row],['#Total Replacements]]*Table11[[#This Row],[Canada Allocation2017 %]]</f>
        <v>0</v>
      </c>
      <c r="R140" s="32">
        <f>IF(Table3789[[#This Row],['#Survival based on Inventory]]=0,Table3789['#Survival based on Last Year Estimate],Table3789['#Survival based on Inventory])</f>
        <v>0</v>
      </c>
      <c r="S140" s="16">
        <f>Table11[[#This Row],['#Planted]]*Table11[[#This Row],[Canada Allocation2017 %]]*Table11[[#This Row],[2024 Inventory Survival%-master]]</f>
        <v>0</v>
      </c>
      <c r="T140" s="16">
        <f>Table11[[#This Row],['#Planted]]*Table11[[#This Row],[Canada Allocation2017 %]]*Table11[[#This Row],[2024 Estimated Survival%]]</f>
        <v>0</v>
      </c>
      <c r="U140" s="7">
        <f>Table11[[#This Row],[ETP Year]]</f>
        <v>2020</v>
      </c>
      <c r="V140" s="7">
        <f>Table11[[#This Row],[Planting Year]]</f>
        <v>2020</v>
      </c>
      <c r="W140" s="8">
        <f>Table11[[#This Row],[Survival% as of 12/31/23]]</f>
        <v>0.98818181818181816</v>
      </c>
      <c r="X140">
        <f>Table11[[#This Row],[ETP'#s]]</f>
        <v>1</v>
      </c>
    </row>
    <row r="141" spans="1:24" hidden="1" x14ac:dyDescent="0.25">
      <c r="A141">
        <f>Table11[[#This Row],[Farmer'#]]</f>
        <v>10064</v>
      </c>
      <c r="B141" t="str">
        <f>Table11[[#This Row],[Representative]]</f>
        <v>Josh Allen</v>
      </c>
      <c r="C141" t="str">
        <f>Table11[[#This Row],[Contract Name]]</f>
        <v>Josh Allen</v>
      </c>
      <c r="D141" t="str">
        <f>Table11[[#This Row],[Status]]</f>
        <v>Active</v>
      </c>
      <c r="E141" t="str">
        <f>Table11[[#This Row],[Contract Code]]</f>
        <v>US0074</v>
      </c>
      <c r="F141">
        <f>Table11[[#This Row],['#TreesContract]]</f>
        <v>1100</v>
      </c>
      <c r="G141">
        <f>Table11[[#This Row],['#Planted]]</f>
        <v>1100</v>
      </c>
      <c r="H141" s="16">
        <f>Table11[[#This Row],['#TreesContract]]*Table11[[#This Row],[Canada Allocation2017 %]]</f>
        <v>0</v>
      </c>
      <c r="I141" s="16">
        <f>Table11[[#This Row],['#Planted]]*Table11[[#This Row],[Canada Allocation2017 %]]</f>
        <v>0</v>
      </c>
      <c r="J141" s="16">
        <f>Table11[[#This Row],[Contract Amendment]]*Table11[[#This Row],[Canada Allocation2017 %]]</f>
        <v>0</v>
      </c>
      <c r="K141" s="16">
        <f>Table11[[#This Row],['#Trees as of 12/31/23]]*Table11[[#This Row],[Canada Allocation2017 %]]</f>
        <v>0</v>
      </c>
      <c r="L141" s="16">
        <f>Table11[[#This Row],['#Replace 24]]*Table11[[#This Row],[Canada Allocation2017 %]]</f>
        <v>0</v>
      </c>
      <c r="M141" s="16"/>
      <c r="N141" s="16">
        <f>(Table11[[#This Row],[2024 '#Trees Inventory + Estimate]]*Table11[[#This Row],[Canada Allocation2017 %]])-SUM(Table3789[[#This Row],['# Trees as of 12/31/23]:[New Trees/Planted in 2024]])</f>
        <v>0</v>
      </c>
      <c r="O141" s="32">
        <f>SUM(Table3789[[#This Row],['# Trees as of 12/31/23]:[2024 Tree Losses]])</f>
        <v>0</v>
      </c>
      <c r="P141" s="32">
        <f>SUM(Table3789[[#This Row],[Total Trees as of 12/31/24]]-Table3789[[#This Row],['# Trees as of 12/31/23]])</f>
        <v>0</v>
      </c>
      <c r="Q141" s="16">
        <f>Table11[[#This Row],['#Total Replacements]]*Table11[[#This Row],[Canada Allocation2017 %]]</f>
        <v>0</v>
      </c>
      <c r="R141" s="32">
        <f>IF(Table3789[[#This Row],['#Survival based on Inventory]]=0,Table3789['#Survival based on Last Year Estimate],Table3789['#Survival based on Inventory])</f>
        <v>0</v>
      </c>
      <c r="S141" s="16">
        <f>Table11[[#This Row],['#Planted]]*Table11[[#This Row],[Canada Allocation2017 %]]*Table11[[#This Row],[2024 Inventory Survival%-master]]</f>
        <v>0</v>
      </c>
      <c r="T141" s="16">
        <f>Table11[[#This Row],['#Planted]]*Table11[[#This Row],[Canada Allocation2017 %]]*Table11[[#This Row],[2024 Estimated Survival%]]</f>
        <v>0</v>
      </c>
      <c r="U141" s="7">
        <f>Table11[[#This Row],[ETP Year]]</f>
        <v>2020</v>
      </c>
      <c r="V141" s="7">
        <f>Table11[[#This Row],[Planting Year]]</f>
        <v>2020</v>
      </c>
      <c r="W141" s="8">
        <f>Table11[[#This Row],[Survival% as of 12/31/23]]</f>
        <v>0.95</v>
      </c>
      <c r="X141">
        <f>Table11[[#This Row],[ETP'#s]]</f>
        <v>1</v>
      </c>
    </row>
    <row r="142" spans="1:24" hidden="1" x14ac:dyDescent="0.25">
      <c r="A142">
        <f>Table11[[#This Row],[Farmer'#]]</f>
        <v>10065</v>
      </c>
      <c r="B142" t="str">
        <f>Table11[[#This Row],[Representative]]</f>
        <v>Justin Brewer</v>
      </c>
      <c r="C142" t="str">
        <f>Table11[[#This Row],[Contract Name]]</f>
        <v>Justin Brewer</v>
      </c>
      <c r="D142" t="str">
        <f>Table11[[#This Row],[Status]]</f>
        <v>Active</v>
      </c>
      <c r="E142" t="str">
        <f>Table11[[#This Row],[Contract Code]]</f>
        <v>US0075</v>
      </c>
      <c r="F142">
        <f>Table11[[#This Row],['#TreesContract]]</f>
        <v>1090</v>
      </c>
      <c r="G142">
        <f>Table11[[#This Row],['#Planted]]</f>
        <v>1090</v>
      </c>
      <c r="H142" s="16">
        <f>Table11[[#This Row],['#TreesContract]]*Table11[[#This Row],[Canada Allocation2017 %]]</f>
        <v>0</v>
      </c>
      <c r="I142" s="16">
        <f>Table11[[#This Row],['#Planted]]*Table11[[#This Row],[Canada Allocation2017 %]]</f>
        <v>0</v>
      </c>
      <c r="J142" s="16">
        <f>Table11[[#This Row],[Contract Amendment]]*Table11[[#This Row],[Canada Allocation2017 %]]</f>
        <v>0</v>
      </c>
      <c r="K142" s="16">
        <f>Table11[[#This Row],['#Trees as of 12/31/23]]*Table11[[#This Row],[Canada Allocation2017 %]]</f>
        <v>0</v>
      </c>
      <c r="L142" s="16">
        <f>Table11[[#This Row],['#Replace 24]]*Table11[[#This Row],[Canada Allocation2017 %]]</f>
        <v>0</v>
      </c>
      <c r="M142" s="16"/>
      <c r="N142" s="16">
        <f>(Table11[[#This Row],[2024 '#Trees Inventory + Estimate]]*Table11[[#This Row],[Canada Allocation2017 %]])-SUM(Table3789[[#This Row],['# Trees as of 12/31/23]:[New Trees/Planted in 2024]])</f>
        <v>0</v>
      </c>
      <c r="O142" s="32">
        <f>SUM(Table3789[[#This Row],['# Trees as of 12/31/23]:[2024 Tree Losses]])</f>
        <v>0</v>
      </c>
      <c r="P142" s="32">
        <f>SUM(Table3789[[#This Row],[Total Trees as of 12/31/24]]-Table3789[[#This Row],['# Trees as of 12/31/23]])</f>
        <v>0</v>
      </c>
      <c r="Q142" s="16">
        <f>Table11[[#This Row],['#Total Replacements]]*Table11[[#This Row],[Canada Allocation2017 %]]</f>
        <v>0</v>
      </c>
      <c r="R142" s="32">
        <f>IF(Table3789[[#This Row],['#Survival based on Inventory]]=0,Table3789['#Survival based on Last Year Estimate],Table3789['#Survival based on Inventory])</f>
        <v>0</v>
      </c>
      <c r="S142" s="16">
        <f>Table11[[#This Row],['#Planted]]*Table11[[#This Row],[Canada Allocation2017 %]]*Table11[[#This Row],[2024 Inventory Survival%-master]]</f>
        <v>0</v>
      </c>
      <c r="T142" s="16">
        <f>Table11[[#This Row],['#Planted]]*Table11[[#This Row],[Canada Allocation2017 %]]*Table11[[#This Row],[2024 Estimated Survival%]]</f>
        <v>0</v>
      </c>
      <c r="U142" s="7">
        <f>Table11[[#This Row],[ETP Year]]</f>
        <v>2020</v>
      </c>
      <c r="V142" s="7">
        <f>Table11[[#This Row],[Planting Year]]</f>
        <v>2020</v>
      </c>
      <c r="W142" s="8">
        <f>Table11[[#This Row],[Survival% as of 12/31/23]]</f>
        <v>1</v>
      </c>
      <c r="X142">
        <f>Table11[[#This Row],[ETP'#s]]</f>
        <v>1</v>
      </c>
    </row>
    <row r="143" spans="1:24" hidden="1" x14ac:dyDescent="0.25">
      <c r="A143">
        <f>Table11[[#This Row],[Farmer'#]]</f>
        <v>10066</v>
      </c>
      <c r="B143" t="str">
        <f>Table11[[#This Row],[Representative]]</f>
        <v>Kim Martens</v>
      </c>
      <c r="C143" t="str">
        <f>Table11[[#This Row],[Contract Name]]</f>
        <v>Kim Martens</v>
      </c>
      <c r="D143" t="str">
        <f>Table11[[#This Row],[Status]]</f>
        <v>Active</v>
      </c>
      <c r="E143" t="str">
        <f>Table11[[#This Row],[Contract Code]]</f>
        <v>US0076</v>
      </c>
      <c r="F143">
        <f>Table11[[#This Row],['#TreesContract]]</f>
        <v>750</v>
      </c>
      <c r="G143">
        <f>Table11[[#This Row],['#Planted]]</f>
        <v>750</v>
      </c>
      <c r="H143" s="16">
        <f>Table11[[#This Row],['#TreesContract]]*Table11[[#This Row],[Canada Allocation2017 %]]</f>
        <v>0</v>
      </c>
      <c r="I143" s="16">
        <f>Table11[[#This Row],['#Planted]]*Table11[[#This Row],[Canada Allocation2017 %]]</f>
        <v>0</v>
      </c>
      <c r="J143" s="16">
        <f>Table11[[#This Row],[Contract Amendment]]*Table11[[#This Row],[Canada Allocation2017 %]]</f>
        <v>0</v>
      </c>
      <c r="K143" s="16">
        <f>Table11[[#This Row],['#Trees as of 12/31/23]]*Table11[[#This Row],[Canada Allocation2017 %]]</f>
        <v>0</v>
      </c>
      <c r="L143" s="16">
        <f>Table11[[#This Row],['#Replace 24]]*Table11[[#This Row],[Canada Allocation2017 %]]</f>
        <v>0</v>
      </c>
      <c r="M143" s="16"/>
      <c r="N143" s="16">
        <f>(Table11[[#This Row],[2024 '#Trees Inventory + Estimate]]*Table11[[#This Row],[Canada Allocation2017 %]])-SUM(Table3789[[#This Row],['# Trees as of 12/31/23]:[New Trees/Planted in 2024]])</f>
        <v>0</v>
      </c>
      <c r="O143" s="32">
        <f>SUM(Table3789[[#This Row],['# Trees as of 12/31/23]:[2024 Tree Losses]])</f>
        <v>0</v>
      </c>
      <c r="P143" s="32">
        <f>SUM(Table3789[[#This Row],[Total Trees as of 12/31/24]]-Table3789[[#This Row],['# Trees as of 12/31/23]])</f>
        <v>0</v>
      </c>
      <c r="Q143" s="16">
        <f>Table11[[#This Row],['#Total Replacements]]*Table11[[#This Row],[Canada Allocation2017 %]]</f>
        <v>0</v>
      </c>
      <c r="R143" s="32">
        <f>IF(Table3789[[#This Row],['#Survival based on Inventory]]=0,Table3789['#Survival based on Last Year Estimate],Table3789['#Survival based on Inventory])</f>
        <v>0</v>
      </c>
      <c r="S143" s="16">
        <f>Table11[[#This Row],['#Planted]]*Table11[[#This Row],[Canada Allocation2017 %]]*Table11[[#This Row],[2024 Inventory Survival%-master]]</f>
        <v>0</v>
      </c>
      <c r="T143" s="16">
        <f>Table11[[#This Row],['#Planted]]*Table11[[#This Row],[Canada Allocation2017 %]]*Table11[[#This Row],[2024 Estimated Survival%]]</f>
        <v>0</v>
      </c>
      <c r="U143" s="7">
        <f>Table11[[#This Row],[ETP Year]]</f>
        <v>2020</v>
      </c>
      <c r="V143" s="7">
        <f>Table11[[#This Row],[Planting Year]]</f>
        <v>2020</v>
      </c>
      <c r="W143" s="8">
        <f>Table11[[#This Row],[Survival% as of 12/31/23]]</f>
        <v>0.96499999999999997</v>
      </c>
      <c r="X143">
        <f>Table11[[#This Row],[ETP'#s]]</f>
        <v>1</v>
      </c>
    </row>
    <row r="144" spans="1:24" hidden="1" x14ac:dyDescent="0.25">
      <c r="A144">
        <f>Table11[[#This Row],[Farmer'#]]</f>
        <v>10067</v>
      </c>
      <c r="B144" t="str">
        <f>Table11[[#This Row],[Representative]]</f>
        <v>Mike Porter</v>
      </c>
      <c r="C144" t="str">
        <f>Table11[[#This Row],[Contract Name]]</f>
        <v>Mike Porter and Teri Galardi</v>
      </c>
      <c r="D144" t="str">
        <f>Table11[[#This Row],[Status]]</f>
        <v>Active</v>
      </c>
      <c r="E144" t="str">
        <f>Table11[[#This Row],[Contract Code]]</f>
        <v>US0077</v>
      </c>
      <c r="F144">
        <f>Table11[[#This Row],['#TreesContract]]</f>
        <v>2200</v>
      </c>
      <c r="G144">
        <f>Table11[[#This Row],['#Planted]]</f>
        <v>2200</v>
      </c>
      <c r="H144" s="16">
        <f>Table11[[#This Row],['#TreesContract]]*Table11[[#This Row],[Canada Allocation2017 %]]</f>
        <v>0</v>
      </c>
      <c r="I144" s="16">
        <f>Table11[[#This Row],['#Planted]]*Table11[[#This Row],[Canada Allocation2017 %]]</f>
        <v>0</v>
      </c>
      <c r="J144" s="16">
        <f>Table11[[#This Row],[Contract Amendment]]*Table11[[#This Row],[Canada Allocation2017 %]]</f>
        <v>0</v>
      </c>
      <c r="K144" s="16">
        <f>Table11[[#This Row],['#Trees as of 12/31/23]]*Table11[[#This Row],[Canada Allocation2017 %]]</f>
        <v>0</v>
      </c>
      <c r="L144" s="16">
        <f>Table11[[#This Row],['#Replace 24]]*Table11[[#This Row],[Canada Allocation2017 %]]</f>
        <v>0</v>
      </c>
      <c r="M144" s="16"/>
      <c r="N144" s="16">
        <f>(Table11[[#This Row],[2024 '#Trees Inventory + Estimate]]*Table11[[#This Row],[Canada Allocation2017 %]])-SUM(Table3789[[#This Row],['# Trees as of 12/31/23]:[New Trees/Planted in 2024]])</f>
        <v>0</v>
      </c>
      <c r="O144" s="32">
        <f>SUM(Table3789[[#This Row],['# Trees as of 12/31/23]:[2024 Tree Losses]])</f>
        <v>0</v>
      </c>
      <c r="P144" s="32">
        <f>SUM(Table3789[[#This Row],[Total Trees as of 12/31/24]]-Table3789[[#This Row],['# Trees as of 12/31/23]])</f>
        <v>0</v>
      </c>
      <c r="Q144" s="16">
        <f>Table11[[#This Row],['#Total Replacements]]*Table11[[#This Row],[Canada Allocation2017 %]]</f>
        <v>0</v>
      </c>
      <c r="R144" s="32">
        <f>IF(Table3789[[#This Row],['#Survival based on Inventory]]=0,Table3789['#Survival based on Last Year Estimate],Table3789['#Survival based on Inventory])</f>
        <v>0</v>
      </c>
      <c r="S144" s="16">
        <f>Table11[[#This Row],['#Planted]]*Table11[[#This Row],[Canada Allocation2017 %]]*Table11[[#This Row],[2024 Inventory Survival%-master]]</f>
        <v>0</v>
      </c>
      <c r="T144" s="16">
        <f>Table11[[#This Row],['#Planted]]*Table11[[#This Row],[Canada Allocation2017 %]]*Table11[[#This Row],[2024 Estimated Survival%]]</f>
        <v>0</v>
      </c>
      <c r="U144" s="7">
        <f>Table11[[#This Row],[ETP Year]]</f>
        <v>2020</v>
      </c>
      <c r="V144" s="7">
        <f>Table11[[#This Row],[Planting Year]]</f>
        <v>2020</v>
      </c>
      <c r="W144" s="8">
        <f>Table11[[#This Row],[Survival% as of 12/31/23]]</f>
        <v>1</v>
      </c>
      <c r="X144">
        <f>Table11[[#This Row],[ETP'#s]]</f>
        <v>1</v>
      </c>
    </row>
    <row r="145" spans="1:24" hidden="1" x14ac:dyDescent="0.25">
      <c r="A145">
        <f>Table11[[#This Row],[Farmer'#]]</f>
        <v>10068</v>
      </c>
      <c r="B145" t="str">
        <f>Table11[[#This Row],[Representative]]</f>
        <v>Pete Preskitt</v>
      </c>
      <c r="C145" t="str">
        <f>Table11[[#This Row],[Contract Name]]</f>
        <v>Pete Preskitt</v>
      </c>
      <c r="D145" t="str">
        <f>Table11[[#This Row],[Status]]</f>
        <v>RFT</v>
      </c>
      <c r="E145" t="str">
        <f>Table11[[#This Row],[Contract Code]]</f>
        <v>US0078</v>
      </c>
      <c r="F145">
        <f>Table11[[#This Row],['#TreesContract]]</f>
        <v>1100</v>
      </c>
      <c r="G145">
        <f>Table11[[#This Row],['#Planted]]</f>
        <v>1100</v>
      </c>
      <c r="H145" s="16">
        <f>Table11[[#This Row],['#TreesContract]]*Table11[[#This Row],[Canada Allocation2017 %]]</f>
        <v>0</v>
      </c>
      <c r="I145" s="16">
        <f>Table11[[#This Row],['#Planted]]*Table11[[#This Row],[Canada Allocation2017 %]]</f>
        <v>0</v>
      </c>
      <c r="J145" s="16">
        <f>Table11[[#This Row],[Contract Amendment]]*Table11[[#This Row],[Canada Allocation2017 %]]</f>
        <v>0</v>
      </c>
      <c r="K145" s="16">
        <f>Table11[[#This Row],['#Trees as of 12/31/23]]*Table11[[#This Row],[Canada Allocation2017 %]]</f>
        <v>0</v>
      </c>
      <c r="L145" s="16">
        <f>Table11[[#This Row],['#Replace 24]]*Table11[[#This Row],[Canada Allocation2017 %]]</f>
        <v>0</v>
      </c>
      <c r="M145" s="16"/>
      <c r="N145" s="16">
        <f>(Table11[[#This Row],[2024 '#Trees Inventory + Estimate]]*Table11[[#This Row],[Canada Allocation2017 %]])-SUM(Table3789[[#This Row],['# Trees as of 12/31/23]:[New Trees/Planted in 2024]])</f>
        <v>0</v>
      </c>
      <c r="O145" s="32">
        <f>SUM(Table3789[[#This Row],['# Trees as of 12/31/23]:[2024 Tree Losses]])</f>
        <v>0</v>
      </c>
      <c r="P145" s="32">
        <f>SUM(Table3789[[#This Row],[Total Trees as of 12/31/24]]-Table3789[[#This Row],['# Trees as of 12/31/23]])</f>
        <v>0</v>
      </c>
      <c r="Q145" s="16">
        <f>Table11[[#This Row],['#Total Replacements]]*Table11[[#This Row],[Canada Allocation2017 %]]</f>
        <v>0</v>
      </c>
      <c r="R145" s="32">
        <f>IF(Table3789[[#This Row],['#Survival based on Inventory]]=0,Table3789['#Survival based on Last Year Estimate],Table3789['#Survival based on Inventory])</f>
        <v>0</v>
      </c>
      <c r="S145" s="16">
        <f>Table11[[#This Row],['#Planted]]*Table11[[#This Row],[Canada Allocation2017 %]]*Table11[[#This Row],[2024 Inventory Survival%-master]]</f>
        <v>0</v>
      </c>
      <c r="T145" s="16">
        <f>Table11[[#This Row],['#Planted]]*Table11[[#This Row],[Canada Allocation2017 %]]*Table11[[#This Row],[2024 Estimated Survival%]]</f>
        <v>0</v>
      </c>
      <c r="U145" s="7">
        <f>Table11[[#This Row],[ETP Year]]</f>
        <v>2020</v>
      </c>
      <c r="V145" s="7">
        <f>Table11[[#This Row],[Planting Year]]</f>
        <v>2020</v>
      </c>
      <c r="W145" s="8">
        <f>Table11[[#This Row],[Survival% as of 12/31/23]]</f>
        <v>0.95</v>
      </c>
      <c r="X145">
        <f>Table11[[#This Row],[ETP'#s]]</f>
        <v>1</v>
      </c>
    </row>
    <row r="146" spans="1:24" hidden="1" x14ac:dyDescent="0.25">
      <c r="A146">
        <f>Table11[[#This Row],[Farmer'#]]</f>
        <v>10069</v>
      </c>
      <c r="B146" t="str">
        <f>Table11[[#This Row],[Representative]]</f>
        <v>Peter Kampmann</v>
      </c>
      <c r="C146" t="str">
        <f>Table11[[#This Row],[Contract Name]]</f>
        <v>Peter Kampmann</v>
      </c>
      <c r="D146" t="str">
        <f>Table11[[#This Row],[Status]]</f>
        <v>Active</v>
      </c>
      <c r="E146" t="str">
        <f>Table11[[#This Row],[Contract Code]]</f>
        <v>US0079</v>
      </c>
      <c r="F146">
        <f>Table11[[#This Row],['#TreesContract]]</f>
        <v>2130</v>
      </c>
      <c r="G146">
        <f>Table11[[#This Row],['#Planted]]</f>
        <v>2130</v>
      </c>
      <c r="H146" s="16">
        <f>Table11[[#This Row],['#TreesContract]]*Table11[[#This Row],[Canada Allocation2017 %]]</f>
        <v>0</v>
      </c>
      <c r="I146" s="16">
        <f>Table11[[#This Row],['#Planted]]*Table11[[#This Row],[Canada Allocation2017 %]]</f>
        <v>0</v>
      </c>
      <c r="J146" s="16">
        <f>Table11[[#This Row],[Contract Amendment]]*Table11[[#This Row],[Canada Allocation2017 %]]</f>
        <v>0</v>
      </c>
      <c r="K146" s="16">
        <f>Table11[[#This Row],['#Trees as of 12/31/23]]*Table11[[#This Row],[Canada Allocation2017 %]]</f>
        <v>0</v>
      </c>
      <c r="L146" s="16">
        <f>Table11[[#This Row],['#Replace 24]]*Table11[[#This Row],[Canada Allocation2017 %]]</f>
        <v>0</v>
      </c>
      <c r="M146" s="16"/>
      <c r="N146" s="16">
        <f>(Table11[[#This Row],[2024 '#Trees Inventory + Estimate]]*Table11[[#This Row],[Canada Allocation2017 %]])-SUM(Table3789[[#This Row],['# Trees as of 12/31/23]:[New Trees/Planted in 2024]])</f>
        <v>0</v>
      </c>
      <c r="O146" s="32">
        <f>SUM(Table3789[[#This Row],['# Trees as of 12/31/23]:[2024 Tree Losses]])</f>
        <v>0</v>
      </c>
      <c r="P146" s="32">
        <f>SUM(Table3789[[#This Row],[Total Trees as of 12/31/24]]-Table3789[[#This Row],['# Trees as of 12/31/23]])</f>
        <v>0</v>
      </c>
      <c r="Q146" s="16">
        <f>Table11[[#This Row],['#Total Replacements]]*Table11[[#This Row],[Canada Allocation2017 %]]</f>
        <v>0</v>
      </c>
      <c r="R146" s="32">
        <f>IF(Table3789[[#This Row],['#Survival based on Inventory]]=0,Table3789['#Survival based on Last Year Estimate],Table3789['#Survival based on Inventory])</f>
        <v>0</v>
      </c>
      <c r="S146" s="16">
        <f>Table11[[#This Row],['#Planted]]*Table11[[#This Row],[Canada Allocation2017 %]]*Table11[[#This Row],[2024 Inventory Survival%-master]]</f>
        <v>0</v>
      </c>
      <c r="T146" s="16">
        <f>Table11[[#This Row],['#Planted]]*Table11[[#This Row],[Canada Allocation2017 %]]*Table11[[#This Row],[2024 Estimated Survival%]]</f>
        <v>0</v>
      </c>
      <c r="U146" s="7">
        <f>Table11[[#This Row],[ETP Year]]</f>
        <v>2020</v>
      </c>
      <c r="V146" s="7">
        <f>Table11[[#This Row],[Planting Year]]</f>
        <v>2020</v>
      </c>
      <c r="W146" s="8">
        <f>Table11[[#This Row],[Survival% as of 12/31/23]]</f>
        <v>1</v>
      </c>
      <c r="X146">
        <f>Table11[[#This Row],[ETP'#s]]</f>
        <v>1</v>
      </c>
    </row>
    <row r="147" spans="1:24" hidden="1" x14ac:dyDescent="0.25">
      <c r="A147">
        <f>Table11[[#This Row],[Farmer'#]]</f>
        <v>10070</v>
      </c>
      <c r="B147" t="str">
        <f>Table11[[#This Row],[Representative]]</f>
        <v>Randy Grant</v>
      </c>
      <c r="C147" t="str">
        <f>Table11[[#This Row],[Contract Name]]</f>
        <v>Randy Grant</v>
      </c>
      <c r="D147" t="str">
        <f>Table11[[#This Row],[Status]]</f>
        <v>Active</v>
      </c>
      <c r="E147" t="str">
        <f>Table11[[#This Row],[Contract Code]]</f>
        <v>US0080</v>
      </c>
      <c r="F147">
        <f>Table11[[#This Row],['#TreesContract]]</f>
        <v>5300</v>
      </c>
      <c r="G147">
        <f>Table11[[#This Row],['#Planted]]</f>
        <v>5300</v>
      </c>
      <c r="H147" s="16">
        <f>Table11[[#This Row],['#TreesContract]]*Table11[[#This Row],[Canada Allocation2017 %]]</f>
        <v>0</v>
      </c>
      <c r="I147" s="16">
        <f>Table11[[#This Row],['#Planted]]*Table11[[#This Row],[Canada Allocation2017 %]]</f>
        <v>0</v>
      </c>
      <c r="J147" s="16">
        <f>Table11[[#This Row],[Contract Amendment]]*Table11[[#This Row],[Canada Allocation2017 %]]</f>
        <v>0</v>
      </c>
      <c r="K147" s="16">
        <f>Table11[[#This Row],['#Trees as of 12/31/23]]*Table11[[#This Row],[Canada Allocation2017 %]]</f>
        <v>0</v>
      </c>
      <c r="L147" s="16">
        <f>Table11[[#This Row],['#Replace 24]]*Table11[[#This Row],[Canada Allocation2017 %]]</f>
        <v>0</v>
      </c>
      <c r="M147" s="16"/>
      <c r="N147" s="16">
        <f>(Table11[[#This Row],[2024 '#Trees Inventory + Estimate]]*Table11[[#This Row],[Canada Allocation2017 %]])-SUM(Table3789[[#This Row],['# Trees as of 12/31/23]:[New Trees/Planted in 2024]])</f>
        <v>0</v>
      </c>
      <c r="O147" s="32">
        <f>SUM(Table3789[[#This Row],['# Trees as of 12/31/23]:[2024 Tree Losses]])</f>
        <v>0</v>
      </c>
      <c r="P147" s="32">
        <f>SUM(Table3789[[#This Row],[Total Trees as of 12/31/24]]-Table3789[[#This Row],['# Trees as of 12/31/23]])</f>
        <v>0</v>
      </c>
      <c r="Q147" s="16">
        <f>Table11[[#This Row],['#Total Replacements]]*Table11[[#This Row],[Canada Allocation2017 %]]</f>
        <v>0</v>
      </c>
      <c r="R147" s="32">
        <f>IF(Table3789[[#This Row],['#Survival based on Inventory]]=0,Table3789['#Survival based on Last Year Estimate],Table3789['#Survival based on Inventory])</f>
        <v>0</v>
      </c>
      <c r="S147" s="16">
        <f>Table11[[#This Row],['#Planted]]*Table11[[#This Row],[Canada Allocation2017 %]]*Table11[[#This Row],[2024 Inventory Survival%-master]]</f>
        <v>0</v>
      </c>
      <c r="T147" s="16">
        <f>Table11[[#This Row],['#Planted]]*Table11[[#This Row],[Canada Allocation2017 %]]*Table11[[#This Row],[2024 Estimated Survival%]]</f>
        <v>0</v>
      </c>
      <c r="U147" s="7">
        <f>Table11[[#This Row],[ETP Year]]</f>
        <v>2020</v>
      </c>
      <c r="V147" s="7">
        <f>Table11[[#This Row],[Planting Year]]</f>
        <v>2020</v>
      </c>
      <c r="W147" s="8">
        <f>Table11[[#This Row],[Survival% as of 12/31/23]]</f>
        <v>1</v>
      </c>
      <c r="X147">
        <f>Table11[[#This Row],[ETP'#s]]</f>
        <v>1</v>
      </c>
    </row>
    <row r="148" spans="1:24" hidden="1" x14ac:dyDescent="0.25">
      <c r="A148">
        <f>Table11[[#This Row],[Farmer'#]]</f>
        <v>10071</v>
      </c>
      <c r="B148" t="str">
        <f>Table11[[#This Row],[Representative]]</f>
        <v>Ricky Mitchell</v>
      </c>
      <c r="C148" t="str">
        <f>Table11[[#This Row],[Contract Name]]</f>
        <v>Ricky Mitchell</v>
      </c>
      <c r="D148" t="str">
        <f>Table11[[#This Row],[Status]]</f>
        <v>Active</v>
      </c>
      <c r="E148" t="str">
        <f>Table11[[#This Row],[Contract Code]]</f>
        <v>US0081</v>
      </c>
      <c r="F148">
        <f>Table11[[#This Row],['#TreesContract]]</f>
        <v>1100</v>
      </c>
      <c r="G148">
        <f>Table11[[#This Row],['#Planted]]</f>
        <v>1100</v>
      </c>
      <c r="H148" s="16">
        <f>Table11[[#This Row],['#TreesContract]]*Table11[[#This Row],[Canada Allocation2017 %]]</f>
        <v>0</v>
      </c>
      <c r="I148" s="16">
        <f>Table11[[#This Row],['#Planted]]*Table11[[#This Row],[Canada Allocation2017 %]]</f>
        <v>0</v>
      </c>
      <c r="J148" s="16">
        <f>Table11[[#This Row],[Contract Amendment]]*Table11[[#This Row],[Canada Allocation2017 %]]</f>
        <v>0</v>
      </c>
      <c r="K148" s="16">
        <f>Table11[[#This Row],['#Trees as of 12/31/23]]*Table11[[#This Row],[Canada Allocation2017 %]]</f>
        <v>0</v>
      </c>
      <c r="L148" s="16">
        <f>Table11[[#This Row],['#Replace 24]]*Table11[[#This Row],[Canada Allocation2017 %]]</f>
        <v>0</v>
      </c>
      <c r="M148" s="16"/>
      <c r="N148" s="16">
        <f>(Table11[[#This Row],[2024 '#Trees Inventory + Estimate]]*Table11[[#This Row],[Canada Allocation2017 %]])-SUM(Table3789[[#This Row],['# Trees as of 12/31/23]:[New Trees/Planted in 2024]])</f>
        <v>0</v>
      </c>
      <c r="O148" s="32">
        <f>SUM(Table3789[[#This Row],['# Trees as of 12/31/23]:[2024 Tree Losses]])</f>
        <v>0</v>
      </c>
      <c r="P148" s="32">
        <f>SUM(Table3789[[#This Row],[Total Trees as of 12/31/24]]-Table3789[[#This Row],['# Trees as of 12/31/23]])</f>
        <v>0</v>
      </c>
      <c r="Q148" s="16">
        <f>Table11[[#This Row],['#Total Replacements]]*Table11[[#This Row],[Canada Allocation2017 %]]</f>
        <v>0</v>
      </c>
      <c r="R148" s="32">
        <f>IF(Table3789[[#This Row],['#Survival based on Inventory]]=0,Table3789['#Survival based on Last Year Estimate],Table3789['#Survival based on Inventory])</f>
        <v>0</v>
      </c>
      <c r="S148" s="16">
        <f>Table11[[#This Row],['#Planted]]*Table11[[#This Row],[Canada Allocation2017 %]]*Table11[[#This Row],[2024 Inventory Survival%-master]]</f>
        <v>0</v>
      </c>
      <c r="T148" s="16">
        <f>Table11[[#This Row],['#Planted]]*Table11[[#This Row],[Canada Allocation2017 %]]*Table11[[#This Row],[2024 Estimated Survival%]]</f>
        <v>0</v>
      </c>
      <c r="U148" s="7">
        <f>Table11[[#This Row],[ETP Year]]</f>
        <v>2020</v>
      </c>
      <c r="V148" s="7">
        <f>Table11[[#This Row],[Planting Year]]</f>
        <v>2020</v>
      </c>
      <c r="W148" s="8">
        <f>Table11[[#This Row],[Survival% as of 12/31/23]]</f>
        <v>0.97772727272727278</v>
      </c>
      <c r="X148">
        <f>Table11[[#This Row],[ETP'#s]]</f>
        <v>1</v>
      </c>
    </row>
    <row r="149" spans="1:24" hidden="1" x14ac:dyDescent="0.25">
      <c r="A149">
        <f>Table11[[#This Row],[Farmer'#]]</f>
        <v>10072</v>
      </c>
      <c r="B149" t="str">
        <f>Table11[[#This Row],[Representative]]</f>
        <v>Ronnie and Kent Mathis</v>
      </c>
      <c r="C149" t="str">
        <f>Table11[[#This Row],[Contract Name]]</f>
        <v>Ronnie Mathis</v>
      </c>
      <c r="D149" t="str">
        <f>Table11[[#This Row],[Status]]</f>
        <v>Active</v>
      </c>
      <c r="E149" t="str">
        <f>Table11[[#This Row],[Contract Code]]</f>
        <v>US0082</v>
      </c>
      <c r="F149">
        <f>Table11[[#This Row],['#TreesContract]]</f>
        <v>3850</v>
      </c>
      <c r="G149">
        <f>Table11[[#This Row],['#Planted]]</f>
        <v>3850</v>
      </c>
      <c r="H149" s="16">
        <f>Table11[[#This Row],['#TreesContract]]*Table11[[#This Row],[Canada Allocation2017 %]]</f>
        <v>0</v>
      </c>
      <c r="I149" s="16">
        <f>Table11[[#This Row],['#Planted]]*Table11[[#This Row],[Canada Allocation2017 %]]</f>
        <v>0</v>
      </c>
      <c r="J149" s="16">
        <f>Table11[[#This Row],[Contract Amendment]]*Table11[[#This Row],[Canada Allocation2017 %]]</f>
        <v>0</v>
      </c>
      <c r="K149" s="16">
        <f>Table11[[#This Row],['#Trees as of 12/31/23]]*Table11[[#This Row],[Canada Allocation2017 %]]</f>
        <v>0</v>
      </c>
      <c r="L149" s="16">
        <f>Table11[[#This Row],['#Replace 24]]*Table11[[#This Row],[Canada Allocation2017 %]]</f>
        <v>0</v>
      </c>
      <c r="M149" s="16"/>
      <c r="N149" s="16">
        <f>(Table11[[#This Row],[2024 '#Trees Inventory + Estimate]]*Table11[[#This Row],[Canada Allocation2017 %]])-SUM(Table3789[[#This Row],['# Trees as of 12/31/23]:[New Trees/Planted in 2024]])</f>
        <v>0</v>
      </c>
      <c r="O149" s="32">
        <f>SUM(Table3789[[#This Row],['# Trees as of 12/31/23]:[2024 Tree Losses]])</f>
        <v>0</v>
      </c>
      <c r="P149" s="32">
        <f>SUM(Table3789[[#This Row],[Total Trees as of 12/31/24]]-Table3789[[#This Row],['# Trees as of 12/31/23]])</f>
        <v>0</v>
      </c>
      <c r="Q149" s="16">
        <f>Table11[[#This Row],['#Total Replacements]]*Table11[[#This Row],[Canada Allocation2017 %]]</f>
        <v>0</v>
      </c>
      <c r="R149" s="32">
        <f>IF(Table3789[[#This Row],['#Survival based on Inventory]]=0,Table3789['#Survival based on Last Year Estimate],Table3789['#Survival based on Inventory])</f>
        <v>0</v>
      </c>
      <c r="S149" s="16">
        <f>Table11[[#This Row],['#Planted]]*Table11[[#This Row],[Canada Allocation2017 %]]*Table11[[#This Row],[2024 Inventory Survival%-master]]</f>
        <v>0</v>
      </c>
      <c r="T149" s="16">
        <f>Table11[[#This Row],['#Planted]]*Table11[[#This Row],[Canada Allocation2017 %]]*Table11[[#This Row],[2024 Estimated Survival%]]</f>
        <v>0</v>
      </c>
      <c r="U149" s="7">
        <f>Table11[[#This Row],[ETP Year]]</f>
        <v>2020</v>
      </c>
      <c r="V149" s="7">
        <f>Table11[[#This Row],[Planting Year]]</f>
        <v>2020</v>
      </c>
      <c r="W149" s="8">
        <f>Table11[[#This Row],[Survival% as of 12/31/23]]</f>
        <v>1</v>
      </c>
      <c r="X149">
        <f>Table11[[#This Row],[ETP'#s]]</f>
        <v>1</v>
      </c>
    </row>
    <row r="150" spans="1:24" hidden="1" x14ac:dyDescent="0.25">
      <c r="A150">
        <f>Table11[[#This Row],[Farmer'#]]</f>
        <v>10073</v>
      </c>
      <c r="B150" t="str">
        <f>Table11[[#This Row],[Representative]]</f>
        <v>Russell and Sedalia Nelson</v>
      </c>
      <c r="C150" t="str">
        <f>Table11[[#This Row],[Contract Name]]</f>
        <v>Russell and Sedalia Nelson</v>
      </c>
      <c r="D150" t="str">
        <f>Table11[[#This Row],[Status]]</f>
        <v>Active</v>
      </c>
      <c r="E150" t="str">
        <f>Table11[[#This Row],[Contract Code]]</f>
        <v>US0083</v>
      </c>
      <c r="F150">
        <f>Table11[[#This Row],['#TreesContract]]</f>
        <v>1619</v>
      </c>
      <c r="G150">
        <f>Table11[[#This Row],['#Planted]]</f>
        <v>1619</v>
      </c>
      <c r="H150" s="16">
        <f>Table11[[#This Row],['#TreesContract]]*Table11[[#This Row],[Canada Allocation2017 %]]</f>
        <v>0</v>
      </c>
      <c r="I150" s="16">
        <f>Table11[[#This Row],['#Planted]]*Table11[[#This Row],[Canada Allocation2017 %]]</f>
        <v>0</v>
      </c>
      <c r="J150" s="16">
        <f>Table11[[#This Row],[Contract Amendment]]*Table11[[#This Row],[Canada Allocation2017 %]]</f>
        <v>0</v>
      </c>
      <c r="K150" s="16">
        <f>Table11[[#This Row],['#Trees as of 12/31/23]]*Table11[[#This Row],[Canada Allocation2017 %]]</f>
        <v>0</v>
      </c>
      <c r="L150" s="16">
        <f>Table11[[#This Row],['#Replace 24]]*Table11[[#This Row],[Canada Allocation2017 %]]</f>
        <v>0</v>
      </c>
      <c r="M150" s="16"/>
      <c r="N150" s="16">
        <f>(Table11[[#This Row],[2024 '#Trees Inventory + Estimate]]*Table11[[#This Row],[Canada Allocation2017 %]])-SUM(Table3789[[#This Row],['# Trees as of 12/31/23]:[New Trees/Planted in 2024]])</f>
        <v>0</v>
      </c>
      <c r="O150" s="32">
        <f>SUM(Table3789[[#This Row],['# Trees as of 12/31/23]:[2024 Tree Losses]])</f>
        <v>0</v>
      </c>
      <c r="P150" s="32">
        <f>SUM(Table3789[[#This Row],[Total Trees as of 12/31/24]]-Table3789[[#This Row],['# Trees as of 12/31/23]])</f>
        <v>0</v>
      </c>
      <c r="Q150" s="16">
        <f>Table11[[#This Row],['#Total Replacements]]*Table11[[#This Row],[Canada Allocation2017 %]]</f>
        <v>0</v>
      </c>
      <c r="R150" s="32">
        <f>IF(Table3789[[#This Row],['#Survival based on Inventory]]=0,Table3789['#Survival based on Last Year Estimate],Table3789['#Survival based on Inventory])</f>
        <v>0</v>
      </c>
      <c r="S150" s="16">
        <f>Table11[[#This Row],['#Planted]]*Table11[[#This Row],[Canada Allocation2017 %]]*Table11[[#This Row],[2024 Inventory Survival%-master]]</f>
        <v>0</v>
      </c>
      <c r="T150" s="16">
        <f>Table11[[#This Row],['#Planted]]*Table11[[#This Row],[Canada Allocation2017 %]]*Table11[[#This Row],[2024 Estimated Survival%]]</f>
        <v>0</v>
      </c>
      <c r="U150" s="7">
        <f>Table11[[#This Row],[ETP Year]]</f>
        <v>2020</v>
      </c>
      <c r="V150" s="7">
        <f>Table11[[#This Row],[Planting Year]]</f>
        <v>2020</v>
      </c>
      <c r="W150" s="8">
        <f>Table11[[#This Row],[Survival% as of 12/31/23]]</f>
        <v>0.95</v>
      </c>
      <c r="X150">
        <f>Table11[[#This Row],[ETP'#s]]</f>
        <v>1</v>
      </c>
    </row>
    <row r="151" spans="1:24" hidden="1" x14ac:dyDescent="0.25">
      <c r="A151">
        <f>Table11[[#This Row],[Farmer'#]]</f>
        <v>10074</v>
      </c>
      <c r="B151" t="str">
        <f>Table11[[#This Row],[Representative]]</f>
        <v>Scott Fenn</v>
      </c>
      <c r="C151" t="str">
        <f>Table11[[#This Row],[Contract Name]]</f>
        <v>Scott Fenn</v>
      </c>
      <c r="D151" t="str">
        <f>Table11[[#This Row],[Status]]</f>
        <v>Active</v>
      </c>
      <c r="E151" t="str">
        <f>Table11[[#This Row],[Contract Code]]</f>
        <v>US0084</v>
      </c>
      <c r="F151">
        <f>Table11[[#This Row],['#TreesContract]]</f>
        <v>1100</v>
      </c>
      <c r="G151">
        <f>Table11[[#This Row],['#Planted]]</f>
        <v>1100</v>
      </c>
      <c r="H151" s="16">
        <f>Table11[[#This Row],['#TreesContract]]*Table11[[#This Row],[Canada Allocation2017 %]]</f>
        <v>0</v>
      </c>
      <c r="I151" s="16">
        <f>Table11[[#This Row],['#Planted]]*Table11[[#This Row],[Canada Allocation2017 %]]</f>
        <v>0</v>
      </c>
      <c r="J151" s="16">
        <f>Table11[[#This Row],[Contract Amendment]]*Table11[[#This Row],[Canada Allocation2017 %]]</f>
        <v>0</v>
      </c>
      <c r="K151" s="16">
        <f>Table11[[#This Row],['#Trees as of 12/31/23]]*Table11[[#This Row],[Canada Allocation2017 %]]</f>
        <v>0</v>
      </c>
      <c r="L151" s="16">
        <f>Table11[[#This Row],['#Replace 24]]*Table11[[#This Row],[Canada Allocation2017 %]]</f>
        <v>0</v>
      </c>
      <c r="M151" s="16"/>
      <c r="N151" s="16">
        <f>(Table11[[#This Row],[2024 '#Trees Inventory + Estimate]]*Table11[[#This Row],[Canada Allocation2017 %]])-SUM(Table3789[[#This Row],['# Trees as of 12/31/23]:[New Trees/Planted in 2024]])</f>
        <v>0</v>
      </c>
      <c r="O151" s="32">
        <f>SUM(Table3789[[#This Row],['# Trees as of 12/31/23]:[2024 Tree Losses]])</f>
        <v>0</v>
      </c>
      <c r="P151" s="32">
        <f>SUM(Table3789[[#This Row],[Total Trees as of 12/31/24]]-Table3789[[#This Row],['# Trees as of 12/31/23]])</f>
        <v>0</v>
      </c>
      <c r="Q151" s="16">
        <f>Table11[[#This Row],['#Total Replacements]]*Table11[[#This Row],[Canada Allocation2017 %]]</f>
        <v>0</v>
      </c>
      <c r="R151" s="32">
        <f>IF(Table3789[[#This Row],['#Survival based on Inventory]]=0,Table3789['#Survival based on Last Year Estimate],Table3789['#Survival based on Inventory])</f>
        <v>0</v>
      </c>
      <c r="S151" s="16">
        <f>Table11[[#This Row],['#Planted]]*Table11[[#This Row],[Canada Allocation2017 %]]*Table11[[#This Row],[2024 Inventory Survival%-master]]</f>
        <v>0</v>
      </c>
      <c r="T151" s="16">
        <f>Table11[[#This Row],['#Planted]]*Table11[[#This Row],[Canada Allocation2017 %]]*Table11[[#This Row],[2024 Estimated Survival%]]</f>
        <v>0</v>
      </c>
      <c r="U151" s="7">
        <f>Table11[[#This Row],[ETP Year]]</f>
        <v>2020</v>
      </c>
      <c r="V151" s="7">
        <f>Table11[[#This Row],[Planting Year]]</f>
        <v>2020</v>
      </c>
      <c r="W151" s="8">
        <f>Table11[[#This Row],[Survival% as of 12/31/23]]</f>
        <v>0.82499999999999996</v>
      </c>
      <c r="X151">
        <f>Table11[[#This Row],[ETP'#s]]</f>
        <v>1</v>
      </c>
    </row>
    <row r="152" spans="1:24" hidden="1" x14ac:dyDescent="0.25">
      <c r="A152">
        <f>Table11[[#This Row],[Farmer'#]]</f>
        <v>10075</v>
      </c>
      <c r="B152" t="str">
        <f>Table11[[#This Row],[Representative]]</f>
        <v>Scott Landreau</v>
      </c>
      <c r="C152" t="str">
        <f>Table11[[#This Row],[Contract Name]]</f>
        <v>Cidney Scott and Stuart Page Landreau</v>
      </c>
      <c r="D152" t="str">
        <f>Table11[[#This Row],[Status]]</f>
        <v>Active</v>
      </c>
      <c r="E152" t="str">
        <f>Table11[[#This Row],[Contract Code]]</f>
        <v>US0085</v>
      </c>
      <c r="F152">
        <f>Table11[[#This Row],['#TreesContract]]</f>
        <v>1320</v>
      </c>
      <c r="G152">
        <f>Table11[[#This Row],['#Planted]]</f>
        <v>1320</v>
      </c>
      <c r="H152" s="16">
        <f>Table11[[#This Row],['#TreesContract]]*Table11[[#This Row],[Canada Allocation2017 %]]</f>
        <v>0</v>
      </c>
      <c r="I152" s="16">
        <f>Table11[[#This Row],['#Planted]]*Table11[[#This Row],[Canada Allocation2017 %]]</f>
        <v>0</v>
      </c>
      <c r="J152" s="16">
        <f>Table11[[#This Row],[Contract Amendment]]*Table11[[#This Row],[Canada Allocation2017 %]]</f>
        <v>0</v>
      </c>
      <c r="K152" s="16">
        <f>Table11[[#This Row],['#Trees as of 12/31/23]]*Table11[[#This Row],[Canada Allocation2017 %]]</f>
        <v>0</v>
      </c>
      <c r="L152" s="16">
        <f>Table11[[#This Row],['#Replace 24]]*Table11[[#This Row],[Canada Allocation2017 %]]</f>
        <v>0</v>
      </c>
      <c r="M152" s="16"/>
      <c r="N152" s="16">
        <f>(Table11[[#This Row],[2024 '#Trees Inventory + Estimate]]*Table11[[#This Row],[Canada Allocation2017 %]])-SUM(Table3789[[#This Row],['# Trees as of 12/31/23]:[New Trees/Planted in 2024]])</f>
        <v>0</v>
      </c>
      <c r="O152" s="32">
        <f>SUM(Table3789[[#This Row],['# Trees as of 12/31/23]:[2024 Tree Losses]])</f>
        <v>0</v>
      </c>
      <c r="P152" s="32">
        <f>SUM(Table3789[[#This Row],[Total Trees as of 12/31/24]]-Table3789[[#This Row],['# Trees as of 12/31/23]])</f>
        <v>0</v>
      </c>
      <c r="Q152" s="16">
        <f>Table11[[#This Row],['#Total Replacements]]*Table11[[#This Row],[Canada Allocation2017 %]]</f>
        <v>0</v>
      </c>
      <c r="R152" s="32">
        <f>IF(Table3789[[#This Row],['#Survival based on Inventory]]=0,Table3789['#Survival based on Last Year Estimate],Table3789['#Survival based on Inventory])</f>
        <v>0</v>
      </c>
      <c r="S152" s="16">
        <f>Table11[[#This Row],['#Planted]]*Table11[[#This Row],[Canada Allocation2017 %]]*Table11[[#This Row],[2024 Inventory Survival%-master]]</f>
        <v>0</v>
      </c>
      <c r="T152" s="16">
        <f>Table11[[#This Row],['#Planted]]*Table11[[#This Row],[Canada Allocation2017 %]]*Table11[[#This Row],[2024 Estimated Survival%]]</f>
        <v>0</v>
      </c>
      <c r="U152" s="7">
        <f>Table11[[#This Row],[ETP Year]]</f>
        <v>2020</v>
      </c>
      <c r="V152" s="7">
        <f>Table11[[#This Row],[Planting Year]]</f>
        <v>2020</v>
      </c>
      <c r="W152" s="8">
        <f>Table11[[#This Row],[Survival% as of 12/31/23]]</f>
        <v>0.82499999999999996</v>
      </c>
      <c r="X152">
        <f>Table11[[#This Row],[ETP'#s]]</f>
        <v>1</v>
      </c>
    </row>
    <row r="153" spans="1:24" hidden="1" x14ac:dyDescent="0.25">
      <c r="A153">
        <f>Table11[[#This Row],[Farmer'#]]</f>
        <v>10076</v>
      </c>
      <c r="B153" t="str">
        <f>Table11[[#This Row],[Representative]]</f>
        <v>Will Allen</v>
      </c>
      <c r="C153" t="str">
        <f>Table11[[#This Row],[Contract Name]]</f>
        <v>Will Allen</v>
      </c>
      <c r="D153" t="str">
        <f>Table11[[#This Row],[Status]]</f>
        <v>Out of Program</v>
      </c>
      <c r="E153" t="str">
        <f>Table11[[#This Row],[Contract Code]]</f>
        <v>US0088</v>
      </c>
      <c r="F153">
        <f>Table11[[#This Row],['#TreesContract]]</f>
        <v>1100</v>
      </c>
      <c r="G153">
        <f>Table11[[#This Row],['#Planted]]</f>
        <v>1100</v>
      </c>
      <c r="H153" s="16">
        <f>Table11[[#This Row],['#TreesContract]]*Table11[[#This Row],[Canada Allocation2017 %]]</f>
        <v>0</v>
      </c>
      <c r="I153" s="16">
        <f>Table11[[#This Row],['#Planted]]*Table11[[#This Row],[Canada Allocation2017 %]]</f>
        <v>0</v>
      </c>
      <c r="J153" s="16">
        <f>Table11[[#This Row],[Contract Amendment]]*Table11[[#This Row],[Canada Allocation2017 %]]</f>
        <v>0</v>
      </c>
      <c r="K153" s="16">
        <f>Table11[[#This Row],['#Trees as of 12/31/23]]*Table11[[#This Row],[Canada Allocation2017 %]]</f>
        <v>0</v>
      </c>
      <c r="L153" s="16">
        <f>Table11[[#This Row],['#Replace 24]]*Table11[[#This Row],[Canada Allocation2017 %]]</f>
        <v>0</v>
      </c>
      <c r="M153" s="16"/>
      <c r="N153" s="16">
        <f>(Table11[[#This Row],[2024 '#Trees Inventory + Estimate]]*Table11[[#This Row],[Canada Allocation2017 %]])-SUM(Table3789[[#This Row],['# Trees as of 12/31/23]:[New Trees/Planted in 2024]])</f>
        <v>0</v>
      </c>
      <c r="O153" s="32">
        <f>SUM(Table3789[[#This Row],['# Trees as of 12/31/23]:[2024 Tree Losses]])</f>
        <v>0</v>
      </c>
      <c r="P153" s="32">
        <f>SUM(Table3789[[#This Row],[Total Trees as of 12/31/24]]-Table3789[[#This Row],['# Trees as of 12/31/23]])</f>
        <v>0</v>
      </c>
      <c r="Q153" s="16">
        <f>Table11[[#This Row],['#Total Replacements]]*Table11[[#This Row],[Canada Allocation2017 %]]</f>
        <v>0</v>
      </c>
      <c r="R153" s="32">
        <f>IF(Table3789[[#This Row],['#Survival based on Inventory]]=0,Table3789['#Survival based on Last Year Estimate],Table3789['#Survival based on Inventory])</f>
        <v>0</v>
      </c>
      <c r="S153" s="16">
        <f>Table11[[#This Row],['#Planted]]*Table11[[#This Row],[Canada Allocation2017 %]]*Table11[[#This Row],[2024 Inventory Survival%-master]]</f>
        <v>0</v>
      </c>
      <c r="T153" s="16">
        <f>Table11[[#This Row],['#Planted]]*Table11[[#This Row],[Canada Allocation2017 %]]*Table11[[#This Row],[2024 Estimated Survival%]]</f>
        <v>0</v>
      </c>
      <c r="U153" s="7">
        <f>Table11[[#This Row],[ETP Year]]</f>
        <v>2020</v>
      </c>
      <c r="V153" s="7">
        <f>Table11[[#This Row],[Planting Year]]</f>
        <v>2020</v>
      </c>
      <c r="W153" s="8">
        <f>Table11[[#This Row],[Survival% as of 12/31/23]]</f>
        <v>0.95</v>
      </c>
      <c r="X153">
        <f>Table11[[#This Row],[ETP'#s]]</f>
        <v>1</v>
      </c>
    </row>
    <row r="154" spans="1:24" hidden="1" x14ac:dyDescent="0.25">
      <c r="A154">
        <f>Table11[[#This Row],[Farmer'#]]</f>
        <v>20027</v>
      </c>
      <c r="B154" t="str">
        <f>Table11[[#This Row],[Representative]]</f>
        <v>Mayela Quesada</v>
      </c>
      <c r="C154" t="str">
        <f>Table11[[#This Row],[Contract Name]]</f>
        <v>Mayela Quesada</v>
      </c>
      <c r="D154" t="str">
        <f>Table11[[#This Row],[Status]]</f>
        <v>Active</v>
      </c>
      <c r="E154" t="str">
        <f>Table11[[#This Row],[Contract Code]]</f>
        <v>CR0061</v>
      </c>
      <c r="F154">
        <f>Table11[[#This Row],['#TreesContract]]</f>
        <v>500</v>
      </c>
      <c r="G154">
        <f>Table11[[#This Row],['#Planted]]</f>
        <v>500</v>
      </c>
      <c r="H154" s="16">
        <f>Table11[[#This Row],['#TreesContract]]*Table11[[#This Row],[Canada Allocation2017 %]]</f>
        <v>0</v>
      </c>
      <c r="I154" s="16">
        <f>Table11[[#This Row],['#Planted]]*Table11[[#This Row],[Canada Allocation2017 %]]</f>
        <v>0</v>
      </c>
      <c r="J154" s="16">
        <f>Table11[[#This Row],[Contract Amendment]]*Table11[[#This Row],[Canada Allocation2017 %]]</f>
        <v>0</v>
      </c>
      <c r="K154" s="16">
        <f>Table11[[#This Row],['#Trees as of 12/31/23]]*Table11[[#This Row],[Canada Allocation2017 %]]</f>
        <v>0</v>
      </c>
      <c r="L154" s="16">
        <f>Table11[[#This Row],['#Replace 24]]*Table11[[#This Row],[Canada Allocation2017 %]]</f>
        <v>0</v>
      </c>
      <c r="M154" s="16"/>
      <c r="N154" s="16">
        <f>(Table11[[#This Row],[2024 '#Trees Inventory + Estimate]]*Table11[[#This Row],[Canada Allocation2017 %]])-SUM(Table3789[[#This Row],['# Trees as of 12/31/23]:[New Trees/Planted in 2024]])</f>
        <v>0</v>
      </c>
      <c r="O154" s="32">
        <f>SUM(Table3789[[#This Row],['# Trees as of 12/31/23]:[2024 Tree Losses]])</f>
        <v>0</v>
      </c>
      <c r="P154" s="32">
        <f>SUM(Table3789[[#This Row],[Total Trees as of 12/31/24]]-Table3789[[#This Row],['# Trees as of 12/31/23]])</f>
        <v>0</v>
      </c>
      <c r="Q154" s="16">
        <f>Table11[[#This Row],['#Total Replacements]]*Table11[[#This Row],[Canada Allocation2017 %]]</f>
        <v>0</v>
      </c>
      <c r="R154" s="32">
        <f>IF(Table3789[[#This Row],['#Survival based on Inventory]]=0,Table3789['#Survival based on Last Year Estimate],Table3789['#Survival based on Inventory])</f>
        <v>0</v>
      </c>
      <c r="S154" s="16">
        <f>Table11[[#This Row],['#Planted]]*Table11[[#This Row],[Canada Allocation2017 %]]*Table11[[#This Row],[2024 Inventory Survival%-master]]</f>
        <v>0</v>
      </c>
      <c r="T154" s="16">
        <f>Table11[[#This Row],['#Planted]]*Table11[[#This Row],[Canada Allocation2017 %]]*Table11[[#This Row],[2024 Estimated Survival%]]</f>
        <v>0</v>
      </c>
      <c r="U154" s="7">
        <f>Table11[[#This Row],[ETP Year]]</f>
        <v>2020</v>
      </c>
      <c r="V154" s="7">
        <f>Table11[[#This Row],[Planting Year]]</f>
        <v>2020</v>
      </c>
      <c r="W154" s="8">
        <f>Table11[[#This Row],[Survival% as of 12/31/23]]</f>
        <v>0.6</v>
      </c>
      <c r="X154">
        <f>Table11[[#This Row],[ETP'#s]]</f>
        <v>1</v>
      </c>
    </row>
    <row r="155" spans="1:24" hidden="1" x14ac:dyDescent="0.25">
      <c r="A155">
        <f>Table11[[#This Row],[Farmer'#]]</f>
        <v>20031</v>
      </c>
      <c r="B155" t="str">
        <f>Table11[[#This Row],[Representative]]</f>
        <v>Alex Donato Arguedas Arroyo</v>
      </c>
      <c r="C155" t="str">
        <f>Table11[[#This Row],[Contract Name]]</f>
        <v>Alex Donato Arguedas Arroyo</v>
      </c>
      <c r="D155" t="str">
        <f>Table11[[#This Row],[Status]]</f>
        <v>Active</v>
      </c>
      <c r="E155" t="str">
        <f>Table11[[#This Row],[Contract Code]]</f>
        <v>CR0035</v>
      </c>
      <c r="F155">
        <f>Table11[[#This Row],['#TreesContract]]</f>
        <v>1200</v>
      </c>
      <c r="G155">
        <f>Table11[[#This Row],['#Planted]]</f>
        <v>1200</v>
      </c>
      <c r="H155" s="16">
        <f>Table11[[#This Row],['#TreesContract]]*Table11[[#This Row],[Canada Allocation2017 %]]</f>
        <v>0</v>
      </c>
      <c r="I155" s="16">
        <f>Table11[[#This Row],['#Planted]]*Table11[[#This Row],[Canada Allocation2017 %]]</f>
        <v>0</v>
      </c>
      <c r="J155" s="16">
        <f>Table11[[#This Row],[Contract Amendment]]*Table11[[#This Row],[Canada Allocation2017 %]]</f>
        <v>0</v>
      </c>
      <c r="K155" s="16">
        <f>Table11[[#This Row],['#Trees as of 12/31/23]]*Table11[[#This Row],[Canada Allocation2017 %]]</f>
        <v>0</v>
      </c>
      <c r="L155" s="16">
        <f>Table11[[#This Row],['#Replace 24]]*Table11[[#This Row],[Canada Allocation2017 %]]</f>
        <v>0</v>
      </c>
      <c r="M155" s="16"/>
      <c r="N155" s="16">
        <f>(Table11[[#This Row],[2024 '#Trees Inventory + Estimate]]*Table11[[#This Row],[Canada Allocation2017 %]])-SUM(Table3789[[#This Row],['# Trees as of 12/31/23]:[New Trees/Planted in 2024]])</f>
        <v>0</v>
      </c>
      <c r="O155" s="32">
        <f>SUM(Table3789[[#This Row],['# Trees as of 12/31/23]:[2024 Tree Losses]])</f>
        <v>0</v>
      </c>
      <c r="P155" s="32">
        <f>SUM(Table3789[[#This Row],[Total Trees as of 12/31/24]]-Table3789[[#This Row],['# Trees as of 12/31/23]])</f>
        <v>0</v>
      </c>
      <c r="Q155" s="16">
        <f>Table11[[#This Row],['#Total Replacements]]*Table11[[#This Row],[Canada Allocation2017 %]]</f>
        <v>0</v>
      </c>
      <c r="R155" s="32">
        <f>IF(Table3789[[#This Row],['#Survival based on Inventory]]=0,Table3789['#Survival based on Last Year Estimate],Table3789['#Survival based on Inventory])</f>
        <v>0</v>
      </c>
      <c r="S155" s="16">
        <f>Table11[[#This Row],['#Planted]]*Table11[[#This Row],[Canada Allocation2017 %]]*Table11[[#This Row],[2024 Inventory Survival%-master]]</f>
        <v>0</v>
      </c>
      <c r="T155" s="16">
        <f>Table11[[#This Row],['#Planted]]*Table11[[#This Row],[Canada Allocation2017 %]]*Table11[[#This Row],[2024 Estimated Survival%]]</f>
        <v>0</v>
      </c>
      <c r="U155" s="7">
        <f>Table11[[#This Row],[ETP Year]]</f>
        <v>2020</v>
      </c>
      <c r="V155" s="7">
        <f>Table11[[#This Row],[Planting Year]]</f>
        <v>2020</v>
      </c>
      <c r="W155" s="8">
        <f>Table11[[#This Row],[Survival% as of 12/31/23]]</f>
        <v>1</v>
      </c>
      <c r="X155">
        <f>Table11[[#This Row],[ETP'#s]]</f>
        <v>1</v>
      </c>
    </row>
    <row r="156" spans="1:24" hidden="1" x14ac:dyDescent="0.25">
      <c r="A156">
        <f>Table11[[#This Row],[Farmer'#]]</f>
        <v>20032</v>
      </c>
      <c r="B156" t="str">
        <f>Table11[[#This Row],[Representative]]</f>
        <v>Alexander Abarca Ortega</v>
      </c>
      <c r="C156" t="str">
        <f>Table11[[#This Row],[Contract Name]]</f>
        <v>El Edén de los Abarca S.A</v>
      </c>
      <c r="D156" t="str">
        <f>Table11[[#This Row],[Status]]</f>
        <v>RFT</v>
      </c>
      <c r="E156" t="str">
        <f>Table11[[#This Row],[Contract Code]]</f>
        <v>CR0036</v>
      </c>
      <c r="F156">
        <f>Table11[[#This Row],['#TreesContract]]</f>
        <v>5200</v>
      </c>
      <c r="G156">
        <f>Table11[[#This Row],['#Planted]]</f>
        <v>5200</v>
      </c>
      <c r="H156" s="16">
        <f>Table11[[#This Row],['#TreesContract]]*Table11[[#This Row],[Canada Allocation2017 %]]</f>
        <v>0</v>
      </c>
      <c r="I156" s="16">
        <f>Table11[[#This Row],['#Planted]]*Table11[[#This Row],[Canada Allocation2017 %]]</f>
        <v>0</v>
      </c>
      <c r="J156" s="16">
        <f>Table11[[#This Row],[Contract Amendment]]*Table11[[#This Row],[Canada Allocation2017 %]]</f>
        <v>0</v>
      </c>
      <c r="K156" s="16">
        <f>Table11[[#This Row],['#Trees as of 12/31/23]]*Table11[[#This Row],[Canada Allocation2017 %]]</f>
        <v>0</v>
      </c>
      <c r="L156" s="16">
        <f>Table11[[#This Row],['#Replace 24]]*Table11[[#This Row],[Canada Allocation2017 %]]</f>
        <v>0</v>
      </c>
      <c r="M156" s="16"/>
      <c r="N156" s="16">
        <f>(Table11[[#This Row],[2024 '#Trees Inventory + Estimate]]*Table11[[#This Row],[Canada Allocation2017 %]])-SUM(Table3789[[#This Row],['# Trees as of 12/31/23]:[New Trees/Planted in 2024]])</f>
        <v>0</v>
      </c>
      <c r="O156" s="32">
        <f>SUM(Table3789[[#This Row],['# Trees as of 12/31/23]:[2024 Tree Losses]])</f>
        <v>0</v>
      </c>
      <c r="P156" s="32">
        <f>SUM(Table3789[[#This Row],[Total Trees as of 12/31/24]]-Table3789[[#This Row],['# Trees as of 12/31/23]])</f>
        <v>0</v>
      </c>
      <c r="Q156" s="16">
        <f>Table11[[#This Row],['#Total Replacements]]*Table11[[#This Row],[Canada Allocation2017 %]]</f>
        <v>0</v>
      </c>
      <c r="R156" s="32">
        <f>IF(Table3789[[#This Row],['#Survival based on Inventory]]=0,Table3789['#Survival based on Last Year Estimate],Table3789['#Survival based on Inventory])</f>
        <v>0</v>
      </c>
      <c r="S156" s="16">
        <f>Table11[[#This Row],['#Planted]]*Table11[[#This Row],[Canada Allocation2017 %]]*Table11[[#This Row],[2024 Inventory Survival%-master]]</f>
        <v>0</v>
      </c>
      <c r="T156" s="16">
        <f>Table11[[#This Row],['#Planted]]*Table11[[#This Row],[Canada Allocation2017 %]]*Table11[[#This Row],[2024 Estimated Survival%]]</f>
        <v>0</v>
      </c>
      <c r="U156" s="7">
        <f>Table11[[#This Row],[ETP Year]]</f>
        <v>2020</v>
      </c>
      <c r="V156" s="7">
        <f>Table11[[#This Row],[Planting Year]]</f>
        <v>2020</v>
      </c>
      <c r="W156" s="8">
        <f>Table11[[#This Row],[Survival% as of 12/31/23]]</f>
        <v>0.82499999999999996</v>
      </c>
      <c r="X156">
        <f>Table11[[#This Row],[ETP'#s]]</f>
        <v>1</v>
      </c>
    </row>
    <row r="157" spans="1:24" hidden="1" x14ac:dyDescent="0.25">
      <c r="A157">
        <f>Table11[[#This Row],[Farmer'#]]</f>
        <v>20033</v>
      </c>
      <c r="B157" t="str">
        <f>Table11[[#This Row],[Representative]]</f>
        <v>Ana Wolfe Arce</v>
      </c>
      <c r="C157" t="str">
        <f>Table11[[#This Row],[Contract Name]]</f>
        <v>Hermanos Wolfe Arce S.A</v>
      </c>
      <c r="D157" t="str">
        <f>Table11[[#This Row],[Status]]</f>
        <v>Active</v>
      </c>
      <c r="E157" t="str">
        <f>Table11[[#This Row],[Contract Code]]</f>
        <v>CR0037</v>
      </c>
      <c r="F157">
        <f>Table11[[#This Row],['#TreesContract]]</f>
        <v>4000</v>
      </c>
      <c r="G157">
        <f>Table11[[#This Row],['#Planted]]</f>
        <v>4000</v>
      </c>
      <c r="H157" s="16">
        <f>Table11[[#This Row],['#TreesContract]]*Table11[[#This Row],[Canada Allocation2017 %]]</f>
        <v>0</v>
      </c>
      <c r="I157" s="16">
        <f>Table11[[#This Row],['#Planted]]*Table11[[#This Row],[Canada Allocation2017 %]]</f>
        <v>0</v>
      </c>
      <c r="J157" s="16">
        <f>Table11[[#This Row],[Contract Amendment]]*Table11[[#This Row],[Canada Allocation2017 %]]</f>
        <v>0</v>
      </c>
      <c r="K157" s="16">
        <f>Table11[[#This Row],['#Trees as of 12/31/23]]*Table11[[#This Row],[Canada Allocation2017 %]]</f>
        <v>0</v>
      </c>
      <c r="L157" s="16">
        <f>Table11[[#This Row],['#Replace 24]]*Table11[[#This Row],[Canada Allocation2017 %]]</f>
        <v>0</v>
      </c>
      <c r="M157" s="16"/>
      <c r="N157" s="16">
        <f>(Table11[[#This Row],[2024 '#Trees Inventory + Estimate]]*Table11[[#This Row],[Canada Allocation2017 %]])-SUM(Table3789[[#This Row],['# Trees as of 12/31/23]:[New Trees/Planted in 2024]])</f>
        <v>0</v>
      </c>
      <c r="O157" s="32">
        <f>SUM(Table3789[[#This Row],['# Trees as of 12/31/23]:[2024 Tree Losses]])</f>
        <v>0</v>
      </c>
      <c r="P157" s="32">
        <f>SUM(Table3789[[#This Row],[Total Trees as of 12/31/24]]-Table3789[[#This Row],['# Trees as of 12/31/23]])</f>
        <v>0</v>
      </c>
      <c r="Q157" s="16">
        <f>Table11[[#This Row],['#Total Replacements]]*Table11[[#This Row],[Canada Allocation2017 %]]</f>
        <v>0</v>
      </c>
      <c r="R157" s="32">
        <f>IF(Table3789[[#This Row],['#Survival based on Inventory]]=0,Table3789['#Survival based on Last Year Estimate],Table3789['#Survival based on Inventory])</f>
        <v>0</v>
      </c>
      <c r="S157" s="16">
        <f>Table11[[#This Row],['#Planted]]*Table11[[#This Row],[Canada Allocation2017 %]]*Table11[[#This Row],[2024 Inventory Survival%-master]]</f>
        <v>0</v>
      </c>
      <c r="T157" s="16">
        <f>Table11[[#This Row],['#Planted]]*Table11[[#This Row],[Canada Allocation2017 %]]*Table11[[#This Row],[2024 Estimated Survival%]]</f>
        <v>0</v>
      </c>
      <c r="U157" s="7">
        <f>Table11[[#This Row],[ETP Year]]</f>
        <v>2020</v>
      </c>
      <c r="V157" s="7">
        <f>Table11[[#This Row],[Planting Year]]</f>
        <v>2020</v>
      </c>
      <c r="W157" s="8">
        <f>Table11[[#This Row],[Survival% as of 12/31/23]]</f>
        <v>0.95</v>
      </c>
      <c r="X157">
        <f>Table11[[#This Row],[ETP'#s]]</f>
        <v>1</v>
      </c>
    </row>
    <row r="158" spans="1:24" hidden="1" x14ac:dyDescent="0.25">
      <c r="A158">
        <f>Table11[[#This Row],[Farmer'#]]</f>
        <v>20034</v>
      </c>
      <c r="B158" t="str">
        <f>Table11[[#This Row],[Representative]]</f>
        <v>Anastacio Castillo</v>
      </c>
      <c r="C158" t="str">
        <f>Table11[[#This Row],[Contract Name]]</f>
        <v>Anastacio Castillo</v>
      </c>
      <c r="D158" t="str">
        <f>Table11[[#This Row],[Status]]</f>
        <v>Out of Program</v>
      </c>
      <c r="E158" t="str">
        <f>Table11[[#This Row],[Contract Code]]</f>
        <v>CR0038</v>
      </c>
      <c r="F158">
        <f>Table11[[#This Row],['#TreesContract]]</f>
        <v>1200</v>
      </c>
      <c r="G158">
        <f>Table11[[#This Row],['#Planted]]</f>
        <v>1200</v>
      </c>
      <c r="H158" s="16">
        <f>Table11[[#This Row],['#TreesContract]]*Table11[[#This Row],[Canada Allocation2017 %]]</f>
        <v>0</v>
      </c>
      <c r="I158" s="16">
        <f>Table11[[#This Row],['#Planted]]*Table11[[#This Row],[Canada Allocation2017 %]]</f>
        <v>0</v>
      </c>
      <c r="J158" s="16">
        <f>Table11[[#This Row],[Contract Amendment]]*Table11[[#This Row],[Canada Allocation2017 %]]</f>
        <v>0</v>
      </c>
      <c r="K158" s="16">
        <f>Table11[[#This Row],['#Trees as of 12/31/23]]*Table11[[#This Row],[Canada Allocation2017 %]]</f>
        <v>0</v>
      </c>
      <c r="L158" s="16">
        <f>Table11[[#This Row],['#Replace 24]]*Table11[[#This Row],[Canada Allocation2017 %]]</f>
        <v>0</v>
      </c>
      <c r="M158" s="16"/>
      <c r="N158" s="16">
        <f>(Table11[[#This Row],[2024 '#Trees Inventory + Estimate]]*Table11[[#This Row],[Canada Allocation2017 %]])-SUM(Table3789[[#This Row],['# Trees as of 12/31/23]:[New Trees/Planted in 2024]])</f>
        <v>0</v>
      </c>
      <c r="O158" s="32">
        <f>SUM(Table3789[[#This Row],['# Trees as of 12/31/23]:[2024 Tree Losses]])</f>
        <v>0</v>
      </c>
      <c r="P158" s="32">
        <f>SUM(Table3789[[#This Row],[Total Trees as of 12/31/24]]-Table3789[[#This Row],['# Trees as of 12/31/23]])</f>
        <v>0</v>
      </c>
      <c r="Q158" s="16">
        <f>Table11[[#This Row],['#Total Replacements]]*Table11[[#This Row],[Canada Allocation2017 %]]</f>
        <v>0</v>
      </c>
      <c r="R158" s="32">
        <f>IF(Table3789[[#This Row],['#Survival based on Inventory]]=0,Table3789['#Survival based on Last Year Estimate],Table3789['#Survival based on Inventory])</f>
        <v>0</v>
      </c>
      <c r="S158" s="16">
        <f>Table11[[#This Row],['#Planted]]*Table11[[#This Row],[Canada Allocation2017 %]]*Table11[[#This Row],[2024 Inventory Survival%-master]]</f>
        <v>0</v>
      </c>
      <c r="T158" s="16">
        <f>Table11[[#This Row],['#Planted]]*Table11[[#This Row],[Canada Allocation2017 %]]*Table11[[#This Row],[2024 Estimated Survival%]]</f>
        <v>0</v>
      </c>
      <c r="U158" s="7">
        <f>Table11[[#This Row],[ETP Year]]</f>
        <v>2020</v>
      </c>
      <c r="V158" s="7">
        <f>Table11[[#This Row],[Planting Year]]</f>
        <v>2020</v>
      </c>
      <c r="W158" s="8">
        <f>Table11[[#This Row],[Survival% as of 12/31/23]]</f>
        <v>0</v>
      </c>
      <c r="X158">
        <f>Table11[[#This Row],[ETP'#s]]</f>
        <v>1</v>
      </c>
    </row>
    <row r="159" spans="1:24" hidden="1" x14ac:dyDescent="0.25">
      <c r="A159">
        <f>Table11[[#This Row],[Farmer'#]]</f>
        <v>20035</v>
      </c>
      <c r="B159" t="str">
        <f>Table11[[#This Row],[Representative]]</f>
        <v>Mauricio Alvarado</v>
      </c>
      <c r="C159" t="str">
        <f>Table11[[#This Row],[Contract Name]]</f>
        <v>Ania Monge Chavarria </v>
      </c>
      <c r="D159" t="str">
        <f>Table11[[#This Row],[Status]]</f>
        <v>RFT</v>
      </c>
      <c r="E159" t="str">
        <f>Table11[[#This Row],[Contract Code]]</f>
        <v>CR0039</v>
      </c>
      <c r="F159">
        <f>Table11[[#This Row],['#TreesContract]]</f>
        <v>700</v>
      </c>
      <c r="G159">
        <f>Table11[[#This Row],['#Planted]]</f>
        <v>700</v>
      </c>
      <c r="H159" s="16">
        <f>Table11[[#This Row],['#TreesContract]]*Table11[[#This Row],[Canada Allocation2017 %]]</f>
        <v>0</v>
      </c>
      <c r="I159" s="16">
        <f>Table11[[#This Row],['#Planted]]*Table11[[#This Row],[Canada Allocation2017 %]]</f>
        <v>0</v>
      </c>
      <c r="J159" s="16">
        <f>Table11[[#This Row],[Contract Amendment]]*Table11[[#This Row],[Canada Allocation2017 %]]</f>
        <v>0</v>
      </c>
      <c r="K159" s="16">
        <f>Table11[[#This Row],['#Trees as of 12/31/23]]*Table11[[#This Row],[Canada Allocation2017 %]]</f>
        <v>0</v>
      </c>
      <c r="L159" s="16">
        <f>Table11[[#This Row],['#Replace 24]]*Table11[[#This Row],[Canada Allocation2017 %]]</f>
        <v>0</v>
      </c>
      <c r="M159" s="16"/>
      <c r="N159" s="16">
        <f>(Table11[[#This Row],[2024 '#Trees Inventory + Estimate]]*Table11[[#This Row],[Canada Allocation2017 %]])-SUM(Table3789[[#This Row],['# Trees as of 12/31/23]:[New Trees/Planted in 2024]])</f>
        <v>0</v>
      </c>
      <c r="O159" s="32">
        <f>SUM(Table3789[[#This Row],['# Trees as of 12/31/23]:[2024 Tree Losses]])</f>
        <v>0</v>
      </c>
      <c r="P159" s="32">
        <f>SUM(Table3789[[#This Row],[Total Trees as of 12/31/24]]-Table3789[[#This Row],['# Trees as of 12/31/23]])</f>
        <v>0</v>
      </c>
      <c r="Q159" s="16">
        <f>Table11[[#This Row],['#Total Replacements]]*Table11[[#This Row],[Canada Allocation2017 %]]</f>
        <v>0</v>
      </c>
      <c r="R159" s="32">
        <f>IF(Table3789[[#This Row],['#Survival based on Inventory]]=0,Table3789['#Survival based on Last Year Estimate],Table3789['#Survival based on Inventory])</f>
        <v>0</v>
      </c>
      <c r="S159" s="16">
        <f>Table11[[#This Row],['#Planted]]*Table11[[#This Row],[Canada Allocation2017 %]]*Table11[[#This Row],[2024 Inventory Survival%-master]]</f>
        <v>0</v>
      </c>
      <c r="T159" s="16">
        <f>Table11[[#This Row],['#Planted]]*Table11[[#This Row],[Canada Allocation2017 %]]*Table11[[#This Row],[2024 Estimated Survival%]]</f>
        <v>0</v>
      </c>
      <c r="U159" s="7">
        <f>Table11[[#This Row],[ETP Year]]</f>
        <v>2020</v>
      </c>
      <c r="V159" s="7">
        <f>Table11[[#This Row],[Planting Year]]</f>
        <v>2020</v>
      </c>
      <c r="W159" s="8">
        <f>Table11[[#This Row],[Survival% as of 12/31/23]]</f>
        <v>0.82499999999999996</v>
      </c>
      <c r="X159">
        <f>Table11[[#This Row],[ETP'#s]]</f>
        <v>1</v>
      </c>
    </row>
    <row r="160" spans="1:24" hidden="1" x14ac:dyDescent="0.25">
      <c r="A160">
        <f>Table11[[#This Row],[Farmer'#]]</f>
        <v>20036</v>
      </c>
      <c r="B160" t="str">
        <f>Table11[[#This Row],[Representative]]</f>
        <v>Marco Pacheco</v>
      </c>
      <c r="C160" t="str">
        <f>Table11[[#This Row],[Contract Name]]</f>
        <v>Aracelly Sanchez Rojas</v>
      </c>
      <c r="D160" t="str">
        <f>Table11[[#This Row],[Status]]</f>
        <v>Active</v>
      </c>
      <c r="E160" t="str">
        <f>Table11[[#This Row],[Contract Code]]</f>
        <v>CR0040</v>
      </c>
      <c r="F160">
        <f>Table11[[#This Row],['#TreesContract]]</f>
        <v>730</v>
      </c>
      <c r="G160">
        <f>Table11[[#This Row],['#Planted]]</f>
        <v>730</v>
      </c>
      <c r="H160" s="16">
        <f>Table11[[#This Row],['#TreesContract]]*Table11[[#This Row],[Canada Allocation2017 %]]</f>
        <v>0</v>
      </c>
      <c r="I160" s="16">
        <f>Table11[[#This Row],['#Planted]]*Table11[[#This Row],[Canada Allocation2017 %]]</f>
        <v>0</v>
      </c>
      <c r="J160" s="16">
        <f>Table11[[#This Row],[Contract Amendment]]*Table11[[#This Row],[Canada Allocation2017 %]]</f>
        <v>0</v>
      </c>
      <c r="K160" s="16">
        <f>Table11[[#This Row],['#Trees as of 12/31/23]]*Table11[[#This Row],[Canada Allocation2017 %]]</f>
        <v>0</v>
      </c>
      <c r="L160" s="16">
        <f>Table11[[#This Row],['#Replace 24]]*Table11[[#This Row],[Canada Allocation2017 %]]</f>
        <v>0</v>
      </c>
      <c r="M160" s="16"/>
      <c r="N160" s="16">
        <f>(Table11[[#This Row],[2024 '#Trees Inventory + Estimate]]*Table11[[#This Row],[Canada Allocation2017 %]])-SUM(Table3789[[#This Row],['# Trees as of 12/31/23]:[New Trees/Planted in 2024]])</f>
        <v>0</v>
      </c>
      <c r="O160" s="32">
        <f>SUM(Table3789[[#This Row],['# Trees as of 12/31/23]:[2024 Tree Losses]])</f>
        <v>0</v>
      </c>
      <c r="P160" s="32">
        <f>SUM(Table3789[[#This Row],[Total Trees as of 12/31/24]]-Table3789[[#This Row],['# Trees as of 12/31/23]])</f>
        <v>0</v>
      </c>
      <c r="Q160" s="16">
        <f>Table11[[#This Row],['#Total Replacements]]*Table11[[#This Row],[Canada Allocation2017 %]]</f>
        <v>0</v>
      </c>
      <c r="R160" s="32">
        <f>IF(Table3789[[#This Row],['#Survival based on Inventory]]=0,Table3789['#Survival based on Last Year Estimate],Table3789['#Survival based on Inventory])</f>
        <v>0</v>
      </c>
      <c r="S160" s="16">
        <f>Table11[[#This Row],['#Planted]]*Table11[[#This Row],[Canada Allocation2017 %]]*Table11[[#This Row],[2024 Inventory Survival%-master]]</f>
        <v>0</v>
      </c>
      <c r="T160" s="16">
        <f>Table11[[#This Row],['#Planted]]*Table11[[#This Row],[Canada Allocation2017 %]]*Table11[[#This Row],[2024 Estimated Survival%]]</f>
        <v>0</v>
      </c>
      <c r="U160" s="7">
        <f>Table11[[#This Row],[ETP Year]]</f>
        <v>2020</v>
      </c>
      <c r="V160" s="7">
        <f>Table11[[#This Row],[Planting Year]]</f>
        <v>2020</v>
      </c>
      <c r="W160" s="8">
        <f>Table11[[#This Row],[Survival% as of 12/31/23]]</f>
        <v>0.95</v>
      </c>
      <c r="X160">
        <f>Table11[[#This Row],[ETP'#s]]</f>
        <v>1</v>
      </c>
    </row>
    <row r="161" spans="1:24" hidden="1" x14ac:dyDescent="0.25">
      <c r="A161">
        <f>Table11[[#This Row],[Farmer'#]]</f>
        <v>20037</v>
      </c>
      <c r="B161" t="str">
        <f>Table11[[#This Row],[Representative]]</f>
        <v>Carlos Peña</v>
      </c>
      <c r="C161" t="str">
        <f>Table11[[#This Row],[Contract Name]]</f>
        <v>Carlos Peña</v>
      </c>
      <c r="D161" t="str">
        <f>Table11[[#This Row],[Status]]</f>
        <v>Out of Program</v>
      </c>
      <c r="E161" t="str">
        <f>Table11[[#This Row],[Contract Code]]</f>
        <v>CR0041</v>
      </c>
      <c r="F161">
        <f>Table11[[#This Row],['#TreesContract]]</f>
        <v>2000</v>
      </c>
      <c r="G161">
        <f>Table11[[#This Row],['#Planted]]</f>
        <v>2000</v>
      </c>
      <c r="H161" s="16">
        <f>Table11[[#This Row],['#TreesContract]]*Table11[[#This Row],[Canada Allocation2017 %]]</f>
        <v>0</v>
      </c>
      <c r="I161" s="16">
        <f>Table11[[#This Row],['#Planted]]*Table11[[#This Row],[Canada Allocation2017 %]]</f>
        <v>0</v>
      </c>
      <c r="J161" s="16">
        <f>Table11[[#This Row],[Contract Amendment]]*Table11[[#This Row],[Canada Allocation2017 %]]</f>
        <v>0</v>
      </c>
      <c r="K161" s="16">
        <f>Table11[[#This Row],['#Trees as of 12/31/23]]*Table11[[#This Row],[Canada Allocation2017 %]]</f>
        <v>0</v>
      </c>
      <c r="L161" s="16">
        <f>Table11[[#This Row],['#Replace 24]]*Table11[[#This Row],[Canada Allocation2017 %]]</f>
        <v>0</v>
      </c>
      <c r="M161" s="16"/>
      <c r="N161" s="16">
        <f>(Table11[[#This Row],[2024 '#Trees Inventory + Estimate]]*Table11[[#This Row],[Canada Allocation2017 %]])-SUM(Table3789[[#This Row],['# Trees as of 12/31/23]:[New Trees/Planted in 2024]])</f>
        <v>0</v>
      </c>
      <c r="O161" s="32">
        <f>SUM(Table3789[[#This Row],['# Trees as of 12/31/23]:[2024 Tree Losses]])</f>
        <v>0</v>
      </c>
      <c r="P161" s="32">
        <f>SUM(Table3789[[#This Row],[Total Trees as of 12/31/24]]-Table3789[[#This Row],['# Trees as of 12/31/23]])</f>
        <v>0</v>
      </c>
      <c r="Q161" s="16">
        <f>Table11[[#This Row],['#Total Replacements]]*Table11[[#This Row],[Canada Allocation2017 %]]</f>
        <v>0</v>
      </c>
      <c r="R161" s="32">
        <f>IF(Table3789[[#This Row],['#Survival based on Inventory]]=0,Table3789['#Survival based on Last Year Estimate],Table3789['#Survival based on Inventory])</f>
        <v>0</v>
      </c>
      <c r="S161" s="16">
        <f>Table11[[#This Row],['#Planted]]*Table11[[#This Row],[Canada Allocation2017 %]]*Table11[[#This Row],[2024 Inventory Survival%-master]]</f>
        <v>0</v>
      </c>
      <c r="T161" s="16">
        <f>Table11[[#This Row],['#Planted]]*Table11[[#This Row],[Canada Allocation2017 %]]*Table11[[#This Row],[2024 Estimated Survival%]]</f>
        <v>0</v>
      </c>
      <c r="U161" s="7">
        <f>Table11[[#This Row],[ETP Year]]</f>
        <v>2020</v>
      </c>
      <c r="V161" s="7">
        <f>Table11[[#This Row],[Planting Year]]</f>
        <v>2020</v>
      </c>
      <c r="W161" s="8">
        <f>Table11[[#This Row],[Survival% as of 12/31/23]]</f>
        <v>0</v>
      </c>
      <c r="X161">
        <f>Table11[[#This Row],[ETP'#s]]</f>
        <v>1</v>
      </c>
    </row>
    <row r="162" spans="1:24" hidden="1" x14ac:dyDescent="0.25">
      <c r="A162">
        <f>Table11[[#This Row],[Farmer'#]]</f>
        <v>20038</v>
      </c>
      <c r="B162" t="str">
        <f>Table11[[#This Row],[Representative]]</f>
        <v>Didier Alfaro Alvarado</v>
      </c>
      <c r="C162" t="str">
        <f>Table11[[#This Row],[Contract Name]]</f>
        <v>Didier Jose Alfaro Alvarado</v>
      </c>
      <c r="D162" t="str">
        <f>Table11[[#This Row],[Status]]</f>
        <v>Active</v>
      </c>
      <c r="E162" t="str">
        <f>Table11[[#This Row],[Contract Code]]</f>
        <v>CR0042</v>
      </c>
      <c r="F162">
        <f>Table11[[#This Row],['#TreesContract]]</f>
        <v>2980</v>
      </c>
      <c r="G162">
        <f>Table11[[#This Row],['#Planted]]</f>
        <v>2980</v>
      </c>
      <c r="H162" s="16">
        <f>Table11[[#This Row],['#TreesContract]]*Table11[[#This Row],[Canada Allocation2017 %]]</f>
        <v>0</v>
      </c>
      <c r="I162" s="16">
        <f>Table11[[#This Row],['#Planted]]*Table11[[#This Row],[Canada Allocation2017 %]]</f>
        <v>0</v>
      </c>
      <c r="J162" s="16">
        <f>Table11[[#This Row],[Contract Amendment]]*Table11[[#This Row],[Canada Allocation2017 %]]</f>
        <v>0</v>
      </c>
      <c r="K162" s="16">
        <f>Table11[[#This Row],['#Trees as of 12/31/23]]*Table11[[#This Row],[Canada Allocation2017 %]]</f>
        <v>0</v>
      </c>
      <c r="L162" s="16">
        <f>Table11[[#This Row],['#Replace 24]]*Table11[[#This Row],[Canada Allocation2017 %]]</f>
        <v>0</v>
      </c>
      <c r="M162" s="16"/>
      <c r="N162" s="16">
        <f>(Table11[[#This Row],[2024 '#Trees Inventory + Estimate]]*Table11[[#This Row],[Canada Allocation2017 %]])-SUM(Table3789[[#This Row],['# Trees as of 12/31/23]:[New Trees/Planted in 2024]])</f>
        <v>0</v>
      </c>
      <c r="O162" s="32">
        <f>SUM(Table3789[[#This Row],['# Trees as of 12/31/23]:[2024 Tree Losses]])</f>
        <v>0</v>
      </c>
      <c r="P162" s="32">
        <f>SUM(Table3789[[#This Row],[Total Trees as of 12/31/24]]-Table3789[[#This Row],['# Trees as of 12/31/23]])</f>
        <v>0</v>
      </c>
      <c r="Q162" s="16">
        <f>Table11[[#This Row],['#Total Replacements]]*Table11[[#This Row],[Canada Allocation2017 %]]</f>
        <v>0</v>
      </c>
      <c r="R162" s="32">
        <f>IF(Table3789[[#This Row],['#Survival based on Inventory]]=0,Table3789['#Survival based on Last Year Estimate],Table3789['#Survival based on Inventory])</f>
        <v>0</v>
      </c>
      <c r="S162" s="16">
        <f>Table11[[#This Row],['#Planted]]*Table11[[#This Row],[Canada Allocation2017 %]]*Table11[[#This Row],[2024 Inventory Survival%-master]]</f>
        <v>0</v>
      </c>
      <c r="T162" s="16">
        <f>Table11[[#This Row],['#Planted]]*Table11[[#This Row],[Canada Allocation2017 %]]*Table11[[#This Row],[2024 Estimated Survival%]]</f>
        <v>0</v>
      </c>
      <c r="U162" s="7">
        <f>Table11[[#This Row],[ETP Year]]</f>
        <v>2020</v>
      </c>
      <c r="V162" s="7">
        <f>Table11[[#This Row],[Planting Year]]</f>
        <v>2020</v>
      </c>
      <c r="W162" s="8">
        <f>Table11[[#This Row],[Survival% as of 12/31/23]]</f>
        <v>1</v>
      </c>
      <c r="X162">
        <f>Table11[[#This Row],[ETP'#s]]</f>
        <v>1</v>
      </c>
    </row>
    <row r="163" spans="1:24" hidden="1" x14ac:dyDescent="0.25">
      <c r="A163">
        <f>Table11[[#This Row],[Farmer'#]]</f>
        <v>20039</v>
      </c>
      <c r="B163" t="str">
        <f>Table11[[#This Row],[Representative]]</f>
        <v>Diego Gerardo Fernandez Barboza</v>
      </c>
      <c r="C163" t="str">
        <f>Table11[[#This Row],[Contract Name]]</f>
        <v>Diego Gerardo Fernandez Barboza</v>
      </c>
      <c r="D163" t="str">
        <f>Table11[[#This Row],[Status]]</f>
        <v>Out of Program</v>
      </c>
      <c r="E163" t="str">
        <f>Table11[[#This Row],[Contract Code]]</f>
        <v>CR0043</v>
      </c>
      <c r="F163">
        <f>Table11[[#This Row],['#TreesContract]]</f>
        <v>1200</v>
      </c>
      <c r="G163">
        <f>Table11[[#This Row],['#Planted]]</f>
        <v>1200</v>
      </c>
      <c r="H163" s="16">
        <f>Table11[[#This Row],['#TreesContract]]*Table11[[#This Row],[Canada Allocation2017 %]]</f>
        <v>0</v>
      </c>
      <c r="I163" s="16">
        <f>Table11[[#This Row],['#Planted]]*Table11[[#This Row],[Canada Allocation2017 %]]</f>
        <v>0</v>
      </c>
      <c r="J163" s="16">
        <f>Table11[[#This Row],[Contract Amendment]]*Table11[[#This Row],[Canada Allocation2017 %]]</f>
        <v>0</v>
      </c>
      <c r="K163" s="16">
        <f>Table11[[#This Row],['#Trees as of 12/31/23]]*Table11[[#This Row],[Canada Allocation2017 %]]</f>
        <v>0</v>
      </c>
      <c r="L163" s="16">
        <f>Table11[[#This Row],['#Replace 24]]*Table11[[#This Row],[Canada Allocation2017 %]]</f>
        <v>0</v>
      </c>
      <c r="M163" s="16"/>
      <c r="N163" s="16">
        <f>(Table11[[#This Row],[2024 '#Trees Inventory + Estimate]]*Table11[[#This Row],[Canada Allocation2017 %]])-SUM(Table3789[[#This Row],['# Trees as of 12/31/23]:[New Trees/Planted in 2024]])</f>
        <v>0</v>
      </c>
      <c r="O163" s="32">
        <f>SUM(Table3789[[#This Row],['# Trees as of 12/31/23]:[2024 Tree Losses]])</f>
        <v>0</v>
      </c>
      <c r="P163" s="32">
        <f>SUM(Table3789[[#This Row],[Total Trees as of 12/31/24]]-Table3789[[#This Row],['# Trees as of 12/31/23]])</f>
        <v>0</v>
      </c>
      <c r="Q163" s="16">
        <f>Table11[[#This Row],['#Total Replacements]]*Table11[[#This Row],[Canada Allocation2017 %]]</f>
        <v>0</v>
      </c>
      <c r="R163" s="32">
        <f>IF(Table3789[[#This Row],['#Survival based on Inventory]]=0,Table3789['#Survival based on Last Year Estimate],Table3789['#Survival based on Inventory])</f>
        <v>0</v>
      </c>
      <c r="S163" s="16">
        <f>Table11[[#This Row],['#Planted]]*Table11[[#This Row],[Canada Allocation2017 %]]*Table11[[#This Row],[2024 Inventory Survival%-master]]</f>
        <v>0</v>
      </c>
      <c r="T163" s="16">
        <f>Table11[[#This Row],['#Planted]]*Table11[[#This Row],[Canada Allocation2017 %]]*Table11[[#This Row],[2024 Estimated Survival%]]</f>
        <v>0</v>
      </c>
      <c r="U163" s="7">
        <f>Table11[[#This Row],[ETP Year]]</f>
        <v>2020</v>
      </c>
      <c r="V163" s="7">
        <f>Table11[[#This Row],[Planting Year]]</f>
        <v>2020</v>
      </c>
      <c r="W163" s="8">
        <f>Table11[[#This Row],[Survival% as of 12/31/23]]</f>
        <v>0</v>
      </c>
      <c r="X163">
        <f>Table11[[#This Row],[ETP'#s]]</f>
        <v>1</v>
      </c>
    </row>
    <row r="164" spans="1:24" hidden="1" x14ac:dyDescent="0.25">
      <c r="A164">
        <f>Table11[[#This Row],[Farmer'#]]</f>
        <v>20040</v>
      </c>
      <c r="B164" t="str">
        <f>Table11[[#This Row],[Representative]]</f>
        <v>Diogenes Cubero</v>
      </c>
      <c r="C164" t="str">
        <f>Table11[[#This Row],[Contract Name]]</f>
        <v>Diogenes Cubero</v>
      </c>
      <c r="D164" t="str">
        <f>Table11[[#This Row],[Status]]</f>
        <v>Active</v>
      </c>
      <c r="E164" t="str">
        <f>Table11[[#This Row],[Contract Code]]</f>
        <v>CR0044</v>
      </c>
      <c r="F164">
        <f>Table11[[#This Row],['#TreesContract]]</f>
        <v>1000</v>
      </c>
      <c r="G164">
        <f>Table11[[#This Row],['#Planted]]</f>
        <v>1000</v>
      </c>
      <c r="H164" s="16">
        <f>Table11[[#This Row],['#TreesContract]]*Table11[[#This Row],[Canada Allocation2017 %]]</f>
        <v>0</v>
      </c>
      <c r="I164" s="16">
        <f>Table11[[#This Row],['#Planted]]*Table11[[#This Row],[Canada Allocation2017 %]]</f>
        <v>0</v>
      </c>
      <c r="J164" s="16">
        <f>Table11[[#This Row],[Contract Amendment]]*Table11[[#This Row],[Canada Allocation2017 %]]</f>
        <v>0</v>
      </c>
      <c r="K164" s="16">
        <f>Table11[[#This Row],['#Trees as of 12/31/23]]*Table11[[#This Row],[Canada Allocation2017 %]]</f>
        <v>0</v>
      </c>
      <c r="L164" s="16">
        <f>Table11[[#This Row],['#Replace 24]]*Table11[[#This Row],[Canada Allocation2017 %]]</f>
        <v>0</v>
      </c>
      <c r="M164" s="16"/>
      <c r="N164" s="16">
        <f>(Table11[[#This Row],[2024 '#Trees Inventory + Estimate]]*Table11[[#This Row],[Canada Allocation2017 %]])-SUM(Table3789[[#This Row],['# Trees as of 12/31/23]:[New Trees/Planted in 2024]])</f>
        <v>0</v>
      </c>
      <c r="O164" s="32">
        <f>SUM(Table3789[[#This Row],['# Trees as of 12/31/23]:[2024 Tree Losses]])</f>
        <v>0</v>
      </c>
      <c r="P164" s="32">
        <f>SUM(Table3789[[#This Row],[Total Trees as of 12/31/24]]-Table3789[[#This Row],['# Trees as of 12/31/23]])</f>
        <v>0</v>
      </c>
      <c r="Q164" s="16">
        <f>Table11[[#This Row],['#Total Replacements]]*Table11[[#This Row],[Canada Allocation2017 %]]</f>
        <v>0</v>
      </c>
      <c r="R164" s="32">
        <f>IF(Table3789[[#This Row],['#Survival based on Inventory]]=0,Table3789['#Survival based on Last Year Estimate],Table3789['#Survival based on Inventory])</f>
        <v>0</v>
      </c>
      <c r="S164" s="16">
        <f>Table11[[#This Row],['#Planted]]*Table11[[#This Row],[Canada Allocation2017 %]]*Table11[[#This Row],[2024 Inventory Survival%-master]]</f>
        <v>0</v>
      </c>
      <c r="T164" s="16">
        <f>Table11[[#This Row],['#Planted]]*Table11[[#This Row],[Canada Allocation2017 %]]*Table11[[#This Row],[2024 Estimated Survival%]]</f>
        <v>0</v>
      </c>
      <c r="U164" s="7">
        <f>Table11[[#This Row],[ETP Year]]</f>
        <v>2020</v>
      </c>
      <c r="V164" s="7">
        <f>Table11[[#This Row],[Planting Year]]</f>
        <v>2020</v>
      </c>
      <c r="W164" s="8">
        <f>Table11[[#This Row],[Survival% as of 12/31/23]]</f>
        <v>1</v>
      </c>
      <c r="X164">
        <f>Table11[[#This Row],[ETP'#s]]</f>
        <v>1</v>
      </c>
    </row>
    <row r="165" spans="1:24" hidden="1" x14ac:dyDescent="0.25">
      <c r="A165">
        <f>Table11[[#This Row],[Farmer'#]]</f>
        <v>20041</v>
      </c>
      <c r="B165" t="str">
        <f>Table11[[#This Row],[Representative]]</f>
        <v>Donald Diaz Rojas</v>
      </c>
      <c r="C165" t="str">
        <f>Table11[[#This Row],[Contract Name]]</f>
        <v>Donald Diaz Rojas</v>
      </c>
      <c r="D165" t="str">
        <f>Table11[[#This Row],[Status]]</f>
        <v>RFT</v>
      </c>
      <c r="E165" t="str">
        <f>Table11[[#This Row],[Contract Code]]</f>
        <v>CR0045</v>
      </c>
      <c r="F165">
        <f>Table11[[#This Row],['#TreesContract]]</f>
        <v>4500</v>
      </c>
      <c r="G165">
        <f>Table11[[#This Row],['#Planted]]</f>
        <v>4500</v>
      </c>
      <c r="H165" s="16">
        <f>Table11[[#This Row],['#TreesContract]]*Table11[[#This Row],[Canada Allocation2017 %]]</f>
        <v>0</v>
      </c>
      <c r="I165" s="16">
        <f>Table11[[#This Row],['#Planted]]*Table11[[#This Row],[Canada Allocation2017 %]]</f>
        <v>0</v>
      </c>
      <c r="J165" s="16">
        <f>Table11[[#This Row],[Contract Amendment]]*Table11[[#This Row],[Canada Allocation2017 %]]</f>
        <v>0</v>
      </c>
      <c r="K165" s="16">
        <f>Table11[[#This Row],['#Trees as of 12/31/23]]*Table11[[#This Row],[Canada Allocation2017 %]]</f>
        <v>0</v>
      </c>
      <c r="L165" s="16">
        <f>Table11[[#This Row],['#Replace 24]]*Table11[[#This Row],[Canada Allocation2017 %]]</f>
        <v>0</v>
      </c>
      <c r="M165" s="16"/>
      <c r="N165" s="16">
        <f>(Table11[[#This Row],[2024 '#Trees Inventory + Estimate]]*Table11[[#This Row],[Canada Allocation2017 %]])-SUM(Table3789[[#This Row],['# Trees as of 12/31/23]:[New Trees/Planted in 2024]])</f>
        <v>0</v>
      </c>
      <c r="O165" s="32">
        <f>SUM(Table3789[[#This Row],['# Trees as of 12/31/23]:[2024 Tree Losses]])</f>
        <v>0</v>
      </c>
      <c r="P165" s="32">
        <f>SUM(Table3789[[#This Row],[Total Trees as of 12/31/24]]-Table3789[[#This Row],['# Trees as of 12/31/23]])</f>
        <v>0</v>
      </c>
      <c r="Q165" s="16">
        <f>Table11[[#This Row],['#Total Replacements]]*Table11[[#This Row],[Canada Allocation2017 %]]</f>
        <v>0</v>
      </c>
      <c r="R165" s="32">
        <f>IF(Table3789[[#This Row],['#Survival based on Inventory]]=0,Table3789['#Survival based on Last Year Estimate],Table3789['#Survival based on Inventory])</f>
        <v>0</v>
      </c>
      <c r="S165" s="16">
        <f>Table11[[#This Row],['#Planted]]*Table11[[#This Row],[Canada Allocation2017 %]]*Table11[[#This Row],[2024 Inventory Survival%-master]]</f>
        <v>0</v>
      </c>
      <c r="T165" s="16">
        <f>Table11[[#This Row],['#Planted]]*Table11[[#This Row],[Canada Allocation2017 %]]*Table11[[#This Row],[2024 Estimated Survival%]]</f>
        <v>0</v>
      </c>
      <c r="U165" s="7">
        <f>Table11[[#This Row],[ETP Year]]</f>
        <v>2020</v>
      </c>
      <c r="V165" s="7">
        <f>Table11[[#This Row],[Planting Year]]</f>
        <v>2020</v>
      </c>
      <c r="W165" s="8">
        <f>Table11[[#This Row],[Survival% as of 12/31/23]]</f>
        <v>0.83</v>
      </c>
      <c r="X165">
        <f>Table11[[#This Row],[ETP'#s]]</f>
        <v>1</v>
      </c>
    </row>
    <row r="166" spans="1:24" hidden="1" x14ac:dyDescent="0.25">
      <c r="A166">
        <f>Table11[[#This Row],[Farmer'#]]</f>
        <v>20042</v>
      </c>
      <c r="B166" t="str">
        <f>Table11[[#This Row],[Representative]]</f>
        <v>Enrique Quiroz</v>
      </c>
      <c r="C166" t="str">
        <f>Table11[[#This Row],[Contract Name]]</f>
        <v>Elia Araya Guzman</v>
      </c>
      <c r="D166" t="str">
        <f>Table11[[#This Row],[Status]]</f>
        <v>Active</v>
      </c>
      <c r="E166" t="str">
        <f>Table11[[#This Row],[Contract Code]]</f>
        <v>CR0046</v>
      </c>
      <c r="F166">
        <f>Table11[[#This Row],['#TreesContract]]</f>
        <v>2000</v>
      </c>
      <c r="G166">
        <f>Table11[[#This Row],['#Planted]]</f>
        <v>2000</v>
      </c>
      <c r="H166" s="16">
        <f>Table11[[#This Row],['#TreesContract]]*Table11[[#This Row],[Canada Allocation2017 %]]</f>
        <v>0</v>
      </c>
      <c r="I166" s="16">
        <f>Table11[[#This Row],['#Planted]]*Table11[[#This Row],[Canada Allocation2017 %]]</f>
        <v>0</v>
      </c>
      <c r="J166" s="16">
        <f>Table11[[#This Row],[Contract Amendment]]*Table11[[#This Row],[Canada Allocation2017 %]]</f>
        <v>0</v>
      </c>
      <c r="K166" s="16">
        <f>Table11[[#This Row],['#Trees as of 12/31/23]]*Table11[[#This Row],[Canada Allocation2017 %]]</f>
        <v>0</v>
      </c>
      <c r="L166" s="16">
        <f>Table11[[#This Row],['#Replace 24]]*Table11[[#This Row],[Canada Allocation2017 %]]</f>
        <v>0</v>
      </c>
      <c r="M166" s="16"/>
      <c r="N166" s="16">
        <f>(Table11[[#This Row],[2024 '#Trees Inventory + Estimate]]*Table11[[#This Row],[Canada Allocation2017 %]])-SUM(Table3789[[#This Row],['# Trees as of 12/31/23]:[New Trees/Planted in 2024]])</f>
        <v>0</v>
      </c>
      <c r="O166" s="32">
        <f>SUM(Table3789[[#This Row],['# Trees as of 12/31/23]:[2024 Tree Losses]])</f>
        <v>0</v>
      </c>
      <c r="P166" s="32">
        <f>SUM(Table3789[[#This Row],[Total Trees as of 12/31/24]]-Table3789[[#This Row],['# Trees as of 12/31/23]])</f>
        <v>0</v>
      </c>
      <c r="Q166" s="16">
        <f>Table11[[#This Row],['#Total Replacements]]*Table11[[#This Row],[Canada Allocation2017 %]]</f>
        <v>0</v>
      </c>
      <c r="R166" s="32">
        <f>IF(Table3789[[#This Row],['#Survival based on Inventory]]=0,Table3789['#Survival based on Last Year Estimate],Table3789['#Survival based on Inventory])</f>
        <v>0</v>
      </c>
      <c r="S166" s="16">
        <f>Table11[[#This Row],['#Planted]]*Table11[[#This Row],[Canada Allocation2017 %]]*Table11[[#This Row],[2024 Inventory Survival%-master]]</f>
        <v>0</v>
      </c>
      <c r="T166" s="16">
        <f>Table11[[#This Row],['#Planted]]*Table11[[#This Row],[Canada Allocation2017 %]]*Table11[[#This Row],[2024 Estimated Survival%]]</f>
        <v>0</v>
      </c>
      <c r="U166" s="7">
        <f>Table11[[#This Row],[ETP Year]]</f>
        <v>2020</v>
      </c>
      <c r="V166" s="7">
        <f>Table11[[#This Row],[Planting Year]]</f>
        <v>2020</v>
      </c>
      <c r="W166" s="8">
        <f>Table11[[#This Row],[Survival% as of 12/31/23]]</f>
        <v>0.91</v>
      </c>
      <c r="X166">
        <f>Table11[[#This Row],[ETP'#s]]</f>
        <v>1</v>
      </c>
    </row>
    <row r="167" spans="1:24" hidden="1" x14ac:dyDescent="0.25">
      <c r="A167">
        <f>Table11[[#This Row],[Farmer'#]]</f>
        <v>20043</v>
      </c>
      <c r="B167" t="str">
        <f>Table11[[#This Row],[Representative]]</f>
        <v>Francisco Ramirez</v>
      </c>
      <c r="C167" t="str">
        <f>Table11[[#This Row],[Contract Name]]</f>
        <v>Emidey Ramirez</v>
      </c>
      <c r="D167" t="str">
        <f>Table11[[#This Row],[Status]]</f>
        <v>Active</v>
      </c>
      <c r="E167" t="str">
        <f>Table11[[#This Row],[Contract Code]]</f>
        <v>CR0047</v>
      </c>
      <c r="F167">
        <f>Table11[[#This Row],['#TreesContract]]</f>
        <v>1200</v>
      </c>
      <c r="G167">
        <f>Table11[[#This Row],['#Planted]]</f>
        <v>1200</v>
      </c>
      <c r="H167" s="16">
        <f>Table11[[#This Row],['#TreesContract]]*Table11[[#This Row],[Canada Allocation2017 %]]</f>
        <v>0</v>
      </c>
      <c r="I167" s="16">
        <f>Table11[[#This Row],['#Planted]]*Table11[[#This Row],[Canada Allocation2017 %]]</f>
        <v>0</v>
      </c>
      <c r="J167" s="16">
        <f>Table11[[#This Row],[Contract Amendment]]*Table11[[#This Row],[Canada Allocation2017 %]]</f>
        <v>0</v>
      </c>
      <c r="K167" s="16">
        <f>Table11[[#This Row],['#Trees as of 12/31/23]]*Table11[[#This Row],[Canada Allocation2017 %]]</f>
        <v>0</v>
      </c>
      <c r="L167" s="16">
        <f>Table11[[#This Row],['#Replace 24]]*Table11[[#This Row],[Canada Allocation2017 %]]</f>
        <v>0</v>
      </c>
      <c r="M167" s="16"/>
      <c r="N167" s="16">
        <f>(Table11[[#This Row],[2024 '#Trees Inventory + Estimate]]*Table11[[#This Row],[Canada Allocation2017 %]])-SUM(Table3789[[#This Row],['# Trees as of 12/31/23]:[New Trees/Planted in 2024]])</f>
        <v>0</v>
      </c>
      <c r="O167" s="32">
        <f>SUM(Table3789[[#This Row],['# Trees as of 12/31/23]:[2024 Tree Losses]])</f>
        <v>0</v>
      </c>
      <c r="P167" s="32">
        <f>SUM(Table3789[[#This Row],[Total Trees as of 12/31/24]]-Table3789[[#This Row],['# Trees as of 12/31/23]])</f>
        <v>0</v>
      </c>
      <c r="Q167" s="16">
        <f>Table11[[#This Row],['#Total Replacements]]*Table11[[#This Row],[Canada Allocation2017 %]]</f>
        <v>0</v>
      </c>
      <c r="R167" s="32">
        <f>IF(Table3789[[#This Row],['#Survival based on Inventory]]=0,Table3789['#Survival based on Last Year Estimate],Table3789['#Survival based on Inventory])</f>
        <v>0</v>
      </c>
      <c r="S167" s="16">
        <f>Table11[[#This Row],['#Planted]]*Table11[[#This Row],[Canada Allocation2017 %]]*Table11[[#This Row],[2024 Inventory Survival%-master]]</f>
        <v>0</v>
      </c>
      <c r="T167" s="16">
        <f>Table11[[#This Row],['#Planted]]*Table11[[#This Row],[Canada Allocation2017 %]]*Table11[[#This Row],[2024 Estimated Survival%]]</f>
        <v>0</v>
      </c>
      <c r="U167" s="7">
        <f>Table11[[#This Row],[ETP Year]]</f>
        <v>2020</v>
      </c>
      <c r="V167" s="7">
        <f>Table11[[#This Row],[Planting Year]]</f>
        <v>2020</v>
      </c>
      <c r="W167" s="8">
        <f>Table11[[#This Row],[Survival% as of 12/31/23]]</f>
        <v>0.95</v>
      </c>
      <c r="X167">
        <f>Table11[[#This Row],[ETP'#s]]</f>
        <v>1</v>
      </c>
    </row>
    <row r="168" spans="1:24" hidden="1" x14ac:dyDescent="0.25">
      <c r="A168">
        <f>Table11[[#This Row],[Farmer'#]]</f>
        <v>20044</v>
      </c>
      <c r="B168" t="str">
        <f>Table11[[#This Row],[Representative]]</f>
        <v xml:space="preserve">Marijose Apestegui </v>
      </c>
      <c r="C168" t="str">
        <f>Table11[[#This Row],[Contract Name]]</f>
        <v>El anillo de doña Emilia S.A</v>
      </c>
      <c r="D168" t="str">
        <f>Table11[[#This Row],[Status]]</f>
        <v>Out of Program</v>
      </c>
      <c r="E168" t="str">
        <f>Table11[[#This Row],[Contract Code]]</f>
        <v>CR0048</v>
      </c>
      <c r="F168">
        <f>Table11[[#This Row],['#TreesContract]]</f>
        <v>3600</v>
      </c>
      <c r="G168">
        <f>Table11[[#This Row],['#Planted]]</f>
        <v>3600</v>
      </c>
      <c r="H168" s="16">
        <f>Table11[[#This Row],['#TreesContract]]*Table11[[#This Row],[Canada Allocation2017 %]]</f>
        <v>0</v>
      </c>
      <c r="I168" s="16">
        <f>Table11[[#This Row],['#Planted]]*Table11[[#This Row],[Canada Allocation2017 %]]</f>
        <v>0</v>
      </c>
      <c r="J168" s="16">
        <f>Table11[[#This Row],[Contract Amendment]]*Table11[[#This Row],[Canada Allocation2017 %]]</f>
        <v>0</v>
      </c>
      <c r="K168" s="16">
        <f>Table11[[#This Row],['#Trees as of 12/31/23]]*Table11[[#This Row],[Canada Allocation2017 %]]</f>
        <v>0</v>
      </c>
      <c r="L168" s="16">
        <f>Table11[[#This Row],['#Replace 24]]*Table11[[#This Row],[Canada Allocation2017 %]]</f>
        <v>0</v>
      </c>
      <c r="M168" s="16"/>
      <c r="N168" s="16">
        <f>(Table11[[#This Row],[2024 '#Trees Inventory + Estimate]]*Table11[[#This Row],[Canada Allocation2017 %]])-SUM(Table3789[[#This Row],['# Trees as of 12/31/23]:[New Trees/Planted in 2024]])</f>
        <v>0</v>
      </c>
      <c r="O168" s="32">
        <f>SUM(Table3789[[#This Row],['# Trees as of 12/31/23]:[2024 Tree Losses]])</f>
        <v>0</v>
      </c>
      <c r="P168" s="32">
        <f>SUM(Table3789[[#This Row],[Total Trees as of 12/31/24]]-Table3789[[#This Row],['# Trees as of 12/31/23]])</f>
        <v>0</v>
      </c>
      <c r="Q168" s="16">
        <f>Table11[[#This Row],['#Total Replacements]]*Table11[[#This Row],[Canada Allocation2017 %]]</f>
        <v>0</v>
      </c>
      <c r="R168" s="32">
        <f>IF(Table3789[[#This Row],['#Survival based on Inventory]]=0,Table3789['#Survival based on Last Year Estimate],Table3789['#Survival based on Inventory])</f>
        <v>0</v>
      </c>
      <c r="S168" s="16">
        <f>Table11[[#This Row],['#Planted]]*Table11[[#This Row],[Canada Allocation2017 %]]*Table11[[#This Row],[2024 Inventory Survival%-master]]</f>
        <v>0</v>
      </c>
      <c r="T168" s="16">
        <f>Table11[[#This Row],['#Planted]]*Table11[[#This Row],[Canada Allocation2017 %]]*Table11[[#This Row],[2024 Estimated Survival%]]</f>
        <v>0</v>
      </c>
      <c r="U168" s="7">
        <f>Table11[[#This Row],[ETP Year]]</f>
        <v>2020</v>
      </c>
      <c r="V168" s="7">
        <f>Table11[[#This Row],[Planting Year]]</f>
        <v>2020</v>
      </c>
      <c r="W168" s="8">
        <f>Table11[[#This Row],[Survival% as of 12/31/23]]</f>
        <v>1</v>
      </c>
      <c r="X168">
        <f>Table11[[#This Row],[ETP'#s]]</f>
        <v>1</v>
      </c>
    </row>
    <row r="169" spans="1:24" hidden="1" x14ac:dyDescent="0.25">
      <c r="A169">
        <f>Table11[[#This Row],[Farmer'#]]</f>
        <v>20045</v>
      </c>
      <c r="B169" t="str">
        <f>Table11[[#This Row],[Representative]]</f>
        <v>Gregorio Corella</v>
      </c>
      <c r="C169" t="str">
        <f>Table11[[#This Row],[Contract Name]]</f>
        <v>Gregorio Corella</v>
      </c>
      <c r="D169" t="str">
        <f>Table11[[#This Row],[Status]]</f>
        <v>Active</v>
      </c>
      <c r="E169" t="str">
        <f>Table11[[#This Row],[Contract Code]]</f>
        <v>CR0049</v>
      </c>
      <c r="F169">
        <f>Table11[[#This Row],['#TreesContract]]</f>
        <v>1200</v>
      </c>
      <c r="G169">
        <f>Table11[[#This Row],['#Planted]]</f>
        <v>1200</v>
      </c>
      <c r="H169" s="16">
        <f>Table11[[#This Row],['#TreesContract]]*Table11[[#This Row],[Canada Allocation2017 %]]</f>
        <v>0</v>
      </c>
      <c r="I169" s="16">
        <f>Table11[[#This Row],['#Planted]]*Table11[[#This Row],[Canada Allocation2017 %]]</f>
        <v>0</v>
      </c>
      <c r="J169" s="16">
        <f>Table11[[#This Row],[Contract Amendment]]*Table11[[#This Row],[Canada Allocation2017 %]]</f>
        <v>0</v>
      </c>
      <c r="K169" s="16">
        <f>Table11[[#This Row],['#Trees as of 12/31/23]]*Table11[[#This Row],[Canada Allocation2017 %]]</f>
        <v>0</v>
      </c>
      <c r="L169" s="16">
        <f>Table11[[#This Row],['#Replace 24]]*Table11[[#This Row],[Canada Allocation2017 %]]</f>
        <v>0</v>
      </c>
      <c r="M169" s="16"/>
      <c r="N169" s="16">
        <f>(Table11[[#This Row],[2024 '#Trees Inventory + Estimate]]*Table11[[#This Row],[Canada Allocation2017 %]])-SUM(Table3789[[#This Row],['# Trees as of 12/31/23]:[New Trees/Planted in 2024]])</f>
        <v>0</v>
      </c>
      <c r="O169" s="32">
        <f>SUM(Table3789[[#This Row],['# Trees as of 12/31/23]:[2024 Tree Losses]])</f>
        <v>0</v>
      </c>
      <c r="P169" s="32">
        <f>SUM(Table3789[[#This Row],[Total Trees as of 12/31/24]]-Table3789[[#This Row],['# Trees as of 12/31/23]])</f>
        <v>0</v>
      </c>
      <c r="Q169" s="16">
        <f>Table11[[#This Row],['#Total Replacements]]*Table11[[#This Row],[Canada Allocation2017 %]]</f>
        <v>0</v>
      </c>
      <c r="R169" s="32">
        <f>IF(Table3789[[#This Row],['#Survival based on Inventory]]=0,Table3789['#Survival based on Last Year Estimate],Table3789['#Survival based on Inventory])</f>
        <v>0</v>
      </c>
      <c r="S169" s="16">
        <f>Table11[[#This Row],['#Planted]]*Table11[[#This Row],[Canada Allocation2017 %]]*Table11[[#This Row],[2024 Inventory Survival%-master]]</f>
        <v>0</v>
      </c>
      <c r="T169" s="16">
        <f>Table11[[#This Row],['#Planted]]*Table11[[#This Row],[Canada Allocation2017 %]]*Table11[[#This Row],[2024 Estimated Survival%]]</f>
        <v>0</v>
      </c>
      <c r="U169" s="7">
        <f>Table11[[#This Row],[ETP Year]]</f>
        <v>2020</v>
      </c>
      <c r="V169" s="7">
        <f>Table11[[#This Row],[Planting Year]]</f>
        <v>2020</v>
      </c>
      <c r="W169" s="8">
        <f>Table11[[#This Row],[Survival% as of 12/31/23]]</f>
        <v>0.95</v>
      </c>
      <c r="X169">
        <f>Table11[[#This Row],[ETP'#s]]</f>
        <v>1</v>
      </c>
    </row>
    <row r="170" spans="1:24" hidden="1" x14ac:dyDescent="0.25">
      <c r="A170">
        <f>Table11[[#This Row],[Farmer'#]]</f>
        <v>20046</v>
      </c>
      <c r="B170" t="str">
        <f>Table11[[#This Row],[Representative]]</f>
        <v xml:space="preserve">Ismael Chaves </v>
      </c>
      <c r="C170" t="str">
        <f>Table11[[#This Row],[Contract Name]]</f>
        <v xml:space="preserve">Ismael Chaves </v>
      </c>
      <c r="D170" t="str">
        <f>Table11[[#This Row],[Status]]</f>
        <v>Out of Program</v>
      </c>
      <c r="E170" t="str">
        <f>Table11[[#This Row],[Contract Code]]</f>
        <v>CR0050</v>
      </c>
      <c r="F170">
        <f>Table11[[#This Row],['#TreesContract]]</f>
        <v>3440</v>
      </c>
      <c r="G170">
        <f>Table11[[#This Row],['#Planted]]</f>
        <v>3440</v>
      </c>
      <c r="H170" s="16">
        <f>Table11[[#This Row],['#TreesContract]]*Table11[[#This Row],[Canada Allocation2017 %]]</f>
        <v>0</v>
      </c>
      <c r="I170" s="16">
        <f>Table11[[#This Row],['#Planted]]*Table11[[#This Row],[Canada Allocation2017 %]]</f>
        <v>0</v>
      </c>
      <c r="J170" s="16">
        <f>Table11[[#This Row],[Contract Amendment]]*Table11[[#This Row],[Canada Allocation2017 %]]</f>
        <v>0</v>
      </c>
      <c r="K170" s="16">
        <f>Table11[[#This Row],['#Trees as of 12/31/23]]*Table11[[#This Row],[Canada Allocation2017 %]]</f>
        <v>0</v>
      </c>
      <c r="L170" s="16">
        <f>Table11[[#This Row],['#Replace 24]]*Table11[[#This Row],[Canada Allocation2017 %]]</f>
        <v>0</v>
      </c>
      <c r="M170" s="16"/>
      <c r="N170" s="16">
        <f>(Table11[[#This Row],[2024 '#Trees Inventory + Estimate]]*Table11[[#This Row],[Canada Allocation2017 %]])-SUM(Table3789[[#This Row],['# Trees as of 12/31/23]:[New Trees/Planted in 2024]])</f>
        <v>0</v>
      </c>
      <c r="O170" s="32">
        <f>SUM(Table3789[[#This Row],['# Trees as of 12/31/23]:[2024 Tree Losses]])</f>
        <v>0</v>
      </c>
      <c r="P170" s="32">
        <f>SUM(Table3789[[#This Row],[Total Trees as of 12/31/24]]-Table3789[[#This Row],['# Trees as of 12/31/23]])</f>
        <v>0</v>
      </c>
      <c r="Q170" s="16">
        <f>Table11[[#This Row],['#Total Replacements]]*Table11[[#This Row],[Canada Allocation2017 %]]</f>
        <v>0</v>
      </c>
      <c r="R170" s="32">
        <f>IF(Table3789[[#This Row],['#Survival based on Inventory]]=0,Table3789['#Survival based on Last Year Estimate],Table3789['#Survival based on Inventory])</f>
        <v>0</v>
      </c>
      <c r="S170" s="16">
        <f>Table11[[#This Row],['#Planted]]*Table11[[#This Row],[Canada Allocation2017 %]]*Table11[[#This Row],[2024 Inventory Survival%-master]]</f>
        <v>0</v>
      </c>
      <c r="T170" s="16">
        <f>Table11[[#This Row],['#Planted]]*Table11[[#This Row],[Canada Allocation2017 %]]*Table11[[#This Row],[2024 Estimated Survival%]]</f>
        <v>0</v>
      </c>
      <c r="U170" s="7">
        <f>Table11[[#This Row],[ETP Year]]</f>
        <v>2020</v>
      </c>
      <c r="V170" s="7">
        <f>Table11[[#This Row],[Planting Year]]</f>
        <v>2020</v>
      </c>
      <c r="W170" s="8">
        <f>Table11[[#This Row],[Survival% as of 12/31/23]]</f>
        <v>0.95</v>
      </c>
      <c r="X170">
        <f>Table11[[#This Row],[ETP'#s]]</f>
        <v>1</v>
      </c>
    </row>
    <row r="171" spans="1:24" hidden="1" x14ac:dyDescent="0.25">
      <c r="A171">
        <f>Table11[[#This Row],[Farmer'#]]</f>
        <v>20047</v>
      </c>
      <c r="B171" t="str">
        <f>Table11[[#This Row],[Representative]]</f>
        <v>Jeison Espinoza</v>
      </c>
      <c r="C171" t="str">
        <f>Table11[[#This Row],[Contract Name]]</f>
        <v>Jeison Espinoza</v>
      </c>
      <c r="D171" t="str">
        <f>Table11[[#This Row],[Status]]</f>
        <v>Active</v>
      </c>
      <c r="E171" t="str">
        <f>Table11[[#This Row],[Contract Code]]</f>
        <v>CR0051</v>
      </c>
      <c r="F171">
        <f>Table11[[#This Row],['#TreesContract]]</f>
        <v>1300</v>
      </c>
      <c r="G171">
        <f>Table11[[#This Row],['#Planted]]</f>
        <v>1300</v>
      </c>
      <c r="H171" s="16">
        <f>Table11[[#This Row],['#TreesContract]]*Table11[[#This Row],[Canada Allocation2017 %]]</f>
        <v>0</v>
      </c>
      <c r="I171" s="16">
        <f>Table11[[#This Row],['#Planted]]*Table11[[#This Row],[Canada Allocation2017 %]]</f>
        <v>0</v>
      </c>
      <c r="J171" s="16">
        <f>Table11[[#This Row],[Contract Amendment]]*Table11[[#This Row],[Canada Allocation2017 %]]</f>
        <v>0</v>
      </c>
      <c r="K171" s="16">
        <f>Table11[[#This Row],['#Trees as of 12/31/23]]*Table11[[#This Row],[Canada Allocation2017 %]]</f>
        <v>0</v>
      </c>
      <c r="L171" s="16">
        <f>Table11[[#This Row],['#Replace 24]]*Table11[[#This Row],[Canada Allocation2017 %]]</f>
        <v>0</v>
      </c>
      <c r="M171" s="16"/>
      <c r="N171" s="16">
        <f>(Table11[[#This Row],[2024 '#Trees Inventory + Estimate]]*Table11[[#This Row],[Canada Allocation2017 %]])-SUM(Table3789[[#This Row],['# Trees as of 12/31/23]:[New Trees/Planted in 2024]])</f>
        <v>0</v>
      </c>
      <c r="O171" s="32">
        <f>SUM(Table3789[[#This Row],['# Trees as of 12/31/23]:[2024 Tree Losses]])</f>
        <v>0</v>
      </c>
      <c r="P171" s="32">
        <f>SUM(Table3789[[#This Row],[Total Trees as of 12/31/24]]-Table3789[[#This Row],['# Trees as of 12/31/23]])</f>
        <v>0</v>
      </c>
      <c r="Q171" s="16">
        <f>Table11[[#This Row],['#Total Replacements]]*Table11[[#This Row],[Canada Allocation2017 %]]</f>
        <v>0</v>
      </c>
      <c r="R171" s="32">
        <f>IF(Table3789[[#This Row],['#Survival based on Inventory]]=0,Table3789['#Survival based on Last Year Estimate],Table3789['#Survival based on Inventory])</f>
        <v>0</v>
      </c>
      <c r="S171" s="16">
        <f>Table11[[#This Row],['#Planted]]*Table11[[#This Row],[Canada Allocation2017 %]]*Table11[[#This Row],[2024 Inventory Survival%-master]]</f>
        <v>0</v>
      </c>
      <c r="T171" s="16">
        <f>Table11[[#This Row],['#Planted]]*Table11[[#This Row],[Canada Allocation2017 %]]*Table11[[#This Row],[2024 Estimated Survival%]]</f>
        <v>0</v>
      </c>
      <c r="U171" s="7">
        <f>Table11[[#This Row],[ETP Year]]</f>
        <v>2020</v>
      </c>
      <c r="V171" s="7">
        <f>Table11[[#This Row],[Planting Year]]</f>
        <v>2020</v>
      </c>
      <c r="W171" s="8">
        <f>Table11[[#This Row],[Survival% as of 12/31/23]]</f>
        <v>0.95</v>
      </c>
      <c r="X171">
        <f>Table11[[#This Row],[ETP'#s]]</f>
        <v>1</v>
      </c>
    </row>
    <row r="172" spans="1:24" hidden="1" x14ac:dyDescent="0.25">
      <c r="A172">
        <f>Table11[[#This Row],[Farmer'#]]</f>
        <v>20048</v>
      </c>
      <c r="B172" t="str">
        <f>Table11[[#This Row],[Representative]]</f>
        <v>Jerry Myers</v>
      </c>
      <c r="C172" t="str">
        <f>Table11[[#This Row],[Contract Name]]</f>
        <v>Tengo Fuera S.A</v>
      </c>
      <c r="D172" t="str">
        <f>Table11[[#This Row],[Status]]</f>
        <v>Active</v>
      </c>
      <c r="E172" t="str">
        <f>Table11[[#This Row],[Contract Code]]</f>
        <v>CR0052</v>
      </c>
      <c r="F172">
        <f>Table11[[#This Row],['#TreesContract]]</f>
        <v>2400</v>
      </c>
      <c r="G172">
        <f>Table11[[#This Row],['#Planted]]</f>
        <v>2400</v>
      </c>
      <c r="H172" s="16">
        <f>Table11[[#This Row],['#TreesContract]]*Table11[[#This Row],[Canada Allocation2017 %]]</f>
        <v>0</v>
      </c>
      <c r="I172" s="16">
        <f>Table11[[#This Row],['#Planted]]*Table11[[#This Row],[Canada Allocation2017 %]]</f>
        <v>0</v>
      </c>
      <c r="J172" s="16">
        <f>Table11[[#This Row],[Contract Amendment]]*Table11[[#This Row],[Canada Allocation2017 %]]</f>
        <v>0</v>
      </c>
      <c r="K172" s="16">
        <f>Table11[[#This Row],['#Trees as of 12/31/23]]*Table11[[#This Row],[Canada Allocation2017 %]]</f>
        <v>0</v>
      </c>
      <c r="L172" s="16">
        <f>Table11[[#This Row],['#Replace 24]]*Table11[[#This Row],[Canada Allocation2017 %]]</f>
        <v>0</v>
      </c>
      <c r="M172" s="16"/>
      <c r="N172" s="16">
        <f>(Table11[[#This Row],[2024 '#Trees Inventory + Estimate]]*Table11[[#This Row],[Canada Allocation2017 %]])-SUM(Table3789[[#This Row],['# Trees as of 12/31/23]:[New Trees/Planted in 2024]])</f>
        <v>0</v>
      </c>
      <c r="O172" s="32">
        <f>SUM(Table3789[[#This Row],['# Trees as of 12/31/23]:[2024 Tree Losses]])</f>
        <v>0</v>
      </c>
      <c r="P172" s="32">
        <f>SUM(Table3789[[#This Row],[Total Trees as of 12/31/24]]-Table3789[[#This Row],['# Trees as of 12/31/23]])</f>
        <v>0</v>
      </c>
      <c r="Q172" s="16">
        <f>Table11[[#This Row],['#Total Replacements]]*Table11[[#This Row],[Canada Allocation2017 %]]</f>
        <v>0</v>
      </c>
      <c r="R172" s="32">
        <f>IF(Table3789[[#This Row],['#Survival based on Inventory]]=0,Table3789['#Survival based on Last Year Estimate],Table3789['#Survival based on Inventory])</f>
        <v>0</v>
      </c>
      <c r="S172" s="16">
        <f>Table11[[#This Row],['#Planted]]*Table11[[#This Row],[Canada Allocation2017 %]]*Table11[[#This Row],[2024 Inventory Survival%-master]]</f>
        <v>0</v>
      </c>
      <c r="T172" s="16">
        <f>Table11[[#This Row],['#Planted]]*Table11[[#This Row],[Canada Allocation2017 %]]*Table11[[#This Row],[2024 Estimated Survival%]]</f>
        <v>0</v>
      </c>
      <c r="U172" s="7">
        <f>Table11[[#This Row],[ETP Year]]</f>
        <v>2020</v>
      </c>
      <c r="V172" s="7">
        <f>Table11[[#This Row],[Planting Year]]</f>
        <v>2020</v>
      </c>
      <c r="W172" s="8">
        <f>Table11[[#This Row],[Survival% as of 12/31/23]]</f>
        <v>1</v>
      </c>
      <c r="X172">
        <f>Table11[[#This Row],[ETP'#s]]</f>
        <v>1</v>
      </c>
    </row>
    <row r="173" spans="1:24" hidden="1" x14ac:dyDescent="0.25">
      <c r="A173">
        <f>Table11[[#This Row],[Farmer'#]]</f>
        <v>20049</v>
      </c>
      <c r="B173" t="str">
        <f>Table11[[#This Row],[Representative]]</f>
        <v xml:space="preserve">Jose Eduardo Esquivel </v>
      </c>
      <c r="C173" t="str">
        <f>Table11[[#This Row],[Contract Name]]</f>
        <v xml:space="preserve">Jose Eduardo Esquivel </v>
      </c>
      <c r="D173" t="str">
        <f>Table11[[#This Row],[Status]]</f>
        <v>Active</v>
      </c>
      <c r="E173" t="str">
        <f>Table11[[#This Row],[Contract Code]]</f>
        <v>CR0053</v>
      </c>
      <c r="F173">
        <f>Table11[[#This Row],['#TreesContract]]</f>
        <v>1000</v>
      </c>
      <c r="G173">
        <f>Table11[[#This Row],['#Planted]]</f>
        <v>1000</v>
      </c>
      <c r="H173" s="16">
        <f>Table11[[#This Row],['#TreesContract]]*Table11[[#This Row],[Canada Allocation2017 %]]</f>
        <v>0</v>
      </c>
      <c r="I173" s="16">
        <f>Table11[[#This Row],['#Planted]]*Table11[[#This Row],[Canada Allocation2017 %]]</f>
        <v>0</v>
      </c>
      <c r="J173" s="16">
        <f>Table11[[#This Row],[Contract Amendment]]*Table11[[#This Row],[Canada Allocation2017 %]]</f>
        <v>0</v>
      </c>
      <c r="K173" s="16">
        <f>Table11[[#This Row],['#Trees as of 12/31/23]]*Table11[[#This Row],[Canada Allocation2017 %]]</f>
        <v>0</v>
      </c>
      <c r="L173" s="16">
        <f>Table11[[#This Row],['#Replace 24]]*Table11[[#This Row],[Canada Allocation2017 %]]</f>
        <v>0</v>
      </c>
      <c r="M173" s="16"/>
      <c r="N173" s="16">
        <f>(Table11[[#This Row],[2024 '#Trees Inventory + Estimate]]*Table11[[#This Row],[Canada Allocation2017 %]])-SUM(Table3789[[#This Row],['# Trees as of 12/31/23]:[New Trees/Planted in 2024]])</f>
        <v>0</v>
      </c>
      <c r="O173" s="32">
        <f>SUM(Table3789[[#This Row],['# Trees as of 12/31/23]:[2024 Tree Losses]])</f>
        <v>0</v>
      </c>
      <c r="P173" s="32">
        <f>SUM(Table3789[[#This Row],[Total Trees as of 12/31/24]]-Table3789[[#This Row],['# Trees as of 12/31/23]])</f>
        <v>0</v>
      </c>
      <c r="Q173" s="16">
        <f>Table11[[#This Row],['#Total Replacements]]*Table11[[#This Row],[Canada Allocation2017 %]]</f>
        <v>0</v>
      </c>
      <c r="R173" s="32">
        <f>IF(Table3789[[#This Row],['#Survival based on Inventory]]=0,Table3789['#Survival based on Last Year Estimate],Table3789['#Survival based on Inventory])</f>
        <v>0</v>
      </c>
      <c r="S173" s="16">
        <f>Table11[[#This Row],['#Planted]]*Table11[[#This Row],[Canada Allocation2017 %]]*Table11[[#This Row],[2024 Inventory Survival%-master]]</f>
        <v>0</v>
      </c>
      <c r="T173" s="16">
        <f>Table11[[#This Row],['#Planted]]*Table11[[#This Row],[Canada Allocation2017 %]]*Table11[[#This Row],[2024 Estimated Survival%]]</f>
        <v>0</v>
      </c>
      <c r="U173" s="7">
        <f>Table11[[#This Row],[ETP Year]]</f>
        <v>2020</v>
      </c>
      <c r="V173" s="7">
        <f>Table11[[#This Row],[Planting Year]]</f>
        <v>2020</v>
      </c>
      <c r="W173" s="8">
        <f>Table11[[#This Row],[Survival% as of 12/31/23]]</f>
        <v>1</v>
      </c>
      <c r="X173">
        <f>Table11[[#This Row],[ETP'#s]]</f>
        <v>1</v>
      </c>
    </row>
    <row r="174" spans="1:24" hidden="1" x14ac:dyDescent="0.25">
      <c r="A174">
        <f>Table11[[#This Row],[Farmer'#]]</f>
        <v>20050</v>
      </c>
      <c r="B174" t="str">
        <f>Table11[[#This Row],[Representative]]</f>
        <v>Karlos Bolaños</v>
      </c>
      <c r="C174" t="str">
        <f>Table11[[#This Row],[Contract Name]]</f>
        <v>Karlos Bolaños</v>
      </c>
      <c r="D174" t="str">
        <f>Table11[[#This Row],[Status]]</f>
        <v>Out of Program</v>
      </c>
      <c r="E174" t="str">
        <f>Table11[[#This Row],[Contract Code]]</f>
        <v>CR0054</v>
      </c>
      <c r="F174">
        <f>Table11[[#This Row],['#TreesContract]]</f>
        <v>800</v>
      </c>
      <c r="G174">
        <f>Table11[[#This Row],['#Planted]]</f>
        <v>800</v>
      </c>
      <c r="H174" s="16">
        <f>Table11[[#This Row],['#TreesContract]]*Table11[[#This Row],[Canada Allocation2017 %]]</f>
        <v>0</v>
      </c>
      <c r="I174" s="16">
        <f>Table11[[#This Row],['#Planted]]*Table11[[#This Row],[Canada Allocation2017 %]]</f>
        <v>0</v>
      </c>
      <c r="J174" s="16">
        <f>Table11[[#This Row],[Contract Amendment]]*Table11[[#This Row],[Canada Allocation2017 %]]</f>
        <v>0</v>
      </c>
      <c r="K174" s="16">
        <f>Table11[[#This Row],['#Trees as of 12/31/23]]*Table11[[#This Row],[Canada Allocation2017 %]]</f>
        <v>0</v>
      </c>
      <c r="L174" s="16">
        <f>Table11[[#This Row],['#Replace 24]]*Table11[[#This Row],[Canada Allocation2017 %]]</f>
        <v>0</v>
      </c>
      <c r="M174" s="16"/>
      <c r="N174" s="16">
        <f>(Table11[[#This Row],[2024 '#Trees Inventory + Estimate]]*Table11[[#This Row],[Canada Allocation2017 %]])-SUM(Table3789[[#This Row],['# Trees as of 12/31/23]:[New Trees/Planted in 2024]])</f>
        <v>0</v>
      </c>
      <c r="O174" s="32">
        <f>SUM(Table3789[[#This Row],['# Trees as of 12/31/23]:[2024 Tree Losses]])</f>
        <v>0</v>
      </c>
      <c r="P174" s="32">
        <f>SUM(Table3789[[#This Row],[Total Trees as of 12/31/24]]-Table3789[[#This Row],['# Trees as of 12/31/23]])</f>
        <v>0</v>
      </c>
      <c r="Q174" s="16">
        <f>Table11[[#This Row],['#Total Replacements]]*Table11[[#This Row],[Canada Allocation2017 %]]</f>
        <v>0</v>
      </c>
      <c r="R174" s="32">
        <f>IF(Table3789[[#This Row],['#Survival based on Inventory]]=0,Table3789['#Survival based on Last Year Estimate],Table3789['#Survival based on Inventory])</f>
        <v>0</v>
      </c>
      <c r="S174" s="16">
        <f>Table11[[#This Row],['#Planted]]*Table11[[#This Row],[Canada Allocation2017 %]]*Table11[[#This Row],[2024 Inventory Survival%-master]]</f>
        <v>0</v>
      </c>
      <c r="T174" s="16">
        <f>Table11[[#This Row],['#Planted]]*Table11[[#This Row],[Canada Allocation2017 %]]*Table11[[#This Row],[2024 Estimated Survival%]]</f>
        <v>0</v>
      </c>
      <c r="U174" s="7">
        <f>Table11[[#This Row],[ETP Year]]</f>
        <v>2020</v>
      </c>
      <c r="V174" s="7">
        <f>Table11[[#This Row],[Planting Year]]</f>
        <v>2020</v>
      </c>
      <c r="W174" s="8">
        <f>Table11[[#This Row],[Survival% as of 12/31/23]]</f>
        <v>0</v>
      </c>
      <c r="X174">
        <f>Table11[[#This Row],[ETP'#s]]</f>
        <v>1</v>
      </c>
    </row>
    <row r="175" spans="1:24" hidden="1" x14ac:dyDescent="0.25">
      <c r="A175">
        <f>Table11[[#This Row],[Farmer'#]]</f>
        <v>20051</v>
      </c>
      <c r="B175" t="str">
        <f>Table11[[#This Row],[Representative]]</f>
        <v>Laura Blanco</v>
      </c>
      <c r="C175" t="str">
        <f>Table11[[#This Row],[Contract Name]]</f>
        <v>Laura Blanco</v>
      </c>
      <c r="D175" t="str">
        <f>Table11[[#This Row],[Status]]</f>
        <v>RFT</v>
      </c>
      <c r="E175" t="str">
        <f>Table11[[#This Row],[Contract Code]]</f>
        <v>CR0055</v>
      </c>
      <c r="F175">
        <f>Table11[[#This Row],['#TreesContract]]</f>
        <v>1000</v>
      </c>
      <c r="G175">
        <f>Table11[[#This Row],['#Planted]]</f>
        <v>1000</v>
      </c>
      <c r="H175" s="16">
        <f>Table11[[#This Row],['#TreesContract]]*Table11[[#This Row],[Canada Allocation2017 %]]</f>
        <v>0</v>
      </c>
      <c r="I175" s="16">
        <f>Table11[[#This Row],['#Planted]]*Table11[[#This Row],[Canada Allocation2017 %]]</f>
        <v>0</v>
      </c>
      <c r="J175" s="16">
        <f>Table11[[#This Row],[Contract Amendment]]*Table11[[#This Row],[Canada Allocation2017 %]]</f>
        <v>0</v>
      </c>
      <c r="K175" s="16">
        <f>Table11[[#This Row],['#Trees as of 12/31/23]]*Table11[[#This Row],[Canada Allocation2017 %]]</f>
        <v>0</v>
      </c>
      <c r="L175" s="16">
        <f>Table11[[#This Row],['#Replace 24]]*Table11[[#This Row],[Canada Allocation2017 %]]</f>
        <v>0</v>
      </c>
      <c r="M175" s="16"/>
      <c r="N175" s="16">
        <f>(Table11[[#This Row],[2024 '#Trees Inventory + Estimate]]*Table11[[#This Row],[Canada Allocation2017 %]])-SUM(Table3789[[#This Row],['# Trees as of 12/31/23]:[New Trees/Planted in 2024]])</f>
        <v>0</v>
      </c>
      <c r="O175" s="32">
        <f>SUM(Table3789[[#This Row],['# Trees as of 12/31/23]:[2024 Tree Losses]])</f>
        <v>0</v>
      </c>
      <c r="P175" s="32">
        <f>SUM(Table3789[[#This Row],[Total Trees as of 12/31/24]]-Table3789[[#This Row],['# Trees as of 12/31/23]])</f>
        <v>0</v>
      </c>
      <c r="Q175" s="16">
        <f>Table11[[#This Row],['#Total Replacements]]*Table11[[#This Row],[Canada Allocation2017 %]]</f>
        <v>0</v>
      </c>
      <c r="R175" s="32">
        <f>IF(Table3789[[#This Row],['#Survival based on Inventory]]=0,Table3789['#Survival based on Last Year Estimate],Table3789['#Survival based on Inventory])</f>
        <v>0</v>
      </c>
      <c r="S175" s="16">
        <f>Table11[[#This Row],['#Planted]]*Table11[[#This Row],[Canada Allocation2017 %]]*Table11[[#This Row],[2024 Inventory Survival%-master]]</f>
        <v>0</v>
      </c>
      <c r="T175" s="16">
        <f>Table11[[#This Row],['#Planted]]*Table11[[#This Row],[Canada Allocation2017 %]]*Table11[[#This Row],[2024 Estimated Survival%]]</f>
        <v>0</v>
      </c>
      <c r="U175" s="7">
        <f>Table11[[#This Row],[ETP Year]]</f>
        <v>2020</v>
      </c>
      <c r="V175" s="7">
        <f>Table11[[#This Row],[Planting Year]]</f>
        <v>2020</v>
      </c>
      <c r="W175" s="8">
        <f>Table11[[#This Row],[Survival% as of 12/31/23]]</f>
        <v>0.82499999999999996</v>
      </c>
      <c r="X175">
        <f>Table11[[#This Row],[ETP'#s]]</f>
        <v>1</v>
      </c>
    </row>
    <row r="176" spans="1:24" hidden="1" x14ac:dyDescent="0.25">
      <c r="A176">
        <f>Table11[[#This Row],[Farmer'#]]</f>
        <v>20052</v>
      </c>
      <c r="B176" t="str">
        <f>Table11[[#This Row],[Representative]]</f>
        <v>Luis Alonso Salazar Rodriguez</v>
      </c>
      <c r="C176" t="str">
        <f>Table11[[#This Row],[Contract Name]]</f>
        <v>LKC Arrendamientos S.A</v>
      </c>
      <c r="D176" t="str">
        <f>Table11[[#This Row],[Status]]</f>
        <v>RFT</v>
      </c>
      <c r="E176" t="str">
        <f>Table11[[#This Row],[Contract Code]]</f>
        <v>CR0056</v>
      </c>
      <c r="F176">
        <f>Table11[[#This Row],['#TreesContract]]</f>
        <v>4000</v>
      </c>
      <c r="G176">
        <f>Table11[[#This Row],['#Planted]]</f>
        <v>4000</v>
      </c>
      <c r="H176" s="16">
        <f>Table11[[#This Row],['#TreesContract]]*Table11[[#This Row],[Canada Allocation2017 %]]</f>
        <v>0</v>
      </c>
      <c r="I176" s="16">
        <f>Table11[[#This Row],['#Planted]]*Table11[[#This Row],[Canada Allocation2017 %]]</f>
        <v>0</v>
      </c>
      <c r="J176" s="16">
        <f>Table11[[#This Row],[Contract Amendment]]*Table11[[#This Row],[Canada Allocation2017 %]]</f>
        <v>0</v>
      </c>
      <c r="K176" s="16">
        <f>Table11[[#This Row],['#Trees as of 12/31/23]]*Table11[[#This Row],[Canada Allocation2017 %]]</f>
        <v>0</v>
      </c>
      <c r="L176" s="16">
        <f>Table11[[#This Row],['#Replace 24]]*Table11[[#This Row],[Canada Allocation2017 %]]</f>
        <v>0</v>
      </c>
      <c r="M176" s="16"/>
      <c r="N176" s="16">
        <f>(Table11[[#This Row],[2024 '#Trees Inventory + Estimate]]*Table11[[#This Row],[Canada Allocation2017 %]])-SUM(Table3789[[#This Row],['# Trees as of 12/31/23]:[New Trees/Planted in 2024]])</f>
        <v>0</v>
      </c>
      <c r="O176" s="32">
        <f>SUM(Table3789[[#This Row],['# Trees as of 12/31/23]:[2024 Tree Losses]])</f>
        <v>0</v>
      </c>
      <c r="P176" s="32">
        <f>SUM(Table3789[[#This Row],[Total Trees as of 12/31/24]]-Table3789[[#This Row],['# Trees as of 12/31/23]])</f>
        <v>0</v>
      </c>
      <c r="Q176" s="16">
        <f>Table11[[#This Row],['#Total Replacements]]*Table11[[#This Row],[Canada Allocation2017 %]]</f>
        <v>0</v>
      </c>
      <c r="R176" s="32">
        <f>IF(Table3789[[#This Row],['#Survival based on Inventory]]=0,Table3789['#Survival based on Last Year Estimate],Table3789['#Survival based on Inventory])</f>
        <v>0</v>
      </c>
      <c r="S176" s="16">
        <f>Table11[[#This Row],['#Planted]]*Table11[[#This Row],[Canada Allocation2017 %]]*Table11[[#This Row],[2024 Inventory Survival%-master]]</f>
        <v>0</v>
      </c>
      <c r="T176" s="16">
        <f>Table11[[#This Row],['#Planted]]*Table11[[#This Row],[Canada Allocation2017 %]]*Table11[[#This Row],[2024 Estimated Survival%]]</f>
        <v>0</v>
      </c>
      <c r="U176" s="7">
        <f>Table11[[#This Row],[ETP Year]]</f>
        <v>2020</v>
      </c>
      <c r="V176" s="7">
        <f>Table11[[#This Row],[Planting Year]]</f>
        <v>2020</v>
      </c>
      <c r="W176" s="8">
        <f>Table11[[#This Row],[Survival% as of 12/31/23]]</f>
        <v>0.82499999999999996</v>
      </c>
      <c r="X176">
        <f>Table11[[#This Row],[ETP'#s]]</f>
        <v>1</v>
      </c>
    </row>
    <row r="177" spans="1:24" hidden="1" x14ac:dyDescent="0.25">
      <c r="A177">
        <f>Table11[[#This Row],[Farmer'#]]</f>
        <v>20053</v>
      </c>
      <c r="B177" t="str">
        <f>Table11[[#This Row],[Representative]]</f>
        <v>Marco Fiorio</v>
      </c>
      <c r="C177" t="str">
        <f>Table11[[#This Row],[Contract Name]]</f>
        <v>Marco Fiorio</v>
      </c>
      <c r="D177" t="str">
        <f>Table11[[#This Row],[Status]]</f>
        <v>RFT</v>
      </c>
      <c r="E177" t="str">
        <f>Table11[[#This Row],[Contract Code]]</f>
        <v>CR0057</v>
      </c>
      <c r="F177">
        <f>Table11[[#This Row],['#TreesContract]]</f>
        <v>2000</v>
      </c>
      <c r="G177">
        <f>Table11[[#This Row],['#Planted]]</f>
        <v>2000</v>
      </c>
      <c r="H177" s="16">
        <f>Table11[[#This Row],['#TreesContract]]*Table11[[#This Row],[Canada Allocation2017 %]]</f>
        <v>0</v>
      </c>
      <c r="I177" s="16">
        <f>Table11[[#This Row],['#Planted]]*Table11[[#This Row],[Canada Allocation2017 %]]</f>
        <v>0</v>
      </c>
      <c r="J177" s="16">
        <f>Table11[[#This Row],[Contract Amendment]]*Table11[[#This Row],[Canada Allocation2017 %]]</f>
        <v>0</v>
      </c>
      <c r="K177" s="16">
        <f>Table11[[#This Row],['#Trees as of 12/31/23]]*Table11[[#This Row],[Canada Allocation2017 %]]</f>
        <v>0</v>
      </c>
      <c r="L177" s="16">
        <f>Table11[[#This Row],['#Replace 24]]*Table11[[#This Row],[Canada Allocation2017 %]]</f>
        <v>0</v>
      </c>
      <c r="M177" s="16"/>
      <c r="N177" s="16">
        <f>(Table11[[#This Row],[2024 '#Trees Inventory + Estimate]]*Table11[[#This Row],[Canada Allocation2017 %]])-SUM(Table3789[[#This Row],['# Trees as of 12/31/23]:[New Trees/Planted in 2024]])</f>
        <v>0</v>
      </c>
      <c r="O177" s="32">
        <f>SUM(Table3789[[#This Row],['# Trees as of 12/31/23]:[2024 Tree Losses]])</f>
        <v>0</v>
      </c>
      <c r="P177" s="32">
        <f>SUM(Table3789[[#This Row],[Total Trees as of 12/31/24]]-Table3789[[#This Row],['# Trees as of 12/31/23]])</f>
        <v>0</v>
      </c>
      <c r="Q177" s="16">
        <f>Table11[[#This Row],['#Total Replacements]]*Table11[[#This Row],[Canada Allocation2017 %]]</f>
        <v>0</v>
      </c>
      <c r="R177" s="32">
        <f>IF(Table3789[[#This Row],['#Survival based on Inventory]]=0,Table3789['#Survival based on Last Year Estimate],Table3789['#Survival based on Inventory])</f>
        <v>0</v>
      </c>
      <c r="S177" s="16">
        <f>Table11[[#This Row],['#Planted]]*Table11[[#This Row],[Canada Allocation2017 %]]*Table11[[#This Row],[2024 Inventory Survival%-master]]</f>
        <v>0</v>
      </c>
      <c r="T177" s="16">
        <f>Table11[[#This Row],['#Planted]]*Table11[[#This Row],[Canada Allocation2017 %]]*Table11[[#This Row],[2024 Estimated Survival%]]</f>
        <v>0</v>
      </c>
      <c r="U177" s="7">
        <f>Table11[[#This Row],[ETP Year]]</f>
        <v>2020</v>
      </c>
      <c r="V177" s="7">
        <f>Table11[[#This Row],[Planting Year]]</f>
        <v>2020</v>
      </c>
      <c r="W177" s="8">
        <f>Table11[[#This Row],[Survival% as of 12/31/23]]</f>
        <v>0.73</v>
      </c>
      <c r="X177">
        <f>Table11[[#This Row],[ETP'#s]]</f>
        <v>1</v>
      </c>
    </row>
    <row r="178" spans="1:24" hidden="1" x14ac:dyDescent="0.25">
      <c r="A178">
        <f>Table11[[#This Row],[Farmer'#]]</f>
        <v>20054</v>
      </c>
      <c r="B178" t="str">
        <f>Table11[[#This Row],[Representative]]</f>
        <v>Marco Mora</v>
      </c>
      <c r="C178" t="str">
        <f>Table11[[#This Row],[Contract Name]]</f>
        <v>Marco Mora</v>
      </c>
      <c r="D178" t="str">
        <f>Table11[[#This Row],[Status]]</f>
        <v>RFT</v>
      </c>
      <c r="E178" t="str">
        <f>Table11[[#This Row],[Contract Code]]</f>
        <v>CR0058</v>
      </c>
      <c r="F178">
        <f>Table11[[#This Row],['#TreesContract]]</f>
        <v>2000</v>
      </c>
      <c r="G178">
        <f>Table11[[#This Row],['#Planted]]</f>
        <v>2000</v>
      </c>
      <c r="H178" s="16">
        <f>Table11[[#This Row],['#TreesContract]]*Table11[[#This Row],[Canada Allocation2017 %]]</f>
        <v>0</v>
      </c>
      <c r="I178" s="16">
        <f>Table11[[#This Row],['#Planted]]*Table11[[#This Row],[Canada Allocation2017 %]]</f>
        <v>0</v>
      </c>
      <c r="J178" s="16">
        <f>Table11[[#This Row],[Contract Amendment]]*Table11[[#This Row],[Canada Allocation2017 %]]</f>
        <v>0</v>
      </c>
      <c r="K178" s="16">
        <f>Table11[[#This Row],['#Trees as of 12/31/23]]*Table11[[#This Row],[Canada Allocation2017 %]]</f>
        <v>0</v>
      </c>
      <c r="L178" s="16">
        <f>Table11[[#This Row],['#Replace 24]]*Table11[[#This Row],[Canada Allocation2017 %]]</f>
        <v>0</v>
      </c>
      <c r="M178" s="16"/>
      <c r="N178" s="16">
        <f>(Table11[[#This Row],[2024 '#Trees Inventory + Estimate]]*Table11[[#This Row],[Canada Allocation2017 %]])-SUM(Table3789[[#This Row],['# Trees as of 12/31/23]:[New Trees/Planted in 2024]])</f>
        <v>0</v>
      </c>
      <c r="O178" s="32">
        <f>SUM(Table3789[[#This Row],['# Trees as of 12/31/23]:[2024 Tree Losses]])</f>
        <v>0</v>
      </c>
      <c r="P178" s="32">
        <f>SUM(Table3789[[#This Row],[Total Trees as of 12/31/24]]-Table3789[[#This Row],['# Trees as of 12/31/23]])</f>
        <v>0</v>
      </c>
      <c r="Q178" s="16">
        <f>Table11[[#This Row],['#Total Replacements]]*Table11[[#This Row],[Canada Allocation2017 %]]</f>
        <v>0</v>
      </c>
      <c r="R178" s="32">
        <f>IF(Table3789[[#This Row],['#Survival based on Inventory]]=0,Table3789['#Survival based on Last Year Estimate],Table3789['#Survival based on Inventory])</f>
        <v>0</v>
      </c>
      <c r="S178" s="16">
        <f>Table11[[#This Row],['#Planted]]*Table11[[#This Row],[Canada Allocation2017 %]]*Table11[[#This Row],[2024 Inventory Survival%-master]]</f>
        <v>0</v>
      </c>
      <c r="T178" s="16">
        <f>Table11[[#This Row],['#Planted]]*Table11[[#This Row],[Canada Allocation2017 %]]*Table11[[#This Row],[2024 Estimated Survival%]]</f>
        <v>0</v>
      </c>
      <c r="U178" s="7">
        <f>Table11[[#This Row],[ETP Year]]</f>
        <v>2020</v>
      </c>
      <c r="V178" s="7">
        <f>Table11[[#This Row],[Planting Year]]</f>
        <v>2020</v>
      </c>
      <c r="W178" s="8">
        <f>Table11[[#This Row],[Survival% as of 12/31/23]]</f>
        <v>0.67</v>
      </c>
      <c r="X178">
        <f>Table11[[#This Row],[ETP'#s]]</f>
        <v>1</v>
      </c>
    </row>
    <row r="179" spans="1:24" hidden="1" x14ac:dyDescent="0.25">
      <c r="A179">
        <f>Table11[[#This Row],[Farmer'#]]</f>
        <v>20055</v>
      </c>
      <c r="B179" t="str">
        <f>Table11[[#This Row],[Representative]]</f>
        <v>Marianela Campos</v>
      </c>
      <c r="C179" t="str">
        <f>Table11[[#This Row],[Contract Name]]</f>
        <v>Marianela Campos Campos</v>
      </c>
      <c r="D179" t="str">
        <f>Table11[[#This Row],[Status]]</f>
        <v>Active</v>
      </c>
      <c r="E179" t="str">
        <f>Table11[[#This Row],[Contract Code]]</f>
        <v>CR0059</v>
      </c>
      <c r="F179">
        <f>Table11[[#This Row],['#TreesContract]]</f>
        <v>2000</v>
      </c>
      <c r="G179">
        <f>Table11[[#This Row],['#Planted]]</f>
        <v>2000</v>
      </c>
      <c r="H179" s="16">
        <f>Table11[[#This Row],['#TreesContract]]*Table11[[#This Row],[Canada Allocation2017 %]]</f>
        <v>0</v>
      </c>
      <c r="I179" s="16">
        <f>Table11[[#This Row],['#Planted]]*Table11[[#This Row],[Canada Allocation2017 %]]</f>
        <v>0</v>
      </c>
      <c r="J179" s="16">
        <f>Table11[[#This Row],[Contract Amendment]]*Table11[[#This Row],[Canada Allocation2017 %]]</f>
        <v>0</v>
      </c>
      <c r="K179" s="16">
        <f>Table11[[#This Row],['#Trees as of 12/31/23]]*Table11[[#This Row],[Canada Allocation2017 %]]</f>
        <v>0</v>
      </c>
      <c r="L179" s="16">
        <f>Table11[[#This Row],['#Replace 24]]*Table11[[#This Row],[Canada Allocation2017 %]]</f>
        <v>0</v>
      </c>
      <c r="M179" s="16"/>
      <c r="N179" s="16">
        <f>(Table11[[#This Row],[2024 '#Trees Inventory + Estimate]]*Table11[[#This Row],[Canada Allocation2017 %]])-SUM(Table3789[[#This Row],['# Trees as of 12/31/23]:[New Trees/Planted in 2024]])</f>
        <v>0</v>
      </c>
      <c r="O179" s="32">
        <f>SUM(Table3789[[#This Row],['# Trees as of 12/31/23]:[2024 Tree Losses]])</f>
        <v>0</v>
      </c>
      <c r="P179" s="32">
        <f>SUM(Table3789[[#This Row],[Total Trees as of 12/31/24]]-Table3789[[#This Row],['# Trees as of 12/31/23]])</f>
        <v>0</v>
      </c>
      <c r="Q179" s="16">
        <f>Table11[[#This Row],['#Total Replacements]]*Table11[[#This Row],[Canada Allocation2017 %]]</f>
        <v>0</v>
      </c>
      <c r="R179" s="32">
        <f>IF(Table3789[[#This Row],['#Survival based on Inventory]]=0,Table3789['#Survival based on Last Year Estimate],Table3789['#Survival based on Inventory])</f>
        <v>0</v>
      </c>
      <c r="S179" s="16">
        <f>Table11[[#This Row],['#Planted]]*Table11[[#This Row],[Canada Allocation2017 %]]*Table11[[#This Row],[2024 Inventory Survival%-master]]</f>
        <v>0</v>
      </c>
      <c r="T179" s="16">
        <f>Table11[[#This Row],['#Planted]]*Table11[[#This Row],[Canada Allocation2017 %]]*Table11[[#This Row],[2024 Estimated Survival%]]</f>
        <v>0</v>
      </c>
      <c r="U179" s="7">
        <f>Table11[[#This Row],[ETP Year]]</f>
        <v>2020</v>
      </c>
      <c r="V179" s="7">
        <f>Table11[[#This Row],[Planting Year]]</f>
        <v>2020</v>
      </c>
      <c r="W179" s="17">
        <f>Table11[[#This Row],[Survival% as of 12/31/23]]</f>
        <v>1</v>
      </c>
      <c r="X179">
        <f>Table11[[#This Row],[ETP'#s]]</f>
        <v>1</v>
      </c>
    </row>
    <row r="180" spans="1:24" hidden="1" x14ac:dyDescent="0.25">
      <c r="A180">
        <f>Table11[[#This Row],[Farmer'#]]</f>
        <v>20056</v>
      </c>
      <c r="B180" t="str">
        <f>Table11[[#This Row],[Representative]]</f>
        <v>Marleni Oporta Castillo</v>
      </c>
      <c r="C180" t="str">
        <f>Table11[[#This Row],[Contract Name]]</f>
        <v>Marleni Oporta Castillo</v>
      </c>
      <c r="D180" t="str">
        <f>Table11[[#This Row],[Status]]</f>
        <v>Active</v>
      </c>
      <c r="E180" t="str">
        <f>Table11[[#This Row],[Contract Code]]</f>
        <v>CR0060</v>
      </c>
      <c r="F180">
        <f>Table11[[#This Row],['#TreesContract]]</f>
        <v>2000</v>
      </c>
      <c r="G180">
        <f>Table11[[#This Row],['#Planted]]</f>
        <v>2000</v>
      </c>
      <c r="H180" s="16">
        <f>Table11[[#This Row],['#TreesContract]]*Table11[[#This Row],[Canada Allocation2017 %]]</f>
        <v>0</v>
      </c>
      <c r="I180" s="16">
        <f>Table11[[#This Row],['#Planted]]*Table11[[#This Row],[Canada Allocation2017 %]]</f>
        <v>0</v>
      </c>
      <c r="J180" s="16">
        <f>Table11[[#This Row],[Contract Amendment]]*Table11[[#This Row],[Canada Allocation2017 %]]</f>
        <v>0</v>
      </c>
      <c r="K180" s="16">
        <f>Table11[[#This Row],['#Trees as of 12/31/23]]*Table11[[#This Row],[Canada Allocation2017 %]]</f>
        <v>0</v>
      </c>
      <c r="L180" s="16">
        <f>Table11[[#This Row],['#Replace 24]]*Table11[[#This Row],[Canada Allocation2017 %]]</f>
        <v>0</v>
      </c>
      <c r="M180" s="16"/>
      <c r="N180" s="16">
        <f>(Table11[[#This Row],[2024 '#Trees Inventory + Estimate]]*Table11[[#This Row],[Canada Allocation2017 %]])-SUM(Table3789[[#This Row],['# Trees as of 12/31/23]:[New Trees/Planted in 2024]])</f>
        <v>0</v>
      </c>
      <c r="O180" s="32">
        <f>SUM(Table3789[[#This Row],['# Trees as of 12/31/23]:[2024 Tree Losses]])</f>
        <v>0</v>
      </c>
      <c r="P180" s="32">
        <f>SUM(Table3789[[#This Row],[Total Trees as of 12/31/24]]-Table3789[[#This Row],['# Trees as of 12/31/23]])</f>
        <v>0</v>
      </c>
      <c r="Q180" s="16">
        <f>Table11[[#This Row],['#Total Replacements]]*Table11[[#This Row],[Canada Allocation2017 %]]</f>
        <v>0</v>
      </c>
      <c r="R180" s="32">
        <f>IF(Table3789[[#This Row],['#Survival based on Inventory]]=0,Table3789['#Survival based on Last Year Estimate],Table3789['#Survival based on Inventory])</f>
        <v>0</v>
      </c>
      <c r="S180" s="16">
        <f>Table11[[#This Row],['#Planted]]*Table11[[#This Row],[Canada Allocation2017 %]]*Table11[[#This Row],[2024 Inventory Survival%-master]]</f>
        <v>0</v>
      </c>
      <c r="T180" s="16">
        <f>Table11[[#This Row],['#Planted]]*Table11[[#This Row],[Canada Allocation2017 %]]*Table11[[#This Row],[2024 Estimated Survival%]]</f>
        <v>0</v>
      </c>
      <c r="U180" s="7">
        <f>Table11[[#This Row],[ETP Year]]</f>
        <v>2020</v>
      </c>
      <c r="V180" s="7">
        <f>Table11[[#This Row],[Planting Year]]</f>
        <v>2020</v>
      </c>
      <c r="W180" s="17">
        <f>Table11[[#This Row],[Survival% as of 12/31/23]]</f>
        <v>1</v>
      </c>
      <c r="X180">
        <f>Table11[[#This Row],[ETP'#s]]</f>
        <v>1</v>
      </c>
    </row>
    <row r="181" spans="1:24" hidden="1" x14ac:dyDescent="0.25">
      <c r="A181">
        <f>Table11[[#This Row],[Farmer'#]]</f>
        <v>20057</v>
      </c>
      <c r="B181" t="str">
        <f>Table11[[#This Row],[Representative]]</f>
        <v>Mercedes Barboza</v>
      </c>
      <c r="C181" t="str">
        <f>Table11[[#This Row],[Contract Name]]</f>
        <v>Mercedez Barboza</v>
      </c>
      <c r="D181" t="str">
        <f>Table11[[#This Row],[Status]]</f>
        <v>Active</v>
      </c>
      <c r="E181" t="str">
        <f>Table11[[#This Row],[Contract Code]]</f>
        <v>CR0062</v>
      </c>
      <c r="F181">
        <f>Table11[[#This Row],['#TreesContract]]</f>
        <v>1200</v>
      </c>
      <c r="G181">
        <f>Table11[[#This Row],['#Planted]]</f>
        <v>1200</v>
      </c>
      <c r="H181" s="16">
        <f>Table11[[#This Row],['#TreesContract]]*Table11[[#This Row],[Canada Allocation2017 %]]</f>
        <v>0</v>
      </c>
      <c r="I181" s="16">
        <f>Table11[[#This Row],['#Planted]]*Table11[[#This Row],[Canada Allocation2017 %]]</f>
        <v>0</v>
      </c>
      <c r="J181" s="16">
        <f>Table11[[#This Row],[Contract Amendment]]*Table11[[#This Row],[Canada Allocation2017 %]]</f>
        <v>0</v>
      </c>
      <c r="K181" s="16">
        <f>Table11[[#This Row],['#Trees as of 12/31/23]]*Table11[[#This Row],[Canada Allocation2017 %]]</f>
        <v>0</v>
      </c>
      <c r="L181" s="16">
        <f>Table11[[#This Row],['#Replace 24]]*Table11[[#This Row],[Canada Allocation2017 %]]</f>
        <v>0</v>
      </c>
      <c r="M181" s="16"/>
      <c r="N181" s="16">
        <f>(Table11[[#This Row],[2024 '#Trees Inventory + Estimate]]*Table11[[#This Row],[Canada Allocation2017 %]])-SUM(Table3789[[#This Row],['# Trees as of 12/31/23]:[New Trees/Planted in 2024]])</f>
        <v>0</v>
      </c>
      <c r="O181" s="32">
        <f>SUM(Table3789[[#This Row],['# Trees as of 12/31/23]:[2024 Tree Losses]])</f>
        <v>0</v>
      </c>
      <c r="P181" s="32">
        <f>SUM(Table3789[[#This Row],[Total Trees as of 12/31/24]]-Table3789[[#This Row],['# Trees as of 12/31/23]])</f>
        <v>0</v>
      </c>
      <c r="Q181" s="16">
        <f>Table11[[#This Row],['#Total Replacements]]*Table11[[#This Row],[Canada Allocation2017 %]]</f>
        <v>0</v>
      </c>
      <c r="R181" s="32">
        <f>IF(Table3789[[#This Row],['#Survival based on Inventory]]=0,Table3789['#Survival based on Last Year Estimate],Table3789['#Survival based on Inventory])</f>
        <v>0</v>
      </c>
      <c r="S181" s="16">
        <f>Table11[[#This Row],['#Planted]]*Table11[[#This Row],[Canada Allocation2017 %]]*Table11[[#This Row],[2024 Inventory Survival%-master]]</f>
        <v>0</v>
      </c>
      <c r="T181" s="16">
        <f>Table11[[#This Row],['#Planted]]*Table11[[#This Row],[Canada Allocation2017 %]]*Table11[[#This Row],[2024 Estimated Survival%]]</f>
        <v>0</v>
      </c>
      <c r="U181" s="7">
        <f>Table11[[#This Row],[ETP Year]]</f>
        <v>2020</v>
      </c>
      <c r="V181" s="7">
        <f>Table11[[#This Row],[Planting Year]]</f>
        <v>2020</v>
      </c>
      <c r="W181" s="17">
        <f>Table11[[#This Row],[Survival% as of 12/31/23]]</f>
        <v>1</v>
      </c>
      <c r="X181">
        <f>Table11[[#This Row],[ETP'#s]]</f>
        <v>1</v>
      </c>
    </row>
    <row r="182" spans="1:24" hidden="1" x14ac:dyDescent="0.25">
      <c r="A182">
        <f>Table11[[#This Row],[Farmer'#]]</f>
        <v>20058</v>
      </c>
      <c r="B182" t="str">
        <f>Table11[[#This Row],[Representative]]</f>
        <v>Olger Monge</v>
      </c>
      <c r="C182" t="str">
        <f>Table11[[#This Row],[Contract Name]]</f>
        <v>Olger Monge</v>
      </c>
      <c r="D182" t="str">
        <f>Table11[[#This Row],[Status]]</f>
        <v>Active</v>
      </c>
      <c r="E182" t="str">
        <f>Table11[[#This Row],[Contract Code]]</f>
        <v>CR0063</v>
      </c>
      <c r="F182">
        <f>Table11[[#This Row],['#TreesContract]]</f>
        <v>600</v>
      </c>
      <c r="G182">
        <f>Table11[[#This Row],['#Planted]]</f>
        <v>600</v>
      </c>
      <c r="H182" s="16">
        <f>Table11[[#This Row],['#TreesContract]]*Table11[[#This Row],[Canada Allocation2017 %]]</f>
        <v>0</v>
      </c>
      <c r="I182" s="16">
        <f>Table11[[#This Row],['#Planted]]*Table11[[#This Row],[Canada Allocation2017 %]]</f>
        <v>0</v>
      </c>
      <c r="J182" s="16">
        <f>Table11[[#This Row],[Contract Amendment]]*Table11[[#This Row],[Canada Allocation2017 %]]</f>
        <v>0</v>
      </c>
      <c r="K182" s="16">
        <f>Table11[[#This Row],['#Trees as of 12/31/23]]*Table11[[#This Row],[Canada Allocation2017 %]]</f>
        <v>0</v>
      </c>
      <c r="L182" s="16">
        <f>Table11[[#This Row],['#Replace 24]]*Table11[[#This Row],[Canada Allocation2017 %]]</f>
        <v>0</v>
      </c>
      <c r="M182" s="16"/>
      <c r="N182" s="16">
        <f>(Table11[[#This Row],[2024 '#Trees Inventory + Estimate]]*Table11[[#This Row],[Canada Allocation2017 %]])-SUM(Table3789[[#This Row],['# Trees as of 12/31/23]:[New Trees/Planted in 2024]])</f>
        <v>0</v>
      </c>
      <c r="O182" s="32">
        <f>SUM(Table3789[[#This Row],['# Trees as of 12/31/23]:[2024 Tree Losses]])</f>
        <v>0</v>
      </c>
      <c r="P182" s="32">
        <f>SUM(Table3789[[#This Row],[Total Trees as of 12/31/24]]-Table3789[[#This Row],['# Trees as of 12/31/23]])</f>
        <v>0</v>
      </c>
      <c r="Q182" s="16">
        <f>Table11[[#This Row],['#Total Replacements]]*Table11[[#This Row],[Canada Allocation2017 %]]</f>
        <v>0</v>
      </c>
      <c r="R182" s="32">
        <f>IF(Table3789[[#This Row],['#Survival based on Inventory]]=0,Table3789['#Survival based on Last Year Estimate],Table3789['#Survival based on Inventory])</f>
        <v>0</v>
      </c>
      <c r="S182" s="16">
        <f>Table11[[#This Row],['#Planted]]*Table11[[#This Row],[Canada Allocation2017 %]]*Table11[[#This Row],[2024 Inventory Survival%-master]]</f>
        <v>0</v>
      </c>
      <c r="T182" s="16">
        <f>Table11[[#This Row],['#Planted]]*Table11[[#This Row],[Canada Allocation2017 %]]*Table11[[#This Row],[2024 Estimated Survival%]]</f>
        <v>0</v>
      </c>
      <c r="U182" s="7">
        <f>Table11[[#This Row],[ETP Year]]</f>
        <v>2020</v>
      </c>
      <c r="V182" s="7">
        <f>Table11[[#This Row],[Planting Year]]</f>
        <v>2020</v>
      </c>
      <c r="W182" s="17">
        <f>Table11[[#This Row],[Survival% as of 12/31/23]]</f>
        <v>0.95</v>
      </c>
      <c r="X182">
        <f>Table11[[#This Row],[ETP'#s]]</f>
        <v>1</v>
      </c>
    </row>
    <row r="183" spans="1:24" hidden="1" x14ac:dyDescent="0.25">
      <c r="A183">
        <f>Table11[[#This Row],[Farmer'#]]</f>
        <v>20059</v>
      </c>
      <c r="B183" t="str">
        <f>Table11[[#This Row],[Representative]]</f>
        <v>Marvin Chavarria</v>
      </c>
      <c r="C183" t="str">
        <f>Table11[[#This Row],[Contract Name]]</f>
        <v>Oswaldo Alvarez</v>
      </c>
      <c r="D183" t="str">
        <f>Table11[[#This Row],[Status]]</f>
        <v>RFT</v>
      </c>
      <c r="E183" t="str">
        <f>Table11[[#This Row],[Contract Code]]</f>
        <v>CR0064</v>
      </c>
      <c r="F183">
        <f>Table11[[#This Row],['#TreesContract]]</f>
        <v>1000</v>
      </c>
      <c r="G183">
        <f>Table11[[#This Row],['#Planted]]</f>
        <v>1000</v>
      </c>
      <c r="H183" s="16">
        <f>Table11[[#This Row],['#TreesContract]]*Table11[[#This Row],[Canada Allocation2017 %]]</f>
        <v>0</v>
      </c>
      <c r="I183" s="16">
        <f>Table11[[#This Row],['#Planted]]*Table11[[#This Row],[Canada Allocation2017 %]]</f>
        <v>0</v>
      </c>
      <c r="J183" s="16">
        <f>Table11[[#This Row],[Contract Amendment]]*Table11[[#This Row],[Canada Allocation2017 %]]</f>
        <v>0</v>
      </c>
      <c r="K183" s="16">
        <f>Table11[[#This Row],['#Trees as of 12/31/23]]*Table11[[#This Row],[Canada Allocation2017 %]]</f>
        <v>0</v>
      </c>
      <c r="L183" s="16">
        <f>Table11[[#This Row],['#Replace 24]]*Table11[[#This Row],[Canada Allocation2017 %]]</f>
        <v>0</v>
      </c>
      <c r="M183" s="16"/>
      <c r="N183" s="16">
        <f>(Table11[[#This Row],[2024 '#Trees Inventory + Estimate]]*Table11[[#This Row],[Canada Allocation2017 %]])-SUM(Table3789[[#This Row],['# Trees as of 12/31/23]:[New Trees/Planted in 2024]])</f>
        <v>0</v>
      </c>
      <c r="O183" s="32">
        <f>SUM(Table3789[[#This Row],['# Trees as of 12/31/23]:[2024 Tree Losses]])</f>
        <v>0</v>
      </c>
      <c r="P183" s="32">
        <f>SUM(Table3789[[#This Row],[Total Trees as of 12/31/24]]-Table3789[[#This Row],['# Trees as of 12/31/23]])</f>
        <v>0</v>
      </c>
      <c r="Q183" s="16">
        <f>Table11[[#This Row],['#Total Replacements]]*Table11[[#This Row],[Canada Allocation2017 %]]</f>
        <v>0</v>
      </c>
      <c r="R183" s="32">
        <f>IF(Table3789[[#This Row],['#Survival based on Inventory]]=0,Table3789['#Survival based on Last Year Estimate],Table3789['#Survival based on Inventory])</f>
        <v>0</v>
      </c>
      <c r="S183" s="16">
        <f>Table11[[#This Row],['#Planted]]*Table11[[#This Row],[Canada Allocation2017 %]]*Table11[[#This Row],[2024 Inventory Survival%-master]]</f>
        <v>0</v>
      </c>
      <c r="T183" s="16">
        <f>Table11[[#This Row],['#Planted]]*Table11[[#This Row],[Canada Allocation2017 %]]*Table11[[#This Row],[2024 Estimated Survival%]]</f>
        <v>0</v>
      </c>
      <c r="U183" s="7">
        <f>Table11[[#This Row],[ETP Year]]</f>
        <v>2020</v>
      </c>
      <c r="V183" s="7">
        <f>Table11[[#This Row],[Planting Year]]</f>
        <v>2020</v>
      </c>
      <c r="W183" s="17">
        <f>Table11[[#This Row],[Survival% as of 12/31/23]]</f>
        <v>0.625</v>
      </c>
      <c r="X183">
        <f>Table11[[#This Row],[ETP'#s]]</f>
        <v>1</v>
      </c>
    </row>
    <row r="184" spans="1:24" hidden="1" x14ac:dyDescent="0.25">
      <c r="A184">
        <f>Table11[[#This Row],[Farmer'#]]</f>
        <v>20060</v>
      </c>
      <c r="B184" t="str">
        <f>Table11[[#This Row],[Representative]]</f>
        <v>Roy Damian Campos</v>
      </c>
      <c r="C184" t="str">
        <f>Table11[[#This Row],[Contract Name]]</f>
        <v>Roy Damian Campos</v>
      </c>
      <c r="D184" t="str">
        <f>Table11[[#This Row],[Status]]</f>
        <v>Active</v>
      </c>
      <c r="E184" t="str">
        <f>Table11[[#This Row],[Contract Code]]</f>
        <v>CR0065</v>
      </c>
      <c r="F184">
        <f>Table11[[#This Row],['#TreesContract]]</f>
        <v>1700</v>
      </c>
      <c r="G184">
        <f>Table11[[#This Row],['#Planted]]</f>
        <v>1700</v>
      </c>
      <c r="H184" s="16">
        <f>Table11[[#This Row],['#TreesContract]]*Table11[[#This Row],[Canada Allocation2017 %]]</f>
        <v>0</v>
      </c>
      <c r="I184" s="16">
        <f>Table11[[#This Row],['#Planted]]*Table11[[#This Row],[Canada Allocation2017 %]]</f>
        <v>0</v>
      </c>
      <c r="J184" s="16">
        <f>Table11[[#This Row],[Contract Amendment]]*Table11[[#This Row],[Canada Allocation2017 %]]</f>
        <v>0</v>
      </c>
      <c r="K184" s="16">
        <f>Table11[[#This Row],['#Trees as of 12/31/23]]*Table11[[#This Row],[Canada Allocation2017 %]]</f>
        <v>0</v>
      </c>
      <c r="L184" s="16">
        <f>Table11[[#This Row],['#Replace 24]]*Table11[[#This Row],[Canada Allocation2017 %]]</f>
        <v>0</v>
      </c>
      <c r="M184" s="16"/>
      <c r="N184" s="16">
        <f>(Table11[[#This Row],[2024 '#Trees Inventory + Estimate]]*Table11[[#This Row],[Canada Allocation2017 %]])-SUM(Table3789[[#This Row],['# Trees as of 12/31/23]:[New Trees/Planted in 2024]])</f>
        <v>0</v>
      </c>
      <c r="O184" s="32">
        <f>SUM(Table3789[[#This Row],['# Trees as of 12/31/23]:[2024 Tree Losses]])</f>
        <v>0</v>
      </c>
      <c r="P184" s="32">
        <f>SUM(Table3789[[#This Row],[Total Trees as of 12/31/24]]-Table3789[[#This Row],['# Trees as of 12/31/23]])</f>
        <v>0</v>
      </c>
      <c r="Q184" s="16">
        <f>Table11[[#This Row],['#Total Replacements]]*Table11[[#This Row],[Canada Allocation2017 %]]</f>
        <v>0</v>
      </c>
      <c r="R184" s="32">
        <f>IF(Table3789[[#This Row],['#Survival based on Inventory]]=0,Table3789['#Survival based on Last Year Estimate],Table3789['#Survival based on Inventory])</f>
        <v>0</v>
      </c>
      <c r="S184" s="16">
        <f>Table11[[#This Row],['#Planted]]*Table11[[#This Row],[Canada Allocation2017 %]]*Table11[[#This Row],[2024 Inventory Survival%-master]]</f>
        <v>0</v>
      </c>
      <c r="T184" s="16">
        <f>Table11[[#This Row],['#Planted]]*Table11[[#This Row],[Canada Allocation2017 %]]*Table11[[#This Row],[2024 Estimated Survival%]]</f>
        <v>0</v>
      </c>
      <c r="U184" s="7">
        <f>Table11[[#This Row],[ETP Year]]</f>
        <v>2020</v>
      </c>
      <c r="V184" s="7">
        <f>Table11[[#This Row],[Planting Year]]</f>
        <v>2020</v>
      </c>
      <c r="W184" s="17">
        <f>Table11[[#This Row],[Survival% as of 12/31/23]]</f>
        <v>1</v>
      </c>
      <c r="X184">
        <f>Table11[[#This Row],[ETP'#s]]</f>
        <v>1</v>
      </c>
    </row>
    <row r="185" spans="1:24" hidden="1" x14ac:dyDescent="0.25">
      <c r="A185">
        <f>Table11[[#This Row],[Farmer'#]]</f>
        <v>20061</v>
      </c>
      <c r="B185" t="str">
        <f>Table11[[#This Row],[Representative]]</f>
        <v>Victor Godinez</v>
      </c>
      <c r="C185" t="str">
        <f>Table11[[#This Row],[Contract Name]]</f>
        <v>AGRICOLA BUENA VISTA EL ALTO S.A</v>
      </c>
      <c r="D185" t="str">
        <f>Table11[[#This Row],[Status]]</f>
        <v>Active</v>
      </c>
      <c r="E185" t="str">
        <f>Table11[[#This Row],[Contract Code]]</f>
        <v>CR0066</v>
      </c>
      <c r="F185">
        <f>Table11[[#This Row],['#TreesContract]]</f>
        <v>1000</v>
      </c>
      <c r="G185">
        <f>Table11[[#This Row],['#Planted]]</f>
        <v>1000</v>
      </c>
      <c r="H185" s="16">
        <f>Table11[[#This Row],['#TreesContract]]*Table11[[#This Row],[Canada Allocation2017 %]]</f>
        <v>0</v>
      </c>
      <c r="I185" s="16">
        <f>Table11[[#This Row],['#Planted]]*Table11[[#This Row],[Canada Allocation2017 %]]</f>
        <v>0</v>
      </c>
      <c r="J185" s="16">
        <f>Table11[[#This Row],[Contract Amendment]]*Table11[[#This Row],[Canada Allocation2017 %]]</f>
        <v>0</v>
      </c>
      <c r="K185" s="16">
        <f>Table11[[#This Row],['#Trees as of 12/31/23]]*Table11[[#This Row],[Canada Allocation2017 %]]</f>
        <v>0</v>
      </c>
      <c r="L185" s="16">
        <f>Table11[[#This Row],['#Replace 24]]*Table11[[#This Row],[Canada Allocation2017 %]]</f>
        <v>0</v>
      </c>
      <c r="M185" s="16"/>
      <c r="N185" s="16">
        <f>(Table11[[#This Row],[2024 '#Trees Inventory + Estimate]]*Table11[[#This Row],[Canada Allocation2017 %]])-SUM(Table3789[[#This Row],['# Trees as of 12/31/23]:[New Trees/Planted in 2024]])</f>
        <v>0</v>
      </c>
      <c r="O185" s="32">
        <f>SUM(Table3789[[#This Row],['# Trees as of 12/31/23]:[2024 Tree Losses]])</f>
        <v>0</v>
      </c>
      <c r="P185" s="32">
        <f>SUM(Table3789[[#This Row],[Total Trees as of 12/31/24]]-Table3789[[#This Row],['# Trees as of 12/31/23]])</f>
        <v>0</v>
      </c>
      <c r="Q185" s="16">
        <f>Table11[[#This Row],['#Total Replacements]]*Table11[[#This Row],[Canada Allocation2017 %]]</f>
        <v>0</v>
      </c>
      <c r="R185" s="32">
        <f>IF(Table3789[[#This Row],['#Survival based on Inventory]]=0,Table3789['#Survival based on Last Year Estimate],Table3789['#Survival based on Inventory])</f>
        <v>0</v>
      </c>
      <c r="S185" s="16">
        <f>Table11[[#This Row],['#Planted]]*Table11[[#This Row],[Canada Allocation2017 %]]*Table11[[#This Row],[2024 Inventory Survival%-master]]</f>
        <v>0</v>
      </c>
      <c r="T185" s="16">
        <f>Table11[[#This Row],['#Planted]]*Table11[[#This Row],[Canada Allocation2017 %]]*Table11[[#This Row],[2024 Estimated Survival%]]</f>
        <v>0</v>
      </c>
      <c r="U185" s="7">
        <f>Table11[[#This Row],[ETP Year]]</f>
        <v>2020</v>
      </c>
      <c r="V185" s="7">
        <f>Table11[[#This Row],[Planting Year]]</f>
        <v>2020</v>
      </c>
      <c r="W185" s="17">
        <f>Table11[[#This Row],[Survival% as of 12/31/23]]</f>
        <v>0.95</v>
      </c>
      <c r="X185">
        <f>Table11[[#This Row],[ETP'#s]]</f>
        <v>1</v>
      </c>
    </row>
    <row r="186" spans="1:24" hidden="1" x14ac:dyDescent="0.25">
      <c r="A186">
        <f>Table11[[#This Row],[Farmer'#]]</f>
        <v>20062</v>
      </c>
      <c r="B186" t="str">
        <f>Table11[[#This Row],[Representative]]</f>
        <v>Victor Sibaja Elizondo</v>
      </c>
      <c r="C186" t="str">
        <f>Table11[[#This Row],[Contract Name]]</f>
        <v>Victor Sibaja Elizondo</v>
      </c>
      <c r="D186" t="str">
        <f>Table11[[#This Row],[Status]]</f>
        <v>RFT</v>
      </c>
      <c r="E186" t="str">
        <f>Table11[[#This Row],[Contract Code]]</f>
        <v>CR0067</v>
      </c>
      <c r="F186">
        <f>Table11[[#This Row],['#TreesContract]]</f>
        <v>1200</v>
      </c>
      <c r="G186">
        <f>Table11[[#This Row],['#Planted]]</f>
        <v>1200</v>
      </c>
      <c r="H186" s="16">
        <f>Table11[[#This Row],['#TreesContract]]*Table11[[#This Row],[Canada Allocation2017 %]]</f>
        <v>0</v>
      </c>
      <c r="I186" s="16">
        <f>Table11[[#This Row],['#Planted]]*Table11[[#This Row],[Canada Allocation2017 %]]</f>
        <v>0</v>
      </c>
      <c r="J186" s="16">
        <f>Table11[[#This Row],[Contract Amendment]]*Table11[[#This Row],[Canada Allocation2017 %]]</f>
        <v>0</v>
      </c>
      <c r="K186" s="16">
        <f>Table11[[#This Row],['#Trees as of 12/31/23]]*Table11[[#This Row],[Canada Allocation2017 %]]</f>
        <v>0</v>
      </c>
      <c r="L186" s="16">
        <f>Table11[[#This Row],['#Replace 24]]*Table11[[#This Row],[Canada Allocation2017 %]]</f>
        <v>0</v>
      </c>
      <c r="M186" s="16"/>
      <c r="N186" s="16">
        <f>(Table11[[#This Row],[2024 '#Trees Inventory + Estimate]]*Table11[[#This Row],[Canada Allocation2017 %]])-SUM(Table3789[[#This Row],['# Trees as of 12/31/23]:[New Trees/Planted in 2024]])</f>
        <v>0</v>
      </c>
      <c r="O186" s="32">
        <f>SUM(Table3789[[#This Row],['# Trees as of 12/31/23]:[2024 Tree Losses]])</f>
        <v>0</v>
      </c>
      <c r="P186" s="32">
        <f>SUM(Table3789[[#This Row],[Total Trees as of 12/31/24]]-Table3789[[#This Row],['# Trees as of 12/31/23]])</f>
        <v>0</v>
      </c>
      <c r="Q186" s="16">
        <f>Table11[[#This Row],['#Total Replacements]]*Table11[[#This Row],[Canada Allocation2017 %]]</f>
        <v>0</v>
      </c>
      <c r="R186" s="32">
        <f>IF(Table3789[[#This Row],['#Survival based on Inventory]]=0,Table3789['#Survival based on Last Year Estimate],Table3789['#Survival based on Inventory])</f>
        <v>0</v>
      </c>
      <c r="S186" s="16">
        <f>Table11[[#This Row],['#Planted]]*Table11[[#This Row],[Canada Allocation2017 %]]*Table11[[#This Row],[2024 Inventory Survival%-master]]</f>
        <v>0</v>
      </c>
      <c r="T186" s="16">
        <f>Table11[[#This Row],['#Planted]]*Table11[[#This Row],[Canada Allocation2017 %]]*Table11[[#This Row],[2024 Estimated Survival%]]</f>
        <v>0</v>
      </c>
      <c r="U186" s="7">
        <f>Table11[[#This Row],[ETP Year]]</f>
        <v>2020</v>
      </c>
      <c r="V186" s="7">
        <f>Table11[[#This Row],[Planting Year]]</f>
        <v>2020</v>
      </c>
      <c r="W186" s="17">
        <f>Table11[[#This Row],[Survival% as of 12/31/23]]</f>
        <v>0.95</v>
      </c>
      <c r="X186">
        <f>Table11[[#This Row],[ETP'#s]]</f>
        <v>1</v>
      </c>
    </row>
    <row r="187" spans="1:24" hidden="1" x14ac:dyDescent="0.25">
      <c r="A187">
        <f>Table11[[#This Row],[Farmer'#]]</f>
        <v>20063</v>
      </c>
      <c r="B187" t="str">
        <f>Table11[[#This Row],[Representative]]</f>
        <v>Wilberth Jesus Alfaro</v>
      </c>
      <c r="C187" t="str">
        <f>Table11[[#This Row],[Contract Name]]</f>
        <v>Wilberth Jesus Alfaro</v>
      </c>
      <c r="D187" t="str">
        <f>Table11[[#This Row],[Status]]</f>
        <v>Active</v>
      </c>
      <c r="E187" t="str">
        <f>Table11[[#This Row],[Contract Code]]</f>
        <v>CR0068</v>
      </c>
      <c r="F187">
        <f>Table11[[#This Row],['#TreesContract]]</f>
        <v>2000</v>
      </c>
      <c r="G187">
        <f>Table11[[#This Row],['#Planted]]</f>
        <v>2000</v>
      </c>
      <c r="H187" s="16">
        <f>Table11[[#This Row],['#TreesContract]]*Table11[[#This Row],[Canada Allocation2017 %]]</f>
        <v>0</v>
      </c>
      <c r="I187" s="16">
        <f>Table11[[#This Row],['#Planted]]*Table11[[#This Row],[Canada Allocation2017 %]]</f>
        <v>0</v>
      </c>
      <c r="J187" s="16">
        <f>Table11[[#This Row],[Contract Amendment]]*Table11[[#This Row],[Canada Allocation2017 %]]</f>
        <v>0</v>
      </c>
      <c r="K187" s="16">
        <f>Table11[[#This Row],['#Trees as of 12/31/23]]*Table11[[#This Row],[Canada Allocation2017 %]]</f>
        <v>0</v>
      </c>
      <c r="L187" s="16">
        <f>Table11[[#This Row],['#Replace 24]]*Table11[[#This Row],[Canada Allocation2017 %]]</f>
        <v>0</v>
      </c>
      <c r="M187" s="16"/>
      <c r="N187" s="16">
        <f>(Table11[[#This Row],[2024 '#Trees Inventory + Estimate]]*Table11[[#This Row],[Canada Allocation2017 %]])-SUM(Table3789[[#This Row],['# Trees as of 12/31/23]:[New Trees/Planted in 2024]])</f>
        <v>0</v>
      </c>
      <c r="O187" s="32">
        <f>SUM(Table3789[[#This Row],['# Trees as of 12/31/23]:[2024 Tree Losses]])</f>
        <v>0</v>
      </c>
      <c r="P187" s="32">
        <f>SUM(Table3789[[#This Row],[Total Trees as of 12/31/24]]-Table3789[[#This Row],['# Trees as of 12/31/23]])</f>
        <v>0</v>
      </c>
      <c r="Q187" s="16">
        <f>Table11[[#This Row],['#Total Replacements]]*Table11[[#This Row],[Canada Allocation2017 %]]</f>
        <v>0</v>
      </c>
      <c r="R187" s="32">
        <f>IF(Table3789[[#This Row],['#Survival based on Inventory]]=0,Table3789['#Survival based on Last Year Estimate],Table3789['#Survival based on Inventory])</f>
        <v>0</v>
      </c>
      <c r="S187" s="16">
        <f>Table11[[#This Row],['#Planted]]*Table11[[#This Row],[Canada Allocation2017 %]]*Table11[[#This Row],[2024 Inventory Survival%-master]]</f>
        <v>0</v>
      </c>
      <c r="T187" s="16">
        <f>Table11[[#This Row],['#Planted]]*Table11[[#This Row],[Canada Allocation2017 %]]*Table11[[#This Row],[2024 Estimated Survival%]]</f>
        <v>0</v>
      </c>
      <c r="U187" s="7">
        <f>Table11[[#This Row],[ETP Year]]</f>
        <v>2020</v>
      </c>
      <c r="V187" s="7">
        <f>Table11[[#This Row],[Planting Year]]</f>
        <v>2020</v>
      </c>
      <c r="W187" s="17">
        <f>Table11[[#This Row],[Survival% as of 12/31/23]]</f>
        <v>0.91</v>
      </c>
      <c r="X187">
        <f>Table11[[#This Row],[ETP'#s]]</f>
        <v>1</v>
      </c>
    </row>
    <row r="188" spans="1:24" hidden="1" x14ac:dyDescent="0.25">
      <c r="A188">
        <f>Table11[[#This Row],[Farmer'#]]</f>
        <v>20064</v>
      </c>
      <c r="B188" t="str">
        <f>Table11[[#This Row],[Representative]]</f>
        <v>Wilman Alvarado</v>
      </c>
      <c r="C188" t="str">
        <f>Table11[[#This Row],[Contract Name]]</f>
        <v>Wilman Alvarado</v>
      </c>
      <c r="D188" t="str">
        <f>Table11[[#This Row],[Status]]</f>
        <v>Active</v>
      </c>
      <c r="E188" t="str">
        <f>Table11[[#This Row],[Contract Code]]</f>
        <v>CR0069</v>
      </c>
      <c r="F188">
        <f>Table11[[#This Row],['#TreesContract]]</f>
        <v>1000</v>
      </c>
      <c r="G188">
        <f>Table11[[#This Row],['#Planted]]</f>
        <v>1000</v>
      </c>
      <c r="H188" s="16">
        <f>Table11[[#This Row],['#TreesContract]]*Table11[[#This Row],[Canada Allocation2017 %]]</f>
        <v>0</v>
      </c>
      <c r="I188" s="16">
        <f>Table11[[#This Row],['#Planted]]*Table11[[#This Row],[Canada Allocation2017 %]]</f>
        <v>0</v>
      </c>
      <c r="J188" s="16">
        <f>Table11[[#This Row],[Contract Amendment]]*Table11[[#This Row],[Canada Allocation2017 %]]</f>
        <v>0</v>
      </c>
      <c r="K188" s="16">
        <f>Table11[[#This Row],['#Trees as of 12/31/23]]*Table11[[#This Row],[Canada Allocation2017 %]]</f>
        <v>0</v>
      </c>
      <c r="L188" s="16">
        <f>Table11[[#This Row],['#Replace 24]]*Table11[[#This Row],[Canada Allocation2017 %]]</f>
        <v>0</v>
      </c>
      <c r="M188" s="16"/>
      <c r="N188" s="16">
        <f>(Table11[[#This Row],[2024 '#Trees Inventory + Estimate]]*Table11[[#This Row],[Canada Allocation2017 %]])-SUM(Table3789[[#This Row],['# Trees as of 12/31/23]:[New Trees/Planted in 2024]])</f>
        <v>0</v>
      </c>
      <c r="O188" s="32">
        <f>SUM(Table3789[[#This Row],['# Trees as of 12/31/23]:[2024 Tree Losses]])</f>
        <v>0</v>
      </c>
      <c r="P188" s="32">
        <f>SUM(Table3789[[#This Row],[Total Trees as of 12/31/24]]-Table3789[[#This Row],['# Trees as of 12/31/23]])</f>
        <v>0</v>
      </c>
      <c r="Q188" s="16">
        <f>Table11[[#This Row],['#Total Replacements]]*Table11[[#This Row],[Canada Allocation2017 %]]</f>
        <v>0</v>
      </c>
      <c r="R188" s="32">
        <f>IF(Table3789[[#This Row],['#Survival based on Inventory]]=0,Table3789['#Survival based on Last Year Estimate],Table3789['#Survival based on Inventory])</f>
        <v>0</v>
      </c>
      <c r="S188" s="16">
        <f>Table11[[#This Row],['#Planted]]*Table11[[#This Row],[Canada Allocation2017 %]]*Table11[[#This Row],[2024 Inventory Survival%-master]]</f>
        <v>0</v>
      </c>
      <c r="T188" s="16">
        <f>Table11[[#This Row],['#Planted]]*Table11[[#This Row],[Canada Allocation2017 %]]*Table11[[#This Row],[2024 Estimated Survival%]]</f>
        <v>0</v>
      </c>
      <c r="U188" s="7">
        <f>Table11[[#This Row],[ETP Year]]</f>
        <v>2020</v>
      </c>
      <c r="V188" s="7">
        <f>Table11[[#This Row],[Planting Year]]</f>
        <v>2020</v>
      </c>
      <c r="W188" s="17">
        <f>Table11[[#This Row],[Survival% as of 12/31/23]]</f>
        <v>1</v>
      </c>
      <c r="X188">
        <f>Table11[[#This Row],[ETP'#s]]</f>
        <v>1</v>
      </c>
    </row>
    <row r="189" spans="1:24" hidden="1" x14ac:dyDescent="0.25">
      <c r="A189">
        <f>Table11[[#This Row],[Farmer'#]]</f>
        <v>30005</v>
      </c>
      <c r="B189" t="str">
        <f>Table11[[#This Row],[Representative]]</f>
        <v>Jose Antonio Mombiela Mastahinich</v>
      </c>
      <c r="C189" t="str">
        <f>Table11[[#This Row],[Contract Name]]</f>
        <v>Jose Antonio Mombiela Mastahinich</v>
      </c>
      <c r="D189" t="str">
        <f>Table11[[#This Row],[Status]]</f>
        <v>Out of Program</v>
      </c>
      <c r="E189" t="str">
        <f>Table11[[#This Row],[Contract Code]]</f>
        <v>GT0022</v>
      </c>
      <c r="F189">
        <f>Table11[[#This Row],['#TreesContract]]</f>
        <v>488</v>
      </c>
      <c r="G189">
        <f>Table11[[#This Row],['#Planted]]</f>
        <v>488</v>
      </c>
      <c r="H189" s="16">
        <f>Table11[[#This Row],['#TreesContract]]*Table11[[#This Row],[Canada Allocation2017 %]]</f>
        <v>0</v>
      </c>
      <c r="I189" s="16">
        <f>Table11[[#This Row],['#Planted]]*Table11[[#This Row],[Canada Allocation2017 %]]</f>
        <v>0</v>
      </c>
      <c r="J189" s="16">
        <f>Table11[[#This Row],[Contract Amendment]]*Table11[[#This Row],[Canada Allocation2017 %]]</f>
        <v>0</v>
      </c>
      <c r="K189" s="16">
        <f>Table11[[#This Row],['#Trees as of 12/31/23]]*Table11[[#This Row],[Canada Allocation2017 %]]</f>
        <v>0</v>
      </c>
      <c r="L189" s="16">
        <f>Table11[[#This Row],['#Replace 24]]*Table11[[#This Row],[Canada Allocation2017 %]]</f>
        <v>0</v>
      </c>
      <c r="M189" s="16"/>
      <c r="N189" s="16">
        <f>(Table11[[#This Row],[2024 '#Trees Inventory + Estimate]]*Table11[[#This Row],[Canada Allocation2017 %]])-SUM(Table3789[[#This Row],['# Trees as of 12/31/23]:[New Trees/Planted in 2024]])</f>
        <v>0</v>
      </c>
      <c r="O189" s="32">
        <f>SUM(Table3789[[#This Row],['# Trees as of 12/31/23]:[2024 Tree Losses]])</f>
        <v>0</v>
      </c>
      <c r="P189" s="32">
        <f>SUM(Table3789[[#This Row],[Total Trees as of 12/31/24]]-Table3789[[#This Row],['# Trees as of 12/31/23]])</f>
        <v>0</v>
      </c>
      <c r="Q189" s="16">
        <f>Table11[[#This Row],['#Total Replacements]]*Table11[[#This Row],[Canada Allocation2017 %]]</f>
        <v>0</v>
      </c>
      <c r="R189" s="32">
        <f>IF(Table3789[[#This Row],['#Survival based on Inventory]]=0,Table3789['#Survival based on Last Year Estimate],Table3789['#Survival based on Inventory])</f>
        <v>0</v>
      </c>
      <c r="S189" s="16">
        <f>Table11[[#This Row],['#Planted]]*Table11[[#This Row],[Canada Allocation2017 %]]*Table11[[#This Row],[2024 Inventory Survival%-master]]</f>
        <v>0</v>
      </c>
      <c r="T189" s="16">
        <f>Table11[[#This Row],['#Planted]]*Table11[[#This Row],[Canada Allocation2017 %]]*Table11[[#This Row],[2024 Estimated Survival%]]</f>
        <v>0</v>
      </c>
      <c r="U189" s="7">
        <f>Table11[[#This Row],[ETP Year]]</f>
        <v>2020</v>
      </c>
      <c r="V189" s="7">
        <f>Table11[[#This Row],[Planting Year]]</f>
        <v>2020</v>
      </c>
      <c r="W189" s="17">
        <f>Table11[[#This Row],[Survival% as of 12/31/23]]</f>
        <v>0</v>
      </c>
      <c r="X189">
        <f>Table11[[#This Row],[ETP'#s]]</f>
        <v>1</v>
      </c>
    </row>
    <row r="190" spans="1:24" hidden="1" x14ac:dyDescent="0.25">
      <c r="A190">
        <f>Table11[[#This Row],[Farmer'#]]</f>
        <v>30012</v>
      </c>
      <c r="B190" t="str">
        <f>Table11[[#This Row],[Representative]]</f>
        <v>Alvaro Antonio Guzman Rodas</v>
      </c>
      <c r="C190" t="str">
        <f>Table11[[#This Row],[Contract Name]]</f>
        <v>Alvaro Antonio Guzman Rodas</v>
      </c>
      <c r="D190" t="str">
        <f>Table11[[#This Row],[Status]]</f>
        <v>RFT</v>
      </c>
      <c r="E190" t="str">
        <f>Table11[[#This Row],[Contract Code]]</f>
        <v>GT0012</v>
      </c>
      <c r="F190">
        <f>Table11[[#This Row],['#TreesContract]]</f>
        <v>2000</v>
      </c>
      <c r="G190">
        <f>Table11[[#This Row],['#Planted]]</f>
        <v>2000</v>
      </c>
      <c r="H190" s="16">
        <f>Table11[[#This Row],['#TreesContract]]*Table11[[#This Row],[Canada Allocation2017 %]]</f>
        <v>0</v>
      </c>
      <c r="I190" s="16">
        <f>Table11[[#This Row],['#Planted]]*Table11[[#This Row],[Canada Allocation2017 %]]</f>
        <v>0</v>
      </c>
      <c r="J190" s="16">
        <f>Table11[[#This Row],[Contract Amendment]]*Table11[[#This Row],[Canada Allocation2017 %]]</f>
        <v>0</v>
      </c>
      <c r="K190" s="16">
        <f>Table11[[#This Row],['#Trees as of 12/31/23]]*Table11[[#This Row],[Canada Allocation2017 %]]</f>
        <v>0</v>
      </c>
      <c r="L190" s="16">
        <f>Table11[[#This Row],['#Replace 24]]*Table11[[#This Row],[Canada Allocation2017 %]]</f>
        <v>0</v>
      </c>
      <c r="M190" s="16"/>
      <c r="N190" s="16">
        <f>(Table11[[#This Row],[2024 '#Trees Inventory + Estimate]]*Table11[[#This Row],[Canada Allocation2017 %]])-SUM(Table3789[[#This Row],['# Trees as of 12/31/23]:[New Trees/Planted in 2024]])</f>
        <v>0</v>
      </c>
      <c r="O190" s="32">
        <f>SUM(Table3789[[#This Row],['# Trees as of 12/31/23]:[2024 Tree Losses]])</f>
        <v>0</v>
      </c>
      <c r="P190" s="32">
        <f>SUM(Table3789[[#This Row],[Total Trees as of 12/31/24]]-Table3789[[#This Row],['# Trees as of 12/31/23]])</f>
        <v>0</v>
      </c>
      <c r="Q190" s="16">
        <f>Table11[[#This Row],['#Total Replacements]]*Table11[[#This Row],[Canada Allocation2017 %]]</f>
        <v>0</v>
      </c>
      <c r="R190" s="32">
        <f>IF(Table3789[[#This Row],['#Survival based on Inventory]]=0,Table3789['#Survival based on Last Year Estimate],Table3789['#Survival based on Inventory])</f>
        <v>0</v>
      </c>
      <c r="S190" s="16">
        <f>Table11[[#This Row],['#Planted]]*Table11[[#This Row],[Canada Allocation2017 %]]*Table11[[#This Row],[2024 Inventory Survival%-master]]</f>
        <v>0</v>
      </c>
      <c r="T190" s="16">
        <f>Table11[[#This Row],['#Planted]]*Table11[[#This Row],[Canada Allocation2017 %]]*Table11[[#This Row],[2024 Estimated Survival%]]</f>
        <v>0</v>
      </c>
      <c r="U190" s="7">
        <f>Table11[[#This Row],[ETP Year]]</f>
        <v>2020</v>
      </c>
      <c r="V190" s="7">
        <f>Table11[[#This Row],[Planting Year]]</f>
        <v>2020</v>
      </c>
      <c r="W190" s="17">
        <f>Table11[[#This Row],[Survival% as of 12/31/23]]</f>
        <v>0.73600680000000007</v>
      </c>
      <c r="X190">
        <f>Table11[[#This Row],[ETP'#s]]</f>
        <v>1</v>
      </c>
    </row>
    <row r="191" spans="1:24" hidden="1" x14ac:dyDescent="0.25">
      <c r="A191">
        <f>Table11[[#This Row],[Farmer'#]]</f>
        <v>30013</v>
      </c>
      <c r="B191" t="str">
        <f>Table11[[#This Row],[Representative]]</f>
        <v>Axel Duarte Duarte</v>
      </c>
      <c r="C191" t="str">
        <f>Table11[[#This Row],[Contract Name]]</f>
        <v>Axel Gamaliel Duarte Duarte</v>
      </c>
      <c r="D191" t="str">
        <f>Table11[[#This Row],[Status]]</f>
        <v>Out of Program</v>
      </c>
      <c r="E191" t="str">
        <f>Table11[[#This Row],[Contract Code]]</f>
        <v>GT0013</v>
      </c>
      <c r="F191">
        <f>Table11[[#This Row],['#TreesContract]]</f>
        <v>2000</v>
      </c>
      <c r="G191">
        <f>Table11[[#This Row],['#Planted]]</f>
        <v>2000</v>
      </c>
      <c r="H191" s="16">
        <f>Table11[[#This Row],['#TreesContract]]*Table11[[#This Row],[Canada Allocation2017 %]]</f>
        <v>0</v>
      </c>
      <c r="I191" s="16">
        <f>Table11[[#This Row],['#Planted]]*Table11[[#This Row],[Canada Allocation2017 %]]</f>
        <v>0</v>
      </c>
      <c r="J191" s="16">
        <f>Table11[[#This Row],[Contract Amendment]]*Table11[[#This Row],[Canada Allocation2017 %]]</f>
        <v>0</v>
      </c>
      <c r="K191" s="16">
        <f>Table11[[#This Row],['#Trees as of 12/31/23]]*Table11[[#This Row],[Canada Allocation2017 %]]</f>
        <v>0</v>
      </c>
      <c r="L191" s="16">
        <f>Table11[[#This Row],['#Replace 24]]*Table11[[#This Row],[Canada Allocation2017 %]]</f>
        <v>0</v>
      </c>
      <c r="M191" s="16"/>
      <c r="N191" s="16">
        <f>(Table11[[#This Row],[2024 '#Trees Inventory + Estimate]]*Table11[[#This Row],[Canada Allocation2017 %]])-SUM(Table3789[[#This Row],['# Trees as of 12/31/23]:[New Trees/Planted in 2024]])</f>
        <v>0</v>
      </c>
      <c r="O191" s="32">
        <f>SUM(Table3789[[#This Row],['# Trees as of 12/31/23]:[2024 Tree Losses]])</f>
        <v>0</v>
      </c>
      <c r="P191" s="32">
        <f>SUM(Table3789[[#This Row],[Total Trees as of 12/31/24]]-Table3789[[#This Row],['# Trees as of 12/31/23]])</f>
        <v>0</v>
      </c>
      <c r="Q191" s="16">
        <f>Table11[[#This Row],['#Total Replacements]]*Table11[[#This Row],[Canada Allocation2017 %]]</f>
        <v>0</v>
      </c>
      <c r="R191" s="32">
        <f>IF(Table3789[[#This Row],['#Survival based on Inventory]]=0,Table3789['#Survival based on Last Year Estimate],Table3789['#Survival based on Inventory])</f>
        <v>0</v>
      </c>
      <c r="S191" s="16">
        <f>Table11[[#This Row],['#Planted]]*Table11[[#This Row],[Canada Allocation2017 %]]*Table11[[#This Row],[2024 Inventory Survival%-master]]</f>
        <v>0</v>
      </c>
      <c r="T191" s="16">
        <f>Table11[[#This Row],['#Planted]]*Table11[[#This Row],[Canada Allocation2017 %]]*Table11[[#This Row],[2024 Estimated Survival%]]</f>
        <v>0</v>
      </c>
      <c r="U191" s="7">
        <f>Table11[[#This Row],[ETP Year]]</f>
        <v>2020</v>
      </c>
      <c r="V191" s="7">
        <f>Table11[[#This Row],[Planting Year]]</f>
        <v>2020</v>
      </c>
      <c r="W191" s="17">
        <f>Table11[[#This Row],[Survival% as of 12/31/23]]</f>
        <v>0.54460477499999993</v>
      </c>
      <c r="X191">
        <f>Table11[[#This Row],[ETP'#s]]</f>
        <v>1</v>
      </c>
    </row>
    <row r="192" spans="1:24" hidden="1" x14ac:dyDescent="0.25">
      <c r="A192">
        <f>Table11[[#This Row],[Farmer'#]]</f>
        <v>30014</v>
      </c>
      <c r="B192" t="str">
        <f>Table11[[#This Row],[Representative]]</f>
        <v>Boris Garza</v>
      </c>
      <c r="C192" t="str">
        <f>Table11[[#This Row],[Contract Name]]</f>
        <v>Borigar S.A. Carmen Lucía Garza López</v>
      </c>
      <c r="D192" t="str">
        <f>Table11[[#This Row],[Status]]</f>
        <v>Active</v>
      </c>
      <c r="E192" t="str">
        <f>Table11[[#This Row],[Contract Code]]</f>
        <v>GT0014</v>
      </c>
      <c r="F192">
        <f>Table11[[#This Row],['#TreesContract]]</f>
        <v>8000</v>
      </c>
      <c r="G192">
        <f>Table11[[#This Row],['#Planted]]</f>
        <v>8000</v>
      </c>
      <c r="H192" s="16">
        <f>Table11[[#This Row],['#TreesContract]]*Table11[[#This Row],[Canada Allocation2017 %]]</f>
        <v>0</v>
      </c>
      <c r="I192" s="16">
        <f>Table11[[#This Row],['#Planted]]*Table11[[#This Row],[Canada Allocation2017 %]]</f>
        <v>0</v>
      </c>
      <c r="J192" s="16">
        <f>Table11[[#This Row],[Contract Amendment]]*Table11[[#This Row],[Canada Allocation2017 %]]</f>
        <v>0</v>
      </c>
      <c r="K192" s="16">
        <f>Table11[[#This Row],['#Trees as of 12/31/23]]*Table11[[#This Row],[Canada Allocation2017 %]]</f>
        <v>0</v>
      </c>
      <c r="L192" s="16">
        <f>Table11[[#This Row],['#Replace 24]]*Table11[[#This Row],[Canada Allocation2017 %]]</f>
        <v>0</v>
      </c>
      <c r="M192" s="16"/>
      <c r="N192" s="16">
        <f>(Table11[[#This Row],[2024 '#Trees Inventory + Estimate]]*Table11[[#This Row],[Canada Allocation2017 %]])-SUM(Table3789[[#This Row],['# Trees as of 12/31/23]:[New Trees/Planted in 2024]])</f>
        <v>0</v>
      </c>
      <c r="O192" s="32">
        <f>SUM(Table3789[[#This Row],['# Trees as of 12/31/23]:[2024 Tree Losses]])</f>
        <v>0</v>
      </c>
      <c r="P192" s="32">
        <f>SUM(Table3789[[#This Row],[Total Trees as of 12/31/24]]-Table3789[[#This Row],['# Trees as of 12/31/23]])</f>
        <v>0</v>
      </c>
      <c r="Q192" s="16">
        <f>Table11[[#This Row],['#Total Replacements]]*Table11[[#This Row],[Canada Allocation2017 %]]</f>
        <v>0</v>
      </c>
      <c r="R192" s="32">
        <f>IF(Table3789[[#This Row],['#Survival based on Inventory]]=0,Table3789['#Survival based on Last Year Estimate],Table3789['#Survival based on Inventory])</f>
        <v>0</v>
      </c>
      <c r="S192" s="16">
        <f>Table11[[#This Row],['#Planted]]*Table11[[#This Row],[Canada Allocation2017 %]]*Table11[[#This Row],[2024 Inventory Survival%-master]]</f>
        <v>0</v>
      </c>
      <c r="T192" s="16">
        <f>Table11[[#This Row],['#Planted]]*Table11[[#This Row],[Canada Allocation2017 %]]*Table11[[#This Row],[2024 Estimated Survival%]]</f>
        <v>0</v>
      </c>
      <c r="U192" s="7">
        <f>Table11[[#This Row],[ETP Year]]</f>
        <v>2020</v>
      </c>
      <c r="V192" s="7">
        <f>Table11[[#This Row],[Planting Year]]</f>
        <v>2020</v>
      </c>
      <c r="W192" s="17">
        <f>Table11[[#This Row],[Survival% as of 12/31/23]]</f>
        <v>0.95</v>
      </c>
      <c r="X192">
        <f>Table11[[#This Row],[ETP'#s]]</f>
        <v>1</v>
      </c>
    </row>
    <row r="193" spans="1:24" hidden="1" x14ac:dyDescent="0.25">
      <c r="A193">
        <f>Table11[[#This Row],[Farmer'#]]</f>
        <v>30015</v>
      </c>
      <c r="B193" t="str">
        <f>Table11[[#This Row],[Representative]]</f>
        <v>Carlos López</v>
      </c>
      <c r="C193" t="str">
        <f>Table11[[#This Row],[Contract Name]]</f>
        <v>Carlos Adolfo López Letona</v>
      </c>
      <c r="D193" t="str">
        <f>Table11[[#This Row],[Status]]</f>
        <v>Out of Program</v>
      </c>
      <c r="E193" t="str">
        <f>Table11[[#This Row],[Contract Code]]</f>
        <v>GT0015</v>
      </c>
      <c r="F193">
        <f>Table11[[#This Row],['#TreesContract]]</f>
        <v>0</v>
      </c>
      <c r="G193">
        <f>Table11[[#This Row],['#Planted]]</f>
        <v>0</v>
      </c>
      <c r="H193" s="16">
        <f>Table11[[#This Row],['#TreesContract]]*Table11[[#This Row],[Canada Allocation2017 %]]</f>
        <v>0</v>
      </c>
      <c r="I193" s="16">
        <f>Table11[[#This Row],['#Planted]]*Table11[[#This Row],[Canada Allocation2017 %]]</f>
        <v>0</v>
      </c>
      <c r="J193" s="16">
        <f>Table11[[#This Row],[Contract Amendment]]*Table11[[#This Row],[Canada Allocation2017 %]]</f>
        <v>0</v>
      </c>
      <c r="K193" s="16">
        <f>Table11[[#This Row],['#Trees as of 12/31/23]]*Table11[[#This Row],[Canada Allocation2017 %]]</f>
        <v>0</v>
      </c>
      <c r="L193" s="16">
        <f>Table11[[#This Row],['#Replace 24]]*Table11[[#This Row],[Canada Allocation2017 %]]</f>
        <v>0</v>
      </c>
      <c r="M193" s="16"/>
      <c r="N193" s="16">
        <f>(Table11[[#This Row],[2024 '#Trees Inventory + Estimate]]*Table11[[#This Row],[Canada Allocation2017 %]])-SUM(Table3789[[#This Row],['# Trees as of 12/31/23]:[New Trees/Planted in 2024]])</f>
        <v>0</v>
      </c>
      <c r="O193" s="32">
        <f>SUM(Table3789[[#This Row],['# Trees as of 12/31/23]:[2024 Tree Losses]])</f>
        <v>0</v>
      </c>
      <c r="P193" s="32">
        <f>SUM(Table3789[[#This Row],[Total Trees as of 12/31/24]]-Table3789[[#This Row],['# Trees as of 12/31/23]])</f>
        <v>0</v>
      </c>
      <c r="Q193" s="16">
        <f>Table11[[#This Row],['#Total Replacements]]*Table11[[#This Row],[Canada Allocation2017 %]]</f>
        <v>0</v>
      </c>
      <c r="R193" s="32">
        <f>IF(Table3789[[#This Row],['#Survival based on Inventory]]=0,Table3789['#Survival based on Last Year Estimate],Table3789['#Survival based on Inventory])</f>
        <v>0</v>
      </c>
      <c r="S193" s="16">
        <f>Table11[[#This Row],['#Planted]]*Table11[[#This Row],[Canada Allocation2017 %]]*Table11[[#This Row],[2024 Inventory Survival%-master]]</f>
        <v>0</v>
      </c>
      <c r="T193" s="16">
        <f>Table11[[#This Row],['#Planted]]*Table11[[#This Row],[Canada Allocation2017 %]]*Table11[[#This Row],[2024 Estimated Survival%]]</f>
        <v>0</v>
      </c>
      <c r="U193" s="7">
        <f>Table11[[#This Row],[ETP Year]]</f>
        <v>2020</v>
      </c>
      <c r="V193" s="7">
        <f>Table11[[#This Row],[Planting Year]]</f>
        <v>2020</v>
      </c>
      <c r="W193" s="17">
        <f>Table11[[#This Row],[Survival% as of 12/31/23]]</f>
        <v>0</v>
      </c>
      <c r="X193">
        <f>Table11[[#This Row],[ETP'#s]]</f>
        <v>0</v>
      </c>
    </row>
    <row r="194" spans="1:24" hidden="1" x14ac:dyDescent="0.25">
      <c r="A194">
        <f>Table11[[#This Row],[Farmer'#]]</f>
        <v>30016</v>
      </c>
      <c r="B194" t="str">
        <f>Table11[[#This Row],[Representative]]</f>
        <v>Ricardo Chacón</v>
      </c>
      <c r="C194" t="str">
        <f>Table11[[#This Row],[Contract Name]]</f>
        <v xml:space="preserve">Cartago S.A./ Elsa De Chacón </v>
      </c>
      <c r="D194" t="str">
        <f>Table11[[#This Row],[Status]]</f>
        <v>RFT</v>
      </c>
      <c r="E194" t="str">
        <f>Table11[[#This Row],[Contract Code]]</f>
        <v>GT0016</v>
      </c>
      <c r="F194">
        <f>Table11[[#This Row],['#TreesContract]]</f>
        <v>1469</v>
      </c>
      <c r="G194">
        <f>Table11[[#This Row],['#Planted]]</f>
        <v>1469</v>
      </c>
      <c r="H194" s="16">
        <f>Table11[[#This Row],['#TreesContract]]*Table11[[#This Row],[Canada Allocation2017 %]]</f>
        <v>0</v>
      </c>
      <c r="I194" s="16">
        <f>Table11[[#This Row],['#Planted]]*Table11[[#This Row],[Canada Allocation2017 %]]</f>
        <v>0</v>
      </c>
      <c r="J194" s="16">
        <f>Table11[[#This Row],[Contract Amendment]]*Table11[[#This Row],[Canada Allocation2017 %]]</f>
        <v>0</v>
      </c>
      <c r="K194" s="16">
        <f>Table11[[#This Row],['#Trees as of 12/31/23]]*Table11[[#This Row],[Canada Allocation2017 %]]</f>
        <v>0</v>
      </c>
      <c r="L194" s="16">
        <f>Table11[[#This Row],['#Replace 24]]*Table11[[#This Row],[Canada Allocation2017 %]]</f>
        <v>0</v>
      </c>
      <c r="M194" s="16"/>
      <c r="N194" s="16">
        <f>(Table11[[#This Row],[2024 '#Trees Inventory + Estimate]]*Table11[[#This Row],[Canada Allocation2017 %]])-SUM(Table3789[[#This Row],['# Trees as of 12/31/23]:[New Trees/Planted in 2024]])</f>
        <v>0</v>
      </c>
      <c r="O194" s="32">
        <f>SUM(Table3789[[#This Row],['# Trees as of 12/31/23]:[2024 Tree Losses]])</f>
        <v>0</v>
      </c>
      <c r="P194" s="32">
        <f>SUM(Table3789[[#This Row],[Total Trees as of 12/31/24]]-Table3789[[#This Row],['# Trees as of 12/31/23]])</f>
        <v>0</v>
      </c>
      <c r="Q194" s="16">
        <f>Table11[[#This Row],['#Total Replacements]]*Table11[[#This Row],[Canada Allocation2017 %]]</f>
        <v>0</v>
      </c>
      <c r="R194" s="32">
        <f>IF(Table3789[[#This Row],['#Survival based on Inventory]]=0,Table3789['#Survival based on Last Year Estimate],Table3789['#Survival based on Inventory])</f>
        <v>0</v>
      </c>
      <c r="S194" s="16">
        <f>Table11[[#This Row],['#Planted]]*Table11[[#This Row],[Canada Allocation2017 %]]*Table11[[#This Row],[2024 Inventory Survival%-master]]</f>
        <v>0</v>
      </c>
      <c r="T194" s="16">
        <f>Table11[[#This Row],['#Planted]]*Table11[[#This Row],[Canada Allocation2017 %]]*Table11[[#This Row],[2024 Estimated Survival%]]</f>
        <v>0</v>
      </c>
      <c r="U194" s="7">
        <f>Table11[[#This Row],[ETP Year]]</f>
        <v>2020</v>
      </c>
      <c r="V194" s="7">
        <f>Table11[[#This Row],[Planting Year]]</f>
        <v>2020</v>
      </c>
      <c r="W194" s="17">
        <f>Table11[[#This Row],[Survival% as of 12/31/23]]</f>
        <v>0.33614608695652171</v>
      </c>
      <c r="X194">
        <f>Table11[[#This Row],[ETP'#s]]</f>
        <v>1</v>
      </c>
    </row>
    <row r="195" spans="1:24" hidden="1" x14ac:dyDescent="0.25">
      <c r="A195">
        <f>Table11[[#This Row],[Farmer'#]]</f>
        <v>30017</v>
      </c>
      <c r="B195" t="str">
        <f>Table11[[#This Row],[Representative]]</f>
        <v>David Horacio Estrada - Asoverde</v>
      </c>
      <c r="C195" t="str">
        <f>Table11[[#This Row],[Contract Name]]</f>
        <v>David Horacio Estrada - Asoverde</v>
      </c>
      <c r="D195" t="str">
        <f>Table11[[#This Row],[Status]]</f>
        <v>Out of Program</v>
      </c>
      <c r="E195" t="str">
        <f>Table11[[#This Row],[Contract Code]]</f>
        <v>GT0017</v>
      </c>
      <c r="F195">
        <f>Table11[[#This Row],['#TreesContract]]</f>
        <v>1000</v>
      </c>
      <c r="G195">
        <f>Table11[[#This Row],['#Planted]]</f>
        <v>1000</v>
      </c>
      <c r="H195" s="16">
        <f>Table11[[#This Row],['#TreesContract]]*Table11[[#This Row],[Canada Allocation2017 %]]</f>
        <v>0</v>
      </c>
      <c r="I195" s="16">
        <f>Table11[[#This Row],['#Planted]]*Table11[[#This Row],[Canada Allocation2017 %]]</f>
        <v>0</v>
      </c>
      <c r="J195" s="16">
        <f>Table11[[#This Row],[Contract Amendment]]*Table11[[#This Row],[Canada Allocation2017 %]]</f>
        <v>0</v>
      </c>
      <c r="K195" s="16">
        <f>Table11[[#This Row],['#Trees as of 12/31/23]]*Table11[[#This Row],[Canada Allocation2017 %]]</f>
        <v>0</v>
      </c>
      <c r="L195" s="16">
        <f>Table11[[#This Row],['#Replace 24]]*Table11[[#This Row],[Canada Allocation2017 %]]</f>
        <v>0</v>
      </c>
      <c r="M195" s="16"/>
      <c r="N195" s="16">
        <f>(Table11[[#This Row],[2024 '#Trees Inventory + Estimate]]*Table11[[#This Row],[Canada Allocation2017 %]])-SUM(Table3789[[#This Row],['# Trees as of 12/31/23]:[New Trees/Planted in 2024]])</f>
        <v>0</v>
      </c>
      <c r="O195" s="32">
        <f>SUM(Table3789[[#This Row],['# Trees as of 12/31/23]:[2024 Tree Losses]])</f>
        <v>0</v>
      </c>
      <c r="P195" s="32">
        <f>SUM(Table3789[[#This Row],[Total Trees as of 12/31/24]]-Table3789[[#This Row],['# Trees as of 12/31/23]])</f>
        <v>0</v>
      </c>
      <c r="Q195" s="16">
        <f>Table11[[#This Row],['#Total Replacements]]*Table11[[#This Row],[Canada Allocation2017 %]]</f>
        <v>0</v>
      </c>
      <c r="R195" s="32">
        <f>IF(Table3789[[#This Row],['#Survival based on Inventory]]=0,Table3789['#Survival based on Last Year Estimate],Table3789['#Survival based on Inventory])</f>
        <v>0</v>
      </c>
      <c r="S195" s="16">
        <f>Table11[[#This Row],['#Planted]]*Table11[[#This Row],[Canada Allocation2017 %]]*Table11[[#This Row],[2024 Inventory Survival%-master]]</f>
        <v>0</v>
      </c>
      <c r="T195" s="16">
        <f>Table11[[#This Row],['#Planted]]*Table11[[#This Row],[Canada Allocation2017 %]]*Table11[[#This Row],[2024 Estimated Survival%]]</f>
        <v>0</v>
      </c>
      <c r="U195" s="7">
        <f>Table11[[#This Row],[ETP Year]]</f>
        <v>2020</v>
      </c>
      <c r="V195" s="7">
        <f>Table11[[#This Row],[Planting Year]]</f>
        <v>2020</v>
      </c>
      <c r="W195" s="17">
        <f>Table11[[#This Row],[Survival% as of 12/31/23]]</f>
        <v>0.4741032</v>
      </c>
      <c r="X195">
        <f>Table11[[#This Row],[ETP'#s]]</f>
        <v>1</v>
      </c>
    </row>
    <row r="196" spans="1:24" hidden="1" x14ac:dyDescent="0.25">
      <c r="A196">
        <f>Table11[[#This Row],[Farmer'#]]</f>
        <v>30018</v>
      </c>
      <c r="B196" t="str">
        <f>Table11[[#This Row],[Representative]]</f>
        <v>Carlos López</v>
      </c>
      <c r="C196" t="str">
        <f>Table11[[#This Row],[Contract Name]]</f>
        <v>Emilia Beatriz Lopez Letona</v>
      </c>
      <c r="D196" t="str">
        <f>Table11[[#This Row],[Status]]</f>
        <v>Active</v>
      </c>
      <c r="E196" t="str">
        <f>Table11[[#This Row],[Contract Code]]</f>
        <v>GT0018</v>
      </c>
      <c r="F196">
        <f>Table11[[#This Row],['#TreesContract]]</f>
        <v>2650</v>
      </c>
      <c r="G196">
        <f>Table11[[#This Row],['#Planted]]</f>
        <v>2650</v>
      </c>
      <c r="H196" s="16">
        <f>Table11[[#This Row],['#TreesContract]]*Table11[[#This Row],[Canada Allocation2017 %]]</f>
        <v>0</v>
      </c>
      <c r="I196" s="16">
        <f>Table11[[#This Row],['#Planted]]*Table11[[#This Row],[Canada Allocation2017 %]]</f>
        <v>0</v>
      </c>
      <c r="J196" s="16">
        <f>Table11[[#This Row],[Contract Amendment]]*Table11[[#This Row],[Canada Allocation2017 %]]</f>
        <v>0</v>
      </c>
      <c r="K196" s="16">
        <f>Table11[[#This Row],['#Trees as of 12/31/23]]*Table11[[#This Row],[Canada Allocation2017 %]]</f>
        <v>0</v>
      </c>
      <c r="L196" s="16">
        <f>Table11[[#This Row],['#Replace 24]]*Table11[[#This Row],[Canada Allocation2017 %]]</f>
        <v>0</v>
      </c>
      <c r="M196" s="16"/>
      <c r="N196" s="16">
        <f>(Table11[[#This Row],[2024 '#Trees Inventory + Estimate]]*Table11[[#This Row],[Canada Allocation2017 %]])-SUM(Table3789[[#This Row],['# Trees as of 12/31/23]:[New Trees/Planted in 2024]])</f>
        <v>0</v>
      </c>
      <c r="O196" s="32">
        <f>SUM(Table3789[[#This Row],['# Trees as of 12/31/23]:[2024 Tree Losses]])</f>
        <v>0</v>
      </c>
      <c r="P196" s="32">
        <f>SUM(Table3789[[#This Row],[Total Trees as of 12/31/24]]-Table3789[[#This Row],['# Trees as of 12/31/23]])</f>
        <v>0</v>
      </c>
      <c r="Q196" s="16">
        <f>Table11[[#This Row],['#Total Replacements]]*Table11[[#This Row],[Canada Allocation2017 %]]</f>
        <v>0</v>
      </c>
      <c r="R196" s="32">
        <f>IF(Table3789[[#This Row],['#Survival based on Inventory]]=0,Table3789['#Survival based on Last Year Estimate],Table3789['#Survival based on Inventory])</f>
        <v>0</v>
      </c>
      <c r="S196" s="16">
        <f>Table11[[#This Row],['#Planted]]*Table11[[#This Row],[Canada Allocation2017 %]]*Table11[[#This Row],[2024 Inventory Survival%-master]]</f>
        <v>0</v>
      </c>
      <c r="T196" s="16">
        <f>Table11[[#This Row],['#Planted]]*Table11[[#This Row],[Canada Allocation2017 %]]*Table11[[#This Row],[2024 Estimated Survival%]]</f>
        <v>0</v>
      </c>
      <c r="U196" s="7">
        <f>Table11[[#This Row],[ETP Year]]</f>
        <v>2020</v>
      </c>
      <c r="V196" s="7">
        <f>Table11[[#This Row],[Planting Year]]</f>
        <v>2020</v>
      </c>
      <c r="W196" s="17">
        <f>Table11[[#This Row],[Survival% as of 12/31/23]]</f>
        <v>0.74312650188679252</v>
      </c>
      <c r="X196">
        <f>Table11[[#This Row],[ETP'#s]]</f>
        <v>1</v>
      </c>
    </row>
    <row r="197" spans="1:24" hidden="1" x14ac:dyDescent="0.25">
      <c r="A197">
        <f>Table11[[#This Row],[Farmer'#]]</f>
        <v>30019</v>
      </c>
      <c r="B197" t="str">
        <f>Table11[[#This Row],[Representative]]</f>
        <v>Hamblin Duarte</v>
      </c>
      <c r="C197" t="str">
        <f>Table11[[#This Row],[Contract Name]]</f>
        <v>Emilsa Natalia Guzman Leiva</v>
      </c>
      <c r="D197" t="str">
        <f>Table11[[#This Row],[Status]]</f>
        <v>Out of Program</v>
      </c>
      <c r="E197" t="str">
        <f>Table11[[#This Row],[Contract Code]]</f>
        <v>GT0019</v>
      </c>
      <c r="F197">
        <f>Table11[[#This Row],['#TreesContract]]</f>
        <v>1000</v>
      </c>
      <c r="G197">
        <f>Table11[[#This Row],['#Planted]]</f>
        <v>1000</v>
      </c>
      <c r="H197" s="16">
        <f>Table11[[#This Row],['#TreesContract]]*Table11[[#This Row],[Canada Allocation2017 %]]</f>
        <v>0</v>
      </c>
      <c r="I197" s="16">
        <f>Table11[[#This Row],['#Planted]]*Table11[[#This Row],[Canada Allocation2017 %]]</f>
        <v>0</v>
      </c>
      <c r="J197" s="16">
        <f>Table11[[#This Row],[Contract Amendment]]*Table11[[#This Row],[Canada Allocation2017 %]]</f>
        <v>0</v>
      </c>
      <c r="K197" s="16">
        <f>Table11[[#This Row],['#Trees as of 12/31/23]]*Table11[[#This Row],[Canada Allocation2017 %]]</f>
        <v>0</v>
      </c>
      <c r="L197" s="16">
        <f>Table11[[#This Row],['#Replace 24]]*Table11[[#This Row],[Canada Allocation2017 %]]</f>
        <v>0</v>
      </c>
      <c r="M197" s="16"/>
      <c r="N197" s="16">
        <f>(Table11[[#This Row],[2024 '#Trees Inventory + Estimate]]*Table11[[#This Row],[Canada Allocation2017 %]])-SUM(Table3789[[#This Row],['# Trees as of 12/31/23]:[New Trees/Planted in 2024]])</f>
        <v>0</v>
      </c>
      <c r="O197" s="32">
        <f>SUM(Table3789[[#This Row],['# Trees as of 12/31/23]:[2024 Tree Losses]])</f>
        <v>0</v>
      </c>
      <c r="P197" s="32">
        <f>SUM(Table3789[[#This Row],[Total Trees as of 12/31/24]]-Table3789[[#This Row],['# Trees as of 12/31/23]])</f>
        <v>0</v>
      </c>
      <c r="Q197" s="16">
        <f>Table11[[#This Row],['#Total Replacements]]*Table11[[#This Row],[Canada Allocation2017 %]]</f>
        <v>0</v>
      </c>
      <c r="R197" s="32">
        <f>IF(Table3789[[#This Row],['#Survival based on Inventory]]=0,Table3789['#Survival based on Last Year Estimate],Table3789['#Survival based on Inventory])</f>
        <v>0</v>
      </c>
      <c r="S197" s="16">
        <f>Table11[[#This Row],['#Planted]]*Table11[[#This Row],[Canada Allocation2017 %]]*Table11[[#This Row],[2024 Inventory Survival%-master]]</f>
        <v>0</v>
      </c>
      <c r="T197" s="16">
        <f>Table11[[#This Row],['#Planted]]*Table11[[#This Row],[Canada Allocation2017 %]]*Table11[[#This Row],[2024 Estimated Survival%]]</f>
        <v>0</v>
      </c>
      <c r="U197" s="7">
        <f>Table11[[#This Row],[ETP Year]]</f>
        <v>2020</v>
      </c>
      <c r="V197" s="7">
        <f>Table11[[#This Row],[Planting Year]]</f>
        <v>2020</v>
      </c>
      <c r="W197" s="17">
        <f>Table11[[#This Row],[Survival% as of 12/31/23]]</f>
        <v>0</v>
      </c>
      <c r="X197">
        <f>Table11[[#This Row],[ETP'#s]]</f>
        <v>1</v>
      </c>
    </row>
    <row r="198" spans="1:24" hidden="1" x14ac:dyDescent="0.25">
      <c r="A198">
        <f>Table11[[#This Row],[Farmer'#]]</f>
        <v>30020</v>
      </c>
      <c r="B198" t="str">
        <f>Table11[[#This Row],[Representative]]</f>
        <v>Giovanni Musella</v>
      </c>
      <c r="C198" t="str">
        <f>Table11[[#This Row],[Contract Name]]</f>
        <v>Giovanni Musella</v>
      </c>
      <c r="D198" t="str">
        <f>Table11[[#This Row],[Status]]</f>
        <v>Out of Program</v>
      </c>
      <c r="E198" t="str">
        <f>Table11[[#This Row],[Contract Code]]</f>
        <v>GT0020</v>
      </c>
      <c r="F198">
        <f>Table11[[#This Row],['#TreesContract]]</f>
        <v>1200</v>
      </c>
      <c r="G198">
        <f>Table11[[#This Row],['#Planted]]</f>
        <v>1200</v>
      </c>
      <c r="H198" s="16">
        <f>Table11[[#This Row],['#TreesContract]]*Table11[[#This Row],[Canada Allocation2017 %]]</f>
        <v>0</v>
      </c>
      <c r="I198" s="16">
        <f>Table11[[#This Row],['#Planted]]*Table11[[#This Row],[Canada Allocation2017 %]]</f>
        <v>0</v>
      </c>
      <c r="J198" s="16">
        <f>Table11[[#This Row],[Contract Amendment]]*Table11[[#This Row],[Canada Allocation2017 %]]</f>
        <v>0</v>
      </c>
      <c r="K198" s="16">
        <f>Table11[[#This Row],['#Trees as of 12/31/23]]*Table11[[#This Row],[Canada Allocation2017 %]]</f>
        <v>0</v>
      </c>
      <c r="L198" s="16">
        <f>Table11[[#This Row],['#Replace 24]]*Table11[[#This Row],[Canada Allocation2017 %]]</f>
        <v>0</v>
      </c>
      <c r="M198" s="16"/>
      <c r="N198" s="16">
        <f>(Table11[[#This Row],[2024 '#Trees Inventory + Estimate]]*Table11[[#This Row],[Canada Allocation2017 %]])-SUM(Table3789[[#This Row],['# Trees as of 12/31/23]:[New Trees/Planted in 2024]])</f>
        <v>0</v>
      </c>
      <c r="O198" s="32">
        <f>SUM(Table3789[[#This Row],['# Trees as of 12/31/23]:[2024 Tree Losses]])</f>
        <v>0</v>
      </c>
      <c r="P198" s="32">
        <f>SUM(Table3789[[#This Row],[Total Trees as of 12/31/24]]-Table3789[[#This Row],['# Trees as of 12/31/23]])</f>
        <v>0</v>
      </c>
      <c r="Q198" s="16">
        <f>Table11[[#This Row],['#Total Replacements]]*Table11[[#This Row],[Canada Allocation2017 %]]</f>
        <v>0</v>
      </c>
      <c r="R198" s="32">
        <f>IF(Table3789[[#This Row],['#Survival based on Inventory]]=0,Table3789['#Survival based on Last Year Estimate],Table3789['#Survival based on Inventory])</f>
        <v>0</v>
      </c>
      <c r="S198" s="16">
        <f>Table11[[#This Row],['#Planted]]*Table11[[#This Row],[Canada Allocation2017 %]]*Table11[[#This Row],[2024 Inventory Survival%-master]]</f>
        <v>0</v>
      </c>
      <c r="T198" s="16">
        <f>Table11[[#This Row],['#Planted]]*Table11[[#This Row],[Canada Allocation2017 %]]*Table11[[#This Row],[2024 Estimated Survival%]]</f>
        <v>0</v>
      </c>
      <c r="U198" s="7">
        <f>Table11[[#This Row],[ETP Year]]</f>
        <v>2020</v>
      </c>
      <c r="V198" s="7">
        <f>Table11[[#This Row],[Planting Year]]</f>
        <v>2020</v>
      </c>
      <c r="W198" s="17">
        <f>Table11[[#This Row],[Survival% as of 12/31/23]]</f>
        <v>0</v>
      </c>
      <c r="X198">
        <f>Table11[[#This Row],[ETP'#s]]</f>
        <v>1</v>
      </c>
    </row>
    <row r="199" spans="1:24" hidden="1" x14ac:dyDescent="0.25">
      <c r="A199">
        <f>Table11[[#This Row],[Farmer'#]]</f>
        <v>30021</v>
      </c>
      <c r="B199" t="str">
        <f>Table11[[#This Row],[Representative]]</f>
        <v>Jaime Rolando Maximino Perez Hernández</v>
      </c>
      <c r="C199" t="str">
        <f>Table11[[#This Row],[Contract Name]]</f>
        <v>Jaime Rolando Maximino Perez Hernández</v>
      </c>
      <c r="D199" t="str">
        <f>Table11[[#This Row],[Status]]</f>
        <v>Out of Program</v>
      </c>
      <c r="E199" t="str">
        <f>Table11[[#This Row],[Contract Code]]</f>
        <v>GT0021</v>
      </c>
      <c r="F199">
        <f>Table11[[#This Row],['#TreesContract]]</f>
        <v>2000</v>
      </c>
      <c r="G199">
        <f>Table11[[#This Row],['#Planted]]</f>
        <v>2000</v>
      </c>
      <c r="H199" s="16">
        <f>Table11[[#This Row],['#TreesContract]]*Table11[[#This Row],[Canada Allocation2017 %]]</f>
        <v>0</v>
      </c>
      <c r="I199" s="16">
        <f>Table11[[#This Row],['#Planted]]*Table11[[#This Row],[Canada Allocation2017 %]]</f>
        <v>0</v>
      </c>
      <c r="J199" s="16">
        <f>Table11[[#This Row],[Contract Amendment]]*Table11[[#This Row],[Canada Allocation2017 %]]</f>
        <v>0</v>
      </c>
      <c r="K199" s="16">
        <f>Table11[[#This Row],['#Trees as of 12/31/23]]*Table11[[#This Row],[Canada Allocation2017 %]]</f>
        <v>0</v>
      </c>
      <c r="L199" s="16">
        <f>Table11[[#This Row],['#Replace 24]]*Table11[[#This Row],[Canada Allocation2017 %]]</f>
        <v>0</v>
      </c>
      <c r="M199" s="16"/>
      <c r="N199" s="16">
        <f>(Table11[[#This Row],[2024 '#Trees Inventory + Estimate]]*Table11[[#This Row],[Canada Allocation2017 %]])-SUM(Table3789[[#This Row],['# Trees as of 12/31/23]:[New Trees/Planted in 2024]])</f>
        <v>0</v>
      </c>
      <c r="O199" s="32">
        <f>SUM(Table3789[[#This Row],['# Trees as of 12/31/23]:[2024 Tree Losses]])</f>
        <v>0</v>
      </c>
      <c r="P199" s="32">
        <f>SUM(Table3789[[#This Row],[Total Trees as of 12/31/24]]-Table3789[[#This Row],['# Trees as of 12/31/23]])</f>
        <v>0</v>
      </c>
      <c r="Q199" s="16">
        <f>Table11[[#This Row],['#Total Replacements]]*Table11[[#This Row],[Canada Allocation2017 %]]</f>
        <v>0</v>
      </c>
      <c r="R199" s="32">
        <f>IF(Table3789[[#This Row],['#Survival based on Inventory]]=0,Table3789['#Survival based on Last Year Estimate],Table3789['#Survival based on Inventory])</f>
        <v>0</v>
      </c>
      <c r="S199" s="16">
        <f>Table11[[#This Row],['#Planted]]*Table11[[#This Row],[Canada Allocation2017 %]]*Table11[[#This Row],[2024 Inventory Survival%-master]]</f>
        <v>0</v>
      </c>
      <c r="T199" s="16">
        <f>Table11[[#This Row],['#Planted]]*Table11[[#This Row],[Canada Allocation2017 %]]*Table11[[#This Row],[2024 Estimated Survival%]]</f>
        <v>0</v>
      </c>
      <c r="U199" s="7">
        <f>Table11[[#This Row],[ETP Year]]</f>
        <v>2020</v>
      </c>
      <c r="V199" s="7">
        <f>Table11[[#This Row],[Planting Year]]</f>
        <v>2020</v>
      </c>
      <c r="W199" s="17">
        <f>Table11[[#This Row],[Survival% as of 12/31/23]]</f>
        <v>0.57519228</v>
      </c>
      <c r="X199">
        <f>Table11[[#This Row],[ETP'#s]]</f>
        <v>1</v>
      </c>
    </row>
    <row r="200" spans="1:24" hidden="1" x14ac:dyDescent="0.25">
      <c r="A200">
        <f>Table11[[#This Row],[Farmer'#]]</f>
        <v>30022</v>
      </c>
      <c r="B200" t="str">
        <f>Table11[[#This Row],[Representative]]</f>
        <v>José Francisco Castillo Vásquez</v>
      </c>
      <c r="C200" t="str">
        <f>Table11[[#This Row],[Contract Name]]</f>
        <v>José Francisco Castillo Vásquez</v>
      </c>
      <c r="D200" t="str">
        <f>Table11[[#This Row],[Status]]</f>
        <v>RFT</v>
      </c>
      <c r="E200" t="str">
        <f>Table11[[#This Row],[Contract Code]]</f>
        <v>GT0023</v>
      </c>
      <c r="F200">
        <f>Table11[[#This Row],['#TreesContract]]</f>
        <v>2865</v>
      </c>
      <c r="G200">
        <f>Table11[[#This Row],['#Planted]]</f>
        <v>2865</v>
      </c>
      <c r="H200" s="16">
        <f>Table11[[#This Row],['#TreesContract]]*Table11[[#This Row],[Canada Allocation2017 %]]</f>
        <v>0</v>
      </c>
      <c r="I200" s="16">
        <f>Table11[[#This Row],['#Planted]]*Table11[[#This Row],[Canada Allocation2017 %]]</f>
        <v>0</v>
      </c>
      <c r="J200" s="16">
        <f>Table11[[#This Row],[Contract Amendment]]*Table11[[#This Row],[Canada Allocation2017 %]]</f>
        <v>0</v>
      </c>
      <c r="K200" s="16">
        <f>Table11[[#This Row],['#Trees as of 12/31/23]]*Table11[[#This Row],[Canada Allocation2017 %]]</f>
        <v>0</v>
      </c>
      <c r="L200" s="16">
        <f>Table11[[#This Row],['#Replace 24]]*Table11[[#This Row],[Canada Allocation2017 %]]</f>
        <v>0</v>
      </c>
      <c r="M200" s="16"/>
      <c r="N200" s="16">
        <f>(Table11[[#This Row],[2024 '#Trees Inventory + Estimate]]*Table11[[#This Row],[Canada Allocation2017 %]])-SUM(Table3789[[#This Row],['# Trees as of 12/31/23]:[New Trees/Planted in 2024]])</f>
        <v>0</v>
      </c>
      <c r="O200" s="32">
        <f>SUM(Table3789[[#This Row],['# Trees as of 12/31/23]:[2024 Tree Losses]])</f>
        <v>0</v>
      </c>
      <c r="P200" s="32">
        <f>SUM(Table3789[[#This Row],[Total Trees as of 12/31/24]]-Table3789[[#This Row],['# Trees as of 12/31/23]])</f>
        <v>0</v>
      </c>
      <c r="Q200" s="16">
        <f>Table11[[#This Row],['#Total Replacements]]*Table11[[#This Row],[Canada Allocation2017 %]]</f>
        <v>0</v>
      </c>
      <c r="R200" s="32">
        <f>IF(Table3789[[#This Row],['#Survival based on Inventory]]=0,Table3789['#Survival based on Last Year Estimate],Table3789['#Survival based on Inventory])</f>
        <v>0</v>
      </c>
      <c r="S200" s="16">
        <f>Table11[[#This Row],['#Planted]]*Table11[[#This Row],[Canada Allocation2017 %]]*Table11[[#This Row],[2024 Inventory Survival%-master]]</f>
        <v>0</v>
      </c>
      <c r="T200" s="16">
        <f>Table11[[#This Row],['#Planted]]*Table11[[#This Row],[Canada Allocation2017 %]]*Table11[[#This Row],[2024 Estimated Survival%]]</f>
        <v>0</v>
      </c>
      <c r="U200" s="7">
        <f>Table11[[#This Row],[ETP Year]]</f>
        <v>2020</v>
      </c>
      <c r="V200" s="7">
        <f>Table11[[#This Row],[Planting Year]]</f>
        <v>2020</v>
      </c>
      <c r="W200" s="17">
        <f>Table11[[#This Row],[Survival% as of 12/31/23]]</f>
        <v>0.30791167539267017</v>
      </c>
      <c r="X200">
        <f>Table11[[#This Row],[ETP'#s]]</f>
        <v>1</v>
      </c>
    </row>
    <row r="201" spans="1:24" hidden="1" x14ac:dyDescent="0.25">
      <c r="A201">
        <f>Table11[[#This Row],[Farmer'#]]</f>
        <v>30023</v>
      </c>
      <c r="B201" t="str">
        <f>Table11[[#This Row],[Representative]]</f>
        <v>Julio Francisco Morán Pérez</v>
      </c>
      <c r="C201" t="str">
        <f>Table11[[#This Row],[Contract Name]]</f>
        <v>Julio Francisco Morán Pérez</v>
      </c>
      <c r="D201" t="str">
        <f>Table11[[#This Row],[Status]]</f>
        <v>Active</v>
      </c>
      <c r="E201" t="str">
        <f>Table11[[#This Row],[Contract Code]]</f>
        <v>GT0024a</v>
      </c>
      <c r="F201">
        <f>Table11[[#This Row],['#TreesContract]]</f>
        <v>5220</v>
      </c>
      <c r="G201">
        <f>Table11[[#This Row],['#Planted]]</f>
        <v>5220</v>
      </c>
      <c r="H201" s="16">
        <f>Table11[[#This Row],['#TreesContract]]*Table11[[#This Row],[Canada Allocation2017 %]]</f>
        <v>0</v>
      </c>
      <c r="I201" s="16">
        <f>Table11[[#This Row],['#Planted]]*Table11[[#This Row],[Canada Allocation2017 %]]</f>
        <v>0</v>
      </c>
      <c r="J201" s="16">
        <f>Table11[[#This Row],[Contract Amendment]]*Table11[[#This Row],[Canada Allocation2017 %]]</f>
        <v>0</v>
      </c>
      <c r="K201" s="16">
        <f>Table11[[#This Row],['#Trees as of 12/31/23]]*Table11[[#This Row],[Canada Allocation2017 %]]</f>
        <v>0</v>
      </c>
      <c r="L201" s="16">
        <f>Table11[[#This Row],['#Replace 24]]*Table11[[#This Row],[Canada Allocation2017 %]]</f>
        <v>0</v>
      </c>
      <c r="M201" s="16"/>
      <c r="N201" s="16">
        <f>(Table11[[#This Row],[2024 '#Trees Inventory + Estimate]]*Table11[[#This Row],[Canada Allocation2017 %]])-SUM(Table3789[[#This Row],['# Trees as of 12/31/23]:[New Trees/Planted in 2024]])</f>
        <v>0</v>
      </c>
      <c r="O201" s="32">
        <f>SUM(Table3789[[#This Row],['# Trees as of 12/31/23]:[2024 Tree Losses]])</f>
        <v>0</v>
      </c>
      <c r="P201" s="32">
        <f>SUM(Table3789[[#This Row],[Total Trees as of 12/31/24]]-Table3789[[#This Row],['# Trees as of 12/31/23]])</f>
        <v>0</v>
      </c>
      <c r="Q201" s="16">
        <f>Table11[[#This Row],['#Total Replacements]]*Table11[[#This Row],[Canada Allocation2017 %]]</f>
        <v>0</v>
      </c>
      <c r="R201" s="32">
        <f>IF(Table3789[[#This Row],['#Survival based on Inventory]]=0,Table3789['#Survival based on Last Year Estimate],Table3789['#Survival based on Inventory])</f>
        <v>0</v>
      </c>
      <c r="S201" s="16">
        <f>Table11[[#This Row],['#Planted]]*Table11[[#This Row],[Canada Allocation2017 %]]*Table11[[#This Row],[2024 Inventory Survival%-master]]</f>
        <v>0</v>
      </c>
      <c r="T201" s="16">
        <f>Table11[[#This Row],['#Planted]]*Table11[[#This Row],[Canada Allocation2017 %]]*Table11[[#This Row],[2024 Estimated Survival%]]</f>
        <v>0</v>
      </c>
      <c r="U201" s="7">
        <f>Table11[[#This Row],[ETP Year]]</f>
        <v>2020</v>
      </c>
      <c r="V201" s="7">
        <f>Table11[[#This Row],[Planting Year]]</f>
        <v>2020</v>
      </c>
      <c r="W201" s="17">
        <f>Table11[[#This Row],[Survival% as of 12/31/23]]</f>
        <v>0.82858216683583918</v>
      </c>
      <c r="X201">
        <f>Table11[[#This Row],[ETP'#s]]</f>
        <v>1</v>
      </c>
    </row>
    <row r="202" spans="1:24" hidden="1" x14ac:dyDescent="0.25">
      <c r="A202">
        <f>Table11[[#This Row],[Farmer'#]]</f>
        <v>30024</v>
      </c>
      <c r="B202" t="str">
        <f>Table11[[#This Row],[Representative]]</f>
        <v>Marvin Rodolfo Porras Calderon</v>
      </c>
      <c r="C202" t="str">
        <f>Table11[[#This Row],[Contract Name]]</f>
        <v>Marvin Rodolfo Porras Calderon</v>
      </c>
      <c r="D202" t="str">
        <f>Table11[[#This Row],[Status]]</f>
        <v>RFT</v>
      </c>
      <c r="E202" t="str">
        <f>Table11[[#This Row],[Contract Code]]</f>
        <v>GT0025</v>
      </c>
      <c r="F202">
        <f>Table11[[#This Row],['#TreesContract]]</f>
        <v>6666</v>
      </c>
      <c r="G202">
        <f>Table11[[#This Row],['#Planted]]</f>
        <v>6666</v>
      </c>
      <c r="H202" s="16">
        <f>Table11[[#This Row],['#TreesContract]]*Table11[[#This Row],[Canada Allocation2017 %]]</f>
        <v>0</v>
      </c>
      <c r="I202" s="16">
        <f>Table11[[#This Row],['#Planted]]*Table11[[#This Row],[Canada Allocation2017 %]]</f>
        <v>0</v>
      </c>
      <c r="J202" s="16">
        <f>Table11[[#This Row],[Contract Amendment]]*Table11[[#This Row],[Canada Allocation2017 %]]</f>
        <v>0</v>
      </c>
      <c r="K202" s="16">
        <f>Table11[[#This Row],['#Trees as of 12/31/23]]*Table11[[#This Row],[Canada Allocation2017 %]]</f>
        <v>0</v>
      </c>
      <c r="L202" s="16">
        <f>Table11[[#This Row],['#Replace 24]]*Table11[[#This Row],[Canada Allocation2017 %]]</f>
        <v>0</v>
      </c>
      <c r="M202" s="16"/>
      <c r="N202" s="16">
        <f>(Table11[[#This Row],[2024 '#Trees Inventory + Estimate]]*Table11[[#This Row],[Canada Allocation2017 %]])-SUM(Table3789[[#This Row],['# Trees as of 12/31/23]:[New Trees/Planted in 2024]])</f>
        <v>0</v>
      </c>
      <c r="O202" s="32">
        <f>SUM(Table3789[[#This Row],['# Trees as of 12/31/23]:[2024 Tree Losses]])</f>
        <v>0</v>
      </c>
      <c r="P202" s="32">
        <f>SUM(Table3789[[#This Row],[Total Trees as of 12/31/24]]-Table3789[[#This Row],['# Trees as of 12/31/23]])</f>
        <v>0</v>
      </c>
      <c r="Q202" s="16">
        <f>Table11[[#This Row],['#Total Replacements]]*Table11[[#This Row],[Canada Allocation2017 %]]</f>
        <v>0</v>
      </c>
      <c r="R202" s="32">
        <f>IF(Table3789[[#This Row],['#Survival based on Inventory]]=0,Table3789['#Survival based on Last Year Estimate],Table3789['#Survival based on Inventory])</f>
        <v>0</v>
      </c>
      <c r="S202" s="16">
        <f>Table11[[#This Row],['#Planted]]*Table11[[#This Row],[Canada Allocation2017 %]]*Table11[[#This Row],[2024 Inventory Survival%-master]]</f>
        <v>0</v>
      </c>
      <c r="T202" s="16">
        <f>Table11[[#This Row],['#Planted]]*Table11[[#This Row],[Canada Allocation2017 %]]*Table11[[#This Row],[2024 Estimated Survival%]]</f>
        <v>0</v>
      </c>
      <c r="U202" s="7">
        <f>Table11[[#This Row],[ETP Year]]</f>
        <v>2020</v>
      </c>
      <c r="V202" s="7">
        <f>Table11[[#This Row],[Planting Year]]</f>
        <v>2020</v>
      </c>
      <c r="W202" s="17">
        <f>Table11[[#This Row],[Survival% as of 12/31/23]]</f>
        <v>0.93050765076507658</v>
      </c>
      <c r="X202">
        <f>Table11[[#This Row],[ETP'#s]]</f>
        <v>1</v>
      </c>
    </row>
    <row r="203" spans="1:24" hidden="1" x14ac:dyDescent="0.25">
      <c r="A203">
        <f>Table11[[#This Row],[Farmer'#]]</f>
        <v>30025</v>
      </c>
      <c r="B203" t="str">
        <f>Table11[[#This Row],[Representative]]</f>
        <v>Pablo Castillo (Novio Laura María Morán)</v>
      </c>
      <c r="C203" t="str">
        <f>Table11[[#This Row],[Contract Name]]</f>
        <v>Olga Victoria Herrera Sanjuan</v>
      </c>
      <c r="D203" t="str">
        <f>Table11[[#This Row],[Status]]</f>
        <v>Out of Program</v>
      </c>
      <c r="E203" t="str">
        <f>Table11[[#This Row],[Contract Code]]</f>
        <v>GT0026</v>
      </c>
      <c r="F203">
        <f>Table11[[#This Row],['#TreesContract]]</f>
        <v>990</v>
      </c>
      <c r="G203">
        <f>Table11[[#This Row],['#Planted]]</f>
        <v>990</v>
      </c>
      <c r="H203" s="16">
        <f>Table11[[#This Row],['#TreesContract]]*Table11[[#This Row],[Canada Allocation2017 %]]</f>
        <v>0</v>
      </c>
      <c r="I203" s="16">
        <f>Table11[[#This Row],['#Planted]]*Table11[[#This Row],[Canada Allocation2017 %]]</f>
        <v>0</v>
      </c>
      <c r="J203" s="16">
        <f>Table11[[#This Row],[Contract Amendment]]*Table11[[#This Row],[Canada Allocation2017 %]]</f>
        <v>0</v>
      </c>
      <c r="K203" s="16">
        <f>Table11[[#This Row],['#Trees as of 12/31/23]]*Table11[[#This Row],[Canada Allocation2017 %]]</f>
        <v>0</v>
      </c>
      <c r="L203" s="16">
        <f>Table11[[#This Row],['#Replace 24]]*Table11[[#This Row],[Canada Allocation2017 %]]</f>
        <v>0</v>
      </c>
      <c r="M203" s="16"/>
      <c r="N203" s="16">
        <f>(Table11[[#This Row],[2024 '#Trees Inventory + Estimate]]*Table11[[#This Row],[Canada Allocation2017 %]])-SUM(Table3789[[#This Row],['# Trees as of 12/31/23]:[New Trees/Planted in 2024]])</f>
        <v>0</v>
      </c>
      <c r="O203" s="32">
        <f>SUM(Table3789[[#This Row],['# Trees as of 12/31/23]:[2024 Tree Losses]])</f>
        <v>0</v>
      </c>
      <c r="P203" s="32">
        <f>SUM(Table3789[[#This Row],[Total Trees as of 12/31/24]]-Table3789[[#This Row],['# Trees as of 12/31/23]])</f>
        <v>0</v>
      </c>
      <c r="Q203" s="16">
        <f>Table11[[#This Row],['#Total Replacements]]*Table11[[#This Row],[Canada Allocation2017 %]]</f>
        <v>0</v>
      </c>
      <c r="R203" s="32">
        <f>IF(Table3789[[#This Row],['#Survival based on Inventory]]=0,Table3789['#Survival based on Last Year Estimate],Table3789['#Survival based on Inventory])</f>
        <v>0</v>
      </c>
      <c r="S203" s="16">
        <f>Table11[[#This Row],['#Planted]]*Table11[[#This Row],[Canada Allocation2017 %]]*Table11[[#This Row],[2024 Inventory Survival%-master]]</f>
        <v>0</v>
      </c>
      <c r="T203" s="16">
        <f>Table11[[#This Row],['#Planted]]*Table11[[#This Row],[Canada Allocation2017 %]]*Table11[[#This Row],[2024 Estimated Survival%]]</f>
        <v>0</v>
      </c>
      <c r="U203" s="7">
        <f>Table11[[#This Row],[ETP Year]]</f>
        <v>2020</v>
      </c>
      <c r="V203" s="7">
        <f>Table11[[#This Row],[Planting Year]]</f>
        <v>2020</v>
      </c>
      <c r="W203" s="17">
        <f>Table11[[#This Row],[Survival% as of 12/31/23]]</f>
        <v>0</v>
      </c>
      <c r="X203">
        <f>Table11[[#This Row],[ETP'#s]]</f>
        <v>1</v>
      </c>
    </row>
    <row r="204" spans="1:24" hidden="1" x14ac:dyDescent="0.25">
      <c r="A204">
        <f>Table11[[#This Row],[Farmer'#]]</f>
        <v>30026</v>
      </c>
      <c r="B204" t="str">
        <f>Table11[[#This Row],[Representative]]</f>
        <v>Richard Steven Callaway Ayau - Eco Energía H20</v>
      </c>
      <c r="C204" t="str">
        <f>Table11[[#This Row],[Contract Name]]</f>
        <v>Richard Steven Callaway Ayau</v>
      </c>
      <c r="D204" t="str">
        <f>Table11[[#This Row],[Status]]</f>
        <v>RFT</v>
      </c>
      <c r="E204" t="str">
        <f>Table11[[#This Row],[Contract Code]]</f>
        <v>GT0027</v>
      </c>
      <c r="F204">
        <f>Table11[[#This Row],['#TreesContract]]</f>
        <v>6788</v>
      </c>
      <c r="G204">
        <f>Table11[[#This Row],['#Planted]]</f>
        <v>6788</v>
      </c>
      <c r="H204" s="16">
        <f>Table11[[#This Row],['#TreesContract]]*Table11[[#This Row],[Canada Allocation2017 %]]</f>
        <v>0</v>
      </c>
      <c r="I204" s="16">
        <f>Table11[[#This Row],['#Planted]]*Table11[[#This Row],[Canada Allocation2017 %]]</f>
        <v>0</v>
      </c>
      <c r="J204" s="16">
        <f>Table11[[#This Row],[Contract Amendment]]*Table11[[#This Row],[Canada Allocation2017 %]]</f>
        <v>0</v>
      </c>
      <c r="K204" s="16">
        <f>Table11[[#This Row],['#Trees as of 12/31/23]]*Table11[[#This Row],[Canada Allocation2017 %]]</f>
        <v>0</v>
      </c>
      <c r="L204" s="16">
        <f>Table11[[#This Row],['#Replace 24]]*Table11[[#This Row],[Canada Allocation2017 %]]</f>
        <v>0</v>
      </c>
      <c r="M204" s="16"/>
      <c r="N204" s="16">
        <f>(Table11[[#This Row],[2024 '#Trees Inventory + Estimate]]*Table11[[#This Row],[Canada Allocation2017 %]])-SUM(Table3789[[#This Row],['# Trees as of 12/31/23]:[New Trees/Planted in 2024]])</f>
        <v>0</v>
      </c>
      <c r="O204" s="32">
        <f>SUM(Table3789[[#This Row],['# Trees as of 12/31/23]:[2024 Tree Losses]])</f>
        <v>0</v>
      </c>
      <c r="P204" s="32">
        <f>SUM(Table3789[[#This Row],[Total Trees as of 12/31/24]]-Table3789[[#This Row],['# Trees as of 12/31/23]])</f>
        <v>0</v>
      </c>
      <c r="Q204" s="16">
        <f>Table11[[#This Row],['#Total Replacements]]*Table11[[#This Row],[Canada Allocation2017 %]]</f>
        <v>0</v>
      </c>
      <c r="R204" s="32">
        <f>IF(Table3789[[#This Row],['#Survival based on Inventory]]=0,Table3789['#Survival based on Last Year Estimate],Table3789['#Survival based on Inventory])</f>
        <v>0</v>
      </c>
      <c r="S204" s="16">
        <f>Table11[[#This Row],['#Planted]]*Table11[[#This Row],[Canada Allocation2017 %]]*Table11[[#This Row],[2024 Inventory Survival%-master]]</f>
        <v>0</v>
      </c>
      <c r="T204" s="16">
        <f>Table11[[#This Row],['#Planted]]*Table11[[#This Row],[Canada Allocation2017 %]]*Table11[[#This Row],[2024 Estimated Survival%]]</f>
        <v>0</v>
      </c>
      <c r="U204" s="7">
        <f>Table11[[#This Row],[ETP Year]]</f>
        <v>2020</v>
      </c>
      <c r="V204" s="7">
        <f>Table11[[#This Row],[Planting Year]]</f>
        <v>2020</v>
      </c>
      <c r="W204" s="17">
        <f>Table11[[#This Row],[Survival% as of 12/31/23]]</f>
        <v>0.80951679430000001</v>
      </c>
      <c r="X204">
        <f>Table11[[#This Row],[ETP'#s]]</f>
        <v>1</v>
      </c>
    </row>
    <row r="205" spans="1:24" hidden="1" x14ac:dyDescent="0.25">
      <c r="A205">
        <f>Table11[[#This Row],[Farmer'#]]</f>
        <v>30027</v>
      </c>
      <c r="B205" t="str">
        <f>Table11[[#This Row],[Representative]]</f>
        <v>Rolando Chinchilla Buezo</v>
      </c>
      <c r="C205" t="str">
        <f>Table11[[#This Row],[Contract Name]]</f>
        <v>Rolando Chinchilla Buezo</v>
      </c>
      <c r="D205" t="str">
        <f>Table11[[#This Row],[Status]]</f>
        <v>RFT</v>
      </c>
      <c r="E205" t="str">
        <f>Table11[[#This Row],[Contract Code]]</f>
        <v>GT0028</v>
      </c>
      <c r="F205">
        <f>Table11[[#This Row],['#TreesContract]]</f>
        <v>1000</v>
      </c>
      <c r="G205">
        <f>Table11[[#This Row],['#Planted]]</f>
        <v>1000</v>
      </c>
      <c r="H205" s="16">
        <f>Table11[[#This Row],['#TreesContract]]*Table11[[#This Row],[Canada Allocation2017 %]]</f>
        <v>0</v>
      </c>
      <c r="I205" s="16">
        <f>Table11[[#This Row],['#Planted]]*Table11[[#This Row],[Canada Allocation2017 %]]</f>
        <v>0</v>
      </c>
      <c r="J205" s="16">
        <f>Table11[[#This Row],[Contract Amendment]]*Table11[[#This Row],[Canada Allocation2017 %]]</f>
        <v>0</v>
      </c>
      <c r="K205" s="16">
        <f>Table11[[#This Row],['#Trees as of 12/31/23]]*Table11[[#This Row],[Canada Allocation2017 %]]</f>
        <v>0</v>
      </c>
      <c r="L205" s="16">
        <f>Table11[[#This Row],['#Replace 24]]*Table11[[#This Row],[Canada Allocation2017 %]]</f>
        <v>0</v>
      </c>
      <c r="M205" s="16"/>
      <c r="N205" s="16">
        <f>(Table11[[#This Row],[2024 '#Trees Inventory + Estimate]]*Table11[[#This Row],[Canada Allocation2017 %]])-SUM(Table3789[[#This Row],['# Trees as of 12/31/23]:[New Trees/Planted in 2024]])</f>
        <v>0</v>
      </c>
      <c r="O205" s="32">
        <f>SUM(Table3789[[#This Row],['# Trees as of 12/31/23]:[2024 Tree Losses]])</f>
        <v>0</v>
      </c>
      <c r="P205" s="32">
        <f>SUM(Table3789[[#This Row],[Total Trees as of 12/31/24]]-Table3789[[#This Row],['# Trees as of 12/31/23]])</f>
        <v>0</v>
      </c>
      <c r="Q205" s="16">
        <f>Table11[[#This Row],['#Total Replacements]]*Table11[[#This Row],[Canada Allocation2017 %]]</f>
        <v>0</v>
      </c>
      <c r="R205" s="32">
        <f>IF(Table3789[[#This Row],['#Survival based on Inventory]]=0,Table3789['#Survival based on Last Year Estimate],Table3789['#Survival based on Inventory])</f>
        <v>0</v>
      </c>
      <c r="S205" s="16">
        <f>Table11[[#This Row],['#Planted]]*Table11[[#This Row],[Canada Allocation2017 %]]*Table11[[#This Row],[2024 Inventory Survival%-master]]</f>
        <v>0</v>
      </c>
      <c r="T205" s="16">
        <f>Table11[[#This Row],['#Planted]]*Table11[[#This Row],[Canada Allocation2017 %]]*Table11[[#This Row],[2024 Estimated Survival%]]</f>
        <v>0</v>
      </c>
      <c r="U205" s="7">
        <f>Table11[[#This Row],[ETP Year]]</f>
        <v>2020</v>
      </c>
      <c r="V205" s="7">
        <f>Table11[[#This Row],[Planting Year]]</f>
        <v>2020</v>
      </c>
      <c r="W205" s="17">
        <f>Table11[[#This Row],[Survival% as of 12/31/23]]</f>
        <v>0.75014183999999995</v>
      </c>
      <c r="X205">
        <f>Table11[[#This Row],[ETP'#s]]</f>
        <v>1</v>
      </c>
    </row>
    <row r="206" spans="1:24" hidden="1" x14ac:dyDescent="0.25">
      <c r="A206">
        <f>Table11[[#This Row],[Farmer'#]]</f>
        <v>40004</v>
      </c>
      <c r="B206" t="str">
        <f>Table11[[#This Row],[Representative]]</f>
        <v>Felipe Ramirez Flores</v>
      </c>
      <c r="C206" t="str">
        <f>Table11[[#This Row],[Contract Name]]</f>
        <v>Aniceto Ramírez Flores and  Gilberto Hernandez Ayala</v>
      </c>
      <c r="D206" t="str">
        <f>Table11[[#This Row],[Status]]</f>
        <v>Out of Program</v>
      </c>
      <c r="E206" t="str">
        <f>Table11[[#This Row],[Contract Code]]</f>
        <v>MX0004</v>
      </c>
      <c r="F206">
        <f>Table11[[#This Row],['#TreesContract]]</f>
        <v>5500</v>
      </c>
      <c r="G206">
        <f>Table11[[#This Row],['#Planted]]</f>
        <v>5500</v>
      </c>
      <c r="H206" s="16">
        <f>Table11[[#This Row],['#TreesContract]]*Table11[[#This Row],[Canada Allocation2017 %]]</f>
        <v>0</v>
      </c>
      <c r="I206" s="16">
        <f>Table11[[#This Row],['#Planted]]*Table11[[#This Row],[Canada Allocation2017 %]]</f>
        <v>0</v>
      </c>
      <c r="J206" s="16">
        <f>Table11[[#This Row],[Contract Amendment]]*Table11[[#This Row],[Canada Allocation2017 %]]</f>
        <v>0</v>
      </c>
      <c r="K206" s="16">
        <f>Table11[[#This Row],['#Trees as of 12/31/23]]*Table11[[#This Row],[Canada Allocation2017 %]]</f>
        <v>0</v>
      </c>
      <c r="L206" s="16">
        <f>Table11[[#This Row],['#Replace 24]]*Table11[[#This Row],[Canada Allocation2017 %]]</f>
        <v>0</v>
      </c>
      <c r="M206" s="16"/>
      <c r="N206" s="16">
        <f>(Table11[[#This Row],[2024 '#Trees Inventory + Estimate]]*Table11[[#This Row],[Canada Allocation2017 %]])-SUM(Table3789[[#This Row],['# Trees as of 12/31/23]:[New Trees/Planted in 2024]])</f>
        <v>0</v>
      </c>
      <c r="O206" s="32">
        <f>SUM(Table3789[[#This Row],['# Trees as of 12/31/23]:[2024 Tree Losses]])</f>
        <v>0</v>
      </c>
      <c r="P206" s="32">
        <f>SUM(Table3789[[#This Row],[Total Trees as of 12/31/24]]-Table3789[[#This Row],['# Trees as of 12/31/23]])</f>
        <v>0</v>
      </c>
      <c r="Q206" s="16">
        <f>Table11[[#This Row],['#Total Replacements]]*Table11[[#This Row],[Canada Allocation2017 %]]</f>
        <v>0</v>
      </c>
      <c r="R206" s="32">
        <f>IF(Table3789[[#This Row],['#Survival based on Inventory]]=0,Table3789['#Survival based on Last Year Estimate],Table3789['#Survival based on Inventory])</f>
        <v>0</v>
      </c>
      <c r="S206" s="16">
        <f>Table11[[#This Row],['#Planted]]*Table11[[#This Row],[Canada Allocation2017 %]]*Table11[[#This Row],[2024 Inventory Survival%-master]]</f>
        <v>0</v>
      </c>
      <c r="T206" s="16">
        <f>Table11[[#This Row],['#Planted]]*Table11[[#This Row],[Canada Allocation2017 %]]*Table11[[#This Row],[2024 Estimated Survival%]]</f>
        <v>0</v>
      </c>
      <c r="U206" s="7">
        <f>Table11[[#This Row],[ETP Year]]</f>
        <v>2018</v>
      </c>
      <c r="V206" s="7">
        <f>Table11[[#This Row],[Planting Year]]</f>
        <v>2020</v>
      </c>
      <c r="W206" s="17">
        <f>Table11[[#This Row],[Survival% as of 12/31/23]]</f>
        <v>0</v>
      </c>
      <c r="X206">
        <f>Table11[[#This Row],[ETP'#s]]</f>
        <v>1</v>
      </c>
    </row>
    <row r="207" spans="1:24" hidden="1" x14ac:dyDescent="0.25">
      <c r="A207">
        <f>Table11[[#This Row],[Farmer'#]]</f>
        <v>40005</v>
      </c>
      <c r="B207" t="str">
        <f>Table11[[#This Row],[Representative]]</f>
        <v>Arturo Arguelles Barradas</v>
      </c>
      <c r="C207" t="str">
        <f>Table11[[#This Row],[Contract Name]]</f>
        <v>Arturo Arguelles Barradas</v>
      </c>
      <c r="D207" t="str">
        <f>Table11[[#This Row],[Status]]</f>
        <v>RFT</v>
      </c>
      <c r="E207" t="str">
        <f>Table11[[#This Row],[Contract Code]]</f>
        <v>MX0005</v>
      </c>
      <c r="F207">
        <f>Table11[[#This Row],['#TreesContract]]</f>
        <v>1100</v>
      </c>
      <c r="G207">
        <f>Table11[[#This Row],['#Planted]]</f>
        <v>1100</v>
      </c>
      <c r="H207" s="16">
        <f>Table11[[#This Row],['#TreesContract]]*Table11[[#This Row],[Canada Allocation2017 %]]</f>
        <v>0</v>
      </c>
      <c r="I207" s="16">
        <f>Table11[[#This Row],['#Planted]]*Table11[[#This Row],[Canada Allocation2017 %]]</f>
        <v>0</v>
      </c>
      <c r="J207" s="16">
        <f>Table11[[#This Row],[Contract Amendment]]*Table11[[#This Row],[Canada Allocation2017 %]]</f>
        <v>0</v>
      </c>
      <c r="K207" s="16">
        <f>Table11[[#This Row],['#Trees as of 12/31/23]]*Table11[[#This Row],[Canada Allocation2017 %]]</f>
        <v>0</v>
      </c>
      <c r="L207" s="16">
        <f>Table11[[#This Row],['#Replace 24]]*Table11[[#This Row],[Canada Allocation2017 %]]</f>
        <v>0</v>
      </c>
      <c r="M207" s="16"/>
      <c r="N207" s="16">
        <f>(Table11[[#This Row],[2024 '#Trees Inventory + Estimate]]*Table11[[#This Row],[Canada Allocation2017 %]])-SUM(Table3789[[#This Row],['# Trees as of 12/31/23]:[New Trees/Planted in 2024]])</f>
        <v>0</v>
      </c>
      <c r="O207" s="32">
        <f>SUM(Table3789[[#This Row],['# Trees as of 12/31/23]:[2024 Tree Losses]])</f>
        <v>0</v>
      </c>
      <c r="P207" s="32">
        <f>SUM(Table3789[[#This Row],[Total Trees as of 12/31/24]]-Table3789[[#This Row],['# Trees as of 12/31/23]])</f>
        <v>0</v>
      </c>
      <c r="Q207" s="16">
        <f>Table11[[#This Row],['#Total Replacements]]*Table11[[#This Row],[Canada Allocation2017 %]]</f>
        <v>0</v>
      </c>
      <c r="R207" s="32">
        <f>IF(Table3789[[#This Row],['#Survival based on Inventory]]=0,Table3789['#Survival based on Last Year Estimate],Table3789['#Survival based on Inventory])</f>
        <v>0</v>
      </c>
      <c r="S207" s="16">
        <f>Table11[[#This Row],['#Planted]]*Table11[[#This Row],[Canada Allocation2017 %]]*Table11[[#This Row],[2024 Inventory Survival%-master]]</f>
        <v>0</v>
      </c>
      <c r="T207" s="16">
        <f>Table11[[#This Row],['#Planted]]*Table11[[#This Row],[Canada Allocation2017 %]]*Table11[[#This Row],[2024 Estimated Survival%]]</f>
        <v>0</v>
      </c>
      <c r="U207" s="7">
        <f>Table11[[#This Row],[ETP Year]]</f>
        <v>2020</v>
      </c>
      <c r="V207" s="7">
        <f>Table11[[#This Row],[Planting Year]]</f>
        <v>2020</v>
      </c>
      <c r="W207" s="17">
        <f>Table11[[#This Row],[Survival% as of 12/31/23]]</f>
        <v>0.95</v>
      </c>
      <c r="X207">
        <f>Table11[[#This Row],[ETP'#s]]</f>
        <v>1</v>
      </c>
    </row>
    <row r="208" spans="1:24" hidden="1" x14ac:dyDescent="0.25">
      <c r="A208">
        <f>Table11[[#This Row],[Farmer'#]]</f>
        <v>40006</v>
      </c>
      <c r="B208" t="str">
        <f>Table11[[#This Row],[Representative]]</f>
        <v>Cesar Aaron Olquin Jimenez</v>
      </c>
      <c r="C208" t="str">
        <f>Table11[[#This Row],[Contract Name]]</f>
        <v>Cesar Aaron Olquin Jimenez</v>
      </c>
      <c r="D208" t="str">
        <f>Table11[[#This Row],[Status]]</f>
        <v>Out of Program</v>
      </c>
      <c r="E208" t="str">
        <f>Table11[[#This Row],[Contract Code]]</f>
        <v>MX0006</v>
      </c>
      <c r="F208">
        <f>Table11[[#This Row],['#TreesContract]]</f>
        <v>7700</v>
      </c>
      <c r="G208">
        <f>Table11[[#This Row],['#Planted]]</f>
        <v>7700</v>
      </c>
      <c r="H208" s="16">
        <f>Table11[[#This Row],['#TreesContract]]*Table11[[#This Row],[Canada Allocation2017 %]]</f>
        <v>0</v>
      </c>
      <c r="I208" s="16">
        <f>Table11[[#This Row],['#Planted]]*Table11[[#This Row],[Canada Allocation2017 %]]</f>
        <v>0</v>
      </c>
      <c r="J208" s="16">
        <f>Table11[[#This Row],[Contract Amendment]]*Table11[[#This Row],[Canada Allocation2017 %]]</f>
        <v>0</v>
      </c>
      <c r="K208" s="16">
        <f>Table11[[#This Row],['#Trees as of 12/31/23]]*Table11[[#This Row],[Canada Allocation2017 %]]</f>
        <v>0</v>
      </c>
      <c r="L208" s="16">
        <f>Table11[[#This Row],['#Replace 24]]*Table11[[#This Row],[Canada Allocation2017 %]]</f>
        <v>0</v>
      </c>
      <c r="M208" s="16"/>
      <c r="N208" s="16">
        <f>(Table11[[#This Row],[2024 '#Trees Inventory + Estimate]]*Table11[[#This Row],[Canada Allocation2017 %]])-SUM(Table3789[[#This Row],['# Trees as of 12/31/23]:[New Trees/Planted in 2024]])</f>
        <v>0</v>
      </c>
      <c r="O208" s="32">
        <f>SUM(Table3789[[#This Row],['# Trees as of 12/31/23]:[2024 Tree Losses]])</f>
        <v>0</v>
      </c>
      <c r="P208" s="32">
        <f>SUM(Table3789[[#This Row],[Total Trees as of 12/31/24]]-Table3789[[#This Row],['# Trees as of 12/31/23]])</f>
        <v>0</v>
      </c>
      <c r="Q208" s="16">
        <f>Table11[[#This Row],['#Total Replacements]]*Table11[[#This Row],[Canada Allocation2017 %]]</f>
        <v>0</v>
      </c>
      <c r="R208" s="32">
        <f>IF(Table3789[[#This Row],['#Survival based on Inventory]]=0,Table3789['#Survival based on Last Year Estimate],Table3789['#Survival based on Inventory])</f>
        <v>0</v>
      </c>
      <c r="S208" s="16">
        <f>Table11[[#This Row],['#Planted]]*Table11[[#This Row],[Canada Allocation2017 %]]*Table11[[#This Row],[2024 Inventory Survival%-master]]</f>
        <v>0</v>
      </c>
      <c r="T208" s="16">
        <f>Table11[[#This Row],['#Planted]]*Table11[[#This Row],[Canada Allocation2017 %]]*Table11[[#This Row],[2024 Estimated Survival%]]</f>
        <v>0</v>
      </c>
      <c r="U208" s="7">
        <f>Table11[[#This Row],[ETP Year]]</f>
        <v>2020</v>
      </c>
      <c r="V208" s="7">
        <f>Table11[[#This Row],[Planting Year]]</f>
        <v>2020</v>
      </c>
      <c r="W208" s="17">
        <f>Table11[[#This Row],[Survival% as of 12/31/23]]</f>
        <v>0</v>
      </c>
      <c r="X208">
        <f>Table11[[#This Row],[ETP'#s]]</f>
        <v>1</v>
      </c>
    </row>
    <row r="209" spans="1:24" hidden="1" x14ac:dyDescent="0.25">
      <c r="A209">
        <f>Table11[[#This Row],[Farmer'#]]</f>
        <v>40006</v>
      </c>
      <c r="B209" t="str">
        <f>Table11[[#This Row],[Representative]]</f>
        <v>Cesar Aaron Olquin Jimenez</v>
      </c>
      <c r="C209" t="str">
        <f>Table11[[#This Row],[Contract Name]]</f>
        <v>Cesar Aaron Olquin Jimenez</v>
      </c>
      <c r="D209" t="str">
        <f>Table11[[#This Row],[Status]]</f>
        <v>Out of Program</v>
      </c>
      <c r="E209" t="str">
        <f>Table11[[#This Row],[Contract Code]]</f>
        <v>MX0007</v>
      </c>
      <c r="F209">
        <f>Table11[[#This Row],['#TreesContract]]</f>
        <v>14300</v>
      </c>
      <c r="G209">
        <f>Table11[[#This Row],['#Planted]]</f>
        <v>14300</v>
      </c>
      <c r="H209" s="16">
        <f>Table11[[#This Row],['#TreesContract]]*Table11[[#This Row],[Canada Allocation2017 %]]</f>
        <v>0</v>
      </c>
      <c r="I209" s="16">
        <f>Table11[[#This Row],['#Planted]]*Table11[[#This Row],[Canada Allocation2017 %]]</f>
        <v>0</v>
      </c>
      <c r="J209" s="16">
        <f>Table11[[#This Row],[Contract Amendment]]*Table11[[#This Row],[Canada Allocation2017 %]]</f>
        <v>0</v>
      </c>
      <c r="K209" s="16">
        <f>Table11[[#This Row],['#Trees as of 12/31/23]]*Table11[[#This Row],[Canada Allocation2017 %]]</f>
        <v>0</v>
      </c>
      <c r="L209" s="16">
        <f>Table11[[#This Row],['#Replace 24]]*Table11[[#This Row],[Canada Allocation2017 %]]</f>
        <v>0</v>
      </c>
      <c r="M209" s="16"/>
      <c r="N209" s="16">
        <f>(Table11[[#This Row],[2024 '#Trees Inventory + Estimate]]*Table11[[#This Row],[Canada Allocation2017 %]])-SUM(Table3789[[#This Row],['# Trees as of 12/31/23]:[New Trees/Planted in 2024]])</f>
        <v>0</v>
      </c>
      <c r="O209" s="32">
        <f>SUM(Table3789[[#This Row],['# Trees as of 12/31/23]:[2024 Tree Losses]])</f>
        <v>0</v>
      </c>
      <c r="P209" s="32">
        <f>SUM(Table3789[[#This Row],[Total Trees as of 12/31/24]]-Table3789[[#This Row],['# Trees as of 12/31/23]])</f>
        <v>0</v>
      </c>
      <c r="Q209" s="16">
        <f>Table11[[#This Row],['#Total Replacements]]*Table11[[#This Row],[Canada Allocation2017 %]]</f>
        <v>0</v>
      </c>
      <c r="R209" s="32">
        <f>IF(Table3789[[#This Row],['#Survival based on Inventory]]=0,Table3789['#Survival based on Last Year Estimate],Table3789['#Survival based on Inventory])</f>
        <v>0</v>
      </c>
      <c r="S209" s="16">
        <f>Table11[[#This Row],['#Planted]]*Table11[[#This Row],[Canada Allocation2017 %]]*Table11[[#This Row],[2024 Inventory Survival%-master]]</f>
        <v>0</v>
      </c>
      <c r="T209" s="16">
        <f>Table11[[#This Row],['#Planted]]*Table11[[#This Row],[Canada Allocation2017 %]]*Table11[[#This Row],[2024 Estimated Survival%]]</f>
        <v>0</v>
      </c>
      <c r="U209" s="7" t="str">
        <f>Table11[[#This Row],[ETP Year]]</f>
        <v>2020-NA/BA</v>
      </c>
      <c r="V209" s="7">
        <f>Table11[[#This Row],[Planting Year]]</f>
        <v>2020</v>
      </c>
      <c r="W209" s="17">
        <f>Table11[[#This Row],[Survival% as of 12/31/23]]</f>
        <v>0</v>
      </c>
      <c r="X209">
        <f>Table11[[#This Row],[ETP'#s]]</f>
        <v>1</v>
      </c>
    </row>
    <row r="210" spans="1:24" hidden="1" x14ac:dyDescent="0.25">
      <c r="A210">
        <f>Table11[[#This Row],[Farmer'#]]</f>
        <v>40007</v>
      </c>
      <c r="B210" t="str">
        <f>Table11[[#This Row],[Representative]]</f>
        <v>Heriberto Mendoza Villegas</v>
      </c>
      <c r="C210" t="str">
        <f>Table11[[#This Row],[Contract Name]]</f>
        <v>Dionicio Mendoza Rinconcillo</v>
      </c>
      <c r="D210" t="str">
        <f>Table11[[#This Row],[Status]]</f>
        <v>Out of Program</v>
      </c>
      <c r="E210" t="str">
        <f>Table11[[#This Row],[Contract Code]]</f>
        <v>MX0008</v>
      </c>
      <c r="F210">
        <f>Table11[[#This Row],['#TreesContract]]</f>
        <v>5500</v>
      </c>
      <c r="G210">
        <f>Table11[[#This Row],['#Planted]]</f>
        <v>5500</v>
      </c>
      <c r="H210" s="16">
        <f>Table11[[#This Row],['#TreesContract]]*Table11[[#This Row],[Canada Allocation2017 %]]</f>
        <v>0</v>
      </c>
      <c r="I210" s="16">
        <f>Table11[[#This Row],['#Planted]]*Table11[[#This Row],[Canada Allocation2017 %]]</f>
        <v>0</v>
      </c>
      <c r="J210" s="16">
        <f>Table11[[#This Row],[Contract Amendment]]*Table11[[#This Row],[Canada Allocation2017 %]]</f>
        <v>0</v>
      </c>
      <c r="K210" s="16">
        <f>Table11[[#This Row],['#Trees as of 12/31/23]]*Table11[[#This Row],[Canada Allocation2017 %]]</f>
        <v>0</v>
      </c>
      <c r="L210" s="16">
        <f>Table11[[#This Row],['#Replace 24]]*Table11[[#This Row],[Canada Allocation2017 %]]</f>
        <v>0</v>
      </c>
      <c r="M210" s="16"/>
      <c r="N210" s="16">
        <f>(Table11[[#This Row],[2024 '#Trees Inventory + Estimate]]*Table11[[#This Row],[Canada Allocation2017 %]])-SUM(Table3789[[#This Row],['# Trees as of 12/31/23]:[New Trees/Planted in 2024]])</f>
        <v>0</v>
      </c>
      <c r="O210" s="32">
        <f>SUM(Table3789[[#This Row],['# Trees as of 12/31/23]:[2024 Tree Losses]])</f>
        <v>0</v>
      </c>
      <c r="P210" s="32">
        <f>SUM(Table3789[[#This Row],[Total Trees as of 12/31/24]]-Table3789[[#This Row],['# Trees as of 12/31/23]])</f>
        <v>0</v>
      </c>
      <c r="Q210" s="16">
        <f>Table11[[#This Row],['#Total Replacements]]*Table11[[#This Row],[Canada Allocation2017 %]]</f>
        <v>0</v>
      </c>
      <c r="R210" s="32">
        <f>IF(Table3789[[#This Row],['#Survival based on Inventory]]=0,Table3789['#Survival based on Last Year Estimate],Table3789['#Survival based on Inventory])</f>
        <v>0</v>
      </c>
      <c r="S210" s="16">
        <f>Table11[[#This Row],['#Planted]]*Table11[[#This Row],[Canada Allocation2017 %]]*Table11[[#This Row],[2024 Inventory Survival%-master]]</f>
        <v>0</v>
      </c>
      <c r="T210" s="16">
        <f>Table11[[#This Row],['#Planted]]*Table11[[#This Row],[Canada Allocation2017 %]]*Table11[[#This Row],[2024 Estimated Survival%]]</f>
        <v>0</v>
      </c>
      <c r="U210" s="7" t="str">
        <f>Table11[[#This Row],[ETP Year]]</f>
        <v>2020-NA/BA</v>
      </c>
      <c r="V210" s="7">
        <f>Table11[[#This Row],[Planting Year]]</f>
        <v>2020</v>
      </c>
      <c r="W210" s="17">
        <f>Table11[[#This Row],[Survival% as of 12/31/23]]</f>
        <v>0</v>
      </c>
      <c r="X210">
        <f>Table11[[#This Row],[ETP'#s]]</f>
        <v>1</v>
      </c>
    </row>
    <row r="211" spans="1:24" hidden="1" x14ac:dyDescent="0.25">
      <c r="A211">
        <f>Table11[[#This Row],[Farmer'#]]</f>
        <v>40009</v>
      </c>
      <c r="B211" t="str">
        <f>Table11[[#This Row],[Representative]]</f>
        <v>Víctor Manuel Godínez Martínez</v>
      </c>
      <c r="C211" t="str">
        <f>Table11[[#This Row],[Contract Name]]</f>
        <v>Jesus Enriquez Magana</v>
      </c>
      <c r="D211" t="str">
        <f>Table11[[#This Row],[Status]]</f>
        <v>Out of Program</v>
      </c>
      <c r="E211" t="str">
        <f>Table11[[#This Row],[Contract Code]]</f>
        <v>MX0010</v>
      </c>
      <c r="F211">
        <f>Table11[[#This Row],['#TreesContract]]</f>
        <v>0</v>
      </c>
      <c r="G211">
        <f>Table11[[#This Row],['#Planted]]</f>
        <v>0</v>
      </c>
      <c r="H211" s="16">
        <f>Table11[[#This Row],['#TreesContract]]*Table11[[#This Row],[Canada Allocation2017 %]]</f>
        <v>0</v>
      </c>
      <c r="I211" s="16">
        <f>Table11[[#This Row],['#Planted]]*Table11[[#This Row],[Canada Allocation2017 %]]</f>
        <v>0</v>
      </c>
      <c r="J211" s="16">
        <f>Table11[[#This Row],[Contract Amendment]]*Table11[[#This Row],[Canada Allocation2017 %]]</f>
        <v>0</v>
      </c>
      <c r="K211" s="16">
        <f>Table11[[#This Row],['#Trees as of 12/31/23]]*Table11[[#This Row],[Canada Allocation2017 %]]</f>
        <v>0</v>
      </c>
      <c r="L211" s="16">
        <f>Table11[[#This Row],['#Replace 24]]*Table11[[#This Row],[Canada Allocation2017 %]]</f>
        <v>0</v>
      </c>
      <c r="M211" s="16"/>
      <c r="N211" s="16">
        <f>(Table11[[#This Row],[2024 '#Trees Inventory + Estimate]]*Table11[[#This Row],[Canada Allocation2017 %]])-SUM(Table3789[[#This Row],['# Trees as of 12/31/23]:[New Trees/Planted in 2024]])</f>
        <v>0</v>
      </c>
      <c r="O211" s="32">
        <f>SUM(Table3789[[#This Row],['# Trees as of 12/31/23]:[2024 Tree Losses]])</f>
        <v>0</v>
      </c>
      <c r="P211" s="32">
        <f>SUM(Table3789[[#This Row],[Total Trees as of 12/31/24]]-Table3789[[#This Row],['# Trees as of 12/31/23]])</f>
        <v>0</v>
      </c>
      <c r="Q211" s="16">
        <f>Table11[[#This Row],['#Total Replacements]]*Table11[[#This Row],[Canada Allocation2017 %]]</f>
        <v>0</v>
      </c>
      <c r="R211" s="32">
        <f>IF(Table3789[[#This Row],['#Survival based on Inventory]]=0,Table3789['#Survival based on Last Year Estimate],Table3789['#Survival based on Inventory])</f>
        <v>0</v>
      </c>
      <c r="S211" s="16">
        <f>Table11[[#This Row],['#Planted]]*Table11[[#This Row],[Canada Allocation2017 %]]*Table11[[#This Row],[2024 Inventory Survival%-master]]</f>
        <v>0</v>
      </c>
      <c r="T211" s="16">
        <f>Table11[[#This Row],['#Planted]]*Table11[[#This Row],[Canada Allocation2017 %]]*Table11[[#This Row],[2024 Estimated Survival%]]</f>
        <v>0</v>
      </c>
      <c r="U211" s="7" t="str">
        <f>Table11[[#This Row],[ETP Year]]</f>
        <v>2020-NA/BA</v>
      </c>
      <c r="V211" s="7">
        <f>Table11[[#This Row],[Planting Year]]</f>
        <v>2020</v>
      </c>
      <c r="W211" s="17">
        <f>Table11[[#This Row],[Survival% as of 12/31/23]]</f>
        <v>0</v>
      </c>
      <c r="X211">
        <f>Table11[[#This Row],[ETP'#s]]</f>
        <v>0</v>
      </c>
    </row>
    <row r="212" spans="1:24" hidden="1" x14ac:dyDescent="0.25">
      <c r="A212">
        <f>Table11[[#This Row],[Farmer'#]]</f>
        <v>40010</v>
      </c>
      <c r="B212" t="str">
        <f>Table11[[#This Row],[Representative]]</f>
        <v>Jose Dolores Hugo Torres Hernandez</v>
      </c>
      <c r="C212" t="str">
        <f>Table11[[#This Row],[Contract Name]]</f>
        <v>Miguel Angel García Torres</v>
      </c>
      <c r="D212" t="str">
        <f>Table11[[#This Row],[Status]]</f>
        <v>Out of Program</v>
      </c>
      <c r="E212" t="str">
        <f>Table11[[#This Row],[Contract Code]]</f>
        <v>MX0011</v>
      </c>
      <c r="F212">
        <f>Table11[[#This Row],['#TreesContract]]</f>
        <v>4400</v>
      </c>
      <c r="G212">
        <f>Table11[[#This Row],['#Planted]]</f>
        <v>4400</v>
      </c>
      <c r="H212" s="16">
        <f>Table11[[#This Row],['#TreesContract]]*Table11[[#This Row],[Canada Allocation2017 %]]</f>
        <v>0</v>
      </c>
      <c r="I212" s="16">
        <f>Table11[[#This Row],['#Planted]]*Table11[[#This Row],[Canada Allocation2017 %]]</f>
        <v>0</v>
      </c>
      <c r="J212" s="16">
        <f>Table11[[#This Row],[Contract Amendment]]*Table11[[#This Row],[Canada Allocation2017 %]]</f>
        <v>0</v>
      </c>
      <c r="K212" s="16">
        <f>Table11[[#This Row],['#Trees as of 12/31/23]]*Table11[[#This Row],[Canada Allocation2017 %]]</f>
        <v>0</v>
      </c>
      <c r="L212" s="16">
        <f>Table11[[#This Row],['#Replace 24]]*Table11[[#This Row],[Canada Allocation2017 %]]</f>
        <v>0</v>
      </c>
      <c r="M212" s="16"/>
      <c r="N212" s="16">
        <f>(Table11[[#This Row],[2024 '#Trees Inventory + Estimate]]*Table11[[#This Row],[Canada Allocation2017 %]])-SUM(Table3789[[#This Row],['# Trees as of 12/31/23]:[New Trees/Planted in 2024]])</f>
        <v>0</v>
      </c>
      <c r="O212" s="32">
        <f>SUM(Table3789[[#This Row],['# Trees as of 12/31/23]:[2024 Tree Losses]])</f>
        <v>0</v>
      </c>
      <c r="P212" s="32">
        <f>SUM(Table3789[[#This Row],[Total Trees as of 12/31/24]]-Table3789[[#This Row],['# Trees as of 12/31/23]])</f>
        <v>0</v>
      </c>
      <c r="Q212" s="16">
        <f>Table11[[#This Row],['#Total Replacements]]*Table11[[#This Row],[Canada Allocation2017 %]]</f>
        <v>0</v>
      </c>
      <c r="R212" s="32">
        <f>IF(Table3789[[#This Row],['#Survival based on Inventory]]=0,Table3789['#Survival based on Last Year Estimate],Table3789['#Survival based on Inventory])</f>
        <v>0</v>
      </c>
      <c r="S212" s="16">
        <f>Table11[[#This Row],['#Planted]]*Table11[[#This Row],[Canada Allocation2017 %]]*Table11[[#This Row],[2024 Inventory Survival%-master]]</f>
        <v>0</v>
      </c>
      <c r="T212" s="16">
        <f>Table11[[#This Row],['#Planted]]*Table11[[#This Row],[Canada Allocation2017 %]]*Table11[[#This Row],[2024 Estimated Survival%]]</f>
        <v>0</v>
      </c>
      <c r="U212" s="7">
        <f>Table11[[#This Row],[ETP Year]]</f>
        <v>2020</v>
      </c>
      <c r="V212" s="7">
        <f>Table11[[#This Row],[Planting Year]]</f>
        <v>2020</v>
      </c>
      <c r="W212" s="17">
        <f>Table11[[#This Row],[Survival% as of 12/31/23]]</f>
        <v>0</v>
      </c>
      <c r="X212">
        <f>Table11[[#This Row],[ETP'#s]]</f>
        <v>1</v>
      </c>
    </row>
    <row r="213" spans="1:24" hidden="1" x14ac:dyDescent="0.25">
      <c r="A213">
        <f>Table11[[#This Row],[Farmer'#]]</f>
        <v>40011</v>
      </c>
      <c r="B213" t="str">
        <f>Table11[[#This Row],[Representative]]</f>
        <v>Juan Carlos Cardoso Vargas</v>
      </c>
      <c r="C213" t="str">
        <f>Table11[[#This Row],[Contract Name]]</f>
        <v>Juan Carlos Cardoso Vargas</v>
      </c>
      <c r="D213" t="str">
        <f>Table11[[#This Row],[Status]]</f>
        <v>RFT</v>
      </c>
      <c r="E213" t="str">
        <f>Table11[[#This Row],[Contract Code]]</f>
        <v>MX0012</v>
      </c>
      <c r="F213">
        <f>Table11[[#This Row],['#TreesContract]]</f>
        <v>12000</v>
      </c>
      <c r="G213">
        <f>Table11[[#This Row],['#Planted]]</f>
        <v>12000</v>
      </c>
      <c r="H213" s="16">
        <f>Table11[[#This Row],['#TreesContract]]*Table11[[#This Row],[Canada Allocation2017 %]]</f>
        <v>0</v>
      </c>
      <c r="I213" s="16">
        <f>Table11[[#This Row],['#Planted]]*Table11[[#This Row],[Canada Allocation2017 %]]</f>
        <v>0</v>
      </c>
      <c r="J213" s="16">
        <f>Table11[[#This Row],[Contract Amendment]]*Table11[[#This Row],[Canada Allocation2017 %]]</f>
        <v>0</v>
      </c>
      <c r="K213" s="16">
        <f>Table11[[#This Row],['#Trees as of 12/31/23]]*Table11[[#This Row],[Canada Allocation2017 %]]</f>
        <v>0</v>
      </c>
      <c r="L213" s="16">
        <f>Table11[[#This Row],['#Replace 24]]*Table11[[#This Row],[Canada Allocation2017 %]]</f>
        <v>0</v>
      </c>
      <c r="M213" s="16"/>
      <c r="N213" s="16">
        <f>(Table11[[#This Row],[2024 '#Trees Inventory + Estimate]]*Table11[[#This Row],[Canada Allocation2017 %]])-SUM(Table3789[[#This Row],['# Trees as of 12/31/23]:[New Trees/Planted in 2024]])</f>
        <v>0</v>
      </c>
      <c r="O213" s="32">
        <f>SUM(Table3789[[#This Row],['# Trees as of 12/31/23]:[2024 Tree Losses]])</f>
        <v>0</v>
      </c>
      <c r="P213" s="32">
        <f>SUM(Table3789[[#This Row],[Total Trees as of 12/31/24]]-Table3789[[#This Row],['# Trees as of 12/31/23]])</f>
        <v>0</v>
      </c>
      <c r="Q213" s="16">
        <f>Table11[[#This Row],['#Total Replacements]]*Table11[[#This Row],[Canada Allocation2017 %]]</f>
        <v>0</v>
      </c>
      <c r="R213" s="32">
        <f>IF(Table3789[[#This Row],['#Survival based on Inventory]]=0,Table3789['#Survival based on Last Year Estimate],Table3789['#Survival based on Inventory])</f>
        <v>0</v>
      </c>
      <c r="S213" s="16">
        <f>Table11[[#This Row],['#Planted]]*Table11[[#This Row],[Canada Allocation2017 %]]*Table11[[#This Row],[2024 Inventory Survival%-master]]</f>
        <v>0</v>
      </c>
      <c r="T213" s="16">
        <f>Table11[[#This Row],['#Planted]]*Table11[[#This Row],[Canada Allocation2017 %]]*Table11[[#This Row],[2024 Estimated Survival%]]</f>
        <v>0</v>
      </c>
      <c r="U213" s="7" t="str">
        <f>Table11[[#This Row],[ETP Year]]</f>
        <v>2020-NA/BA</v>
      </c>
      <c r="V213" s="7">
        <f>Table11[[#This Row],[Planting Year]]</f>
        <v>2020</v>
      </c>
      <c r="W213" s="17">
        <f>Table11[[#This Row],[Survival% as of 12/31/23]]</f>
        <v>0.34</v>
      </c>
      <c r="X213">
        <f>Table11[[#This Row],[ETP'#s]]</f>
        <v>1</v>
      </c>
    </row>
    <row r="214" spans="1:24" hidden="1" x14ac:dyDescent="0.25">
      <c r="A214">
        <f>Table11[[#This Row],[Farmer'#]]</f>
        <v>40012</v>
      </c>
      <c r="B214" t="str">
        <f>Table11[[#This Row],[Representative]]</f>
        <v>Juan Chavez Calderon</v>
      </c>
      <c r="C214" t="str">
        <f>Table11[[#This Row],[Contract Name]]</f>
        <v>Juan Chavez Calderon</v>
      </c>
      <c r="D214" t="str">
        <f>Table11[[#This Row],[Status]]</f>
        <v>Active</v>
      </c>
      <c r="E214" t="str">
        <f>Table11[[#This Row],[Contract Code]]</f>
        <v>MX0013</v>
      </c>
      <c r="F214">
        <f>Table11[[#This Row],['#TreesContract]]</f>
        <v>2750</v>
      </c>
      <c r="G214">
        <f>Table11[[#This Row],['#Planted]]</f>
        <v>2750</v>
      </c>
      <c r="H214" s="16">
        <f>Table11[[#This Row],['#TreesContract]]*Table11[[#This Row],[Canada Allocation2017 %]]</f>
        <v>0</v>
      </c>
      <c r="I214" s="16">
        <f>Table11[[#This Row],['#Planted]]*Table11[[#This Row],[Canada Allocation2017 %]]</f>
        <v>0</v>
      </c>
      <c r="J214" s="16">
        <f>Table11[[#This Row],[Contract Amendment]]*Table11[[#This Row],[Canada Allocation2017 %]]</f>
        <v>0</v>
      </c>
      <c r="K214" s="16">
        <f>Table11[[#This Row],['#Trees as of 12/31/23]]*Table11[[#This Row],[Canada Allocation2017 %]]</f>
        <v>0</v>
      </c>
      <c r="L214" s="16">
        <f>Table11[[#This Row],['#Replace 24]]*Table11[[#This Row],[Canada Allocation2017 %]]</f>
        <v>0</v>
      </c>
      <c r="M214" s="16"/>
      <c r="N214" s="16">
        <f>(Table11[[#This Row],[2024 '#Trees Inventory + Estimate]]*Table11[[#This Row],[Canada Allocation2017 %]])-SUM(Table3789[[#This Row],['# Trees as of 12/31/23]:[New Trees/Planted in 2024]])</f>
        <v>0</v>
      </c>
      <c r="O214" s="32">
        <f>SUM(Table3789[[#This Row],['# Trees as of 12/31/23]:[2024 Tree Losses]])</f>
        <v>0</v>
      </c>
      <c r="P214" s="32">
        <f>SUM(Table3789[[#This Row],[Total Trees as of 12/31/24]]-Table3789[[#This Row],['# Trees as of 12/31/23]])</f>
        <v>0</v>
      </c>
      <c r="Q214" s="16">
        <f>Table11[[#This Row],['#Total Replacements]]*Table11[[#This Row],[Canada Allocation2017 %]]</f>
        <v>0</v>
      </c>
      <c r="R214" s="32">
        <f>IF(Table3789[[#This Row],['#Survival based on Inventory]]=0,Table3789['#Survival based on Last Year Estimate],Table3789['#Survival based on Inventory])</f>
        <v>0</v>
      </c>
      <c r="S214" s="16">
        <f>Table11[[#This Row],['#Planted]]*Table11[[#This Row],[Canada Allocation2017 %]]*Table11[[#This Row],[2024 Inventory Survival%-master]]</f>
        <v>0</v>
      </c>
      <c r="T214" s="16">
        <f>Table11[[#This Row],['#Planted]]*Table11[[#This Row],[Canada Allocation2017 %]]*Table11[[#This Row],[2024 Estimated Survival%]]</f>
        <v>0</v>
      </c>
      <c r="U214" s="7">
        <f>Table11[[#This Row],[ETP Year]]</f>
        <v>2020</v>
      </c>
      <c r="V214" s="7">
        <f>Table11[[#This Row],[Planting Year]]</f>
        <v>2020</v>
      </c>
      <c r="W214" s="17">
        <f>Table11[[#This Row],[Survival% as of 12/31/23]]</f>
        <v>0.66</v>
      </c>
      <c r="X214">
        <f>Table11[[#This Row],[ETP'#s]]</f>
        <v>1</v>
      </c>
    </row>
    <row r="215" spans="1:24" hidden="1" x14ac:dyDescent="0.25">
      <c r="A215">
        <f>Table11[[#This Row],[Farmer'#]]</f>
        <v>40013</v>
      </c>
      <c r="B215" t="str">
        <f>Table11[[#This Row],[Representative]]</f>
        <v>Norma Pérez González</v>
      </c>
      <c r="C215" t="str">
        <f>Table11[[#This Row],[Contract Name]]</f>
        <v>Juan Luis Villeda Gayosso</v>
      </c>
      <c r="D215" t="str">
        <f>Table11[[#This Row],[Status]]</f>
        <v>RFT</v>
      </c>
      <c r="E215" t="str">
        <f>Table11[[#This Row],[Contract Code]]</f>
        <v>MX0014</v>
      </c>
      <c r="F215">
        <f>Table11[[#This Row],['#TreesContract]]</f>
        <v>3300</v>
      </c>
      <c r="G215">
        <f>Table11[[#This Row],['#Planted]]</f>
        <v>3300</v>
      </c>
      <c r="H215" s="16">
        <f>Table11[[#This Row],['#TreesContract]]*Table11[[#This Row],[Canada Allocation2017 %]]</f>
        <v>0</v>
      </c>
      <c r="I215" s="16">
        <f>Table11[[#This Row],['#Planted]]*Table11[[#This Row],[Canada Allocation2017 %]]</f>
        <v>0</v>
      </c>
      <c r="J215" s="16">
        <f>Table11[[#This Row],[Contract Amendment]]*Table11[[#This Row],[Canada Allocation2017 %]]</f>
        <v>0</v>
      </c>
      <c r="K215" s="16">
        <f>Table11[[#This Row],['#Trees as of 12/31/23]]*Table11[[#This Row],[Canada Allocation2017 %]]</f>
        <v>0</v>
      </c>
      <c r="L215" s="16">
        <f>Table11[[#This Row],['#Replace 24]]*Table11[[#This Row],[Canada Allocation2017 %]]</f>
        <v>0</v>
      </c>
      <c r="M215" s="16"/>
      <c r="N215" s="16">
        <f>(Table11[[#This Row],[2024 '#Trees Inventory + Estimate]]*Table11[[#This Row],[Canada Allocation2017 %]])-SUM(Table3789[[#This Row],['# Trees as of 12/31/23]:[New Trees/Planted in 2024]])</f>
        <v>0</v>
      </c>
      <c r="O215" s="32">
        <f>SUM(Table3789[[#This Row],['# Trees as of 12/31/23]:[2024 Tree Losses]])</f>
        <v>0</v>
      </c>
      <c r="P215" s="32">
        <f>SUM(Table3789[[#This Row],[Total Trees as of 12/31/24]]-Table3789[[#This Row],['# Trees as of 12/31/23]])</f>
        <v>0</v>
      </c>
      <c r="Q215" s="16">
        <f>Table11[[#This Row],['#Total Replacements]]*Table11[[#This Row],[Canada Allocation2017 %]]</f>
        <v>0</v>
      </c>
      <c r="R215" s="32">
        <f>IF(Table3789[[#This Row],['#Survival based on Inventory]]=0,Table3789['#Survival based on Last Year Estimate],Table3789['#Survival based on Inventory])</f>
        <v>0</v>
      </c>
      <c r="S215" s="16">
        <f>Table11[[#This Row],['#Planted]]*Table11[[#This Row],[Canada Allocation2017 %]]*Table11[[#This Row],[2024 Inventory Survival%-master]]</f>
        <v>0</v>
      </c>
      <c r="T215" s="16">
        <f>Table11[[#This Row],['#Planted]]*Table11[[#This Row],[Canada Allocation2017 %]]*Table11[[#This Row],[2024 Estimated Survival%]]</f>
        <v>0</v>
      </c>
      <c r="U215" s="7">
        <f>Table11[[#This Row],[ETP Year]]</f>
        <v>2020</v>
      </c>
      <c r="V215" s="7">
        <f>Table11[[#This Row],[Planting Year]]</f>
        <v>2020</v>
      </c>
      <c r="W215" s="17">
        <f>Table11[[#This Row],[Survival% as of 12/31/23]]</f>
        <v>0.64</v>
      </c>
      <c r="X215">
        <f>Table11[[#This Row],[ETP'#s]]</f>
        <v>1</v>
      </c>
    </row>
    <row r="216" spans="1:24" hidden="1" x14ac:dyDescent="0.25">
      <c r="A216">
        <f>Table11[[#This Row],[Farmer'#]]</f>
        <v>40014</v>
      </c>
      <c r="B216" t="str">
        <f>Table11[[#This Row],[Representative]]</f>
        <v>Lucila Morales Druallet</v>
      </c>
      <c r="C216" t="str">
        <f>Table11[[#This Row],[Contract Name]]</f>
        <v>Lucila Morales Druallet</v>
      </c>
      <c r="D216" t="str">
        <f>Table11[[#This Row],[Status]]</f>
        <v>Out of Program</v>
      </c>
      <c r="E216" t="str">
        <f>Table11[[#This Row],[Contract Code]]</f>
        <v>MX0015</v>
      </c>
      <c r="F216">
        <f>Table11[[#This Row],['#TreesContract]]</f>
        <v>2750</v>
      </c>
      <c r="G216">
        <f>Table11[[#This Row],['#Planted]]</f>
        <v>2750</v>
      </c>
      <c r="H216" s="16">
        <f>Table11[[#This Row],['#TreesContract]]*Table11[[#This Row],[Canada Allocation2017 %]]</f>
        <v>0</v>
      </c>
      <c r="I216" s="16">
        <f>Table11[[#This Row],['#Planted]]*Table11[[#This Row],[Canada Allocation2017 %]]</f>
        <v>0</v>
      </c>
      <c r="J216" s="16">
        <f>Table11[[#This Row],[Contract Amendment]]*Table11[[#This Row],[Canada Allocation2017 %]]</f>
        <v>0</v>
      </c>
      <c r="K216" s="16">
        <f>Table11[[#This Row],['#Trees as of 12/31/23]]*Table11[[#This Row],[Canada Allocation2017 %]]</f>
        <v>0</v>
      </c>
      <c r="L216" s="16">
        <f>Table11[[#This Row],['#Replace 24]]*Table11[[#This Row],[Canada Allocation2017 %]]</f>
        <v>0</v>
      </c>
      <c r="M216" s="16"/>
      <c r="N216" s="16">
        <f>(Table11[[#This Row],[2024 '#Trees Inventory + Estimate]]*Table11[[#This Row],[Canada Allocation2017 %]])-SUM(Table3789[[#This Row],['# Trees as of 12/31/23]:[New Trees/Planted in 2024]])</f>
        <v>0</v>
      </c>
      <c r="O216" s="32">
        <f>SUM(Table3789[[#This Row],['# Trees as of 12/31/23]:[2024 Tree Losses]])</f>
        <v>0</v>
      </c>
      <c r="P216" s="32">
        <f>SUM(Table3789[[#This Row],[Total Trees as of 12/31/24]]-Table3789[[#This Row],['# Trees as of 12/31/23]])</f>
        <v>0</v>
      </c>
      <c r="Q216" s="16">
        <f>Table11[[#This Row],['#Total Replacements]]*Table11[[#This Row],[Canada Allocation2017 %]]</f>
        <v>0</v>
      </c>
      <c r="R216" s="32">
        <f>IF(Table3789[[#This Row],['#Survival based on Inventory]]=0,Table3789['#Survival based on Last Year Estimate],Table3789['#Survival based on Inventory])</f>
        <v>0</v>
      </c>
      <c r="S216" s="16">
        <f>Table11[[#This Row],['#Planted]]*Table11[[#This Row],[Canada Allocation2017 %]]*Table11[[#This Row],[2024 Inventory Survival%-master]]</f>
        <v>0</v>
      </c>
      <c r="T216" s="16">
        <f>Table11[[#This Row],['#Planted]]*Table11[[#This Row],[Canada Allocation2017 %]]*Table11[[#This Row],[2024 Estimated Survival%]]</f>
        <v>0</v>
      </c>
      <c r="U216" s="7" t="str">
        <f>Table11[[#This Row],[ETP Year]]</f>
        <v>2020-NA/BA</v>
      </c>
      <c r="V216" s="7">
        <f>Table11[[#This Row],[Planting Year]]</f>
        <v>2020</v>
      </c>
      <c r="W216" s="17">
        <f>Table11[[#This Row],[Survival% as of 12/31/23]]</f>
        <v>0</v>
      </c>
      <c r="X216">
        <f>Table11[[#This Row],[ETP'#s]]</f>
        <v>1</v>
      </c>
    </row>
    <row r="217" spans="1:24" hidden="1" x14ac:dyDescent="0.25">
      <c r="A217">
        <f>Table11[[#This Row],[Farmer'#]]</f>
        <v>40015</v>
      </c>
      <c r="B217" t="str">
        <f>Table11[[#This Row],[Representative]]</f>
        <v>Miguel Angel Parada Fuentes</v>
      </c>
      <c r="C217" t="str">
        <f>Table11[[#This Row],[Contract Name]]</f>
        <v>Miguel Angel Parada Fuentes</v>
      </c>
      <c r="D217" t="str">
        <f>Table11[[#This Row],[Status]]</f>
        <v>Out of Program</v>
      </c>
      <c r="E217" t="str">
        <f>Table11[[#This Row],[Contract Code]]</f>
        <v>MX0016</v>
      </c>
      <c r="F217">
        <f>Table11[[#This Row],['#TreesContract]]</f>
        <v>2200</v>
      </c>
      <c r="G217">
        <f>Table11[[#This Row],['#Planted]]</f>
        <v>2200</v>
      </c>
      <c r="H217" s="16">
        <f>Table11[[#This Row],['#TreesContract]]*Table11[[#This Row],[Canada Allocation2017 %]]</f>
        <v>0</v>
      </c>
      <c r="I217" s="16">
        <f>Table11[[#This Row],['#Planted]]*Table11[[#This Row],[Canada Allocation2017 %]]</f>
        <v>0</v>
      </c>
      <c r="J217" s="16">
        <f>Table11[[#This Row],[Contract Amendment]]*Table11[[#This Row],[Canada Allocation2017 %]]</f>
        <v>0</v>
      </c>
      <c r="K217" s="16">
        <f>Table11[[#This Row],['#Trees as of 12/31/23]]*Table11[[#This Row],[Canada Allocation2017 %]]</f>
        <v>0</v>
      </c>
      <c r="L217" s="16">
        <f>Table11[[#This Row],['#Replace 24]]*Table11[[#This Row],[Canada Allocation2017 %]]</f>
        <v>0</v>
      </c>
      <c r="M217" s="16"/>
      <c r="N217" s="16">
        <f>(Table11[[#This Row],[2024 '#Trees Inventory + Estimate]]*Table11[[#This Row],[Canada Allocation2017 %]])-SUM(Table3789[[#This Row],['# Trees as of 12/31/23]:[New Trees/Planted in 2024]])</f>
        <v>0</v>
      </c>
      <c r="O217" s="32">
        <f>SUM(Table3789[[#This Row],['# Trees as of 12/31/23]:[2024 Tree Losses]])</f>
        <v>0</v>
      </c>
      <c r="P217" s="32">
        <f>SUM(Table3789[[#This Row],[Total Trees as of 12/31/24]]-Table3789[[#This Row],['# Trees as of 12/31/23]])</f>
        <v>0</v>
      </c>
      <c r="Q217" s="16">
        <f>Table11[[#This Row],['#Total Replacements]]*Table11[[#This Row],[Canada Allocation2017 %]]</f>
        <v>0</v>
      </c>
      <c r="R217" s="32">
        <f>IF(Table3789[[#This Row],['#Survival based on Inventory]]=0,Table3789['#Survival based on Last Year Estimate],Table3789['#Survival based on Inventory])</f>
        <v>0</v>
      </c>
      <c r="S217" s="16">
        <f>Table11[[#This Row],['#Planted]]*Table11[[#This Row],[Canada Allocation2017 %]]*Table11[[#This Row],[2024 Inventory Survival%-master]]</f>
        <v>0</v>
      </c>
      <c r="T217" s="16">
        <f>Table11[[#This Row],['#Planted]]*Table11[[#This Row],[Canada Allocation2017 %]]*Table11[[#This Row],[2024 Estimated Survival%]]</f>
        <v>0</v>
      </c>
      <c r="U217" s="7">
        <f>Table11[[#This Row],[ETP Year]]</f>
        <v>2018</v>
      </c>
      <c r="V217" s="7">
        <f>Table11[[#This Row],[Planting Year]]</f>
        <v>2020</v>
      </c>
      <c r="W217" s="17">
        <f>Table11[[#This Row],[Survival% as of 12/31/23]]</f>
        <v>0</v>
      </c>
      <c r="X217">
        <f>Table11[[#This Row],[ETP'#s]]</f>
        <v>1</v>
      </c>
    </row>
    <row r="218" spans="1:24" hidden="1" x14ac:dyDescent="0.25">
      <c r="A218">
        <f>Table11[[#This Row],[Farmer'#]]</f>
        <v>40016</v>
      </c>
      <c r="B218" t="str">
        <f>Table11[[#This Row],[Representative]]</f>
        <v>Modesto Negrete Almeida</v>
      </c>
      <c r="C218" t="str">
        <f>Table11[[#This Row],[Contract Name]]</f>
        <v>Modesto Negrete Almeida</v>
      </c>
      <c r="D218" t="str">
        <f>Table11[[#This Row],[Status]]</f>
        <v>Out of Program</v>
      </c>
      <c r="E218" t="str">
        <f>Table11[[#This Row],[Contract Code]]</f>
        <v>MX0017</v>
      </c>
      <c r="F218">
        <f>Table11[[#This Row],['#TreesContract]]</f>
        <v>11550</v>
      </c>
      <c r="G218">
        <f>Table11[[#This Row],['#Planted]]</f>
        <v>11550</v>
      </c>
      <c r="H218" s="16">
        <f>Table11[[#This Row],['#TreesContract]]*Table11[[#This Row],[Canada Allocation2017 %]]</f>
        <v>0</v>
      </c>
      <c r="I218" s="16">
        <f>Table11[[#This Row],['#Planted]]*Table11[[#This Row],[Canada Allocation2017 %]]</f>
        <v>0</v>
      </c>
      <c r="J218" s="16">
        <f>Table11[[#This Row],[Contract Amendment]]*Table11[[#This Row],[Canada Allocation2017 %]]</f>
        <v>0</v>
      </c>
      <c r="K218" s="16">
        <f>Table11[[#This Row],['#Trees as of 12/31/23]]*Table11[[#This Row],[Canada Allocation2017 %]]</f>
        <v>0</v>
      </c>
      <c r="L218" s="16">
        <f>Table11[[#This Row],['#Replace 24]]*Table11[[#This Row],[Canada Allocation2017 %]]</f>
        <v>0</v>
      </c>
      <c r="M218" s="16"/>
      <c r="N218" s="16">
        <f>(Table11[[#This Row],[2024 '#Trees Inventory + Estimate]]*Table11[[#This Row],[Canada Allocation2017 %]])-SUM(Table3789[[#This Row],['# Trees as of 12/31/23]:[New Trees/Planted in 2024]])</f>
        <v>0</v>
      </c>
      <c r="O218" s="32">
        <f>SUM(Table3789[[#This Row],['# Trees as of 12/31/23]:[2024 Tree Losses]])</f>
        <v>0</v>
      </c>
      <c r="P218" s="32">
        <f>SUM(Table3789[[#This Row],[Total Trees as of 12/31/24]]-Table3789[[#This Row],['# Trees as of 12/31/23]])</f>
        <v>0</v>
      </c>
      <c r="Q218" s="16">
        <f>Table11[[#This Row],['#Total Replacements]]*Table11[[#This Row],[Canada Allocation2017 %]]</f>
        <v>0</v>
      </c>
      <c r="R218" s="32">
        <f>IF(Table3789[[#This Row],['#Survival based on Inventory]]=0,Table3789['#Survival based on Last Year Estimate],Table3789['#Survival based on Inventory])</f>
        <v>0</v>
      </c>
      <c r="S218" s="16">
        <f>Table11[[#This Row],['#Planted]]*Table11[[#This Row],[Canada Allocation2017 %]]*Table11[[#This Row],[2024 Inventory Survival%-master]]</f>
        <v>0</v>
      </c>
      <c r="T218" s="16">
        <f>Table11[[#This Row],['#Planted]]*Table11[[#This Row],[Canada Allocation2017 %]]*Table11[[#This Row],[2024 Estimated Survival%]]</f>
        <v>0</v>
      </c>
      <c r="U218" s="7" t="str">
        <f>Table11[[#This Row],[ETP Year]]</f>
        <v>2020-NA/BA</v>
      </c>
      <c r="V218" s="7">
        <f>Table11[[#This Row],[Planting Year]]</f>
        <v>2020</v>
      </c>
      <c r="W218" s="17">
        <f>Table11[[#This Row],[Survival% as of 12/31/23]]</f>
        <v>0</v>
      </c>
      <c r="X218">
        <f>Table11[[#This Row],[ETP'#s]]</f>
        <v>1</v>
      </c>
    </row>
    <row r="219" spans="1:24" hidden="1" x14ac:dyDescent="0.25">
      <c r="A219">
        <f>Table11[[#This Row],[Farmer'#]]</f>
        <v>40017</v>
      </c>
      <c r="B219" t="str">
        <f>Table11[[#This Row],[Representative]]</f>
        <v>Omar Ulises Guerrero Aboytes</v>
      </c>
      <c r="C219" t="str">
        <f>Table11[[#This Row],[Contract Name]]</f>
        <v>Omar Ulises Guerrero Aboytes</v>
      </c>
      <c r="D219" t="str">
        <f>Table11[[#This Row],[Status]]</f>
        <v>RFT</v>
      </c>
      <c r="E219" t="str">
        <f>Table11[[#This Row],[Contract Code]]</f>
        <v>MX0018</v>
      </c>
      <c r="F219">
        <f>Table11[[#This Row],['#TreesContract]]</f>
        <v>1000</v>
      </c>
      <c r="G219">
        <f>Table11[[#This Row],['#Planted]]</f>
        <v>1000</v>
      </c>
      <c r="H219" s="16">
        <f>Table11[[#This Row],['#TreesContract]]*Table11[[#This Row],[Canada Allocation2017 %]]</f>
        <v>0</v>
      </c>
      <c r="I219" s="16">
        <f>Table11[[#This Row],['#Planted]]*Table11[[#This Row],[Canada Allocation2017 %]]</f>
        <v>0</v>
      </c>
      <c r="J219" s="16">
        <f>Table11[[#This Row],[Contract Amendment]]*Table11[[#This Row],[Canada Allocation2017 %]]</f>
        <v>0</v>
      </c>
      <c r="K219" s="16">
        <f>Table11[[#This Row],['#Trees as of 12/31/23]]*Table11[[#This Row],[Canada Allocation2017 %]]</f>
        <v>0</v>
      </c>
      <c r="L219" s="16">
        <f>Table11[[#This Row],['#Replace 24]]*Table11[[#This Row],[Canada Allocation2017 %]]</f>
        <v>0</v>
      </c>
      <c r="M219" s="16"/>
      <c r="N219" s="16">
        <f>(Table11[[#This Row],[2024 '#Trees Inventory + Estimate]]*Table11[[#This Row],[Canada Allocation2017 %]])-SUM(Table3789[[#This Row],['# Trees as of 12/31/23]:[New Trees/Planted in 2024]])</f>
        <v>0</v>
      </c>
      <c r="O219" s="32">
        <f>SUM(Table3789[[#This Row],['# Trees as of 12/31/23]:[2024 Tree Losses]])</f>
        <v>0</v>
      </c>
      <c r="P219" s="32">
        <f>SUM(Table3789[[#This Row],[Total Trees as of 12/31/24]]-Table3789[[#This Row],['# Trees as of 12/31/23]])</f>
        <v>0</v>
      </c>
      <c r="Q219" s="16">
        <f>Table11[[#This Row],['#Total Replacements]]*Table11[[#This Row],[Canada Allocation2017 %]]</f>
        <v>0</v>
      </c>
      <c r="R219" s="32">
        <f>IF(Table3789[[#This Row],['#Survival based on Inventory]]=0,Table3789['#Survival based on Last Year Estimate],Table3789['#Survival based on Inventory])</f>
        <v>0</v>
      </c>
      <c r="S219" s="16">
        <f>Table11[[#This Row],['#Planted]]*Table11[[#This Row],[Canada Allocation2017 %]]*Table11[[#This Row],[2024 Inventory Survival%-master]]</f>
        <v>0</v>
      </c>
      <c r="T219" s="16">
        <f>Table11[[#This Row],['#Planted]]*Table11[[#This Row],[Canada Allocation2017 %]]*Table11[[#This Row],[2024 Estimated Survival%]]</f>
        <v>0</v>
      </c>
      <c r="U219" s="7">
        <f>Table11[[#This Row],[ETP Year]]</f>
        <v>2018</v>
      </c>
      <c r="V219" s="7">
        <f>Table11[[#This Row],[Planting Year]]</f>
        <v>2020</v>
      </c>
      <c r="W219" s="17">
        <f>Table11[[#This Row],[Survival% as of 12/31/23]]</f>
        <v>0.34</v>
      </c>
      <c r="X219">
        <f>Table11[[#This Row],[ETP'#s]]</f>
        <v>1</v>
      </c>
    </row>
    <row r="220" spans="1:24" hidden="1" x14ac:dyDescent="0.25">
      <c r="A220">
        <f>Table11[[#This Row],[Farmer'#]]</f>
        <v>40018</v>
      </c>
      <c r="B220" t="str">
        <f>Table11[[#This Row],[Representative]]</f>
        <v>Rogelio Rizo Velázquez</v>
      </c>
      <c r="C220" t="str">
        <f>Table11[[#This Row],[Contract Name]]</f>
        <v>Rogelio Rizo Velázquez</v>
      </c>
      <c r="D220" t="str">
        <f>Table11[[#This Row],[Status]]</f>
        <v>RFT</v>
      </c>
      <c r="E220" t="str">
        <f>Table11[[#This Row],[Contract Code]]</f>
        <v>MX0019</v>
      </c>
      <c r="F220">
        <f>Table11[[#This Row],['#TreesContract]]</f>
        <v>9200</v>
      </c>
      <c r="G220">
        <f>Table11[[#This Row],['#Planted]]</f>
        <v>9200</v>
      </c>
      <c r="H220" s="16">
        <f>Table11[[#This Row],['#TreesContract]]*Table11[[#This Row],[Canada Allocation2017 %]]</f>
        <v>0</v>
      </c>
      <c r="I220" s="16">
        <f>Table11[[#This Row],['#Planted]]*Table11[[#This Row],[Canada Allocation2017 %]]</f>
        <v>0</v>
      </c>
      <c r="J220" s="16">
        <f>Table11[[#This Row],[Contract Amendment]]*Table11[[#This Row],[Canada Allocation2017 %]]</f>
        <v>0</v>
      </c>
      <c r="K220" s="16">
        <f>Table11[[#This Row],['#Trees as of 12/31/23]]*Table11[[#This Row],[Canada Allocation2017 %]]</f>
        <v>0</v>
      </c>
      <c r="L220" s="16">
        <f>Table11[[#This Row],['#Replace 24]]*Table11[[#This Row],[Canada Allocation2017 %]]</f>
        <v>0</v>
      </c>
      <c r="M220" s="16"/>
      <c r="N220" s="16">
        <f>(Table11[[#This Row],[2024 '#Trees Inventory + Estimate]]*Table11[[#This Row],[Canada Allocation2017 %]])-SUM(Table3789[[#This Row],['# Trees as of 12/31/23]:[New Trees/Planted in 2024]])</f>
        <v>0</v>
      </c>
      <c r="O220" s="32">
        <f>SUM(Table3789[[#This Row],['# Trees as of 12/31/23]:[2024 Tree Losses]])</f>
        <v>0</v>
      </c>
      <c r="P220" s="32">
        <f>SUM(Table3789[[#This Row],[Total Trees as of 12/31/24]]-Table3789[[#This Row],['# Trees as of 12/31/23]])</f>
        <v>0</v>
      </c>
      <c r="Q220" s="16">
        <f>Table11[[#This Row],['#Total Replacements]]*Table11[[#This Row],[Canada Allocation2017 %]]</f>
        <v>0</v>
      </c>
      <c r="R220" s="32">
        <f>IF(Table3789[[#This Row],['#Survival based on Inventory]]=0,Table3789['#Survival based on Last Year Estimate],Table3789['#Survival based on Inventory])</f>
        <v>0</v>
      </c>
      <c r="S220" s="16">
        <f>Table11[[#This Row],['#Planted]]*Table11[[#This Row],[Canada Allocation2017 %]]*Table11[[#This Row],[2024 Inventory Survival%-master]]</f>
        <v>0</v>
      </c>
      <c r="T220" s="16">
        <f>Table11[[#This Row],['#Planted]]*Table11[[#This Row],[Canada Allocation2017 %]]*Table11[[#This Row],[2024 Estimated Survival%]]</f>
        <v>0</v>
      </c>
      <c r="U220" s="7">
        <f>Table11[[#This Row],[ETP Year]]</f>
        <v>2018</v>
      </c>
      <c r="V220" s="7">
        <f>Table11[[#This Row],[Planting Year]]</f>
        <v>2020</v>
      </c>
      <c r="W220" s="17">
        <f>Table11[[#This Row],[Survival% as of 12/31/23]]</f>
        <v>0.85</v>
      </c>
      <c r="X220">
        <f>Table11[[#This Row],[ETP'#s]]</f>
        <v>1</v>
      </c>
    </row>
    <row r="221" spans="1:24" hidden="1" x14ac:dyDescent="0.25">
      <c r="A221">
        <f>Table11[[#This Row],[Farmer'#]]</f>
        <v>40019</v>
      </c>
      <c r="B221" t="str">
        <f>Table11[[#This Row],[Representative]]</f>
        <v>Victor Manuel Godinez Martinez</v>
      </c>
      <c r="C221" t="str">
        <f>Table11[[#This Row],[Contract Name]]</f>
        <v>Victor Manuel Godinez Martinez</v>
      </c>
      <c r="D221" t="str">
        <f>Table11[[#This Row],[Status]]</f>
        <v>Out of Program</v>
      </c>
      <c r="E221" t="str">
        <f>Table11[[#This Row],[Contract Code]]</f>
        <v>MX0020</v>
      </c>
      <c r="F221">
        <f>Table11[[#This Row],['#TreesContract]]</f>
        <v>11000</v>
      </c>
      <c r="G221">
        <f>Table11[[#This Row],['#Planted]]</f>
        <v>11000</v>
      </c>
      <c r="H221" s="16">
        <f>Table11[[#This Row],['#TreesContract]]*Table11[[#This Row],[Canada Allocation2017 %]]</f>
        <v>0</v>
      </c>
      <c r="I221" s="16">
        <f>Table11[[#This Row],['#Planted]]*Table11[[#This Row],[Canada Allocation2017 %]]</f>
        <v>0</v>
      </c>
      <c r="J221" s="16">
        <f>Table11[[#This Row],[Contract Amendment]]*Table11[[#This Row],[Canada Allocation2017 %]]</f>
        <v>0</v>
      </c>
      <c r="K221" s="16">
        <f>Table11[[#This Row],['#Trees as of 12/31/23]]*Table11[[#This Row],[Canada Allocation2017 %]]</f>
        <v>0</v>
      </c>
      <c r="L221" s="16">
        <f>Table11[[#This Row],['#Replace 24]]*Table11[[#This Row],[Canada Allocation2017 %]]</f>
        <v>0</v>
      </c>
      <c r="M221" s="16"/>
      <c r="N221" s="16">
        <f>(Table11[[#This Row],[2024 '#Trees Inventory + Estimate]]*Table11[[#This Row],[Canada Allocation2017 %]])-SUM(Table3789[[#This Row],['# Trees as of 12/31/23]:[New Trees/Planted in 2024]])</f>
        <v>0</v>
      </c>
      <c r="O221" s="32">
        <f>SUM(Table3789[[#This Row],['# Trees as of 12/31/23]:[2024 Tree Losses]])</f>
        <v>0</v>
      </c>
      <c r="P221" s="32">
        <f>SUM(Table3789[[#This Row],[Total Trees as of 12/31/24]]-Table3789[[#This Row],['# Trees as of 12/31/23]])</f>
        <v>0</v>
      </c>
      <c r="Q221" s="16">
        <f>Table11[[#This Row],['#Total Replacements]]*Table11[[#This Row],[Canada Allocation2017 %]]</f>
        <v>0</v>
      </c>
      <c r="R221" s="32">
        <f>IF(Table3789[[#This Row],['#Survival based on Inventory]]=0,Table3789['#Survival based on Last Year Estimate],Table3789['#Survival based on Inventory])</f>
        <v>0</v>
      </c>
      <c r="S221" s="16">
        <f>Table11[[#This Row],['#Planted]]*Table11[[#This Row],[Canada Allocation2017 %]]*Table11[[#This Row],[2024 Inventory Survival%-master]]</f>
        <v>0</v>
      </c>
      <c r="T221" s="16">
        <f>Table11[[#This Row],['#Planted]]*Table11[[#This Row],[Canada Allocation2017 %]]*Table11[[#This Row],[2024 Estimated Survival%]]</f>
        <v>0</v>
      </c>
      <c r="U221" s="7">
        <f>Table11[[#This Row],[ETP Year]]</f>
        <v>2020</v>
      </c>
      <c r="V221" s="7">
        <f>Table11[[#This Row],[Planting Year]]</f>
        <v>2020</v>
      </c>
      <c r="W221" s="17">
        <f>Table11[[#This Row],[Survival% as of 12/31/23]]</f>
        <v>0</v>
      </c>
      <c r="X221">
        <f>Table11[[#This Row],[ETP'#s]]</f>
        <v>1</v>
      </c>
    </row>
    <row r="222" spans="1:24" hidden="1" x14ac:dyDescent="0.25">
      <c r="A222">
        <f>Table11[[#This Row],[Farmer'#]]</f>
        <v>10030</v>
      </c>
      <c r="B222" t="str">
        <f>Table11[[#This Row],[Representative]]</f>
        <v>Billy Whittaker</v>
      </c>
      <c r="C222" t="str">
        <f>Table11[[#This Row],[Contract Name]]</f>
        <v xml:space="preserve">Billy Whittaker </v>
      </c>
      <c r="D222" t="str">
        <f>Table11[[#This Row],[Status]]</f>
        <v>Out of Program</v>
      </c>
      <c r="E222" t="str">
        <f>Table11[[#This Row],[Contract Code]]</f>
        <v>US0093</v>
      </c>
      <c r="F222">
        <f>Table11[[#This Row],['#TreesContract]]</f>
        <v>280</v>
      </c>
      <c r="G222">
        <f>Table11[[#This Row],['#Planted]]</f>
        <v>280</v>
      </c>
      <c r="H222" s="16">
        <f>Table11[[#This Row],['#TreesContract]]*Table11[[#This Row],[Canada Allocation2017 %]]</f>
        <v>0</v>
      </c>
      <c r="I222" s="16">
        <f>Table11[[#This Row],['#Planted]]*Table11[[#This Row],[Canada Allocation2017 %]]</f>
        <v>0</v>
      </c>
      <c r="J222" s="16">
        <f>Table11[[#This Row],[Contract Amendment]]*Table11[[#This Row],[Canada Allocation2017 %]]</f>
        <v>0</v>
      </c>
      <c r="K222" s="16">
        <f>Table11[[#This Row],['#Trees as of 12/31/23]]*Table11[[#This Row],[Canada Allocation2017 %]]</f>
        <v>0</v>
      </c>
      <c r="L222" s="16">
        <f>Table11[[#This Row],['#Replace 24]]*Table11[[#This Row],[Canada Allocation2017 %]]</f>
        <v>0</v>
      </c>
      <c r="M222" s="16"/>
      <c r="N222" s="16">
        <f>(Table11[[#This Row],[2024 '#Trees Inventory + Estimate]]*Table11[[#This Row],[Canada Allocation2017 %]])-SUM(Table3789[[#This Row],['# Trees as of 12/31/23]:[New Trees/Planted in 2024]])</f>
        <v>0</v>
      </c>
      <c r="O222" s="32">
        <f>SUM(Table3789[[#This Row],['# Trees as of 12/31/23]:[2024 Tree Losses]])</f>
        <v>0</v>
      </c>
      <c r="P222" s="32">
        <f>SUM(Table3789[[#This Row],[Total Trees as of 12/31/24]]-Table3789[[#This Row],['# Trees as of 12/31/23]])</f>
        <v>0</v>
      </c>
      <c r="Q222" s="16">
        <f>Table11[[#This Row],['#Total Replacements]]*Table11[[#This Row],[Canada Allocation2017 %]]</f>
        <v>0</v>
      </c>
      <c r="R222" s="32">
        <f>IF(Table3789[[#This Row],['#Survival based on Inventory]]=0,Table3789['#Survival based on Last Year Estimate],Table3789['#Survival based on Inventory])</f>
        <v>0</v>
      </c>
      <c r="S222" s="16">
        <f>Table11[[#This Row],['#Planted]]*Table11[[#This Row],[Canada Allocation2017 %]]*Table11[[#This Row],[2024 Inventory Survival%-master]]</f>
        <v>0</v>
      </c>
      <c r="T222" s="16">
        <f>Table11[[#This Row],['#Planted]]*Table11[[#This Row],[Canada Allocation2017 %]]*Table11[[#This Row],[2024 Estimated Survival%]]</f>
        <v>0</v>
      </c>
      <c r="U222" s="7">
        <f>Table11[[#This Row],[ETP Year]]</f>
        <v>2020</v>
      </c>
      <c r="V222" s="7">
        <f>Table11[[#This Row],[Planting Year]]</f>
        <v>2021</v>
      </c>
      <c r="W222" s="17">
        <f>Table11[[#This Row],[Survival% as of 12/31/23]]</f>
        <v>0</v>
      </c>
      <c r="X222">
        <f>Table11[[#This Row],[ETP'#s]]</f>
        <v>1</v>
      </c>
    </row>
    <row r="223" spans="1:24" hidden="1" x14ac:dyDescent="0.25">
      <c r="A223">
        <f>Table11[[#This Row],[Farmer'#]]</f>
        <v>10048</v>
      </c>
      <c r="B223" t="str">
        <f>Table11[[#This Row],[Representative]]</f>
        <v>Billy Strange</v>
      </c>
      <c r="C223" t="str">
        <f>Table11[[#This Row],[Contract Name]]</f>
        <v>Billy Strange</v>
      </c>
      <c r="D223" t="str">
        <f>Table11[[#This Row],[Status]]</f>
        <v>Active</v>
      </c>
      <c r="E223" t="str">
        <f>Table11[[#This Row],[Contract Code]]</f>
        <v>US0092</v>
      </c>
      <c r="F223">
        <f>Table11[[#This Row],['#TreesContract]]</f>
        <v>900</v>
      </c>
      <c r="G223">
        <f>Table11[[#This Row],['#Planted]]</f>
        <v>900</v>
      </c>
      <c r="H223" s="16">
        <f>Table11[[#This Row],['#TreesContract]]*Table11[[#This Row],[Canada Allocation2017 %]]</f>
        <v>0</v>
      </c>
      <c r="I223" s="16">
        <f>Table11[[#This Row],['#Planted]]*Table11[[#This Row],[Canada Allocation2017 %]]</f>
        <v>0</v>
      </c>
      <c r="J223" s="16">
        <f>Table11[[#This Row],[Contract Amendment]]*Table11[[#This Row],[Canada Allocation2017 %]]</f>
        <v>0</v>
      </c>
      <c r="K223" s="16">
        <f>Table11[[#This Row],['#Trees as of 12/31/23]]*Table11[[#This Row],[Canada Allocation2017 %]]</f>
        <v>0</v>
      </c>
      <c r="L223" s="16">
        <f>Table11[[#This Row],['#Replace 24]]*Table11[[#This Row],[Canada Allocation2017 %]]</f>
        <v>0</v>
      </c>
      <c r="M223" s="16"/>
      <c r="N223" s="16">
        <f>(Table11[[#This Row],[2024 '#Trees Inventory + Estimate]]*Table11[[#This Row],[Canada Allocation2017 %]])-SUM(Table3789[[#This Row],['# Trees as of 12/31/23]:[New Trees/Planted in 2024]])</f>
        <v>0</v>
      </c>
      <c r="O223" s="32">
        <f>SUM(Table3789[[#This Row],['# Trees as of 12/31/23]:[2024 Tree Losses]])</f>
        <v>0</v>
      </c>
      <c r="P223" s="32">
        <f>SUM(Table3789[[#This Row],[Total Trees as of 12/31/24]]-Table3789[[#This Row],['# Trees as of 12/31/23]])</f>
        <v>0</v>
      </c>
      <c r="Q223" s="16">
        <f>Table11[[#This Row],['#Total Replacements]]*Table11[[#This Row],[Canada Allocation2017 %]]</f>
        <v>0</v>
      </c>
      <c r="R223" s="32">
        <f>IF(Table3789[[#This Row],['#Survival based on Inventory]]=0,Table3789['#Survival based on Last Year Estimate],Table3789['#Survival based on Inventory])</f>
        <v>0</v>
      </c>
      <c r="S223" s="16">
        <f>Table11[[#This Row],['#Planted]]*Table11[[#This Row],[Canada Allocation2017 %]]*Table11[[#This Row],[2024 Inventory Survival%-master]]</f>
        <v>0</v>
      </c>
      <c r="T223" s="16">
        <f>Table11[[#This Row],['#Planted]]*Table11[[#This Row],[Canada Allocation2017 %]]*Table11[[#This Row],[2024 Estimated Survival%]]</f>
        <v>0</v>
      </c>
      <c r="U223" s="7">
        <f>Table11[[#This Row],[ETP Year]]</f>
        <v>2020</v>
      </c>
      <c r="V223" s="7">
        <f>Table11[[#This Row],[Planting Year]]</f>
        <v>2021</v>
      </c>
      <c r="W223" s="17">
        <f>Table11[[#This Row],[Survival% as of 12/31/23]]</f>
        <v>0.59791666666666665</v>
      </c>
      <c r="X223">
        <f>Table11[[#This Row],[ETP'#s]]</f>
        <v>1</v>
      </c>
    </row>
    <row r="224" spans="1:24" hidden="1" x14ac:dyDescent="0.25">
      <c r="A224">
        <f>Table11[[#This Row],[Farmer'#]]</f>
        <v>10062</v>
      </c>
      <c r="B224" t="str">
        <f>Table11[[#This Row],[Representative]]</f>
        <v>John Hayes</v>
      </c>
      <c r="C224" t="str">
        <f>Table11[[#This Row],[Contract Name]]</f>
        <v>Hayes Farms LLC</v>
      </c>
      <c r="D224" t="str">
        <f>Table11[[#This Row],[Status]]</f>
        <v>Out of Program</v>
      </c>
      <c r="E224" t="str">
        <f>Table11[[#This Row],[Contract Code]]</f>
        <v>US0105</v>
      </c>
      <c r="F224">
        <f>Table11[[#This Row],['#TreesContract]]</f>
        <v>330</v>
      </c>
      <c r="G224">
        <f>Table11[[#This Row],['#Planted]]</f>
        <v>330</v>
      </c>
      <c r="H224" s="16">
        <f>Table11[[#This Row],['#TreesContract]]*Table11[[#This Row],[Canada Allocation2017 %]]</f>
        <v>0</v>
      </c>
      <c r="I224" s="16">
        <f>Table11[[#This Row],['#Planted]]*Table11[[#This Row],[Canada Allocation2017 %]]</f>
        <v>0</v>
      </c>
      <c r="J224" s="16">
        <f>Table11[[#This Row],[Contract Amendment]]*Table11[[#This Row],[Canada Allocation2017 %]]</f>
        <v>0</v>
      </c>
      <c r="K224" s="16">
        <f>Table11[[#This Row],['#Trees as of 12/31/23]]*Table11[[#This Row],[Canada Allocation2017 %]]</f>
        <v>0</v>
      </c>
      <c r="L224" s="16">
        <f>Table11[[#This Row],['#Replace 24]]*Table11[[#This Row],[Canada Allocation2017 %]]</f>
        <v>0</v>
      </c>
      <c r="M224" s="16"/>
      <c r="N224" s="16">
        <f>(Table11[[#This Row],[2024 '#Trees Inventory + Estimate]]*Table11[[#This Row],[Canada Allocation2017 %]])-SUM(Table3789[[#This Row],['# Trees as of 12/31/23]:[New Trees/Planted in 2024]])</f>
        <v>0</v>
      </c>
      <c r="O224" s="32">
        <f>SUM(Table3789[[#This Row],['# Trees as of 12/31/23]:[2024 Tree Losses]])</f>
        <v>0</v>
      </c>
      <c r="P224" s="32">
        <f>SUM(Table3789[[#This Row],[Total Trees as of 12/31/24]]-Table3789[[#This Row],['# Trees as of 12/31/23]])</f>
        <v>0</v>
      </c>
      <c r="Q224" s="16">
        <f>Table11[[#This Row],['#Total Replacements]]*Table11[[#This Row],[Canada Allocation2017 %]]</f>
        <v>0</v>
      </c>
      <c r="R224" s="32">
        <f>IF(Table3789[[#This Row],['#Survival based on Inventory]]=0,Table3789['#Survival based on Last Year Estimate],Table3789['#Survival based on Inventory])</f>
        <v>0</v>
      </c>
      <c r="S224" s="16">
        <f>Table11[[#This Row],['#Planted]]*Table11[[#This Row],[Canada Allocation2017 %]]*Table11[[#This Row],[2024 Inventory Survival%-master]]</f>
        <v>0</v>
      </c>
      <c r="T224" s="16">
        <f>Table11[[#This Row],['#Planted]]*Table11[[#This Row],[Canada Allocation2017 %]]*Table11[[#This Row],[2024 Estimated Survival%]]</f>
        <v>0</v>
      </c>
      <c r="U224" s="7">
        <f>Table11[[#This Row],[ETP Year]]</f>
        <v>2021</v>
      </c>
      <c r="V224" s="7">
        <f>Table11[[#This Row],[Planting Year]]</f>
        <v>2021</v>
      </c>
      <c r="W224" s="17">
        <f>Table11[[#This Row],[Survival% as of 12/31/23]]</f>
        <v>0.37906336088154269</v>
      </c>
      <c r="X224">
        <f>Table11[[#This Row],[ETP'#s]]</f>
        <v>1</v>
      </c>
    </row>
    <row r="225" spans="1:24" hidden="1" x14ac:dyDescent="0.25">
      <c r="A225">
        <f>Table11[[#This Row],[Farmer'#]]</f>
        <v>10067</v>
      </c>
      <c r="B225" t="str">
        <f>Table11[[#This Row],[Representative]]</f>
        <v>Mike Porter</v>
      </c>
      <c r="C225" t="str">
        <f>Table11[[#This Row],[Contract Name]]</f>
        <v>Mike Porter and Teri Galardi</v>
      </c>
      <c r="D225" t="str">
        <f>Table11[[#This Row],[Status]]</f>
        <v>Active</v>
      </c>
      <c r="E225" t="str">
        <f>Table11[[#This Row],[Contract Code]]</f>
        <v>US0116</v>
      </c>
      <c r="F225">
        <f>Table11[[#This Row],['#TreesContract]]</f>
        <v>1100</v>
      </c>
      <c r="G225">
        <f>Table11[[#This Row],['#Planted]]</f>
        <v>1100</v>
      </c>
      <c r="H225" s="16">
        <f>Table11[[#This Row],['#TreesContract]]*Table11[[#This Row],[Canada Allocation2017 %]]</f>
        <v>0</v>
      </c>
      <c r="I225" s="16">
        <f>Table11[[#This Row],['#Planted]]*Table11[[#This Row],[Canada Allocation2017 %]]</f>
        <v>0</v>
      </c>
      <c r="J225" s="16">
        <f>Table11[[#This Row],[Contract Amendment]]*Table11[[#This Row],[Canada Allocation2017 %]]</f>
        <v>0</v>
      </c>
      <c r="K225" s="16">
        <f>Table11[[#This Row],['#Trees as of 12/31/23]]*Table11[[#This Row],[Canada Allocation2017 %]]</f>
        <v>0</v>
      </c>
      <c r="L225" s="16">
        <f>Table11[[#This Row],['#Replace 24]]*Table11[[#This Row],[Canada Allocation2017 %]]</f>
        <v>0</v>
      </c>
      <c r="M225" s="16"/>
      <c r="N225" s="16">
        <f>(Table11[[#This Row],[2024 '#Trees Inventory + Estimate]]*Table11[[#This Row],[Canada Allocation2017 %]])-SUM(Table3789[[#This Row],['# Trees as of 12/31/23]:[New Trees/Planted in 2024]])</f>
        <v>0</v>
      </c>
      <c r="O225" s="32">
        <f>SUM(Table3789[[#This Row],['# Trees as of 12/31/23]:[2024 Tree Losses]])</f>
        <v>0</v>
      </c>
      <c r="P225" s="32">
        <f>SUM(Table3789[[#This Row],[Total Trees as of 12/31/24]]-Table3789[[#This Row],['# Trees as of 12/31/23]])</f>
        <v>0</v>
      </c>
      <c r="Q225" s="16">
        <f>Table11[[#This Row],['#Total Replacements]]*Table11[[#This Row],[Canada Allocation2017 %]]</f>
        <v>0</v>
      </c>
      <c r="R225" s="32">
        <f>IF(Table3789[[#This Row],['#Survival based on Inventory]]=0,Table3789['#Survival based on Last Year Estimate],Table3789['#Survival based on Inventory])</f>
        <v>0</v>
      </c>
      <c r="S225" s="16">
        <f>Table11[[#This Row],['#Planted]]*Table11[[#This Row],[Canada Allocation2017 %]]*Table11[[#This Row],[2024 Inventory Survival%-master]]</f>
        <v>0</v>
      </c>
      <c r="T225" s="16">
        <f>Table11[[#This Row],['#Planted]]*Table11[[#This Row],[Canada Allocation2017 %]]*Table11[[#This Row],[2024 Estimated Survival%]]</f>
        <v>0</v>
      </c>
      <c r="U225" s="7">
        <f>Table11[[#This Row],[ETP Year]]</f>
        <v>2020</v>
      </c>
      <c r="V225" s="7">
        <f>Table11[[#This Row],[Planting Year]]</f>
        <v>2021</v>
      </c>
      <c r="W225" s="17">
        <f>Table11[[#This Row],[Survival% as of 12/31/23]]</f>
        <v>0.88247803030303029</v>
      </c>
      <c r="X225">
        <f>Table11[[#This Row],[ETP'#s]]</f>
        <v>1</v>
      </c>
    </row>
    <row r="226" spans="1:24" hidden="1" x14ac:dyDescent="0.25">
      <c r="A226">
        <f>Table11[[#This Row],[Farmer'#]]</f>
        <v>10072</v>
      </c>
      <c r="B226" t="str">
        <f>Table11[[#This Row],[Representative]]</f>
        <v>Ronnie and Kent Mathis</v>
      </c>
      <c r="C226" t="str">
        <f>Table11[[#This Row],[Contract Name]]</f>
        <v>Ronnie and Kent Mathis</v>
      </c>
      <c r="D226" t="str">
        <f>Table11[[#This Row],[Status]]</f>
        <v>Active</v>
      </c>
      <c r="E226" t="str">
        <f>Table11[[#This Row],[Contract Code]]</f>
        <v>US0117</v>
      </c>
      <c r="F226">
        <f>Table11[[#This Row],['#TreesContract]]</f>
        <v>330</v>
      </c>
      <c r="G226">
        <f>Table11[[#This Row],['#Planted]]</f>
        <v>330</v>
      </c>
      <c r="H226" s="16">
        <f>Table11[[#This Row],['#TreesContract]]*Table11[[#This Row],[Canada Allocation2017 %]]</f>
        <v>0</v>
      </c>
      <c r="I226" s="16">
        <f>Table11[[#This Row],['#Planted]]*Table11[[#This Row],[Canada Allocation2017 %]]</f>
        <v>0</v>
      </c>
      <c r="J226" s="16">
        <f>Table11[[#This Row],[Contract Amendment]]*Table11[[#This Row],[Canada Allocation2017 %]]</f>
        <v>0</v>
      </c>
      <c r="K226" s="16">
        <f>Table11[[#This Row],['#Trees as of 12/31/23]]*Table11[[#This Row],[Canada Allocation2017 %]]</f>
        <v>0</v>
      </c>
      <c r="L226" s="16">
        <f>Table11[[#This Row],['#Replace 24]]*Table11[[#This Row],[Canada Allocation2017 %]]</f>
        <v>0</v>
      </c>
      <c r="M226" s="16"/>
      <c r="N226" s="16">
        <f>(Table11[[#This Row],[2024 '#Trees Inventory + Estimate]]*Table11[[#This Row],[Canada Allocation2017 %]])-SUM(Table3789[[#This Row],['# Trees as of 12/31/23]:[New Trees/Planted in 2024]])</f>
        <v>0</v>
      </c>
      <c r="O226" s="32">
        <f>SUM(Table3789[[#This Row],['# Trees as of 12/31/23]:[2024 Tree Losses]])</f>
        <v>0</v>
      </c>
      <c r="P226" s="32">
        <f>SUM(Table3789[[#This Row],[Total Trees as of 12/31/24]]-Table3789[[#This Row],['# Trees as of 12/31/23]])</f>
        <v>0</v>
      </c>
      <c r="Q226" s="16">
        <f>Table11[[#This Row],['#Total Replacements]]*Table11[[#This Row],[Canada Allocation2017 %]]</f>
        <v>0</v>
      </c>
      <c r="R226" s="32">
        <f>IF(Table3789[[#This Row],['#Survival based on Inventory]]=0,Table3789['#Survival based on Last Year Estimate],Table3789['#Survival based on Inventory])</f>
        <v>0</v>
      </c>
      <c r="S226" s="16">
        <f>Table11[[#This Row],['#Planted]]*Table11[[#This Row],[Canada Allocation2017 %]]*Table11[[#This Row],[2024 Inventory Survival%-master]]</f>
        <v>0</v>
      </c>
      <c r="T226" s="16">
        <f>Table11[[#This Row],['#Planted]]*Table11[[#This Row],[Canada Allocation2017 %]]*Table11[[#This Row],[2024 Estimated Survival%]]</f>
        <v>0</v>
      </c>
      <c r="U226" s="7">
        <f>Table11[[#This Row],[ETP Year]]</f>
        <v>2021</v>
      </c>
      <c r="V226" s="7">
        <f>Table11[[#This Row],[Planting Year]]</f>
        <v>2021</v>
      </c>
      <c r="W226" s="17">
        <f>Table11[[#This Row],[Survival% as of 12/31/23]]</f>
        <v>0.88636363636363635</v>
      </c>
      <c r="X226">
        <f>Table11[[#This Row],[ETP'#s]]</f>
        <v>1</v>
      </c>
    </row>
    <row r="227" spans="1:24" x14ac:dyDescent="0.25">
      <c r="A227">
        <f>Table11[[#This Row],[Farmer'#]]</f>
        <v>10075</v>
      </c>
      <c r="B227" t="str">
        <f>Table11[[#This Row],[Representative]]</f>
        <v>Scott Landreau</v>
      </c>
      <c r="C227" t="str">
        <f>Table11[[#This Row],[Contract Name]]</f>
        <v>Cidney Scott and Stuart Page Landreau</v>
      </c>
      <c r="D227" t="str">
        <f>Table11[[#This Row],[Status]]</f>
        <v>RFT</v>
      </c>
      <c r="E227" t="str">
        <f>Table11[[#This Row],[Contract Code]]</f>
        <v>US0119</v>
      </c>
      <c r="F227">
        <f>Table11[[#This Row],['#TreesContract]]</f>
        <v>880</v>
      </c>
      <c r="G227">
        <f>Table11[[#This Row],['#Planted]]</f>
        <v>880</v>
      </c>
      <c r="H227" s="16">
        <f>Table11[[#This Row],['#TreesContract]]*Table11[[#This Row],[Canada Allocation2017 %]]</f>
        <v>0</v>
      </c>
      <c r="I227" s="16">
        <f>Table11[[#This Row],['#Planted]]*Table11[[#This Row],[Canada Allocation2017 %]]</f>
        <v>0</v>
      </c>
      <c r="J227" s="16">
        <f>Table11[[#This Row],[Contract Amendment]]*Table11[[#This Row],[Canada Allocation2017 %]]</f>
        <v>0</v>
      </c>
      <c r="K227" s="16">
        <f>Table11[[#This Row],['#Trees as of 12/31/23]]*Table11[[#This Row],[Canada Allocation2017 %]]</f>
        <v>0</v>
      </c>
      <c r="L227" s="16">
        <f>Table11[[#This Row],['#Replace 24]]*Table11[[#This Row],[Canada Allocation2017 %]]</f>
        <v>0</v>
      </c>
      <c r="M227" s="16"/>
      <c r="N227" s="16">
        <f>(Table11[[#This Row],[2024 '#Trees Inventory + Estimate]]*Table11[[#This Row],[Canada Allocation2017 %]])-SUM(Table3789[[#This Row],['# Trees as of 12/31/23]:[New Trees/Planted in 2024]])</f>
        <v>0</v>
      </c>
      <c r="O227" s="32">
        <f>SUM(Table3789[[#This Row],['# Trees as of 12/31/23]:[2024 Tree Losses]])</f>
        <v>0</v>
      </c>
      <c r="P227" s="32">
        <f>SUM(Table3789[[#This Row],[Total Trees as of 12/31/24]]-Table3789[[#This Row],['# Trees as of 12/31/23]])</f>
        <v>0</v>
      </c>
      <c r="Q227" s="16">
        <f>Table11[[#This Row],['#Total Replacements]]*Table11[[#This Row],[Canada Allocation2017 %]]</f>
        <v>0</v>
      </c>
      <c r="R227" s="32">
        <f>IF(Table3789[[#This Row],['#Survival based on Inventory]]=0,Table3789['#Survival based on Last Year Estimate],Table3789['#Survival based on Inventory])</f>
        <v>0</v>
      </c>
      <c r="S227" s="16">
        <f>Table11[[#This Row],['#Planted]]*Table11[[#This Row],[Canada Allocation2017 %]]*Table11[[#This Row],[2024 Inventory Survival%-master]]</f>
        <v>0</v>
      </c>
      <c r="T227" s="16">
        <f>Table11[[#This Row],['#Planted]]*Table11[[#This Row],[Canada Allocation2017 %]]*Table11[[#This Row],[2024 Estimated Survival%]]</f>
        <v>0</v>
      </c>
      <c r="U227" s="7">
        <f>Table11[[#This Row],[ETP Year]]</f>
        <v>2020</v>
      </c>
      <c r="V227" s="7">
        <f>Table11[[#This Row],[Planting Year]]</f>
        <v>2021</v>
      </c>
      <c r="W227" s="17">
        <f>Table11[[#This Row],[Survival% as of 12/31/23]]</f>
        <v>0.24936868686868685</v>
      </c>
      <c r="X227">
        <f>Table11[[#This Row],[ETP'#s]]</f>
        <v>1</v>
      </c>
    </row>
    <row r="228" spans="1:24" x14ac:dyDescent="0.25">
      <c r="A228">
        <f>Table11[[#This Row],[Farmer'#]]</f>
        <v>10077</v>
      </c>
      <c r="B228" t="str">
        <f>Table11[[#This Row],[Representative]]</f>
        <v>Andy Thomas</v>
      </c>
      <c r="C228" t="str">
        <f>Table11[[#This Row],[Contract Name]]</f>
        <v>Andy  Thomas</v>
      </c>
      <c r="D228" t="str">
        <f>Table11[[#This Row],[Status]]</f>
        <v>Out of Program</v>
      </c>
      <c r="E228" t="str">
        <f>Table11[[#This Row],[Contract Code]]</f>
        <v>US0089</v>
      </c>
      <c r="F228">
        <f>Table11[[#This Row],['#TreesContract]]</f>
        <v>1100</v>
      </c>
      <c r="G228">
        <f>Table11[[#This Row],['#Planted]]</f>
        <v>1100</v>
      </c>
      <c r="H228" s="16">
        <f>Table11[[#This Row],['#TreesContract]]*Table11[[#This Row],[Canada Allocation2017 %]]</f>
        <v>0</v>
      </c>
      <c r="I228" s="16">
        <f>Table11[[#This Row],['#Planted]]*Table11[[#This Row],[Canada Allocation2017 %]]</f>
        <v>0</v>
      </c>
      <c r="J228" s="16">
        <f>Table11[[#This Row],[Contract Amendment]]*Table11[[#This Row],[Canada Allocation2017 %]]</f>
        <v>0</v>
      </c>
      <c r="K228" s="16">
        <f>Table11[[#This Row],['#Trees as of 12/31/23]]*Table11[[#This Row],[Canada Allocation2017 %]]</f>
        <v>0</v>
      </c>
      <c r="L228" s="16">
        <f>Table11[[#This Row],['#Replace 24]]*Table11[[#This Row],[Canada Allocation2017 %]]</f>
        <v>0</v>
      </c>
      <c r="M228" s="16"/>
      <c r="N228" s="16">
        <f>(Table11[[#This Row],[2024 '#Trees Inventory + Estimate]]*Table11[[#This Row],[Canada Allocation2017 %]])-SUM(Table3789[[#This Row],['# Trees as of 12/31/23]:[New Trees/Planted in 2024]])</f>
        <v>0</v>
      </c>
      <c r="O228" s="32">
        <f>SUM(Table3789[[#This Row],['# Trees as of 12/31/23]:[2024 Tree Losses]])</f>
        <v>0</v>
      </c>
      <c r="P228" s="32">
        <f>SUM(Table3789[[#This Row],[Total Trees as of 12/31/24]]-Table3789[[#This Row],['# Trees as of 12/31/23]])</f>
        <v>0</v>
      </c>
      <c r="Q228" s="16">
        <f>Table11[[#This Row],['#Total Replacements]]*Table11[[#This Row],[Canada Allocation2017 %]]</f>
        <v>0</v>
      </c>
      <c r="R228" s="32">
        <f>IF(Table3789[[#This Row],['#Survival based on Inventory]]=0,Table3789['#Survival based on Last Year Estimate],Table3789['#Survival based on Inventory])</f>
        <v>0</v>
      </c>
      <c r="S228" s="16">
        <f>Table11[[#This Row],['#Planted]]*Table11[[#This Row],[Canada Allocation2017 %]]*Table11[[#This Row],[2024 Inventory Survival%-master]]</f>
        <v>0</v>
      </c>
      <c r="T228" s="16">
        <f>Table11[[#This Row],['#Planted]]*Table11[[#This Row],[Canada Allocation2017 %]]*Table11[[#This Row],[2024 Estimated Survival%]]</f>
        <v>0</v>
      </c>
      <c r="U228" s="7">
        <f>Table11[[#This Row],[ETP Year]]</f>
        <v>2021</v>
      </c>
      <c r="V228" s="7">
        <f>Table11[[#This Row],[Planting Year]]</f>
        <v>2021</v>
      </c>
      <c r="W228" s="17">
        <f>Table11[[#This Row],[Survival% as of 12/31/23]]</f>
        <v>0</v>
      </c>
      <c r="X228">
        <f>Table11[[#This Row],[ETP'#s]]</f>
        <v>1</v>
      </c>
    </row>
    <row r="229" spans="1:24" x14ac:dyDescent="0.25">
      <c r="A229">
        <f>Table11[[#This Row],[Farmer'#]]</f>
        <v>10078</v>
      </c>
      <c r="B229" t="str">
        <f>Table11[[#This Row],[Representative]]</f>
        <v>Beau Dixon</v>
      </c>
      <c r="C229" t="str">
        <f>Table11[[#This Row],[Contract Name]]</f>
        <v>Don Dixon</v>
      </c>
      <c r="D229" t="str">
        <f>Table11[[#This Row],[Status]]</f>
        <v>Active</v>
      </c>
      <c r="E229" t="str">
        <f>Table11[[#This Row],[Contract Code]]</f>
        <v>US0090</v>
      </c>
      <c r="F229">
        <f>Table11[[#This Row],['#TreesContract]]</f>
        <v>1805</v>
      </c>
      <c r="G229">
        <f>Table11[[#This Row],['#Planted]]</f>
        <v>1805</v>
      </c>
      <c r="H229" s="16">
        <f>Table11[[#This Row],['#TreesContract]]*Table11[[#This Row],[Canada Allocation2017 %]]</f>
        <v>0</v>
      </c>
      <c r="I229" s="16">
        <f>Table11[[#This Row],['#Planted]]*Table11[[#This Row],[Canada Allocation2017 %]]</f>
        <v>0</v>
      </c>
      <c r="J229" s="16">
        <f>Table11[[#This Row],[Contract Amendment]]*Table11[[#This Row],[Canada Allocation2017 %]]</f>
        <v>0</v>
      </c>
      <c r="K229" s="16">
        <f>Table11[[#This Row],['#Trees as of 12/31/23]]*Table11[[#This Row],[Canada Allocation2017 %]]</f>
        <v>0</v>
      </c>
      <c r="L229" s="16">
        <f>Table11[[#This Row],['#Replace 24]]*Table11[[#This Row],[Canada Allocation2017 %]]</f>
        <v>0</v>
      </c>
      <c r="M229" s="16"/>
      <c r="N229" s="16">
        <f>(Table11[[#This Row],[2024 '#Trees Inventory + Estimate]]*Table11[[#This Row],[Canada Allocation2017 %]])-SUM(Table3789[[#This Row],['# Trees as of 12/31/23]:[New Trees/Planted in 2024]])</f>
        <v>0</v>
      </c>
      <c r="O229" s="32">
        <f>SUM(Table3789[[#This Row],['# Trees as of 12/31/23]:[2024 Tree Losses]])</f>
        <v>0</v>
      </c>
      <c r="P229" s="32">
        <f>SUM(Table3789[[#This Row],[Total Trees as of 12/31/24]]-Table3789[[#This Row],['# Trees as of 12/31/23]])</f>
        <v>0</v>
      </c>
      <c r="Q229" s="16">
        <f>Table11[[#This Row],['#Total Replacements]]*Table11[[#This Row],[Canada Allocation2017 %]]</f>
        <v>0</v>
      </c>
      <c r="R229" s="32">
        <f>IF(Table3789[[#This Row],['#Survival based on Inventory]]=0,Table3789['#Survival based on Last Year Estimate],Table3789['#Survival based on Inventory])</f>
        <v>0</v>
      </c>
      <c r="S229" s="16">
        <f>Table11[[#This Row],['#Planted]]*Table11[[#This Row],[Canada Allocation2017 %]]*Table11[[#This Row],[2024 Inventory Survival%-master]]</f>
        <v>0</v>
      </c>
      <c r="T229" s="16">
        <f>Table11[[#This Row],['#Planted]]*Table11[[#This Row],[Canada Allocation2017 %]]*Table11[[#This Row],[2024 Estimated Survival%]]</f>
        <v>0</v>
      </c>
      <c r="U229" s="7">
        <f>Table11[[#This Row],[ETP Year]]</f>
        <v>2020</v>
      </c>
      <c r="V229" s="7">
        <f>Table11[[#This Row],[Planting Year]]</f>
        <v>2021</v>
      </c>
      <c r="W229" s="17">
        <f>Table11[[#This Row],[Survival% as of 12/31/23]]</f>
        <v>0.69368546965499878</v>
      </c>
      <c r="X229">
        <f>Table11[[#This Row],[ETP'#s]]</f>
        <v>1</v>
      </c>
    </row>
    <row r="230" spans="1:24" x14ac:dyDescent="0.25">
      <c r="A230">
        <f>Table11[[#This Row],[Farmer'#]]</f>
        <v>10079</v>
      </c>
      <c r="B230" t="str">
        <f>Table11[[#This Row],[Representative]]</f>
        <v>Billy Gordie</v>
      </c>
      <c r="C230" t="str">
        <f>Table11[[#This Row],[Contract Name]]</f>
        <v>Billy Gordie</v>
      </c>
      <c r="D230" t="str">
        <f>Table11[[#This Row],[Status]]</f>
        <v>Active</v>
      </c>
      <c r="E230" t="str">
        <f>Table11[[#This Row],[Contract Code]]</f>
        <v>US0091</v>
      </c>
      <c r="F230">
        <f>Table11[[#This Row],['#TreesContract]]</f>
        <v>1100</v>
      </c>
      <c r="G230">
        <f>Table11[[#This Row],['#Planted]]</f>
        <v>1100</v>
      </c>
      <c r="H230" s="16">
        <f>Table11[[#This Row],['#TreesContract]]*Table11[[#This Row],[Canada Allocation2017 %]]</f>
        <v>0</v>
      </c>
      <c r="I230" s="16">
        <f>Table11[[#This Row],['#Planted]]*Table11[[#This Row],[Canada Allocation2017 %]]</f>
        <v>0</v>
      </c>
      <c r="J230" s="16">
        <f>Table11[[#This Row],[Contract Amendment]]*Table11[[#This Row],[Canada Allocation2017 %]]</f>
        <v>0</v>
      </c>
      <c r="K230" s="16">
        <f>Table11[[#This Row],['#Trees as of 12/31/23]]*Table11[[#This Row],[Canada Allocation2017 %]]</f>
        <v>0</v>
      </c>
      <c r="L230" s="16">
        <f>Table11[[#This Row],['#Replace 24]]*Table11[[#This Row],[Canada Allocation2017 %]]</f>
        <v>0</v>
      </c>
      <c r="M230" s="16"/>
      <c r="N230" s="16">
        <f>(Table11[[#This Row],[2024 '#Trees Inventory + Estimate]]*Table11[[#This Row],[Canada Allocation2017 %]])-SUM(Table3789[[#This Row],['# Trees as of 12/31/23]:[New Trees/Planted in 2024]])</f>
        <v>0</v>
      </c>
      <c r="O230" s="32">
        <f>SUM(Table3789[[#This Row],['# Trees as of 12/31/23]:[2024 Tree Losses]])</f>
        <v>0</v>
      </c>
      <c r="P230" s="32">
        <f>SUM(Table3789[[#This Row],[Total Trees as of 12/31/24]]-Table3789[[#This Row],['# Trees as of 12/31/23]])</f>
        <v>0</v>
      </c>
      <c r="Q230" s="16">
        <f>Table11[[#This Row],['#Total Replacements]]*Table11[[#This Row],[Canada Allocation2017 %]]</f>
        <v>0</v>
      </c>
      <c r="R230" s="32">
        <f>IF(Table3789[[#This Row],['#Survival based on Inventory]]=0,Table3789['#Survival based on Last Year Estimate],Table3789['#Survival based on Inventory])</f>
        <v>0</v>
      </c>
      <c r="S230" s="16">
        <f>Table11[[#This Row],['#Planted]]*Table11[[#This Row],[Canada Allocation2017 %]]*Table11[[#This Row],[2024 Inventory Survival%-master]]</f>
        <v>0</v>
      </c>
      <c r="T230" s="16">
        <f>Table11[[#This Row],['#Planted]]*Table11[[#This Row],[Canada Allocation2017 %]]*Table11[[#This Row],[2024 Estimated Survival%]]</f>
        <v>0</v>
      </c>
      <c r="U230" s="7">
        <f>Table11[[#This Row],[ETP Year]]</f>
        <v>2020</v>
      </c>
      <c r="V230" s="7">
        <f>Table11[[#This Row],[Planting Year]]</f>
        <v>2021</v>
      </c>
      <c r="W230" s="17">
        <f>Table11[[#This Row],[Survival% as of 12/31/23]]</f>
        <v>1</v>
      </c>
      <c r="X230">
        <f>Table11[[#This Row],[ETP'#s]]</f>
        <v>1</v>
      </c>
    </row>
    <row r="231" spans="1:24" x14ac:dyDescent="0.25">
      <c r="A231">
        <f>Table11[[#This Row],[Farmer'#]]</f>
        <v>10080</v>
      </c>
      <c r="B231" t="str">
        <f>Table11[[#This Row],[Representative]]</f>
        <v>Bobby Searcy</v>
      </c>
      <c r="C231" t="str">
        <f>Table11[[#This Row],[Contract Name]]</f>
        <v>Bobby  Searcy</v>
      </c>
      <c r="D231" t="str">
        <f>Table11[[#This Row],[Status]]</f>
        <v>Active</v>
      </c>
      <c r="E231" t="str">
        <f>Table11[[#This Row],[Contract Code]]</f>
        <v>US0094</v>
      </c>
      <c r="F231">
        <f>Table11[[#This Row],['#TreesContract]]</f>
        <v>1540</v>
      </c>
      <c r="G231">
        <f>Table11[[#This Row],['#Planted]]</f>
        <v>1540</v>
      </c>
      <c r="H231" s="16">
        <f>Table11[[#This Row],['#TreesContract]]*Table11[[#This Row],[Canada Allocation2017 %]]</f>
        <v>0</v>
      </c>
      <c r="I231" s="16">
        <f>Table11[[#This Row],['#Planted]]*Table11[[#This Row],[Canada Allocation2017 %]]</f>
        <v>0</v>
      </c>
      <c r="J231" s="16">
        <f>Table11[[#This Row],[Contract Amendment]]*Table11[[#This Row],[Canada Allocation2017 %]]</f>
        <v>0</v>
      </c>
      <c r="K231" s="16">
        <f>Table11[[#This Row],['#Trees as of 12/31/23]]*Table11[[#This Row],[Canada Allocation2017 %]]</f>
        <v>0</v>
      </c>
      <c r="L231" s="16">
        <f>Table11[[#This Row],['#Replace 24]]*Table11[[#This Row],[Canada Allocation2017 %]]</f>
        <v>0</v>
      </c>
      <c r="M231" s="16"/>
      <c r="N231" s="16">
        <f>(Table11[[#This Row],[2024 '#Trees Inventory + Estimate]]*Table11[[#This Row],[Canada Allocation2017 %]])-SUM(Table3789[[#This Row],['# Trees as of 12/31/23]:[New Trees/Planted in 2024]])</f>
        <v>0</v>
      </c>
      <c r="O231" s="32">
        <f>SUM(Table3789[[#This Row],['# Trees as of 12/31/23]:[2024 Tree Losses]])</f>
        <v>0</v>
      </c>
      <c r="P231" s="32">
        <f>SUM(Table3789[[#This Row],[Total Trees as of 12/31/24]]-Table3789[[#This Row],['# Trees as of 12/31/23]])</f>
        <v>0</v>
      </c>
      <c r="Q231" s="16">
        <f>Table11[[#This Row],['#Total Replacements]]*Table11[[#This Row],[Canada Allocation2017 %]]</f>
        <v>0</v>
      </c>
      <c r="R231" s="32">
        <f>IF(Table3789[[#This Row],['#Survival based on Inventory]]=0,Table3789['#Survival based on Last Year Estimate],Table3789['#Survival based on Inventory])</f>
        <v>0</v>
      </c>
      <c r="S231" s="16">
        <f>Table11[[#This Row],['#Planted]]*Table11[[#This Row],[Canada Allocation2017 %]]*Table11[[#This Row],[2024 Inventory Survival%-master]]</f>
        <v>0</v>
      </c>
      <c r="T231" s="16">
        <f>Table11[[#This Row],['#Planted]]*Table11[[#This Row],[Canada Allocation2017 %]]*Table11[[#This Row],[2024 Estimated Survival%]]</f>
        <v>0</v>
      </c>
      <c r="U231" s="7">
        <f>Table11[[#This Row],[ETP Year]]</f>
        <v>2020</v>
      </c>
      <c r="V231" s="7">
        <f>Table11[[#This Row],[Planting Year]]</f>
        <v>2021</v>
      </c>
      <c r="W231" s="17">
        <f>Table11[[#This Row],[Survival% as of 12/31/23]]</f>
        <v>0.83598053152784135</v>
      </c>
      <c r="X231">
        <f>Table11[[#This Row],[ETP'#s]]</f>
        <v>1</v>
      </c>
    </row>
    <row r="232" spans="1:24" hidden="1" x14ac:dyDescent="0.25">
      <c r="A232">
        <f>Table11[[#This Row],[Farmer'#]]</f>
        <v>10081</v>
      </c>
      <c r="B232" t="str">
        <f>Table11[[#This Row],[Representative]]</f>
        <v>Brent Stiehl</v>
      </c>
      <c r="C232" t="str">
        <f>Table11[[#This Row],[Contract Name]]</f>
        <v>Brent  Stiehl</v>
      </c>
      <c r="D232" t="str">
        <f>Table11[[#This Row],[Status]]</f>
        <v>Active</v>
      </c>
      <c r="E232" t="str">
        <f>Table11[[#This Row],[Contract Code]]</f>
        <v>US0095</v>
      </c>
      <c r="F232">
        <f>Table11[[#This Row],['#TreesContract]]</f>
        <v>1100</v>
      </c>
      <c r="G232">
        <f>Table11[[#This Row],['#Planted]]</f>
        <v>1100</v>
      </c>
      <c r="H232" s="16">
        <f>Table11[[#This Row],['#TreesContract]]*Table11[[#This Row],[Canada Allocation2017 %]]</f>
        <v>0</v>
      </c>
      <c r="I232" s="16">
        <f>Table11[[#This Row],['#Planted]]*Table11[[#This Row],[Canada Allocation2017 %]]</f>
        <v>0</v>
      </c>
      <c r="J232" s="16">
        <f>Table11[[#This Row],[Contract Amendment]]*Table11[[#This Row],[Canada Allocation2017 %]]</f>
        <v>0</v>
      </c>
      <c r="K232" s="16">
        <f>Table11[[#This Row],['#Trees as of 12/31/23]]*Table11[[#This Row],[Canada Allocation2017 %]]</f>
        <v>0</v>
      </c>
      <c r="L232" s="16">
        <f>Table11[[#This Row],['#Replace 24]]*Table11[[#This Row],[Canada Allocation2017 %]]</f>
        <v>0</v>
      </c>
      <c r="M232" s="16"/>
      <c r="N232" s="16">
        <f>(Table11[[#This Row],[2024 '#Trees Inventory + Estimate]]*Table11[[#This Row],[Canada Allocation2017 %]])-SUM(Table3789[[#This Row],['# Trees as of 12/31/23]:[New Trees/Planted in 2024]])</f>
        <v>0</v>
      </c>
      <c r="O232" s="32">
        <f>SUM(Table3789[[#This Row],['# Trees as of 12/31/23]:[2024 Tree Losses]])</f>
        <v>0</v>
      </c>
      <c r="P232" s="32">
        <f>SUM(Table3789[[#This Row],[Total Trees as of 12/31/24]]-Table3789[[#This Row],['# Trees as of 12/31/23]])</f>
        <v>0</v>
      </c>
      <c r="Q232" s="16">
        <f>Table11[[#This Row],['#Total Replacements]]*Table11[[#This Row],[Canada Allocation2017 %]]</f>
        <v>0</v>
      </c>
      <c r="R232" s="32">
        <f>IF(Table3789[[#This Row],['#Survival based on Inventory]]=0,Table3789['#Survival based on Last Year Estimate],Table3789['#Survival based on Inventory])</f>
        <v>0</v>
      </c>
      <c r="S232" s="16">
        <f>Table11[[#This Row],['#Planted]]*Table11[[#This Row],[Canada Allocation2017 %]]*Table11[[#This Row],[2024 Inventory Survival%-master]]</f>
        <v>0</v>
      </c>
      <c r="T232" s="16">
        <f>Table11[[#This Row],['#Planted]]*Table11[[#This Row],[Canada Allocation2017 %]]*Table11[[#This Row],[2024 Estimated Survival%]]</f>
        <v>0</v>
      </c>
      <c r="U232" s="7">
        <f>Table11[[#This Row],[ETP Year]]</f>
        <v>2020</v>
      </c>
      <c r="V232" s="7">
        <f>Table11[[#This Row],[Planting Year]]</f>
        <v>2021</v>
      </c>
      <c r="W232" s="17">
        <f>Table11[[#This Row],[Survival% as of 12/31/23]]</f>
        <v>0.75911976911976908</v>
      </c>
      <c r="X232">
        <f>Table11[[#This Row],[ETP'#s]]</f>
        <v>1</v>
      </c>
    </row>
    <row r="233" spans="1:24" x14ac:dyDescent="0.25">
      <c r="A233">
        <f>Table11[[#This Row],[Farmer'#]]</f>
        <v>10082</v>
      </c>
      <c r="B233" t="str">
        <f>Table11[[#This Row],[Representative]]</f>
        <v>Chris Bolen</v>
      </c>
      <c r="C233" t="str">
        <f>Table11[[#This Row],[Contract Name]]</f>
        <v>Chris  Bolen</v>
      </c>
      <c r="D233" t="str">
        <f>Table11[[#This Row],[Status]]</f>
        <v>Active</v>
      </c>
      <c r="E233" t="str">
        <f>Table11[[#This Row],[Contract Code]]</f>
        <v>US0096</v>
      </c>
      <c r="F233">
        <f>Table11[[#This Row],['#TreesContract]]</f>
        <v>1100</v>
      </c>
      <c r="G233">
        <f>Table11[[#This Row],['#Planted]]</f>
        <v>1100</v>
      </c>
      <c r="H233" s="16">
        <f>Table11[[#This Row],['#TreesContract]]*Table11[[#This Row],[Canada Allocation2017 %]]</f>
        <v>0</v>
      </c>
      <c r="I233" s="16">
        <f>Table11[[#This Row],['#Planted]]*Table11[[#This Row],[Canada Allocation2017 %]]</f>
        <v>0</v>
      </c>
      <c r="J233" s="16">
        <f>Table11[[#This Row],[Contract Amendment]]*Table11[[#This Row],[Canada Allocation2017 %]]</f>
        <v>0</v>
      </c>
      <c r="K233" s="16">
        <f>Table11[[#This Row],['#Trees as of 12/31/23]]*Table11[[#This Row],[Canada Allocation2017 %]]</f>
        <v>0</v>
      </c>
      <c r="L233" s="16">
        <f>Table11[[#This Row],['#Replace 24]]*Table11[[#This Row],[Canada Allocation2017 %]]</f>
        <v>0</v>
      </c>
      <c r="M233" s="16"/>
      <c r="N233" s="16">
        <f>(Table11[[#This Row],[2024 '#Trees Inventory + Estimate]]*Table11[[#This Row],[Canada Allocation2017 %]])-SUM(Table3789[[#This Row],['# Trees as of 12/31/23]:[New Trees/Planted in 2024]])</f>
        <v>0</v>
      </c>
      <c r="O233" s="32">
        <f>SUM(Table3789[[#This Row],['# Trees as of 12/31/23]:[2024 Tree Losses]])</f>
        <v>0</v>
      </c>
      <c r="P233" s="32">
        <f>SUM(Table3789[[#This Row],[Total Trees as of 12/31/24]]-Table3789[[#This Row],['# Trees as of 12/31/23]])</f>
        <v>0</v>
      </c>
      <c r="Q233" s="16">
        <f>Table11[[#This Row],['#Total Replacements]]*Table11[[#This Row],[Canada Allocation2017 %]]</f>
        <v>0</v>
      </c>
      <c r="R233" s="32">
        <f>IF(Table3789[[#This Row],['#Survival based on Inventory]]=0,Table3789['#Survival based on Last Year Estimate],Table3789['#Survival based on Inventory])</f>
        <v>0</v>
      </c>
      <c r="S233" s="16">
        <f>Table11[[#This Row],['#Planted]]*Table11[[#This Row],[Canada Allocation2017 %]]*Table11[[#This Row],[2024 Inventory Survival%-master]]</f>
        <v>0</v>
      </c>
      <c r="T233" s="16">
        <f>Table11[[#This Row],['#Planted]]*Table11[[#This Row],[Canada Allocation2017 %]]*Table11[[#This Row],[2024 Estimated Survival%]]</f>
        <v>0</v>
      </c>
      <c r="U233" s="7">
        <f>Table11[[#This Row],[ETP Year]]</f>
        <v>2020</v>
      </c>
      <c r="V233" s="7">
        <f>Table11[[#This Row],[Planting Year]]</f>
        <v>2021</v>
      </c>
      <c r="W233" s="76">
        <f>Table11[[#This Row],[Survival% as of 12/31/23]]</f>
        <v>0.9412066115702481</v>
      </c>
      <c r="X233">
        <f>Table11[[#This Row],[ETP'#s]]</f>
        <v>1</v>
      </c>
    </row>
    <row r="234" spans="1:24" x14ac:dyDescent="0.25">
      <c r="A234">
        <f>Table11[[#This Row],[Farmer'#]]</f>
        <v>10083</v>
      </c>
      <c r="B234" t="str">
        <f>Table11[[#This Row],[Representative]]</f>
        <v>Chris Hoehn</v>
      </c>
      <c r="C234" t="str">
        <f>Table11[[#This Row],[Contract Name]]</f>
        <v>Chris  Hoehn</v>
      </c>
      <c r="D234" t="str">
        <f>Table11[[#This Row],[Status]]</f>
        <v>Active</v>
      </c>
      <c r="E234" t="str">
        <f>Table11[[#This Row],[Contract Code]]</f>
        <v>US0097</v>
      </c>
      <c r="F234">
        <f>Table11[[#This Row],['#TreesContract]]</f>
        <v>2800</v>
      </c>
      <c r="G234">
        <f>Table11[[#This Row],['#Planted]]</f>
        <v>2800</v>
      </c>
      <c r="H234" s="16">
        <f>Table11[[#This Row],['#TreesContract]]*Table11[[#This Row],[Canada Allocation2017 %]]</f>
        <v>0</v>
      </c>
      <c r="I234" s="16">
        <f>Table11[[#This Row],['#Planted]]*Table11[[#This Row],[Canada Allocation2017 %]]</f>
        <v>0</v>
      </c>
      <c r="J234" s="16">
        <f>Table11[[#This Row],[Contract Amendment]]*Table11[[#This Row],[Canada Allocation2017 %]]</f>
        <v>0</v>
      </c>
      <c r="K234" s="16">
        <f>Table11[[#This Row],['#Trees as of 12/31/23]]*Table11[[#This Row],[Canada Allocation2017 %]]</f>
        <v>0</v>
      </c>
      <c r="L234" s="16">
        <f>Table11[[#This Row],['#Replace 24]]*Table11[[#This Row],[Canada Allocation2017 %]]</f>
        <v>0</v>
      </c>
      <c r="M234" s="16"/>
      <c r="N234" s="16">
        <f>(Table11[[#This Row],[2024 '#Trees Inventory + Estimate]]*Table11[[#This Row],[Canada Allocation2017 %]])-SUM(Table3789[[#This Row],['# Trees as of 12/31/23]:[New Trees/Planted in 2024]])</f>
        <v>0</v>
      </c>
      <c r="O234" s="32">
        <f>SUM(Table3789[[#This Row],['# Trees as of 12/31/23]:[2024 Tree Losses]])</f>
        <v>0</v>
      </c>
      <c r="P234" s="32">
        <f>SUM(Table3789[[#This Row],[Total Trees as of 12/31/24]]-Table3789[[#This Row],['# Trees as of 12/31/23]])</f>
        <v>0</v>
      </c>
      <c r="Q234" s="16">
        <f>Table11[[#This Row],['#Total Replacements]]*Table11[[#This Row],[Canada Allocation2017 %]]</f>
        <v>0</v>
      </c>
      <c r="R234" s="32">
        <f>IF(Table3789[[#This Row],['#Survival based on Inventory]]=0,Table3789['#Survival based on Last Year Estimate],Table3789['#Survival based on Inventory])</f>
        <v>0</v>
      </c>
      <c r="S234" s="16">
        <f>Table11[[#This Row],['#Planted]]*Table11[[#This Row],[Canada Allocation2017 %]]*Table11[[#This Row],[2024 Inventory Survival%-master]]</f>
        <v>0</v>
      </c>
      <c r="T234" s="16">
        <f>Table11[[#This Row],['#Planted]]*Table11[[#This Row],[Canada Allocation2017 %]]*Table11[[#This Row],[2024 Estimated Survival%]]</f>
        <v>0</v>
      </c>
      <c r="U234" s="7">
        <f>Table11[[#This Row],[ETP Year]]</f>
        <v>2020</v>
      </c>
      <c r="V234" s="7">
        <f>Table11[[#This Row],[Planting Year]]</f>
        <v>2021</v>
      </c>
      <c r="W234" s="76">
        <f>Table11[[#This Row],[Survival% as of 12/31/23]]</f>
        <v>0.62958758503401357</v>
      </c>
      <c r="X234">
        <f>Table11[[#This Row],[ETP'#s]]</f>
        <v>1</v>
      </c>
    </row>
    <row r="235" spans="1:24" x14ac:dyDescent="0.25">
      <c r="A235">
        <f>Table11[[#This Row],[Farmer'#]]</f>
        <v>10084</v>
      </c>
      <c r="B235" t="str">
        <f>Table11[[#This Row],[Representative]]</f>
        <v>David Fordham</v>
      </c>
      <c r="C235" t="str">
        <f>Table11[[#This Row],[Contract Name]]</f>
        <v>David  Fordham</v>
      </c>
      <c r="D235" t="str">
        <f>Table11[[#This Row],[Status]]</f>
        <v>RFT</v>
      </c>
      <c r="E235" t="str">
        <f>Table11[[#This Row],[Contract Code]]</f>
        <v>US0098</v>
      </c>
      <c r="F235">
        <f>Table11[[#This Row],['#TreesContract]]</f>
        <v>1650</v>
      </c>
      <c r="G235">
        <f>Table11[[#This Row],['#Planted]]</f>
        <v>1650</v>
      </c>
      <c r="H235" s="16">
        <f>Table11[[#This Row],['#TreesContract]]*Table11[[#This Row],[Canada Allocation2017 %]]</f>
        <v>0</v>
      </c>
      <c r="I235" s="16">
        <f>Table11[[#This Row],['#Planted]]*Table11[[#This Row],[Canada Allocation2017 %]]</f>
        <v>0</v>
      </c>
      <c r="J235" s="16">
        <f>Table11[[#This Row],[Contract Amendment]]*Table11[[#This Row],[Canada Allocation2017 %]]</f>
        <v>0</v>
      </c>
      <c r="K235" s="16">
        <f>Table11[[#This Row],['#Trees as of 12/31/23]]*Table11[[#This Row],[Canada Allocation2017 %]]</f>
        <v>0</v>
      </c>
      <c r="L235" s="16">
        <f>Table11[[#This Row],['#Replace 24]]*Table11[[#This Row],[Canada Allocation2017 %]]</f>
        <v>0</v>
      </c>
      <c r="M235" s="16"/>
      <c r="N235" s="16">
        <f>(Table11[[#This Row],[2024 '#Trees Inventory + Estimate]]*Table11[[#This Row],[Canada Allocation2017 %]])-SUM(Table3789[[#This Row],['# Trees as of 12/31/23]:[New Trees/Planted in 2024]])</f>
        <v>0</v>
      </c>
      <c r="O235" s="32">
        <f>SUM(Table3789[[#This Row],['# Trees as of 12/31/23]:[2024 Tree Losses]])</f>
        <v>0</v>
      </c>
      <c r="P235" s="32">
        <f>SUM(Table3789[[#This Row],[Total Trees as of 12/31/24]]-Table3789[[#This Row],['# Trees as of 12/31/23]])</f>
        <v>0</v>
      </c>
      <c r="Q235" s="16">
        <f>Table11[[#This Row],['#Total Replacements]]*Table11[[#This Row],[Canada Allocation2017 %]]</f>
        <v>0</v>
      </c>
      <c r="R235" s="32">
        <f>IF(Table3789[[#This Row],['#Survival based on Inventory]]=0,Table3789['#Survival based on Last Year Estimate],Table3789['#Survival based on Inventory])</f>
        <v>0</v>
      </c>
      <c r="S235" s="16">
        <f>Table11[[#This Row],['#Planted]]*Table11[[#This Row],[Canada Allocation2017 %]]*Table11[[#This Row],[2024 Inventory Survival%-master]]</f>
        <v>0</v>
      </c>
      <c r="T235" s="16">
        <f>Table11[[#This Row],['#Planted]]*Table11[[#This Row],[Canada Allocation2017 %]]*Table11[[#This Row],[2024 Estimated Survival%]]</f>
        <v>0</v>
      </c>
      <c r="U235" s="7">
        <f>Table11[[#This Row],[ETP Year]]</f>
        <v>2020</v>
      </c>
      <c r="V235" s="7">
        <f>Table11[[#This Row],[Planting Year]]</f>
        <v>2021</v>
      </c>
      <c r="W235" s="17">
        <f>Table11[[#This Row],[Survival% as of 12/31/23]]</f>
        <v>0.25020633687300353</v>
      </c>
      <c r="X235">
        <f>Table11[[#This Row],[ETP'#s]]</f>
        <v>1</v>
      </c>
    </row>
    <row r="236" spans="1:24" x14ac:dyDescent="0.25">
      <c r="A236">
        <f>Table11[[#This Row],[Farmer'#]]</f>
        <v>10085</v>
      </c>
      <c r="B236" t="str">
        <f>Table11[[#This Row],[Representative]]</f>
        <v>Ivette Alcoba</v>
      </c>
      <c r="C236" t="str">
        <f>Table11[[#This Row],[Contract Name]]</f>
        <v>Ivette  Alcoba</v>
      </c>
      <c r="D236" t="str">
        <f>Table11[[#This Row],[Status]]</f>
        <v>Active</v>
      </c>
      <c r="E236" t="str">
        <f>Table11[[#This Row],[Contract Code]]</f>
        <v>US0099</v>
      </c>
      <c r="F236">
        <f>Table11[[#This Row],['#TreesContract]]</f>
        <v>1210</v>
      </c>
      <c r="G236">
        <f>Table11[[#This Row],['#Planted]]</f>
        <v>1210</v>
      </c>
      <c r="H236" s="16">
        <f>Table11[[#This Row],['#TreesContract]]*Table11[[#This Row],[Canada Allocation2017 %]]</f>
        <v>0</v>
      </c>
      <c r="I236" s="16">
        <f>Table11[[#This Row],['#Planted]]*Table11[[#This Row],[Canada Allocation2017 %]]</f>
        <v>0</v>
      </c>
      <c r="J236" s="16">
        <f>Table11[[#This Row],[Contract Amendment]]*Table11[[#This Row],[Canada Allocation2017 %]]</f>
        <v>0</v>
      </c>
      <c r="K236" s="16">
        <f>Table11[[#This Row],['#Trees as of 12/31/23]]*Table11[[#This Row],[Canada Allocation2017 %]]</f>
        <v>0</v>
      </c>
      <c r="L236" s="16">
        <f>Table11[[#This Row],['#Replace 24]]*Table11[[#This Row],[Canada Allocation2017 %]]</f>
        <v>0</v>
      </c>
      <c r="M236" s="16"/>
      <c r="N236" s="16">
        <f>(Table11[[#This Row],[2024 '#Trees Inventory + Estimate]]*Table11[[#This Row],[Canada Allocation2017 %]])-SUM(Table3789[[#This Row],['# Trees as of 12/31/23]:[New Trees/Planted in 2024]])</f>
        <v>0</v>
      </c>
      <c r="O236" s="32">
        <f>SUM(Table3789[[#This Row],['# Trees as of 12/31/23]:[2024 Tree Losses]])</f>
        <v>0</v>
      </c>
      <c r="P236" s="32">
        <f>SUM(Table3789[[#This Row],[Total Trees as of 12/31/24]]-Table3789[[#This Row],['# Trees as of 12/31/23]])</f>
        <v>0</v>
      </c>
      <c r="Q236" s="16">
        <f>Table11[[#This Row],['#Total Replacements]]*Table11[[#This Row],[Canada Allocation2017 %]]</f>
        <v>0</v>
      </c>
      <c r="R236" s="32">
        <f>IF(Table3789[[#This Row],['#Survival based on Inventory]]=0,Table3789['#Survival based on Last Year Estimate],Table3789['#Survival based on Inventory])</f>
        <v>0</v>
      </c>
      <c r="S236" s="16">
        <f>Table11[[#This Row],['#Planted]]*Table11[[#This Row],[Canada Allocation2017 %]]*Table11[[#This Row],[2024 Inventory Survival%-master]]</f>
        <v>0</v>
      </c>
      <c r="T236" s="16">
        <f>Table11[[#This Row],['#Planted]]*Table11[[#This Row],[Canada Allocation2017 %]]*Table11[[#This Row],[2024 Estimated Survival%]]</f>
        <v>0</v>
      </c>
      <c r="U236" s="7">
        <f>Table11[[#This Row],[ETP Year]]</f>
        <v>2021</v>
      </c>
      <c r="V236" s="7">
        <f>Table11[[#This Row],[Planting Year]]</f>
        <v>2021</v>
      </c>
      <c r="W236" s="17">
        <f>Table11[[#This Row],[Survival% as of 12/31/23]]</f>
        <v>0.28859595200692123</v>
      </c>
      <c r="X236">
        <f>Table11[[#This Row],[ETP'#s]]</f>
        <v>1</v>
      </c>
    </row>
    <row r="237" spans="1:24" x14ac:dyDescent="0.25">
      <c r="A237">
        <f>Table11[[#This Row],[Farmer'#]]</f>
        <v>10086</v>
      </c>
      <c r="B237" t="str">
        <f>Table11[[#This Row],[Representative]]</f>
        <v>James Cochran</v>
      </c>
      <c r="C237" t="str">
        <f>Table11[[#This Row],[Contract Name]]</f>
        <v>James  Cochran</v>
      </c>
      <c r="D237" t="str">
        <f>Table11[[#This Row],[Status]]</f>
        <v>Active</v>
      </c>
      <c r="E237" t="str">
        <f>Table11[[#This Row],[Contract Code]]</f>
        <v>US0100</v>
      </c>
      <c r="F237">
        <f>Table11[[#This Row],['#TreesContract]]</f>
        <v>1100</v>
      </c>
      <c r="G237">
        <f>Table11[[#This Row],['#Planted]]</f>
        <v>1100</v>
      </c>
      <c r="H237" s="16">
        <f>Table11[[#This Row],['#TreesContract]]*Table11[[#This Row],[Canada Allocation2017 %]]</f>
        <v>0</v>
      </c>
      <c r="I237" s="16">
        <f>Table11[[#This Row],['#Planted]]*Table11[[#This Row],[Canada Allocation2017 %]]</f>
        <v>0</v>
      </c>
      <c r="J237" s="16">
        <f>Table11[[#This Row],[Contract Amendment]]*Table11[[#This Row],[Canada Allocation2017 %]]</f>
        <v>0</v>
      </c>
      <c r="K237" s="16">
        <f>Table11[[#This Row],['#Trees as of 12/31/23]]*Table11[[#This Row],[Canada Allocation2017 %]]</f>
        <v>0</v>
      </c>
      <c r="L237" s="16">
        <f>Table11[[#This Row],['#Replace 24]]*Table11[[#This Row],[Canada Allocation2017 %]]</f>
        <v>0</v>
      </c>
      <c r="M237" s="16"/>
      <c r="N237" s="16">
        <f>(Table11[[#This Row],[2024 '#Trees Inventory + Estimate]]*Table11[[#This Row],[Canada Allocation2017 %]])-SUM(Table3789[[#This Row],['# Trees as of 12/31/23]:[New Trees/Planted in 2024]])</f>
        <v>0</v>
      </c>
      <c r="O237" s="32">
        <f>SUM(Table3789[[#This Row],['# Trees as of 12/31/23]:[2024 Tree Losses]])</f>
        <v>0</v>
      </c>
      <c r="P237" s="32">
        <f>SUM(Table3789[[#This Row],[Total Trees as of 12/31/24]]-Table3789[[#This Row],['# Trees as of 12/31/23]])</f>
        <v>0</v>
      </c>
      <c r="Q237" s="16">
        <f>Table11[[#This Row],['#Total Replacements]]*Table11[[#This Row],[Canada Allocation2017 %]]</f>
        <v>0</v>
      </c>
      <c r="R237" s="32">
        <f>IF(Table3789[[#This Row],['#Survival based on Inventory]]=0,Table3789['#Survival based on Last Year Estimate],Table3789['#Survival based on Inventory])</f>
        <v>0</v>
      </c>
      <c r="S237" s="16">
        <f>Table11[[#This Row],['#Planted]]*Table11[[#This Row],[Canada Allocation2017 %]]*Table11[[#This Row],[2024 Inventory Survival%-master]]</f>
        <v>0</v>
      </c>
      <c r="T237" s="16">
        <f>Table11[[#This Row],['#Planted]]*Table11[[#This Row],[Canada Allocation2017 %]]*Table11[[#This Row],[2024 Estimated Survival%]]</f>
        <v>0</v>
      </c>
      <c r="U237" s="7">
        <f>Table11[[#This Row],[ETP Year]]</f>
        <v>2021</v>
      </c>
      <c r="V237" s="7">
        <f>Table11[[#This Row],[Planting Year]]</f>
        <v>2021</v>
      </c>
      <c r="W237" s="17">
        <f>Table11[[#This Row],[Survival% as of 12/31/23]]</f>
        <v>0.98090909090909095</v>
      </c>
      <c r="X237">
        <f>Table11[[#This Row],[ETP'#s]]</f>
        <v>1</v>
      </c>
    </row>
    <row r="238" spans="1:24" x14ac:dyDescent="0.25">
      <c r="A238">
        <f>Table11[[#This Row],[Farmer'#]]</f>
        <v>10087</v>
      </c>
      <c r="B238" t="str">
        <f>Table11[[#This Row],[Representative]]</f>
        <v>Jamie Hayes</v>
      </c>
      <c r="C238" t="str">
        <f>Table11[[#This Row],[Contract Name]]</f>
        <v>Jamie  Hayes</v>
      </c>
      <c r="D238" t="str">
        <f>Table11[[#This Row],[Status]]</f>
        <v>Active</v>
      </c>
      <c r="E238" t="str">
        <f>Table11[[#This Row],[Contract Code]]</f>
        <v>US0101</v>
      </c>
      <c r="F238">
        <f>Table11[[#This Row],['#TreesContract]]</f>
        <v>1100</v>
      </c>
      <c r="G238">
        <f>Table11[[#This Row],['#Planted]]</f>
        <v>1100</v>
      </c>
      <c r="H238" s="16">
        <f>Table11[[#This Row],['#TreesContract]]*Table11[[#This Row],[Canada Allocation2017 %]]</f>
        <v>0</v>
      </c>
      <c r="I238" s="16">
        <f>Table11[[#This Row],['#Planted]]*Table11[[#This Row],[Canada Allocation2017 %]]</f>
        <v>0</v>
      </c>
      <c r="J238" s="16">
        <f>Table11[[#This Row],[Contract Amendment]]*Table11[[#This Row],[Canada Allocation2017 %]]</f>
        <v>0</v>
      </c>
      <c r="K238" s="16">
        <f>Table11[[#This Row],['#Trees as of 12/31/23]]*Table11[[#This Row],[Canada Allocation2017 %]]</f>
        <v>0</v>
      </c>
      <c r="L238" s="16">
        <f>Table11[[#This Row],['#Replace 24]]*Table11[[#This Row],[Canada Allocation2017 %]]</f>
        <v>0</v>
      </c>
      <c r="M238" s="16"/>
      <c r="N238" s="16">
        <f>(Table11[[#This Row],[2024 '#Trees Inventory + Estimate]]*Table11[[#This Row],[Canada Allocation2017 %]])-SUM(Table3789[[#This Row],['# Trees as of 12/31/23]:[New Trees/Planted in 2024]])</f>
        <v>0</v>
      </c>
      <c r="O238" s="32">
        <f>SUM(Table3789[[#This Row],['# Trees as of 12/31/23]:[2024 Tree Losses]])</f>
        <v>0</v>
      </c>
      <c r="P238" s="32">
        <f>SUM(Table3789[[#This Row],[Total Trees as of 12/31/24]]-Table3789[[#This Row],['# Trees as of 12/31/23]])</f>
        <v>0</v>
      </c>
      <c r="Q238" s="16">
        <f>Table11[[#This Row],['#Total Replacements]]*Table11[[#This Row],[Canada Allocation2017 %]]</f>
        <v>0</v>
      </c>
      <c r="R238" s="32">
        <f>IF(Table3789[[#This Row],['#Survival based on Inventory]]=0,Table3789['#Survival based on Last Year Estimate],Table3789['#Survival based on Inventory])</f>
        <v>0</v>
      </c>
      <c r="S238" s="16">
        <f>Table11[[#This Row],['#Planted]]*Table11[[#This Row],[Canada Allocation2017 %]]*Table11[[#This Row],[2024 Inventory Survival%-master]]</f>
        <v>0</v>
      </c>
      <c r="T238" s="16">
        <f>Table11[[#This Row],['#Planted]]*Table11[[#This Row],[Canada Allocation2017 %]]*Table11[[#This Row],[2024 Estimated Survival%]]</f>
        <v>0</v>
      </c>
      <c r="U238" s="7">
        <f>Table11[[#This Row],[ETP Year]]</f>
        <v>2020</v>
      </c>
      <c r="V238" s="7">
        <f>Table11[[#This Row],[Planting Year]]</f>
        <v>2021</v>
      </c>
      <c r="W238" s="17">
        <f>Table11[[#This Row],[Survival% as of 12/31/23]]</f>
        <v>0.80335858585858588</v>
      </c>
      <c r="X238">
        <f>Table11[[#This Row],[ETP'#s]]</f>
        <v>1</v>
      </c>
    </row>
    <row r="239" spans="1:24" hidden="1" x14ac:dyDescent="0.25">
      <c r="A239">
        <f>Table11[[#This Row],[Farmer'#]]</f>
        <v>10088</v>
      </c>
      <c r="B239" t="str">
        <f>Table11[[#This Row],[Representative]]</f>
        <v>Jared Lilly</v>
      </c>
      <c r="C239" t="str">
        <f>Table11[[#This Row],[Contract Name]]</f>
        <v>Jared  Lilly</v>
      </c>
      <c r="D239" t="str">
        <f>Table11[[#This Row],[Status]]</f>
        <v>Active</v>
      </c>
      <c r="E239" t="str">
        <f>Table11[[#This Row],[Contract Code]]</f>
        <v>US0102</v>
      </c>
      <c r="F239">
        <f>Table11[[#This Row],['#TreesContract]]</f>
        <v>880</v>
      </c>
      <c r="G239">
        <f>Table11[[#This Row],['#Planted]]</f>
        <v>880</v>
      </c>
      <c r="H239" s="16">
        <f>Table11[[#This Row],['#TreesContract]]*Table11[[#This Row],[Canada Allocation2017 %]]</f>
        <v>0</v>
      </c>
      <c r="I239" s="16">
        <f>Table11[[#This Row],['#Planted]]*Table11[[#This Row],[Canada Allocation2017 %]]</f>
        <v>0</v>
      </c>
      <c r="J239" s="16">
        <f>Table11[[#This Row],[Contract Amendment]]*Table11[[#This Row],[Canada Allocation2017 %]]</f>
        <v>0</v>
      </c>
      <c r="K239" s="16">
        <f>Table11[[#This Row],['#Trees as of 12/31/23]]*Table11[[#This Row],[Canada Allocation2017 %]]</f>
        <v>0</v>
      </c>
      <c r="L239" s="16">
        <f>Table11[[#This Row],['#Replace 24]]*Table11[[#This Row],[Canada Allocation2017 %]]</f>
        <v>0</v>
      </c>
      <c r="M239" s="16"/>
      <c r="N239" s="16">
        <f>(Table11[[#This Row],[2024 '#Trees Inventory + Estimate]]*Table11[[#This Row],[Canada Allocation2017 %]])-SUM(Table3789[[#This Row],['# Trees as of 12/31/23]:[New Trees/Planted in 2024]])</f>
        <v>0</v>
      </c>
      <c r="O239" s="32">
        <f>SUM(Table3789[[#This Row],['# Trees as of 12/31/23]:[2024 Tree Losses]])</f>
        <v>0</v>
      </c>
      <c r="P239" s="32">
        <f>SUM(Table3789[[#This Row],[Total Trees as of 12/31/24]]-Table3789[[#This Row],['# Trees as of 12/31/23]])</f>
        <v>0</v>
      </c>
      <c r="Q239" s="16">
        <f>Table11[[#This Row],['#Total Replacements]]*Table11[[#This Row],[Canada Allocation2017 %]]</f>
        <v>0</v>
      </c>
      <c r="R239" s="32">
        <f>IF(Table3789[[#This Row],['#Survival based on Inventory]]=0,Table3789['#Survival based on Last Year Estimate],Table3789['#Survival based on Inventory])</f>
        <v>0</v>
      </c>
      <c r="S239" s="16">
        <f>Table11[[#This Row],['#Planted]]*Table11[[#This Row],[Canada Allocation2017 %]]*Table11[[#This Row],[2024 Inventory Survival%-master]]</f>
        <v>0</v>
      </c>
      <c r="T239" s="16">
        <f>Table11[[#This Row],['#Planted]]*Table11[[#This Row],[Canada Allocation2017 %]]*Table11[[#This Row],[2024 Estimated Survival%]]</f>
        <v>0</v>
      </c>
      <c r="U239" s="7">
        <f>Table11[[#This Row],[ETP Year]]</f>
        <v>2020</v>
      </c>
      <c r="V239" s="7">
        <f>Table11[[#This Row],[Planting Year]]</f>
        <v>2021</v>
      </c>
      <c r="W239" s="17">
        <f>Table11[[#This Row],[Survival% as of 12/31/23]]</f>
        <v>0.90427328353464731</v>
      </c>
      <c r="X239">
        <f>Table11[[#This Row],[ETP'#s]]</f>
        <v>1</v>
      </c>
    </row>
    <row r="240" spans="1:24" hidden="1" x14ac:dyDescent="0.25">
      <c r="A240">
        <f>Table11[[#This Row],[Farmer'#]]</f>
        <v>10089</v>
      </c>
      <c r="B240" t="str">
        <f>Table11[[#This Row],[Representative]]</f>
        <v>Anthony Lea</v>
      </c>
      <c r="C240" t="str">
        <f>Table11[[#This Row],[Contract Name]]</f>
        <v>Anthony Lea</v>
      </c>
      <c r="D240" t="str">
        <f>Table11[[#This Row],[Status]]</f>
        <v>Active</v>
      </c>
      <c r="E240" t="str">
        <f>Table11[[#This Row],[Contract Code]]</f>
        <v>US0103</v>
      </c>
      <c r="F240">
        <f>Table11[[#This Row],['#TreesContract]]</f>
        <v>1100</v>
      </c>
      <c r="G240">
        <f>Table11[[#This Row],['#Planted]]</f>
        <v>1100</v>
      </c>
      <c r="H240" s="16">
        <f>Table11[[#This Row],['#TreesContract]]*Table11[[#This Row],[Canada Allocation2017 %]]</f>
        <v>0</v>
      </c>
      <c r="I240" s="16">
        <f>Table11[[#This Row],['#Planted]]*Table11[[#This Row],[Canada Allocation2017 %]]</f>
        <v>0</v>
      </c>
      <c r="J240" s="16">
        <f>Table11[[#This Row],[Contract Amendment]]*Table11[[#This Row],[Canada Allocation2017 %]]</f>
        <v>0</v>
      </c>
      <c r="K240" s="16">
        <f>Table11[[#This Row],['#Trees as of 12/31/23]]*Table11[[#This Row],[Canada Allocation2017 %]]</f>
        <v>0</v>
      </c>
      <c r="L240" s="16">
        <f>Table11[[#This Row],['#Replace 24]]*Table11[[#This Row],[Canada Allocation2017 %]]</f>
        <v>0</v>
      </c>
      <c r="M240" s="16"/>
      <c r="N240" s="16">
        <f>(Table11[[#This Row],[2024 '#Trees Inventory + Estimate]]*Table11[[#This Row],[Canada Allocation2017 %]])-SUM(Table3789[[#This Row],['# Trees as of 12/31/23]:[New Trees/Planted in 2024]])</f>
        <v>0</v>
      </c>
      <c r="O240" s="32">
        <f>SUM(Table3789[[#This Row],['# Trees as of 12/31/23]:[2024 Tree Losses]])</f>
        <v>0</v>
      </c>
      <c r="P240" s="32">
        <f>SUM(Table3789[[#This Row],[Total Trees as of 12/31/24]]-Table3789[[#This Row],['# Trees as of 12/31/23]])</f>
        <v>0</v>
      </c>
      <c r="Q240" s="16">
        <f>Table11[[#This Row],['#Total Replacements]]*Table11[[#This Row],[Canada Allocation2017 %]]</f>
        <v>0</v>
      </c>
      <c r="R240" s="32">
        <f>IF(Table3789[[#This Row],['#Survival based on Inventory]]=0,Table3789['#Survival based on Last Year Estimate],Table3789['#Survival based on Inventory])</f>
        <v>0</v>
      </c>
      <c r="S240" s="16">
        <f>Table11[[#This Row],['#Planted]]*Table11[[#This Row],[Canada Allocation2017 %]]*Table11[[#This Row],[2024 Inventory Survival%-master]]</f>
        <v>0</v>
      </c>
      <c r="T240" s="16">
        <f>Table11[[#This Row],['#Planted]]*Table11[[#This Row],[Canada Allocation2017 %]]*Table11[[#This Row],[2024 Estimated Survival%]]</f>
        <v>0</v>
      </c>
      <c r="U240" s="7">
        <f>Table11[[#This Row],[ETP Year]]</f>
        <v>2020</v>
      </c>
      <c r="V240" s="7">
        <f>Table11[[#This Row],[Planting Year]]</f>
        <v>2021</v>
      </c>
      <c r="W240" s="17">
        <f>Table11[[#This Row],[Survival% as of 12/31/23]]</f>
        <v>1</v>
      </c>
      <c r="X240">
        <f>Table11[[#This Row],[ETP'#s]]</f>
        <v>1</v>
      </c>
    </row>
    <row r="241" spans="1:24" hidden="1" x14ac:dyDescent="0.25">
      <c r="A241">
        <f>Table11[[#This Row],[Farmer'#]]</f>
        <v>10090</v>
      </c>
      <c r="B241" t="str">
        <f>Table11[[#This Row],[Representative]]</f>
        <v>Joe Lilly</v>
      </c>
      <c r="C241" t="str">
        <f>Table11[[#This Row],[Contract Name]]</f>
        <v>Joe Lilly</v>
      </c>
      <c r="D241" t="str">
        <f>Table11[[#This Row],[Status]]</f>
        <v>Active</v>
      </c>
      <c r="E241" t="str">
        <f>Table11[[#This Row],[Contract Code]]</f>
        <v>US0104</v>
      </c>
      <c r="F241">
        <f>Table11[[#This Row],['#TreesContract]]</f>
        <v>1210</v>
      </c>
      <c r="G241">
        <f>Table11[[#This Row],['#Planted]]</f>
        <v>1210</v>
      </c>
      <c r="H241" s="16">
        <f>Table11[[#This Row],['#TreesContract]]*Table11[[#This Row],[Canada Allocation2017 %]]</f>
        <v>0</v>
      </c>
      <c r="I241" s="16">
        <f>Table11[[#This Row],['#Planted]]*Table11[[#This Row],[Canada Allocation2017 %]]</f>
        <v>0</v>
      </c>
      <c r="J241" s="16">
        <f>Table11[[#This Row],[Contract Amendment]]*Table11[[#This Row],[Canada Allocation2017 %]]</f>
        <v>0</v>
      </c>
      <c r="K241" s="16">
        <f>Table11[[#This Row],['#Trees as of 12/31/23]]*Table11[[#This Row],[Canada Allocation2017 %]]</f>
        <v>0</v>
      </c>
      <c r="L241" s="16">
        <f>Table11[[#This Row],['#Replace 24]]*Table11[[#This Row],[Canada Allocation2017 %]]</f>
        <v>0</v>
      </c>
      <c r="M241" s="16"/>
      <c r="N241" s="16">
        <f>(Table11[[#This Row],[2024 '#Trees Inventory + Estimate]]*Table11[[#This Row],[Canada Allocation2017 %]])-SUM(Table3789[[#This Row],['# Trees as of 12/31/23]:[New Trees/Planted in 2024]])</f>
        <v>0</v>
      </c>
      <c r="O241" s="32">
        <f>SUM(Table3789[[#This Row],['# Trees as of 12/31/23]:[2024 Tree Losses]])</f>
        <v>0</v>
      </c>
      <c r="P241" s="32">
        <f>SUM(Table3789[[#This Row],[Total Trees as of 12/31/24]]-Table3789[[#This Row],['# Trees as of 12/31/23]])</f>
        <v>0</v>
      </c>
      <c r="Q241" s="16">
        <f>Table11[[#This Row],['#Total Replacements]]*Table11[[#This Row],[Canada Allocation2017 %]]</f>
        <v>0</v>
      </c>
      <c r="R241" s="32">
        <f>IF(Table3789[[#This Row],['#Survival based on Inventory]]=0,Table3789['#Survival based on Last Year Estimate],Table3789['#Survival based on Inventory])</f>
        <v>0</v>
      </c>
      <c r="S241" s="16">
        <f>Table11[[#This Row],['#Planted]]*Table11[[#This Row],[Canada Allocation2017 %]]*Table11[[#This Row],[2024 Inventory Survival%-master]]</f>
        <v>0</v>
      </c>
      <c r="T241" s="16">
        <f>Table11[[#This Row],['#Planted]]*Table11[[#This Row],[Canada Allocation2017 %]]*Table11[[#This Row],[2024 Estimated Survival%]]</f>
        <v>0</v>
      </c>
      <c r="U241" s="7">
        <f>Table11[[#This Row],[ETP Year]]</f>
        <v>2021</v>
      </c>
      <c r="V241" s="7">
        <f>Table11[[#This Row],[Planting Year]]</f>
        <v>2021</v>
      </c>
      <c r="W241" s="17">
        <f>Table11[[#This Row],[Survival% as of 12/31/23]]</f>
        <v>0.98422238918106675</v>
      </c>
      <c r="X241">
        <f>Table11[[#This Row],[ETP'#s]]</f>
        <v>1</v>
      </c>
    </row>
    <row r="242" spans="1:24" hidden="1" x14ac:dyDescent="0.25">
      <c r="A242">
        <f>Table11[[#This Row],[Farmer'#]]</f>
        <v>10091</v>
      </c>
      <c r="B242" t="str">
        <f>Table11[[#This Row],[Representative]]</f>
        <v>John Wilson</v>
      </c>
      <c r="C242" t="str">
        <f>Table11[[#This Row],[Contract Name]]</f>
        <v>John Wilson</v>
      </c>
      <c r="D242" t="str">
        <f>Table11[[#This Row],[Status]]</f>
        <v>Active</v>
      </c>
      <c r="E242" t="str">
        <f>Table11[[#This Row],[Contract Code]]</f>
        <v>US0106</v>
      </c>
      <c r="F242">
        <f>Table11[[#This Row],['#TreesContract]]</f>
        <v>1100</v>
      </c>
      <c r="G242">
        <f>Table11[[#This Row],['#Planted]]</f>
        <v>1100</v>
      </c>
      <c r="H242" s="16">
        <f>Table11[[#This Row],['#TreesContract]]*Table11[[#This Row],[Canada Allocation2017 %]]</f>
        <v>0</v>
      </c>
      <c r="I242" s="16">
        <f>Table11[[#This Row],['#Planted]]*Table11[[#This Row],[Canada Allocation2017 %]]</f>
        <v>0</v>
      </c>
      <c r="J242" s="16">
        <f>Table11[[#This Row],[Contract Amendment]]*Table11[[#This Row],[Canada Allocation2017 %]]</f>
        <v>0</v>
      </c>
      <c r="K242" s="16">
        <f>Table11[[#This Row],['#Trees as of 12/31/23]]*Table11[[#This Row],[Canada Allocation2017 %]]</f>
        <v>0</v>
      </c>
      <c r="L242" s="16">
        <f>Table11[[#This Row],['#Replace 24]]*Table11[[#This Row],[Canada Allocation2017 %]]</f>
        <v>0</v>
      </c>
      <c r="M242" s="16"/>
      <c r="N242" s="16">
        <f>(Table11[[#This Row],[2024 '#Trees Inventory + Estimate]]*Table11[[#This Row],[Canada Allocation2017 %]])-SUM(Table3789[[#This Row],['# Trees as of 12/31/23]:[New Trees/Planted in 2024]])</f>
        <v>0</v>
      </c>
      <c r="O242" s="32">
        <f>SUM(Table3789[[#This Row],['# Trees as of 12/31/23]:[2024 Tree Losses]])</f>
        <v>0</v>
      </c>
      <c r="P242" s="32">
        <f>SUM(Table3789[[#This Row],[Total Trees as of 12/31/24]]-Table3789[[#This Row],['# Trees as of 12/31/23]])</f>
        <v>0</v>
      </c>
      <c r="Q242" s="16">
        <f>Table11[[#This Row],['#Total Replacements]]*Table11[[#This Row],[Canada Allocation2017 %]]</f>
        <v>0</v>
      </c>
      <c r="R242" s="32">
        <f>IF(Table3789[[#This Row],['#Survival based on Inventory]]=0,Table3789['#Survival based on Last Year Estimate],Table3789['#Survival based on Inventory])</f>
        <v>0</v>
      </c>
      <c r="S242" s="16">
        <f>Table11[[#This Row],['#Planted]]*Table11[[#This Row],[Canada Allocation2017 %]]*Table11[[#This Row],[2024 Inventory Survival%-master]]</f>
        <v>0</v>
      </c>
      <c r="T242" s="16">
        <f>Table11[[#This Row],['#Planted]]*Table11[[#This Row],[Canada Allocation2017 %]]*Table11[[#This Row],[2024 Estimated Survival%]]</f>
        <v>0</v>
      </c>
      <c r="U242" s="7">
        <f>Table11[[#This Row],[ETP Year]]</f>
        <v>2021</v>
      </c>
      <c r="V242" s="7">
        <f>Table11[[#This Row],[Planting Year]]</f>
        <v>2021</v>
      </c>
      <c r="W242" s="17">
        <f>Table11[[#This Row],[Survival% as of 12/31/23]]</f>
        <v>0.89767355371900837</v>
      </c>
      <c r="X242">
        <f>Table11[[#This Row],[ETP'#s]]</f>
        <v>1</v>
      </c>
    </row>
    <row r="243" spans="1:24" hidden="1" x14ac:dyDescent="0.25">
      <c r="A243">
        <f>Table11[[#This Row],[Farmer'#]]</f>
        <v>10092</v>
      </c>
      <c r="B243" t="str">
        <f>Table11[[#This Row],[Representative]]</f>
        <v>Jordy McMahan</v>
      </c>
      <c r="C243" t="str">
        <f>Table11[[#This Row],[Contract Name]]</f>
        <v>Jordy and Kim P McMahan</v>
      </c>
      <c r="D243" t="str">
        <f>Table11[[#This Row],[Status]]</f>
        <v>Out of Program</v>
      </c>
      <c r="E243" t="str">
        <f>Table11[[#This Row],[Contract Code]]</f>
        <v>US0107</v>
      </c>
      <c r="F243">
        <f>Table11[[#This Row],['#TreesContract]]</f>
        <v>550</v>
      </c>
      <c r="G243">
        <f>Table11[[#This Row],['#Planted]]</f>
        <v>550</v>
      </c>
      <c r="H243" s="16">
        <f>Table11[[#This Row],['#TreesContract]]*Table11[[#This Row],[Canada Allocation2017 %]]</f>
        <v>0</v>
      </c>
      <c r="I243" s="16">
        <f>Table11[[#This Row],['#Planted]]*Table11[[#This Row],[Canada Allocation2017 %]]</f>
        <v>0</v>
      </c>
      <c r="J243" s="16">
        <f>Table11[[#This Row],[Contract Amendment]]*Table11[[#This Row],[Canada Allocation2017 %]]</f>
        <v>0</v>
      </c>
      <c r="K243" s="16">
        <f>Table11[[#This Row],['#Trees as of 12/31/23]]*Table11[[#This Row],[Canada Allocation2017 %]]</f>
        <v>0</v>
      </c>
      <c r="L243" s="16">
        <f>Table11[[#This Row],['#Replace 24]]*Table11[[#This Row],[Canada Allocation2017 %]]</f>
        <v>0</v>
      </c>
      <c r="M243" s="16"/>
      <c r="N243" s="16">
        <f>(Table11[[#This Row],[2024 '#Trees Inventory + Estimate]]*Table11[[#This Row],[Canada Allocation2017 %]])-SUM(Table3789[[#This Row],['# Trees as of 12/31/23]:[New Trees/Planted in 2024]])</f>
        <v>0</v>
      </c>
      <c r="O243" s="32">
        <f>SUM(Table3789[[#This Row],['# Trees as of 12/31/23]:[2024 Tree Losses]])</f>
        <v>0</v>
      </c>
      <c r="P243" s="32">
        <f>SUM(Table3789[[#This Row],[Total Trees as of 12/31/24]]-Table3789[[#This Row],['# Trees as of 12/31/23]])</f>
        <v>0</v>
      </c>
      <c r="Q243" s="16">
        <f>Table11[[#This Row],['#Total Replacements]]*Table11[[#This Row],[Canada Allocation2017 %]]</f>
        <v>0</v>
      </c>
      <c r="R243" s="32">
        <f>IF(Table3789[[#This Row],['#Survival based on Inventory]]=0,Table3789['#Survival based on Last Year Estimate],Table3789['#Survival based on Inventory])</f>
        <v>0</v>
      </c>
      <c r="S243" s="16">
        <f>Table11[[#This Row],['#Planted]]*Table11[[#This Row],[Canada Allocation2017 %]]*Table11[[#This Row],[2024 Inventory Survival%-master]]</f>
        <v>0</v>
      </c>
      <c r="T243" s="16">
        <f>Table11[[#This Row],['#Planted]]*Table11[[#This Row],[Canada Allocation2017 %]]*Table11[[#This Row],[2024 Estimated Survival%]]</f>
        <v>0</v>
      </c>
      <c r="U243" s="7">
        <f>Table11[[#This Row],[ETP Year]]</f>
        <v>2020</v>
      </c>
      <c r="V243" s="7">
        <f>Table11[[#This Row],[Planting Year]]</f>
        <v>2021</v>
      </c>
      <c r="W243" s="17">
        <f>Table11[[#This Row],[Survival% as of 12/31/23]]</f>
        <v>0.90649035812672174</v>
      </c>
      <c r="X243">
        <f>Table11[[#This Row],[ETP'#s]]</f>
        <v>1</v>
      </c>
    </row>
    <row r="244" spans="1:24" hidden="1" x14ac:dyDescent="0.25">
      <c r="A244">
        <f>Table11[[#This Row],[Farmer'#]]</f>
        <v>10092</v>
      </c>
      <c r="B244" t="str">
        <f>Table11[[#This Row],[Representative]]</f>
        <v>Jordy McMahan</v>
      </c>
      <c r="C244" t="str">
        <f>Table11[[#This Row],[Contract Name]]</f>
        <v>Jordy McMahan</v>
      </c>
      <c r="D244" t="str">
        <f>Table11[[#This Row],[Status]]</f>
        <v>Out of Program</v>
      </c>
      <c r="E244" t="str">
        <f>Table11[[#This Row],[Contract Code]]</f>
        <v>US0108</v>
      </c>
      <c r="F244">
        <f>Table11[[#This Row],['#TreesContract]]</f>
        <v>1100</v>
      </c>
      <c r="G244">
        <f>Table11[[#This Row],['#Planted]]</f>
        <v>1100</v>
      </c>
      <c r="H244" s="16">
        <f>Table11[[#This Row],['#TreesContract]]*Table11[[#This Row],[Canada Allocation2017 %]]</f>
        <v>0</v>
      </c>
      <c r="I244" s="16">
        <f>Table11[[#This Row],['#Planted]]*Table11[[#This Row],[Canada Allocation2017 %]]</f>
        <v>0</v>
      </c>
      <c r="J244" s="16">
        <f>Table11[[#This Row],[Contract Amendment]]*Table11[[#This Row],[Canada Allocation2017 %]]</f>
        <v>0</v>
      </c>
      <c r="K244" s="16">
        <f>Table11[[#This Row],['#Trees as of 12/31/23]]*Table11[[#This Row],[Canada Allocation2017 %]]</f>
        <v>0</v>
      </c>
      <c r="L244" s="16">
        <f>Table11[[#This Row],['#Replace 24]]*Table11[[#This Row],[Canada Allocation2017 %]]</f>
        <v>0</v>
      </c>
      <c r="M244" s="16"/>
      <c r="N244" s="16">
        <f>(Table11[[#This Row],[2024 '#Trees Inventory + Estimate]]*Table11[[#This Row],[Canada Allocation2017 %]])-SUM(Table3789[[#This Row],['# Trees as of 12/31/23]:[New Trees/Planted in 2024]])</f>
        <v>0</v>
      </c>
      <c r="O244" s="32">
        <f>SUM(Table3789[[#This Row],['# Trees as of 12/31/23]:[2024 Tree Losses]])</f>
        <v>0</v>
      </c>
      <c r="P244" s="32">
        <f>SUM(Table3789[[#This Row],[Total Trees as of 12/31/24]]-Table3789[[#This Row],['# Trees as of 12/31/23]])</f>
        <v>0</v>
      </c>
      <c r="Q244" s="16">
        <f>Table11[[#This Row],['#Total Replacements]]*Table11[[#This Row],[Canada Allocation2017 %]]</f>
        <v>0</v>
      </c>
      <c r="R244" s="32">
        <f>IF(Table3789[[#This Row],['#Survival based on Inventory]]=0,Table3789['#Survival based on Last Year Estimate],Table3789['#Survival based on Inventory])</f>
        <v>0</v>
      </c>
      <c r="S244" s="16">
        <f>Table11[[#This Row],['#Planted]]*Table11[[#This Row],[Canada Allocation2017 %]]*Table11[[#This Row],[2024 Inventory Survival%-master]]</f>
        <v>0</v>
      </c>
      <c r="T244" s="16">
        <f>Table11[[#This Row],['#Planted]]*Table11[[#This Row],[Canada Allocation2017 %]]*Table11[[#This Row],[2024 Estimated Survival%]]</f>
        <v>0</v>
      </c>
      <c r="U244" s="7">
        <f>Table11[[#This Row],[ETP Year]]</f>
        <v>2020</v>
      </c>
      <c r="V244" s="7">
        <f>Table11[[#This Row],[Planting Year]]</f>
        <v>2021</v>
      </c>
      <c r="W244" s="17">
        <f>Table11[[#This Row],[Survival% as of 12/31/23]]</f>
        <v>0.89884615384615374</v>
      </c>
      <c r="X244">
        <f>Table11[[#This Row],[ETP'#s]]</f>
        <v>1</v>
      </c>
    </row>
    <row r="245" spans="1:24" hidden="1" x14ac:dyDescent="0.25">
      <c r="A245">
        <f>Table11[[#This Row],[Farmer'#]]</f>
        <v>10093</v>
      </c>
      <c r="B245" t="str">
        <f>Table11[[#This Row],[Representative]]</f>
        <v>Keith Bell</v>
      </c>
      <c r="C245" t="str">
        <f>Table11[[#This Row],[Contract Name]]</f>
        <v>Keith  Bell</v>
      </c>
      <c r="D245" t="str">
        <f>Table11[[#This Row],[Status]]</f>
        <v>Active</v>
      </c>
      <c r="E245" t="str">
        <f>Table11[[#This Row],[Contract Code]]</f>
        <v>US0109</v>
      </c>
      <c r="F245">
        <f>Table11[[#This Row],['#TreesContract]]</f>
        <v>1100</v>
      </c>
      <c r="G245">
        <f>Table11[[#This Row],['#Planted]]</f>
        <v>1100</v>
      </c>
      <c r="H245" s="16">
        <f>Table11[[#This Row],['#TreesContract]]*Table11[[#This Row],[Canada Allocation2017 %]]</f>
        <v>0</v>
      </c>
      <c r="I245" s="16">
        <f>Table11[[#This Row],['#Planted]]*Table11[[#This Row],[Canada Allocation2017 %]]</f>
        <v>0</v>
      </c>
      <c r="J245" s="16">
        <f>Table11[[#This Row],[Contract Amendment]]*Table11[[#This Row],[Canada Allocation2017 %]]</f>
        <v>0</v>
      </c>
      <c r="K245" s="16">
        <f>Table11[[#This Row],['#Trees as of 12/31/23]]*Table11[[#This Row],[Canada Allocation2017 %]]</f>
        <v>0</v>
      </c>
      <c r="L245" s="16">
        <f>Table11[[#This Row],['#Replace 24]]*Table11[[#This Row],[Canada Allocation2017 %]]</f>
        <v>0</v>
      </c>
      <c r="M245" s="16"/>
      <c r="N245" s="16">
        <f>(Table11[[#This Row],[2024 '#Trees Inventory + Estimate]]*Table11[[#This Row],[Canada Allocation2017 %]])-SUM(Table3789[[#This Row],['# Trees as of 12/31/23]:[New Trees/Planted in 2024]])</f>
        <v>0</v>
      </c>
      <c r="O245" s="32">
        <f>SUM(Table3789[[#This Row],['# Trees as of 12/31/23]:[2024 Tree Losses]])</f>
        <v>0</v>
      </c>
      <c r="P245" s="32">
        <f>SUM(Table3789[[#This Row],[Total Trees as of 12/31/24]]-Table3789[[#This Row],['# Trees as of 12/31/23]])</f>
        <v>0</v>
      </c>
      <c r="Q245" s="16">
        <f>Table11[[#This Row],['#Total Replacements]]*Table11[[#This Row],[Canada Allocation2017 %]]</f>
        <v>0</v>
      </c>
      <c r="R245" s="32">
        <f>IF(Table3789[[#This Row],['#Survival based on Inventory]]=0,Table3789['#Survival based on Last Year Estimate],Table3789['#Survival based on Inventory])</f>
        <v>0</v>
      </c>
      <c r="S245" s="16">
        <f>Table11[[#This Row],['#Planted]]*Table11[[#This Row],[Canada Allocation2017 %]]*Table11[[#This Row],[2024 Inventory Survival%-master]]</f>
        <v>0</v>
      </c>
      <c r="T245" s="16">
        <f>Table11[[#This Row],['#Planted]]*Table11[[#This Row],[Canada Allocation2017 %]]*Table11[[#This Row],[2024 Estimated Survival%]]</f>
        <v>0</v>
      </c>
      <c r="U245" s="7">
        <f>Table11[[#This Row],[ETP Year]]</f>
        <v>2020</v>
      </c>
      <c r="V245" s="7">
        <f>Table11[[#This Row],[Planting Year]]</f>
        <v>2021</v>
      </c>
      <c r="W245" s="17">
        <f>Table11[[#This Row],[Survival% as of 12/31/23]]</f>
        <v>0.95415977961432497</v>
      </c>
      <c r="X245">
        <f>Table11[[#This Row],[ETP'#s]]</f>
        <v>1</v>
      </c>
    </row>
    <row r="246" spans="1:24" hidden="1" x14ac:dyDescent="0.25">
      <c r="A246">
        <f>Table11[[#This Row],[Farmer'#]]</f>
        <v>10094</v>
      </c>
      <c r="B246" t="str">
        <f>Table11[[#This Row],[Representative]]</f>
        <v>Kyle Flint</v>
      </c>
      <c r="C246" t="str">
        <f>Table11[[#This Row],[Contract Name]]</f>
        <v>RD Land and Materials LLC</v>
      </c>
      <c r="D246" t="str">
        <f>Table11[[#This Row],[Status]]</f>
        <v>RFT</v>
      </c>
      <c r="E246" t="str">
        <f>Table11[[#This Row],[Contract Code]]</f>
        <v>US0110</v>
      </c>
      <c r="F246">
        <f>Table11[[#This Row],['#TreesContract]]</f>
        <v>1100</v>
      </c>
      <c r="G246">
        <f>Table11[[#This Row],['#Planted]]</f>
        <v>1100</v>
      </c>
      <c r="H246" s="16">
        <f>Table11[[#This Row],['#TreesContract]]*Table11[[#This Row],[Canada Allocation2017 %]]</f>
        <v>0</v>
      </c>
      <c r="I246" s="16">
        <f>Table11[[#This Row],['#Planted]]*Table11[[#This Row],[Canada Allocation2017 %]]</f>
        <v>0</v>
      </c>
      <c r="J246" s="16">
        <f>Table11[[#This Row],[Contract Amendment]]*Table11[[#This Row],[Canada Allocation2017 %]]</f>
        <v>0</v>
      </c>
      <c r="K246" s="16">
        <f>Table11[[#This Row],['#Trees as of 12/31/23]]*Table11[[#This Row],[Canada Allocation2017 %]]</f>
        <v>0</v>
      </c>
      <c r="L246" s="16">
        <f>Table11[[#This Row],['#Replace 24]]*Table11[[#This Row],[Canada Allocation2017 %]]</f>
        <v>0</v>
      </c>
      <c r="M246" s="16"/>
      <c r="N246" s="16">
        <f>(Table11[[#This Row],[2024 '#Trees Inventory + Estimate]]*Table11[[#This Row],[Canada Allocation2017 %]])-SUM(Table3789[[#This Row],['# Trees as of 12/31/23]:[New Trees/Planted in 2024]])</f>
        <v>0</v>
      </c>
      <c r="O246" s="32">
        <f>SUM(Table3789[[#This Row],['# Trees as of 12/31/23]:[2024 Tree Losses]])</f>
        <v>0</v>
      </c>
      <c r="P246" s="32">
        <f>SUM(Table3789[[#This Row],[Total Trees as of 12/31/24]]-Table3789[[#This Row],['# Trees as of 12/31/23]])</f>
        <v>0</v>
      </c>
      <c r="Q246" s="16">
        <f>Table11[[#This Row],['#Total Replacements]]*Table11[[#This Row],[Canada Allocation2017 %]]</f>
        <v>0</v>
      </c>
      <c r="R246" s="32">
        <f>IF(Table3789[[#This Row],['#Survival based on Inventory]]=0,Table3789['#Survival based on Last Year Estimate],Table3789['#Survival based on Inventory])</f>
        <v>0</v>
      </c>
      <c r="S246" s="16">
        <f>Table11[[#This Row],['#Planted]]*Table11[[#This Row],[Canada Allocation2017 %]]*Table11[[#This Row],[2024 Inventory Survival%-master]]</f>
        <v>0</v>
      </c>
      <c r="T246" s="16">
        <f>Table11[[#This Row],['#Planted]]*Table11[[#This Row],[Canada Allocation2017 %]]*Table11[[#This Row],[2024 Estimated Survival%]]</f>
        <v>0</v>
      </c>
      <c r="U246" s="7">
        <f>Table11[[#This Row],[ETP Year]]</f>
        <v>2021</v>
      </c>
      <c r="V246" s="7">
        <f>Table11[[#This Row],[Planting Year]]</f>
        <v>2021</v>
      </c>
      <c r="W246" s="17">
        <f>Table11[[#This Row],[Survival% as of 12/31/23]]</f>
        <v>0</v>
      </c>
      <c r="X246">
        <f>Table11[[#This Row],[ETP'#s]]</f>
        <v>1</v>
      </c>
    </row>
    <row r="247" spans="1:24" hidden="1" x14ac:dyDescent="0.25">
      <c r="A247">
        <f>Table11[[#This Row],[Farmer'#]]</f>
        <v>10095</v>
      </c>
      <c r="B247" t="str">
        <f>Table11[[#This Row],[Representative]]</f>
        <v>Loren Raymer</v>
      </c>
      <c r="C247" t="str">
        <f>Table11[[#This Row],[Contract Name]]</f>
        <v>Loren  Raymer</v>
      </c>
      <c r="D247" t="str">
        <f>Table11[[#This Row],[Status]]</f>
        <v>RFT</v>
      </c>
      <c r="E247" t="str">
        <f>Table11[[#This Row],[Contract Code]]</f>
        <v>US0111</v>
      </c>
      <c r="F247">
        <f>Table11[[#This Row],['#TreesContract]]</f>
        <v>1100</v>
      </c>
      <c r="G247">
        <f>Table11[[#This Row],['#Planted]]</f>
        <v>1100</v>
      </c>
      <c r="H247" s="16">
        <f>Table11[[#This Row],['#TreesContract]]*Table11[[#This Row],[Canada Allocation2017 %]]</f>
        <v>0</v>
      </c>
      <c r="I247" s="16">
        <f>Table11[[#This Row],['#Planted]]*Table11[[#This Row],[Canada Allocation2017 %]]</f>
        <v>0</v>
      </c>
      <c r="J247" s="16">
        <f>Table11[[#This Row],[Contract Amendment]]*Table11[[#This Row],[Canada Allocation2017 %]]</f>
        <v>0</v>
      </c>
      <c r="K247" s="16">
        <f>Table11[[#This Row],['#Trees as of 12/31/23]]*Table11[[#This Row],[Canada Allocation2017 %]]</f>
        <v>0</v>
      </c>
      <c r="L247" s="16">
        <f>Table11[[#This Row],['#Replace 24]]*Table11[[#This Row],[Canada Allocation2017 %]]</f>
        <v>0</v>
      </c>
      <c r="M247" s="16"/>
      <c r="N247" s="16">
        <f>(Table11[[#This Row],[2024 '#Trees Inventory + Estimate]]*Table11[[#This Row],[Canada Allocation2017 %]])-SUM(Table3789[[#This Row],['# Trees as of 12/31/23]:[New Trees/Planted in 2024]])</f>
        <v>0</v>
      </c>
      <c r="O247" s="32">
        <f>SUM(Table3789[[#This Row],['# Trees as of 12/31/23]:[2024 Tree Losses]])</f>
        <v>0</v>
      </c>
      <c r="P247" s="32">
        <f>SUM(Table3789[[#This Row],[Total Trees as of 12/31/24]]-Table3789[[#This Row],['# Trees as of 12/31/23]])</f>
        <v>0</v>
      </c>
      <c r="Q247" s="16">
        <f>Table11[[#This Row],['#Total Replacements]]*Table11[[#This Row],[Canada Allocation2017 %]]</f>
        <v>0</v>
      </c>
      <c r="R247" s="32">
        <f>IF(Table3789[[#This Row],['#Survival based on Inventory]]=0,Table3789['#Survival based on Last Year Estimate],Table3789['#Survival based on Inventory])</f>
        <v>0</v>
      </c>
      <c r="S247" s="16">
        <f>Table11[[#This Row],['#Planted]]*Table11[[#This Row],[Canada Allocation2017 %]]*Table11[[#This Row],[2024 Inventory Survival%-master]]</f>
        <v>0</v>
      </c>
      <c r="T247" s="16">
        <f>Table11[[#This Row],['#Planted]]*Table11[[#This Row],[Canada Allocation2017 %]]*Table11[[#This Row],[2024 Estimated Survival%]]</f>
        <v>0</v>
      </c>
      <c r="U247" s="7">
        <f>Table11[[#This Row],[ETP Year]]</f>
        <v>2021</v>
      </c>
      <c r="V247" s="7">
        <f>Table11[[#This Row],[Planting Year]]</f>
        <v>2021</v>
      </c>
      <c r="W247" s="17">
        <f>Table11[[#This Row],[Survival% as of 12/31/23]]</f>
        <v>0</v>
      </c>
      <c r="X247">
        <f>Table11[[#This Row],[ETP'#s]]</f>
        <v>1</v>
      </c>
    </row>
    <row r="248" spans="1:24" x14ac:dyDescent="0.25">
      <c r="A248">
        <f>Table11[[#This Row],[Farmer'#]]</f>
        <v>10096</v>
      </c>
      <c r="B248" t="str">
        <f>Table11[[#This Row],[Representative]]</f>
        <v>Lori Fults</v>
      </c>
      <c r="C248" t="str">
        <f>Table11[[#This Row],[Contract Name]]</f>
        <v>Lori &amp; Don Fults</v>
      </c>
      <c r="D248" t="str">
        <f>Table11[[#This Row],[Status]]</f>
        <v>Active</v>
      </c>
      <c r="E248" t="str">
        <f>Table11[[#This Row],[Contract Code]]</f>
        <v>US0112</v>
      </c>
      <c r="F248">
        <f>Table11[[#This Row],['#TreesContract]]</f>
        <v>1100</v>
      </c>
      <c r="G248">
        <f>Table11[[#This Row],['#Planted]]</f>
        <v>1100</v>
      </c>
      <c r="H248" s="16">
        <f>Table11[[#This Row],['#TreesContract]]*Table11[[#This Row],[Canada Allocation2017 %]]</f>
        <v>0</v>
      </c>
      <c r="I248" s="16">
        <f>Table11[[#This Row],['#Planted]]*Table11[[#This Row],[Canada Allocation2017 %]]</f>
        <v>0</v>
      </c>
      <c r="J248" s="16">
        <f>Table11[[#This Row],[Contract Amendment]]*Table11[[#This Row],[Canada Allocation2017 %]]</f>
        <v>0</v>
      </c>
      <c r="K248" s="16">
        <f>Table11[[#This Row],['#Trees as of 12/31/23]]*Table11[[#This Row],[Canada Allocation2017 %]]</f>
        <v>0</v>
      </c>
      <c r="L248" s="16">
        <f>Table11[[#This Row],['#Replace 24]]*Table11[[#This Row],[Canada Allocation2017 %]]</f>
        <v>0</v>
      </c>
      <c r="M248" s="16"/>
      <c r="N248" s="16">
        <f>(Table11[[#This Row],[2024 '#Trees Inventory + Estimate]]*Table11[[#This Row],[Canada Allocation2017 %]])-SUM(Table3789[[#This Row],['# Trees as of 12/31/23]:[New Trees/Planted in 2024]])</f>
        <v>0</v>
      </c>
      <c r="O248" s="32">
        <f>SUM(Table3789[[#This Row],['# Trees as of 12/31/23]:[2024 Tree Losses]])</f>
        <v>0</v>
      </c>
      <c r="P248" s="32">
        <f>SUM(Table3789[[#This Row],[Total Trees as of 12/31/24]]-Table3789[[#This Row],['# Trees as of 12/31/23]])</f>
        <v>0</v>
      </c>
      <c r="Q248" s="16">
        <f>Table11[[#This Row],['#Total Replacements]]*Table11[[#This Row],[Canada Allocation2017 %]]</f>
        <v>0</v>
      </c>
      <c r="R248" s="32">
        <f>IF(Table3789[[#This Row],['#Survival based on Inventory]]=0,Table3789['#Survival based on Last Year Estimate],Table3789['#Survival based on Inventory])</f>
        <v>0</v>
      </c>
      <c r="S248" s="16">
        <f>Table11[[#This Row],['#Planted]]*Table11[[#This Row],[Canada Allocation2017 %]]*Table11[[#This Row],[2024 Inventory Survival%-master]]</f>
        <v>0</v>
      </c>
      <c r="T248" s="16">
        <f>Table11[[#This Row],['#Planted]]*Table11[[#This Row],[Canada Allocation2017 %]]*Table11[[#This Row],[2024 Estimated Survival%]]</f>
        <v>0</v>
      </c>
      <c r="U248" s="7">
        <f>Table11[[#This Row],[ETP Year]]</f>
        <v>2021</v>
      </c>
      <c r="V248" s="7">
        <f>Table11[[#This Row],[Planting Year]]</f>
        <v>2021</v>
      </c>
      <c r="W248" s="17">
        <f>Table11[[#This Row],[Survival% as of 12/31/23]]</f>
        <v>1</v>
      </c>
      <c r="X248">
        <f>Table11[[#This Row],[ETP'#s]]</f>
        <v>1</v>
      </c>
    </row>
    <row r="249" spans="1:24" hidden="1" x14ac:dyDescent="0.25">
      <c r="A249">
        <f>Table11[[#This Row],[Farmer'#]]</f>
        <v>10097</v>
      </c>
      <c r="B249" t="str">
        <f>Table11[[#This Row],[Representative]]</f>
        <v>Mac Alexander</v>
      </c>
      <c r="C249" t="str">
        <f>Table11[[#This Row],[Contract Name]]</f>
        <v>Mac  Alexander</v>
      </c>
      <c r="D249" t="str">
        <f>Table11[[#This Row],[Status]]</f>
        <v>Active</v>
      </c>
      <c r="E249" t="str">
        <f>Table11[[#This Row],[Contract Code]]</f>
        <v>US0113</v>
      </c>
      <c r="F249">
        <f>Table11[[#This Row],['#TreesContract]]</f>
        <v>1100</v>
      </c>
      <c r="G249">
        <f>Table11[[#This Row],['#Planted]]</f>
        <v>1100</v>
      </c>
      <c r="H249" s="16">
        <f>Table11[[#This Row],['#TreesContract]]*Table11[[#This Row],[Canada Allocation2017 %]]</f>
        <v>0</v>
      </c>
      <c r="I249" s="16">
        <f>Table11[[#This Row],['#Planted]]*Table11[[#This Row],[Canada Allocation2017 %]]</f>
        <v>0</v>
      </c>
      <c r="J249" s="16">
        <f>Table11[[#This Row],[Contract Amendment]]*Table11[[#This Row],[Canada Allocation2017 %]]</f>
        <v>0</v>
      </c>
      <c r="K249" s="16">
        <f>Table11[[#This Row],['#Trees as of 12/31/23]]*Table11[[#This Row],[Canada Allocation2017 %]]</f>
        <v>0</v>
      </c>
      <c r="L249" s="16">
        <f>Table11[[#This Row],['#Replace 24]]*Table11[[#This Row],[Canada Allocation2017 %]]</f>
        <v>0</v>
      </c>
      <c r="M249" s="16"/>
      <c r="N249" s="16">
        <f>(Table11[[#This Row],[2024 '#Trees Inventory + Estimate]]*Table11[[#This Row],[Canada Allocation2017 %]])-SUM(Table3789[[#This Row],['# Trees as of 12/31/23]:[New Trees/Planted in 2024]])</f>
        <v>0</v>
      </c>
      <c r="O249" s="32">
        <f>SUM(Table3789[[#This Row],['# Trees as of 12/31/23]:[2024 Tree Losses]])</f>
        <v>0</v>
      </c>
      <c r="P249" s="32">
        <f>SUM(Table3789[[#This Row],[Total Trees as of 12/31/24]]-Table3789[[#This Row],['# Trees as of 12/31/23]])</f>
        <v>0</v>
      </c>
      <c r="Q249" s="16">
        <f>Table11[[#This Row],['#Total Replacements]]*Table11[[#This Row],[Canada Allocation2017 %]]</f>
        <v>0</v>
      </c>
      <c r="R249" s="32">
        <f>IF(Table3789[[#This Row],['#Survival based on Inventory]]=0,Table3789['#Survival based on Last Year Estimate],Table3789['#Survival based on Inventory])</f>
        <v>0</v>
      </c>
      <c r="S249" s="16">
        <f>Table11[[#This Row],['#Planted]]*Table11[[#This Row],[Canada Allocation2017 %]]*Table11[[#This Row],[2024 Inventory Survival%-master]]</f>
        <v>0</v>
      </c>
      <c r="T249" s="16">
        <f>Table11[[#This Row],['#Planted]]*Table11[[#This Row],[Canada Allocation2017 %]]*Table11[[#This Row],[2024 Estimated Survival%]]</f>
        <v>0</v>
      </c>
      <c r="U249" s="7">
        <f>Table11[[#This Row],[ETP Year]]</f>
        <v>2021</v>
      </c>
      <c r="V249" s="7">
        <f>Table11[[#This Row],[Planting Year]]</f>
        <v>2021</v>
      </c>
      <c r="W249" s="17">
        <f>Table11[[#This Row],[Survival% as of 12/31/23]]</f>
        <v>1</v>
      </c>
      <c r="X249">
        <f>Table11[[#This Row],[ETP'#s]]</f>
        <v>1</v>
      </c>
    </row>
    <row r="250" spans="1:24" hidden="1" x14ac:dyDescent="0.25">
      <c r="A250">
        <f>Table11[[#This Row],[Farmer'#]]</f>
        <v>10098</v>
      </c>
      <c r="B250" t="str">
        <f>Table11[[#This Row],[Representative]]</f>
        <v>Marty Causseaux</v>
      </c>
      <c r="C250" t="str">
        <f>Table11[[#This Row],[Contract Name]]</f>
        <v>Marty  Causseaux</v>
      </c>
      <c r="D250" t="str">
        <f>Table11[[#This Row],[Status]]</f>
        <v>Active</v>
      </c>
      <c r="E250" t="str">
        <f>Table11[[#This Row],[Contract Code]]</f>
        <v>US0114</v>
      </c>
      <c r="F250">
        <f>Table11[[#This Row],['#TreesContract]]</f>
        <v>1145</v>
      </c>
      <c r="G250">
        <f>Table11[[#This Row],['#Planted]]</f>
        <v>1145</v>
      </c>
      <c r="H250" s="16">
        <f>Table11[[#This Row],['#TreesContract]]*Table11[[#This Row],[Canada Allocation2017 %]]</f>
        <v>0</v>
      </c>
      <c r="I250" s="16">
        <f>Table11[[#This Row],['#Planted]]*Table11[[#This Row],[Canada Allocation2017 %]]</f>
        <v>0</v>
      </c>
      <c r="J250" s="16">
        <f>Table11[[#This Row],[Contract Amendment]]*Table11[[#This Row],[Canada Allocation2017 %]]</f>
        <v>0</v>
      </c>
      <c r="K250" s="16">
        <f>Table11[[#This Row],['#Trees as of 12/31/23]]*Table11[[#This Row],[Canada Allocation2017 %]]</f>
        <v>0</v>
      </c>
      <c r="L250" s="16">
        <f>Table11[[#This Row],['#Replace 24]]*Table11[[#This Row],[Canada Allocation2017 %]]</f>
        <v>0</v>
      </c>
      <c r="M250" s="16"/>
      <c r="N250" s="16">
        <f>(Table11[[#This Row],[2024 '#Trees Inventory + Estimate]]*Table11[[#This Row],[Canada Allocation2017 %]])-SUM(Table3789[[#This Row],['# Trees as of 12/31/23]:[New Trees/Planted in 2024]])</f>
        <v>0</v>
      </c>
      <c r="O250" s="32">
        <f>SUM(Table3789[[#This Row],['# Trees as of 12/31/23]:[2024 Tree Losses]])</f>
        <v>0</v>
      </c>
      <c r="P250" s="32">
        <f>SUM(Table3789[[#This Row],[Total Trees as of 12/31/24]]-Table3789[[#This Row],['# Trees as of 12/31/23]])</f>
        <v>0</v>
      </c>
      <c r="Q250" s="16">
        <f>Table11[[#This Row],['#Total Replacements]]*Table11[[#This Row],[Canada Allocation2017 %]]</f>
        <v>0</v>
      </c>
      <c r="R250" s="32">
        <f>IF(Table3789[[#This Row],['#Survival based on Inventory]]=0,Table3789['#Survival based on Last Year Estimate],Table3789['#Survival based on Inventory])</f>
        <v>0</v>
      </c>
      <c r="S250" s="16">
        <f>Table11[[#This Row],['#Planted]]*Table11[[#This Row],[Canada Allocation2017 %]]*Table11[[#This Row],[2024 Inventory Survival%-master]]</f>
        <v>0</v>
      </c>
      <c r="T250" s="16">
        <f>Table11[[#This Row],['#Planted]]*Table11[[#This Row],[Canada Allocation2017 %]]*Table11[[#This Row],[2024 Estimated Survival%]]</f>
        <v>0</v>
      </c>
      <c r="U250" s="7">
        <f>Table11[[#This Row],[ETP Year]]</f>
        <v>2021</v>
      </c>
      <c r="V250" s="7">
        <f>Table11[[#This Row],[Planting Year]]</f>
        <v>2021</v>
      </c>
      <c r="W250" s="17">
        <f>Table11[[#This Row],[Survival% as of 12/31/23]]</f>
        <v>1</v>
      </c>
      <c r="X250">
        <f>Table11[[#This Row],[ETP'#s]]</f>
        <v>1</v>
      </c>
    </row>
    <row r="251" spans="1:24" hidden="1" x14ac:dyDescent="0.25">
      <c r="A251">
        <f>Table11[[#This Row],[Farmer'#]]</f>
        <v>10099</v>
      </c>
      <c r="B251" t="str">
        <f>Table11[[#This Row],[Representative]]</f>
        <v>Michael Roe</v>
      </c>
      <c r="C251" t="str">
        <f>Table11[[#This Row],[Contract Name]]</f>
        <v>Michael  Roe</v>
      </c>
      <c r="D251" t="str">
        <f>Table11[[#This Row],[Status]]</f>
        <v>Active</v>
      </c>
      <c r="E251" t="str">
        <f>Table11[[#This Row],[Contract Code]]</f>
        <v>US0115</v>
      </c>
      <c r="F251">
        <f>Table11[[#This Row],['#TreesContract]]</f>
        <v>1100</v>
      </c>
      <c r="G251">
        <f>Table11[[#This Row],['#Planted]]</f>
        <v>1100</v>
      </c>
      <c r="H251" s="16">
        <f>Table11[[#This Row],['#TreesContract]]*Table11[[#This Row],[Canada Allocation2017 %]]</f>
        <v>0</v>
      </c>
      <c r="I251" s="16">
        <f>Table11[[#This Row],['#Planted]]*Table11[[#This Row],[Canada Allocation2017 %]]</f>
        <v>0</v>
      </c>
      <c r="J251" s="16">
        <f>Table11[[#This Row],[Contract Amendment]]*Table11[[#This Row],[Canada Allocation2017 %]]</f>
        <v>0</v>
      </c>
      <c r="K251" s="16">
        <f>Table11[[#This Row],['#Trees as of 12/31/23]]*Table11[[#This Row],[Canada Allocation2017 %]]</f>
        <v>0</v>
      </c>
      <c r="L251" s="16">
        <f>Table11[[#This Row],['#Replace 24]]*Table11[[#This Row],[Canada Allocation2017 %]]</f>
        <v>0</v>
      </c>
      <c r="M251" s="16"/>
      <c r="N251" s="16">
        <f>(Table11[[#This Row],[2024 '#Trees Inventory + Estimate]]*Table11[[#This Row],[Canada Allocation2017 %]])-SUM(Table3789[[#This Row],['# Trees as of 12/31/23]:[New Trees/Planted in 2024]])</f>
        <v>0</v>
      </c>
      <c r="O251" s="32">
        <f>SUM(Table3789[[#This Row],['# Trees as of 12/31/23]:[2024 Tree Losses]])</f>
        <v>0</v>
      </c>
      <c r="P251" s="32">
        <f>SUM(Table3789[[#This Row],[Total Trees as of 12/31/24]]-Table3789[[#This Row],['# Trees as of 12/31/23]])</f>
        <v>0</v>
      </c>
      <c r="Q251" s="16">
        <f>Table11[[#This Row],['#Total Replacements]]*Table11[[#This Row],[Canada Allocation2017 %]]</f>
        <v>0</v>
      </c>
      <c r="R251" s="32">
        <f>IF(Table3789[[#This Row],['#Survival based on Inventory]]=0,Table3789['#Survival based on Last Year Estimate],Table3789['#Survival based on Inventory])</f>
        <v>0</v>
      </c>
      <c r="S251" s="16">
        <f>Table11[[#This Row],['#Planted]]*Table11[[#This Row],[Canada Allocation2017 %]]*Table11[[#This Row],[2024 Inventory Survival%-master]]</f>
        <v>0</v>
      </c>
      <c r="T251" s="16">
        <f>Table11[[#This Row],['#Planted]]*Table11[[#This Row],[Canada Allocation2017 %]]*Table11[[#This Row],[2024 Estimated Survival%]]</f>
        <v>0</v>
      </c>
      <c r="U251" s="7">
        <f>Table11[[#This Row],[ETP Year]]</f>
        <v>2020</v>
      </c>
      <c r="V251" s="7">
        <f>Table11[[#This Row],[Planting Year]]</f>
        <v>2021</v>
      </c>
      <c r="W251" s="17">
        <f>Table11[[#This Row],[Survival% as of 12/31/23]]</f>
        <v>0.88691470650561566</v>
      </c>
      <c r="X251">
        <f>Table11[[#This Row],[ETP'#s]]</f>
        <v>1</v>
      </c>
    </row>
    <row r="252" spans="1:24" hidden="1" x14ac:dyDescent="0.25">
      <c r="A252">
        <f>Table11[[#This Row],[Farmer'#]]</f>
        <v>10100</v>
      </c>
      <c r="B252" t="str">
        <f>Table11[[#This Row],[Representative]]</f>
        <v>Roy Price</v>
      </c>
      <c r="C252" t="str">
        <f>Table11[[#This Row],[Contract Name]]</f>
        <v>Roy  Price</v>
      </c>
      <c r="D252" t="str">
        <f>Table11[[#This Row],[Status]]</f>
        <v>Active</v>
      </c>
      <c r="E252" t="str">
        <f>Table11[[#This Row],[Contract Code]]</f>
        <v>US0118</v>
      </c>
      <c r="F252">
        <f>Table11[[#This Row],['#TreesContract]]</f>
        <v>1980</v>
      </c>
      <c r="G252">
        <f>Table11[[#This Row],['#Planted]]</f>
        <v>1980</v>
      </c>
      <c r="H252" s="16">
        <f>Table11[[#This Row],['#TreesContract]]*Table11[[#This Row],[Canada Allocation2017 %]]</f>
        <v>0</v>
      </c>
      <c r="I252" s="16">
        <f>Table11[[#This Row],['#Planted]]*Table11[[#This Row],[Canada Allocation2017 %]]</f>
        <v>0</v>
      </c>
      <c r="J252" s="16">
        <f>Table11[[#This Row],[Contract Amendment]]*Table11[[#This Row],[Canada Allocation2017 %]]</f>
        <v>0</v>
      </c>
      <c r="K252" s="16">
        <f>Table11[[#This Row],['#Trees as of 12/31/23]]*Table11[[#This Row],[Canada Allocation2017 %]]</f>
        <v>0</v>
      </c>
      <c r="L252" s="16">
        <f>Table11[[#This Row],['#Replace 24]]*Table11[[#This Row],[Canada Allocation2017 %]]</f>
        <v>0</v>
      </c>
      <c r="M252" s="16"/>
      <c r="N252" s="16">
        <f>(Table11[[#This Row],[2024 '#Trees Inventory + Estimate]]*Table11[[#This Row],[Canada Allocation2017 %]])-SUM(Table3789[[#This Row],['# Trees as of 12/31/23]:[New Trees/Planted in 2024]])</f>
        <v>0</v>
      </c>
      <c r="O252" s="32">
        <f>SUM(Table3789[[#This Row],['# Trees as of 12/31/23]:[2024 Tree Losses]])</f>
        <v>0</v>
      </c>
      <c r="P252" s="32">
        <f>SUM(Table3789[[#This Row],[Total Trees as of 12/31/24]]-Table3789[[#This Row],['# Trees as of 12/31/23]])</f>
        <v>0</v>
      </c>
      <c r="Q252" s="16">
        <f>Table11[[#This Row],['#Total Replacements]]*Table11[[#This Row],[Canada Allocation2017 %]]</f>
        <v>0</v>
      </c>
      <c r="R252" s="32">
        <f>IF(Table3789[[#This Row],['#Survival based on Inventory]]=0,Table3789['#Survival based on Last Year Estimate],Table3789['#Survival based on Inventory])</f>
        <v>0</v>
      </c>
      <c r="S252" s="16">
        <f>Table11[[#This Row],['#Planted]]*Table11[[#This Row],[Canada Allocation2017 %]]*Table11[[#This Row],[2024 Inventory Survival%-master]]</f>
        <v>0</v>
      </c>
      <c r="T252" s="16">
        <f>Table11[[#This Row],['#Planted]]*Table11[[#This Row],[Canada Allocation2017 %]]*Table11[[#This Row],[2024 Estimated Survival%]]</f>
        <v>0</v>
      </c>
      <c r="U252" s="7">
        <f>Table11[[#This Row],[ETP Year]]</f>
        <v>2021</v>
      </c>
      <c r="V252" s="7">
        <f>Table11[[#This Row],[Planting Year]]</f>
        <v>2021</v>
      </c>
      <c r="W252" s="17">
        <f>Table11[[#This Row],[Survival% as of 12/31/23]]</f>
        <v>1</v>
      </c>
      <c r="X252">
        <f>Table11[[#This Row],[ETP'#s]]</f>
        <v>1</v>
      </c>
    </row>
    <row r="253" spans="1:24" hidden="1" x14ac:dyDescent="0.25">
      <c r="A253">
        <f>Table11[[#This Row],[Farmer'#]]</f>
        <v>10101</v>
      </c>
      <c r="B253" t="str">
        <f>Table11[[#This Row],[Representative]]</f>
        <v>Scotty Mckenzie</v>
      </c>
      <c r="C253" t="str">
        <f>Table11[[#This Row],[Contract Name]]</f>
        <v>Scotty  Mckenzie</v>
      </c>
      <c r="D253" t="str">
        <f>Table11[[#This Row],[Status]]</f>
        <v>Active</v>
      </c>
      <c r="E253" t="str">
        <f>Table11[[#This Row],[Contract Code]]</f>
        <v>US0120</v>
      </c>
      <c r="F253">
        <f>Table11[[#This Row],['#TreesContract]]</f>
        <v>1320</v>
      </c>
      <c r="G253">
        <f>Table11[[#This Row],['#Planted]]</f>
        <v>1320</v>
      </c>
      <c r="H253" s="16">
        <f>Table11[[#This Row],['#TreesContract]]*Table11[[#This Row],[Canada Allocation2017 %]]</f>
        <v>0</v>
      </c>
      <c r="I253" s="16">
        <f>Table11[[#This Row],['#Planted]]*Table11[[#This Row],[Canada Allocation2017 %]]</f>
        <v>0</v>
      </c>
      <c r="J253" s="16">
        <f>Table11[[#This Row],[Contract Amendment]]*Table11[[#This Row],[Canada Allocation2017 %]]</f>
        <v>0</v>
      </c>
      <c r="K253" s="16">
        <f>Table11[[#This Row],['#Trees as of 12/31/23]]*Table11[[#This Row],[Canada Allocation2017 %]]</f>
        <v>0</v>
      </c>
      <c r="L253" s="16">
        <f>Table11[[#This Row],['#Replace 24]]*Table11[[#This Row],[Canada Allocation2017 %]]</f>
        <v>0</v>
      </c>
      <c r="M253" s="16"/>
      <c r="N253" s="16">
        <f>(Table11[[#This Row],[2024 '#Trees Inventory + Estimate]]*Table11[[#This Row],[Canada Allocation2017 %]])-SUM(Table3789[[#This Row],['# Trees as of 12/31/23]:[New Trees/Planted in 2024]])</f>
        <v>0</v>
      </c>
      <c r="O253" s="32">
        <f>SUM(Table3789[[#This Row],['# Trees as of 12/31/23]:[2024 Tree Losses]])</f>
        <v>0</v>
      </c>
      <c r="P253" s="32">
        <f>SUM(Table3789[[#This Row],[Total Trees as of 12/31/24]]-Table3789[[#This Row],['# Trees as of 12/31/23]])</f>
        <v>0</v>
      </c>
      <c r="Q253" s="16">
        <f>Table11[[#This Row],['#Total Replacements]]*Table11[[#This Row],[Canada Allocation2017 %]]</f>
        <v>0</v>
      </c>
      <c r="R253" s="32">
        <f>IF(Table3789[[#This Row],['#Survival based on Inventory]]=0,Table3789['#Survival based on Last Year Estimate],Table3789['#Survival based on Inventory])</f>
        <v>0</v>
      </c>
      <c r="S253" s="16">
        <f>Table11[[#This Row],['#Planted]]*Table11[[#This Row],[Canada Allocation2017 %]]*Table11[[#This Row],[2024 Inventory Survival%-master]]</f>
        <v>0</v>
      </c>
      <c r="T253" s="16">
        <f>Table11[[#This Row],['#Planted]]*Table11[[#This Row],[Canada Allocation2017 %]]*Table11[[#This Row],[2024 Estimated Survival%]]</f>
        <v>0</v>
      </c>
      <c r="U253" s="7">
        <f>Table11[[#This Row],[ETP Year]]</f>
        <v>2020</v>
      </c>
      <c r="V253" s="7">
        <f>Table11[[#This Row],[Planting Year]]</f>
        <v>2021</v>
      </c>
      <c r="W253" s="17">
        <f>Table11[[#This Row],[Survival% as of 12/31/23]]</f>
        <v>0.4554595429822702</v>
      </c>
      <c r="X253">
        <f>Table11[[#This Row],[ETP'#s]]</f>
        <v>1</v>
      </c>
    </row>
    <row r="254" spans="1:24" hidden="1" x14ac:dyDescent="0.25">
      <c r="A254">
        <f>Table11[[#This Row],[Farmer'#]]</f>
        <v>10102</v>
      </c>
      <c r="B254" t="str">
        <f>Table11[[#This Row],[Representative]]</f>
        <v>Sisay Souphom</v>
      </c>
      <c r="C254" t="str">
        <f>Table11[[#This Row],[Contract Name]]</f>
        <v>Sisay  Souphom</v>
      </c>
      <c r="D254" t="str">
        <f>Table11[[#This Row],[Status]]</f>
        <v>Active</v>
      </c>
      <c r="E254" t="str">
        <f>Table11[[#This Row],[Contract Code]]</f>
        <v>US0121</v>
      </c>
      <c r="F254">
        <f>Table11[[#This Row],['#TreesContract]]</f>
        <v>1100</v>
      </c>
      <c r="G254">
        <f>Table11[[#This Row],['#Planted]]</f>
        <v>1100</v>
      </c>
      <c r="H254" s="16">
        <f>Table11[[#This Row],['#TreesContract]]*Table11[[#This Row],[Canada Allocation2017 %]]</f>
        <v>0</v>
      </c>
      <c r="I254" s="16">
        <f>Table11[[#This Row],['#Planted]]*Table11[[#This Row],[Canada Allocation2017 %]]</f>
        <v>0</v>
      </c>
      <c r="J254" s="16">
        <f>Table11[[#This Row],[Contract Amendment]]*Table11[[#This Row],[Canada Allocation2017 %]]</f>
        <v>0</v>
      </c>
      <c r="K254" s="16">
        <f>Table11[[#This Row],['#Trees as of 12/31/23]]*Table11[[#This Row],[Canada Allocation2017 %]]</f>
        <v>0</v>
      </c>
      <c r="L254" s="16">
        <f>Table11[[#This Row],['#Replace 24]]*Table11[[#This Row],[Canada Allocation2017 %]]</f>
        <v>0</v>
      </c>
      <c r="M254" s="16"/>
      <c r="N254" s="16">
        <f>(Table11[[#This Row],[2024 '#Trees Inventory + Estimate]]*Table11[[#This Row],[Canada Allocation2017 %]])-SUM(Table3789[[#This Row],['# Trees as of 12/31/23]:[New Trees/Planted in 2024]])</f>
        <v>0</v>
      </c>
      <c r="O254" s="32">
        <f>SUM(Table3789[[#This Row],['# Trees as of 12/31/23]:[2024 Tree Losses]])</f>
        <v>0</v>
      </c>
      <c r="P254" s="32">
        <f>SUM(Table3789[[#This Row],[Total Trees as of 12/31/24]]-Table3789[[#This Row],['# Trees as of 12/31/23]])</f>
        <v>0</v>
      </c>
      <c r="Q254" s="16">
        <f>Table11[[#This Row],['#Total Replacements]]*Table11[[#This Row],[Canada Allocation2017 %]]</f>
        <v>0</v>
      </c>
      <c r="R254" s="32">
        <f>IF(Table3789[[#This Row],['#Survival based on Inventory]]=0,Table3789['#Survival based on Last Year Estimate],Table3789['#Survival based on Inventory])</f>
        <v>0</v>
      </c>
      <c r="S254" s="16">
        <f>Table11[[#This Row],['#Planted]]*Table11[[#This Row],[Canada Allocation2017 %]]*Table11[[#This Row],[2024 Inventory Survival%-master]]</f>
        <v>0</v>
      </c>
      <c r="T254" s="16">
        <f>Table11[[#This Row],['#Planted]]*Table11[[#This Row],[Canada Allocation2017 %]]*Table11[[#This Row],[2024 Estimated Survival%]]</f>
        <v>0</v>
      </c>
      <c r="U254" s="7">
        <f>Table11[[#This Row],[ETP Year]]</f>
        <v>2020</v>
      </c>
      <c r="V254" s="7">
        <f>Table11[[#This Row],[Planting Year]]</f>
        <v>2021</v>
      </c>
      <c r="W254" s="17">
        <f>Table11[[#This Row],[Survival% as of 12/31/23]]</f>
        <v>0.99066942148760306</v>
      </c>
      <c r="X254">
        <f>Table11[[#This Row],[ETP'#s]]</f>
        <v>1</v>
      </c>
    </row>
    <row r="255" spans="1:24" hidden="1" x14ac:dyDescent="0.25">
      <c r="A255">
        <f>Table11[[#This Row],[Farmer'#]]</f>
        <v>10103</v>
      </c>
      <c r="B255" t="str">
        <f>Table11[[#This Row],[Representative]]</f>
        <v>Stephen Andrews</v>
      </c>
      <c r="C255" t="str">
        <f>Table11[[#This Row],[Contract Name]]</f>
        <v>Stephen  Andrews</v>
      </c>
      <c r="D255" t="str">
        <f>Table11[[#This Row],[Status]]</f>
        <v>Out of Program</v>
      </c>
      <c r="E255" t="str">
        <f>Table11[[#This Row],[Contract Code]]</f>
        <v>US0122</v>
      </c>
      <c r="F255">
        <f>Table11[[#This Row],['#TreesContract]]</f>
        <v>1100</v>
      </c>
      <c r="G255">
        <f>Table11[[#This Row],['#Planted]]</f>
        <v>1100</v>
      </c>
      <c r="H255" s="16">
        <f>Table11[[#This Row],['#TreesContract]]*Table11[[#This Row],[Canada Allocation2017 %]]</f>
        <v>0</v>
      </c>
      <c r="I255" s="16">
        <f>Table11[[#This Row],['#Planted]]*Table11[[#This Row],[Canada Allocation2017 %]]</f>
        <v>0</v>
      </c>
      <c r="J255" s="16">
        <f>Table11[[#This Row],[Contract Amendment]]*Table11[[#This Row],[Canada Allocation2017 %]]</f>
        <v>0</v>
      </c>
      <c r="K255" s="16">
        <f>Table11[[#This Row],['#Trees as of 12/31/23]]*Table11[[#This Row],[Canada Allocation2017 %]]</f>
        <v>0</v>
      </c>
      <c r="L255" s="16">
        <f>Table11[[#This Row],['#Replace 24]]*Table11[[#This Row],[Canada Allocation2017 %]]</f>
        <v>0</v>
      </c>
      <c r="M255" s="16"/>
      <c r="N255" s="16">
        <f>(Table11[[#This Row],[2024 '#Trees Inventory + Estimate]]*Table11[[#This Row],[Canada Allocation2017 %]])-SUM(Table3789[[#This Row],['# Trees as of 12/31/23]:[New Trees/Planted in 2024]])</f>
        <v>0</v>
      </c>
      <c r="O255" s="32">
        <f>SUM(Table3789[[#This Row],['# Trees as of 12/31/23]:[2024 Tree Losses]])</f>
        <v>0</v>
      </c>
      <c r="P255" s="32">
        <f>SUM(Table3789[[#This Row],[Total Trees as of 12/31/24]]-Table3789[[#This Row],['# Trees as of 12/31/23]])</f>
        <v>0</v>
      </c>
      <c r="Q255" s="16">
        <f>Table11[[#This Row],['#Total Replacements]]*Table11[[#This Row],[Canada Allocation2017 %]]</f>
        <v>0</v>
      </c>
      <c r="R255" s="32">
        <f>IF(Table3789[[#This Row],['#Survival based on Inventory]]=0,Table3789['#Survival based on Last Year Estimate],Table3789['#Survival based on Inventory])</f>
        <v>0</v>
      </c>
      <c r="S255" s="16">
        <f>Table11[[#This Row],['#Planted]]*Table11[[#This Row],[Canada Allocation2017 %]]*Table11[[#This Row],[2024 Inventory Survival%-master]]</f>
        <v>0</v>
      </c>
      <c r="T255" s="16">
        <f>Table11[[#This Row],['#Planted]]*Table11[[#This Row],[Canada Allocation2017 %]]*Table11[[#This Row],[2024 Estimated Survival%]]</f>
        <v>0</v>
      </c>
      <c r="U255" s="7">
        <f>Table11[[#This Row],[ETP Year]]</f>
        <v>2020</v>
      </c>
      <c r="V255" s="7">
        <f>Table11[[#This Row],[Planting Year]]</f>
        <v>2021</v>
      </c>
      <c r="W255" s="8">
        <f>Table11[[#This Row],[Survival% as of 12/31/23]]</f>
        <v>0</v>
      </c>
      <c r="X255">
        <f>Table11[[#This Row],[ETP'#s]]</f>
        <v>1</v>
      </c>
    </row>
    <row r="256" spans="1:24" hidden="1" x14ac:dyDescent="0.25">
      <c r="A256">
        <f>Table11[[#This Row],[Farmer'#]]</f>
        <v>10104</v>
      </c>
      <c r="B256" t="str">
        <f>Table11[[#This Row],[Representative]]</f>
        <v>Steven Hunter</v>
      </c>
      <c r="C256" t="str">
        <f>Table11[[#This Row],[Contract Name]]</f>
        <v>Steven and Christy Hunter</v>
      </c>
      <c r="D256" t="str">
        <f>Table11[[#This Row],[Status]]</f>
        <v>Active</v>
      </c>
      <c r="E256" t="str">
        <f>Table11[[#This Row],[Contract Code]]</f>
        <v>US0123</v>
      </c>
      <c r="F256">
        <f>Table11[[#This Row],['#TreesContract]]</f>
        <v>3620</v>
      </c>
      <c r="G256">
        <f>Table11[[#This Row],['#Planted]]</f>
        <v>3620</v>
      </c>
      <c r="H256" s="16">
        <f>Table11[[#This Row],['#TreesContract]]*Table11[[#This Row],[Canada Allocation2017 %]]</f>
        <v>0</v>
      </c>
      <c r="I256" s="16">
        <f>Table11[[#This Row],['#Planted]]*Table11[[#This Row],[Canada Allocation2017 %]]</f>
        <v>0</v>
      </c>
      <c r="J256" s="16">
        <f>Table11[[#This Row],[Contract Amendment]]*Table11[[#This Row],[Canada Allocation2017 %]]</f>
        <v>0</v>
      </c>
      <c r="K256" s="16">
        <f>Table11[[#This Row],['#Trees as of 12/31/23]]*Table11[[#This Row],[Canada Allocation2017 %]]</f>
        <v>0</v>
      </c>
      <c r="L256" s="16">
        <f>Table11[[#This Row],['#Replace 24]]*Table11[[#This Row],[Canada Allocation2017 %]]</f>
        <v>0</v>
      </c>
      <c r="M256" s="16"/>
      <c r="N256" s="16">
        <f>(Table11[[#This Row],[2024 '#Trees Inventory + Estimate]]*Table11[[#This Row],[Canada Allocation2017 %]])-SUM(Table3789[[#This Row],['# Trees as of 12/31/23]:[New Trees/Planted in 2024]])</f>
        <v>0</v>
      </c>
      <c r="O256" s="32">
        <f>SUM(Table3789[[#This Row],['# Trees as of 12/31/23]:[2024 Tree Losses]])</f>
        <v>0</v>
      </c>
      <c r="P256" s="32">
        <f>SUM(Table3789[[#This Row],[Total Trees as of 12/31/24]]-Table3789[[#This Row],['# Trees as of 12/31/23]])</f>
        <v>0</v>
      </c>
      <c r="Q256" s="16">
        <f>Table11[[#This Row],['#Total Replacements]]*Table11[[#This Row],[Canada Allocation2017 %]]</f>
        <v>0</v>
      </c>
      <c r="R256" s="32">
        <f>IF(Table3789[[#This Row],['#Survival based on Inventory]]=0,Table3789['#Survival based on Last Year Estimate],Table3789['#Survival based on Inventory])</f>
        <v>0</v>
      </c>
      <c r="S256" s="16">
        <f>Table11[[#This Row],['#Planted]]*Table11[[#This Row],[Canada Allocation2017 %]]*Table11[[#This Row],[2024 Inventory Survival%-master]]</f>
        <v>0</v>
      </c>
      <c r="T256" s="16">
        <f>Table11[[#This Row],['#Planted]]*Table11[[#This Row],[Canada Allocation2017 %]]*Table11[[#This Row],[2024 Estimated Survival%]]</f>
        <v>0</v>
      </c>
      <c r="U256" s="7">
        <f>Table11[[#This Row],[ETP Year]]</f>
        <v>2020</v>
      </c>
      <c r="V256" s="7">
        <f>Table11[[#This Row],[Planting Year]]</f>
        <v>2021</v>
      </c>
      <c r="W256" s="8">
        <f>Table11[[#This Row],[Survival% as of 12/31/23]]</f>
        <v>0.85214989190487611</v>
      </c>
      <c r="X256">
        <f>Table11[[#This Row],[ETP'#s]]</f>
        <v>1</v>
      </c>
    </row>
    <row r="257" spans="1:24" hidden="1" x14ac:dyDescent="0.25">
      <c r="A257">
        <f>Table11[[#This Row],[Farmer'#]]</f>
        <v>10105</v>
      </c>
      <c r="B257" t="str">
        <f>Table11[[#This Row],[Representative]]</f>
        <v>Teresa Beam</v>
      </c>
      <c r="C257" t="str">
        <f>Table11[[#This Row],[Contract Name]]</f>
        <v>Teresa and Josh Beam</v>
      </c>
      <c r="D257" t="str">
        <f>Table11[[#This Row],[Status]]</f>
        <v>Active</v>
      </c>
      <c r="E257" t="str">
        <f>Table11[[#This Row],[Contract Code]]</f>
        <v>US0124</v>
      </c>
      <c r="F257">
        <f>Table11[[#This Row],['#TreesContract]]</f>
        <v>1100</v>
      </c>
      <c r="G257">
        <f>Table11[[#This Row],['#Planted]]</f>
        <v>1100</v>
      </c>
      <c r="H257" s="16">
        <f>Table11[[#This Row],['#TreesContract]]*Table11[[#This Row],[Canada Allocation2017 %]]</f>
        <v>0</v>
      </c>
      <c r="I257" s="16">
        <f>Table11[[#This Row],['#Planted]]*Table11[[#This Row],[Canada Allocation2017 %]]</f>
        <v>0</v>
      </c>
      <c r="J257" s="16">
        <f>Table11[[#This Row],[Contract Amendment]]*Table11[[#This Row],[Canada Allocation2017 %]]</f>
        <v>0</v>
      </c>
      <c r="K257" s="16">
        <f>Table11[[#This Row],['#Trees as of 12/31/23]]*Table11[[#This Row],[Canada Allocation2017 %]]</f>
        <v>0</v>
      </c>
      <c r="L257" s="16">
        <f>Table11[[#This Row],['#Replace 24]]*Table11[[#This Row],[Canada Allocation2017 %]]</f>
        <v>0</v>
      </c>
      <c r="M257" s="16"/>
      <c r="N257" s="16">
        <f>(Table11[[#This Row],[2024 '#Trees Inventory + Estimate]]*Table11[[#This Row],[Canada Allocation2017 %]])-SUM(Table3789[[#This Row],['# Trees as of 12/31/23]:[New Trees/Planted in 2024]])</f>
        <v>0</v>
      </c>
      <c r="O257" s="32">
        <f>SUM(Table3789[[#This Row],['# Trees as of 12/31/23]:[2024 Tree Losses]])</f>
        <v>0</v>
      </c>
      <c r="P257" s="32">
        <f>SUM(Table3789[[#This Row],[Total Trees as of 12/31/24]]-Table3789[[#This Row],['# Trees as of 12/31/23]])</f>
        <v>0</v>
      </c>
      <c r="Q257" s="16">
        <f>Table11[[#This Row],['#Total Replacements]]*Table11[[#This Row],[Canada Allocation2017 %]]</f>
        <v>0</v>
      </c>
      <c r="R257" s="32">
        <f>IF(Table3789[[#This Row],['#Survival based on Inventory]]=0,Table3789['#Survival based on Last Year Estimate],Table3789['#Survival based on Inventory])</f>
        <v>0</v>
      </c>
      <c r="S257" s="16">
        <f>Table11[[#This Row],['#Planted]]*Table11[[#This Row],[Canada Allocation2017 %]]*Table11[[#This Row],[2024 Inventory Survival%-master]]</f>
        <v>0</v>
      </c>
      <c r="T257" s="16">
        <f>Table11[[#This Row],['#Planted]]*Table11[[#This Row],[Canada Allocation2017 %]]*Table11[[#This Row],[2024 Estimated Survival%]]</f>
        <v>0</v>
      </c>
      <c r="U257" s="7">
        <f>Table11[[#This Row],[ETP Year]]</f>
        <v>2020</v>
      </c>
      <c r="V257" s="7">
        <f>Table11[[#This Row],[Planting Year]]</f>
        <v>2021</v>
      </c>
      <c r="W257" s="8">
        <f>Table11[[#This Row],[Survival% as of 12/31/23]]</f>
        <v>0.5412396694214876</v>
      </c>
      <c r="X257">
        <f>Table11[[#This Row],[ETP'#s]]</f>
        <v>1</v>
      </c>
    </row>
    <row r="258" spans="1:24" hidden="1" x14ac:dyDescent="0.25">
      <c r="A258">
        <f>Table11[[#This Row],[Farmer'#]]</f>
        <v>10106</v>
      </c>
      <c r="B258" t="str">
        <f>Table11[[#This Row],[Representative]]</f>
        <v>Tim Harper</v>
      </c>
      <c r="C258" t="str">
        <f>Table11[[#This Row],[Contract Name]]</f>
        <v>Tim  Harper</v>
      </c>
      <c r="D258" t="str">
        <f>Table11[[#This Row],[Status]]</f>
        <v>RFT</v>
      </c>
      <c r="E258" t="str">
        <f>Table11[[#This Row],[Contract Code]]</f>
        <v>US0125</v>
      </c>
      <c r="F258">
        <f>Table11[[#This Row],['#TreesContract]]</f>
        <v>1650</v>
      </c>
      <c r="G258">
        <f>Table11[[#This Row],['#Planted]]</f>
        <v>1650</v>
      </c>
      <c r="H258" s="16">
        <f>Table11[[#This Row],['#TreesContract]]*Table11[[#This Row],[Canada Allocation2017 %]]</f>
        <v>0</v>
      </c>
      <c r="I258" s="16">
        <f>Table11[[#This Row],['#Planted]]*Table11[[#This Row],[Canada Allocation2017 %]]</f>
        <v>0</v>
      </c>
      <c r="J258" s="16">
        <f>Table11[[#This Row],[Contract Amendment]]*Table11[[#This Row],[Canada Allocation2017 %]]</f>
        <v>0</v>
      </c>
      <c r="K258" s="16">
        <f>Table11[[#This Row],['#Trees as of 12/31/23]]*Table11[[#This Row],[Canada Allocation2017 %]]</f>
        <v>0</v>
      </c>
      <c r="L258" s="16">
        <f>Table11[[#This Row],['#Replace 24]]*Table11[[#This Row],[Canada Allocation2017 %]]</f>
        <v>0</v>
      </c>
      <c r="M258" s="16"/>
      <c r="N258" s="16">
        <f>(Table11[[#This Row],[2024 '#Trees Inventory + Estimate]]*Table11[[#This Row],[Canada Allocation2017 %]])-SUM(Table3789[[#This Row],['# Trees as of 12/31/23]:[New Trees/Planted in 2024]])</f>
        <v>0</v>
      </c>
      <c r="O258" s="32">
        <f>SUM(Table3789[[#This Row],['# Trees as of 12/31/23]:[2024 Tree Losses]])</f>
        <v>0</v>
      </c>
      <c r="P258" s="32">
        <f>SUM(Table3789[[#This Row],[Total Trees as of 12/31/24]]-Table3789[[#This Row],['# Trees as of 12/31/23]])</f>
        <v>0</v>
      </c>
      <c r="Q258" s="16">
        <f>Table11[[#This Row],['#Total Replacements]]*Table11[[#This Row],[Canada Allocation2017 %]]</f>
        <v>0</v>
      </c>
      <c r="R258" s="32">
        <f>IF(Table3789[[#This Row],['#Survival based on Inventory]]=0,Table3789['#Survival based on Last Year Estimate],Table3789['#Survival based on Inventory])</f>
        <v>0</v>
      </c>
      <c r="S258" s="16">
        <f>Table11[[#This Row],['#Planted]]*Table11[[#This Row],[Canada Allocation2017 %]]*Table11[[#This Row],[2024 Inventory Survival%-master]]</f>
        <v>0</v>
      </c>
      <c r="T258" s="16">
        <f>Table11[[#This Row],['#Planted]]*Table11[[#This Row],[Canada Allocation2017 %]]*Table11[[#This Row],[2024 Estimated Survival%]]</f>
        <v>0</v>
      </c>
      <c r="U258" s="7">
        <f>Table11[[#This Row],[ETP Year]]</f>
        <v>2020</v>
      </c>
      <c r="V258" s="7">
        <f>Table11[[#This Row],[Planting Year]]</f>
        <v>2021</v>
      </c>
      <c r="W258" s="8">
        <f>Table11[[#This Row],[Survival% as of 12/31/23]]</f>
        <v>0</v>
      </c>
      <c r="X258">
        <f>Table11[[#This Row],[ETP'#s]]</f>
        <v>1</v>
      </c>
    </row>
    <row r="259" spans="1:24" hidden="1" x14ac:dyDescent="0.25">
      <c r="A259">
        <f>Table11[[#This Row],[Farmer'#]]</f>
        <v>10107</v>
      </c>
      <c r="B259" t="str">
        <f>Table11[[#This Row],[Representative]]</f>
        <v>Wendy Muhammad</v>
      </c>
      <c r="C259" t="str">
        <f>Table11[[#This Row],[Contract Name]]</f>
        <v>Wendy Muhammad</v>
      </c>
      <c r="D259" t="str">
        <f>Table11[[#This Row],[Status]]</f>
        <v>Active</v>
      </c>
      <c r="E259" t="str">
        <f>Table11[[#This Row],[Contract Code]]</f>
        <v>US0126</v>
      </c>
      <c r="F259">
        <f>Table11[[#This Row],['#TreesContract]]</f>
        <v>1100</v>
      </c>
      <c r="G259">
        <f>Table11[[#This Row],['#Planted]]</f>
        <v>1100</v>
      </c>
      <c r="H259" s="16">
        <f>Table11[[#This Row],['#TreesContract]]*Table11[[#This Row],[Canada Allocation2017 %]]</f>
        <v>0</v>
      </c>
      <c r="I259" s="16">
        <f>Table11[[#This Row],['#Planted]]*Table11[[#This Row],[Canada Allocation2017 %]]</f>
        <v>0</v>
      </c>
      <c r="J259" s="16">
        <f>Table11[[#This Row],[Contract Amendment]]*Table11[[#This Row],[Canada Allocation2017 %]]</f>
        <v>0</v>
      </c>
      <c r="K259" s="16">
        <f>Table11[[#This Row],['#Trees as of 12/31/23]]*Table11[[#This Row],[Canada Allocation2017 %]]</f>
        <v>0</v>
      </c>
      <c r="L259" s="16">
        <f>Table11[[#This Row],['#Replace 24]]*Table11[[#This Row],[Canada Allocation2017 %]]</f>
        <v>0</v>
      </c>
      <c r="M259" s="16"/>
      <c r="N259" s="16">
        <f>(Table11[[#This Row],[2024 '#Trees Inventory + Estimate]]*Table11[[#This Row],[Canada Allocation2017 %]])-SUM(Table3789[[#This Row],['# Trees as of 12/31/23]:[New Trees/Planted in 2024]])</f>
        <v>0</v>
      </c>
      <c r="O259" s="32">
        <f>SUM(Table3789[[#This Row],['# Trees as of 12/31/23]:[2024 Tree Losses]])</f>
        <v>0</v>
      </c>
      <c r="P259" s="32">
        <f>SUM(Table3789[[#This Row],[Total Trees as of 12/31/24]]-Table3789[[#This Row],['# Trees as of 12/31/23]])</f>
        <v>0</v>
      </c>
      <c r="Q259" s="16">
        <f>Table11[[#This Row],['#Total Replacements]]*Table11[[#This Row],[Canada Allocation2017 %]]</f>
        <v>0</v>
      </c>
      <c r="R259" s="32">
        <f>IF(Table3789[[#This Row],['#Survival based on Inventory]]=0,Table3789['#Survival based on Last Year Estimate],Table3789['#Survival based on Inventory])</f>
        <v>0</v>
      </c>
      <c r="S259" s="16">
        <f>Table11[[#This Row],['#Planted]]*Table11[[#This Row],[Canada Allocation2017 %]]*Table11[[#This Row],[2024 Inventory Survival%-master]]</f>
        <v>0</v>
      </c>
      <c r="T259" s="16">
        <f>Table11[[#This Row],['#Planted]]*Table11[[#This Row],[Canada Allocation2017 %]]*Table11[[#This Row],[2024 Estimated Survival%]]</f>
        <v>0</v>
      </c>
      <c r="U259" s="7">
        <f>Table11[[#This Row],[ETP Year]]</f>
        <v>2020</v>
      </c>
      <c r="V259" s="7">
        <f>Table11[[#This Row],[Planting Year]]</f>
        <v>2021</v>
      </c>
      <c r="W259" s="8">
        <f>Table11[[#This Row],[Survival% as of 12/31/23]]</f>
        <v>0.96896969696969704</v>
      </c>
      <c r="X259">
        <f>Table11[[#This Row],[ETP'#s]]</f>
        <v>1</v>
      </c>
    </row>
    <row r="260" spans="1:24" hidden="1" x14ac:dyDescent="0.25">
      <c r="A260">
        <f>Table11[[#This Row],[Farmer'#]]</f>
        <v>10108</v>
      </c>
      <c r="B260" t="str">
        <f>Table11[[#This Row],[Representative]]</f>
        <v>Wesley and Stanley Todd</v>
      </c>
      <c r="C260" t="str">
        <f>Table11[[#This Row],[Contract Name]]</f>
        <v>Wesley and Stanley Todd</v>
      </c>
      <c r="D260" t="str">
        <f>Table11[[#This Row],[Status]]</f>
        <v>Active</v>
      </c>
      <c r="E260" t="str">
        <f>Table11[[#This Row],[Contract Code]]</f>
        <v>US0127</v>
      </c>
      <c r="F260">
        <f>Table11[[#This Row],['#TreesContract]]</f>
        <v>660</v>
      </c>
      <c r="G260">
        <f>Table11[[#This Row],['#Planted]]</f>
        <v>660</v>
      </c>
      <c r="H260" s="16">
        <f>Table11[[#This Row],['#TreesContract]]*Table11[[#This Row],[Canada Allocation2017 %]]</f>
        <v>0</v>
      </c>
      <c r="I260" s="16">
        <f>Table11[[#This Row],['#Planted]]*Table11[[#This Row],[Canada Allocation2017 %]]</f>
        <v>0</v>
      </c>
      <c r="J260" s="16">
        <f>Table11[[#This Row],[Contract Amendment]]*Table11[[#This Row],[Canada Allocation2017 %]]</f>
        <v>0</v>
      </c>
      <c r="K260" s="16">
        <f>Table11[[#This Row],['#Trees as of 12/31/23]]*Table11[[#This Row],[Canada Allocation2017 %]]</f>
        <v>0</v>
      </c>
      <c r="L260" s="16">
        <f>Table11[[#This Row],['#Replace 24]]*Table11[[#This Row],[Canada Allocation2017 %]]</f>
        <v>0</v>
      </c>
      <c r="M260" s="16"/>
      <c r="N260" s="16">
        <f>(Table11[[#This Row],[2024 '#Trees Inventory + Estimate]]*Table11[[#This Row],[Canada Allocation2017 %]])-SUM(Table3789[[#This Row],['# Trees as of 12/31/23]:[New Trees/Planted in 2024]])</f>
        <v>0</v>
      </c>
      <c r="O260" s="32">
        <f>SUM(Table3789[[#This Row],['# Trees as of 12/31/23]:[2024 Tree Losses]])</f>
        <v>0</v>
      </c>
      <c r="P260" s="32">
        <f>SUM(Table3789[[#This Row],[Total Trees as of 12/31/24]]-Table3789[[#This Row],['# Trees as of 12/31/23]])</f>
        <v>0</v>
      </c>
      <c r="Q260" s="16">
        <f>Table11[[#This Row],['#Total Replacements]]*Table11[[#This Row],[Canada Allocation2017 %]]</f>
        <v>0</v>
      </c>
      <c r="R260" s="32">
        <f>IF(Table3789[[#This Row],['#Survival based on Inventory]]=0,Table3789['#Survival based on Last Year Estimate],Table3789['#Survival based on Inventory])</f>
        <v>0</v>
      </c>
      <c r="S260" s="16">
        <f>Table11[[#This Row],['#Planted]]*Table11[[#This Row],[Canada Allocation2017 %]]*Table11[[#This Row],[2024 Inventory Survival%-master]]</f>
        <v>0</v>
      </c>
      <c r="T260" s="16">
        <f>Table11[[#This Row],['#Planted]]*Table11[[#This Row],[Canada Allocation2017 %]]*Table11[[#This Row],[2024 Estimated Survival%]]</f>
        <v>0</v>
      </c>
      <c r="U260" s="7">
        <f>Table11[[#This Row],[ETP Year]]</f>
        <v>2021</v>
      </c>
      <c r="V260" s="7">
        <f>Table11[[#This Row],[Planting Year]]</f>
        <v>2021</v>
      </c>
      <c r="W260" s="8">
        <f>Table11[[#This Row],[Survival% as of 12/31/23]]</f>
        <v>0.94881118881118898</v>
      </c>
      <c r="X260">
        <f>Table11[[#This Row],[ETP'#s]]</f>
        <v>1</v>
      </c>
    </row>
    <row r="261" spans="1:24" hidden="1" x14ac:dyDescent="0.25">
      <c r="A261">
        <f>Table11[[#This Row],[Farmer'#]]</f>
        <v>20037</v>
      </c>
      <c r="B261" t="str">
        <f>Table11[[#This Row],[Representative]]</f>
        <v>Carlos Peña</v>
      </c>
      <c r="C261" t="str">
        <f>Table11[[#This Row],[Contract Name]]</f>
        <v>Carlos Peña</v>
      </c>
      <c r="D261" t="str">
        <f>Table11[[#This Row],[Status]]</f>
        <v>Out of Program</v>
      </c>
      <c r="E261" t="str">
        <f>Table11[[#This Row],[Contract Code]]</f>
        <v>CR0071</v>
      </c>
      <c r="F261">
        <f>Table11[[#This Row],['#TreesContract]]</f>
        <v>1800</v>
      </c>
      <c r="G261">
        <f>Table11[[#This Row],['#Planted]]</f>
        <v>1800</v>
      </c>
      <c r="H261" s="16">
        <f>Table11[[#This Row],['#TreesContract]]*Table11[[#This Row],[Canada Allocation2017 %]]</f>
        <v>0</v>
      </c>
      <c r="I261" s="16">
        <f>Table11[[#This Row],['#Planted]]*Table11[[#This Row],[Canada Allocation2017 %]]</f>
        <v>0</v>
      </c>
      <c r="J261" s="16">
        <f>Table11[[#This Row],[Contract Amendment]]*Table11[[#This Row],[Canada Allocation2017 %]]</f>
        <v>0</v>
      </c>
      <c r="K261" s="16">
        <f>Table11[[#This Row],['#Trees as of 12/31/23]]*Table11[[#This Row],[Canada Allocation2017 %]]</f>
        <v>0</v>
      </c>
      <c r="L261" s="16">
        <f>Table11[[#This Row],['#Replace 24]]*Table11[[#This Row],[Canada Allocation2017 %]]</f>
        <v>0</v>
      </c>
      <c r="M261" s="16"/>
      <c r="N261" s="16">
        <f>(Table11[[#This Row],[2024 '#Trees Inventory + Estimate]]*Table11[[#This Row],[Canada Allocation2017 %]])-SUM(Table3789[[#This Row],['# Trees as of 12/31/23]:[New Trees/Planted in 2024]])</f>
        <v>0</v>
      </c>
      <c r="O261" s="32">
        <f>SUM(Table3789[[#This Row],['# Trees as of 12/31/23]:[2024 Tree Losses]])</f>
        <v>0</v>
      </c>
      <c r="P261" s="32">
        <f>SUM(Table3789[[#This Row],[Total Trees as of 12/31/24]]-Table3789[[#This Row],['# Trees as of 12/31/23]])</f>
        <v>0</v>
      </c>
      <c r="Q261" s="16">
        <f>Table11[[#This Row],['#Total Replacements]]*Table11[[#This Row],[Canada Allocation2017 %]]</f>
        <v>0</v>
      </c>
      <c r="R261" s="32">
        <f>IF(Table3789[[#This Row],['#Survival based on Inventory]]=0,Table3789['#Survival based on Last Year Estimate],Table3789['#Survival based on Inventory])</f>
        <v>0</v>
      </c>
      <c r="S261" s="16">
        <f>Table11[[#This Row],['#Planted]]*Table11[[#This Row],[Canada Allocation2017 %]]*Table11[[#This Row],[2024 Inventory Survival%-master]]</f>
        <v>0</v>
      </c>
      <c r="T261" s="16">
        <f>Table11[[#This Row],['#Planted]]*Table11[[#This Row],[Canada Allocation2017 %]]*Table11[[#This Row],[2024 Estimated Survival%]]</f>
        <v>0</v>
      </c>
      <c r="U261" s="7">
        <f>Table11[[#This Row],[ETP Year]]</f>
        <v>2021</v>
      </c>
      <c r="V261" s="7">
        <f>Table11[[#This Row],[Planting Year]]</f>
        <v>2021</v>
      </c>
      <c r="W261" s="8">
        <f>Table11[[#This Row],[Survival% as of 12/31/23]]</f>
        <v>0</v>
      </c>
      <c r="X261">
        <f>Table11[[#This Row],[ETP'#s]]</f>
        <v>1</v>
      </c>
    </row>
    <row r="262" spans="1:24" hidden="1" x14ac:dyDescent="0.25">
      <c r="A262">
        <f>Table11[[#This Row],[Farmer'#]]</f>
        <v>20065</v>
      </c>
      <c r="B262" t="str">
        <f>Table11[[#This Row],[Representative]]</f>
        <v>Alfonso Carranza</v>
      </c>
      <c r="C262" t="str">
        <f>Table11[[#This Row],[Contract Name]]</f>
        <v>Alfonso Carranza</v>
      </c>
      <c r="D262" t="str">
        <f>Table11[[#This Row],[Status]]</f>
        <v>RFT</v>
      </c>
      <c r="E262" t="str">
        <f>Table11[[#This Row],[Contract Code]]</f>
        <v>CR0070</v>
      </c>
      <c r="F262">
        <f>Table11[[#This Row],['#TreesContract]]</f>
        <v>1000</v>
      </c>
      <c r="G262">
        <f>Table11[[#This Row],['#Planted]]</f>
        <v>1000</v>
      </c>
      <c r="H262" s="16">
        <f>Table11[[#This Row],['#TreesContract]]*Table11[[#This Row],[Canada Allocation2017 %]]</f>
        <v>0</v>
      </c>
      <c r="I262" s="16">
        <f>Table11[[#This Row],['#Planted]]*Table11[[#This Row],[Canada Allocation2017 %]]</f>
        <v>0</v>
      </c>
      <c r="J262" s="16">
        <f>Table11[[#This Row],[Contract Amendment]]*Table11[[#This Row],[Canada Allocation2017 %]]</f>
        <v>0</v>
      </c>
      <c r="K262" s="16">
        <f>Table11[[#This Row],['#Trees as of 12/31/23]]*Table11[[#This Row],[Canada Allocation2017 %]]</f>
        <v>0</v>
      </c>
      <c r="L262" s="16">
        <f>Table11[[#This Row],['#Replace 24]]*Table11[[#This Row],[Canada Allocation2017 %]]</f>
        <v>0</v>
      </c>
      <c r="M262" s="16"/>
      <c r="N262" s="16">
        <f>(Table11[[#This Row],[2024 '#Trees Inventory + Estimate]]*Table11[[#This Row],[Canada Allocation2017 %]])-SUM(Table3789[[#This Row],['# Trees as of 12/31/23]:[New Trees/Planted in 2024]])</f>
        <v>0</v>
      </c>
      <c r="O262" s="32">
        <f>SUM(Table3789[[#This Row],['# Trees as of 12/31/23]:[2024 Tree Losses]])</f>
        <v>0</v>
      </c>
      <c r="P262" s="32">
        <f>SUM(Table3789[[#This Row],[Total Trees as of 12/31/24]]-Table3789[[#This Row],['# Trees as of 12/31/23]])</f>
        <v>0</v>
      </c>
      <c r="Q262" s="16">
        <f>Table11[[#This Row],['#Total Replacements]]*Table11[[#This Row],[Canada Allocation2017 %]]</f>
        <v>0</v>
      </c>
      <c r="R262" s="32">
        <f>IF(Table3789[[#This Row],['#Survival based on Inventory]]=0,Table3789['#Survival based on Last Year Estimate],Table3789['#Survival based on Inventory])</f>
        <v>0</v>
      </c>
      <c r="S262" s="16">
        <f>Table11[[#This Row],['#Planted]]*Table11[[#This Row],[Canada Allocation2017 %]]*Table11[[#This Row],[2024 Inventory Survival%-master]]</f>
        <v>0</v>
      </c>
      <c r="T262" s="16">
        <f>Table11[[#This Row],['#Planted]]*Table11[[#This Row],[Canada Allocation2017 %]]*Table11[[#This Row],[2024 Estimated Survival%]]</f>
        <v>0</v>
      </c>
      <c r="U262" s="7">
        <f>Table11[[#This Row],[ETP Year]]</f>
        <v>2021</v>
      </c>
      <c r="V262" s="7">
        <f>Table11[[#This Row],[Planting Year]]</f>
        <v>2021</v>
      </c>
      <c r="W262" s="8">
        <f>Table11[[#This Row],[Survival% as of 12/31/23]]</f>
        <v>1</v>
      </c>
      <c r="X262">
        <f>Table11[[#This Row],[ETP'#s]]</f>
        <v>1</v>
      </c>
    </row>
    <row r="263" spans="1:24" hidden="1" x14ac:dyDescent="0.25">
      <c r="A263">
        <f>Table11[[#This Row],[Farmer'#]]</f>
        <v>20066</v>
      </c>
      <c r="B263" t="str">
        <f>Table11[[#This Row],[Representative]]</f>
        <v>Christian Miranda</v>
      </c>
      <c r="C263" t="str">
        <f>Table11[[#This Row],[Contract Name]]</f>
        <v>Colegio Tecnico Ricardo Beer</v>
      </c>
      <c r="D263" t="str">
        <f>Table11[[#This Row],[Status]]</f>
        <v>RFT</v>
      </c>
      <c r="E263" t="str">
        <f>Table11[[#This Row],[Contract Code]]</f>
        <v>CR0072</v>
      </c>
      <c r="F263">
        <f>Table11[[#This Row],['#TreesContract]]</f>
        <v>650</v>
      </c>
      <c r="G263">
        <f>Table11[[#This Row],['#Planted]]</f>
        <v>650</v>
      </c>
      <c r="H263" s="16">
        <f>Table11[[#This Row],['#TreesContract]]*Table11[[#This Row],[Canada Allocation2017 %]]</f>
        <v>0</v>
      </c>
      <c r="I263" s="16">
        <f>Table11[[#This Row],['#Planted]]*Table11[[#This Row],[Canada Allocation2017 %]]</f>
        <v>0</v>
      </c>
      <c r="J263" s="16">
        <f>Table11[[#This Row],[Contract Amendment]]*Table11[[#This Row],[Canada Allocation2017 %]]</f>
        <v>0</v>
      </c>
      <c r="K263" s="16">
        <f>Table11[[#This Row],['#Trees as of 12/31/23]]*Table11[[#This Row],[Canada Allocation2017 %]]</f>
        <v>0</v>
      </c>
      <c r="L263" s="16">
        <f>Table11[[#This Row],['#Replace 24]]*Table11[[#This Row],[Canada Allocation2017 %]]</f>
        <v>0</v>
      </c>
      <c r="M263" s="16"/>
      <c r="N263" s="16">
        <f>(Table11[[#This Row],[2024 '#Trees Inventory + Estimate]]*Table11[[#This Row],[Canada Allocation2017 %]])-SUM(Table3789[[#This Row],['# Trees as of 12/31/23]:[New Trees/Planted in 2024]])</f>
        <v>0</v>
      </c>
      <c r="O263" s="32">
        <f>SUM(Table3789[[#This Row],['# Trees as of 12/31/23]:[2024 Tree Losses]])</f>
        <v>0</v>
      </c>
      <c r="P263" s="32">
        <f>SUM(Table3789[[#This Row],[Total Trees as of 12/31/24]]-Table3789[[#This Row],['# Trees as of 12/31/23]])</f>
        <v>0</v>
      </c>
      <c r="Q263" s="16">
        <f>Table11[[#This Row],['#Total Replacements]]*Table11[[#This Row],[Canada Allocation2017 %]]</f>
        <v>0</v>
      </c>
      <c r="R263" s="32">
        <f>IF(Table3789[[#This Row],['#Survival based on Inventory]]=0,Table3789['#Survival based on Last Year Estimate],Table3789['#Survival based on Inventory])</f>
        <v>0</v>
      </c>
      <c r="S263" s="16">
        <f>Table11[[#This Row],['#Planted]]*Table11[[#This Row],[Canada Allocation2017 %]]*Table11[[#This Row],[2024 Inventory Survival%-master]]</f>
        <v>0</v>
      </c>
      <c r="T263" s="16">
        <f>Table11[[#This Row],['#Planted]]*Table11[[#This Row],[Canada Allocation2017 %]]*Table11[[#This Row],[2024 Estimated Survival%]]</f>
        <v>0</v>
      </c>
      <c r="U263" s="7">
        <f>Table11[[#This Row],[ETP Year]]</f>
        <v>2021</v>
      </c>
      <c r="V263" s="7">
        <f>Table11[[#This Row],[Planting Year]]</f>
        <v>2021</v>
      </c>
      <c r="W263" s="8">
        <f>Table11[[#This Row],[Survival% as of 12/31/23]]</f>
        <v>1</v>
      </c>
      <c r="X263">
        <f>Table11[[#This Row],[ETP'#s]]</f>
        <v>1</v>
      </c>
    </row>
    <row r="264" spans="1:24" hidden="1" x14ac:dyDescent="0.25">
      <c r="A264">
        <f>Table11[[#This Row],[Farmer'#]]</f>
        <v>20067</v>
      </c>
      <c r="B264" t="str">
        <f>Table11[[#This Row],[Representative]]</f>
        <v>Geiner Araya Guzman</v>
      </c>
      <c r="C264" t="str">
        <f>Table11[[#This Row],[Contract Name]]</f>
        <v>Geiner Araya Guzman</v>
      </c>
      <c r="D264" t="str">
        <f>Table11[[#This Row],[Status]]</f>
        <v>Active</v>
      </c>
      <c r="E264" t="str">
        <f>Table11[[#This Row],[Contract Code]]</f>
        <v>CR0073</v>
      </c>
      <c r="F264">
        <f>Table11[[#This Row],['#TreesContract]]</f>
        <v>1000</v>
      </c>
      <c r="G264">
        <f>Table11[[#This Row],['#Planted]]</f>
        <v>1000</v>
      </c>
      <c r="H264" s="16">
        <f>Table11[[#This Row],['#TreesContract]]*Table11[[#This Row],[Canada Allocation2017 %]]</f>
        <v>0</v>
      </c>
      <c r="I264" s="16">
        <f>Table11[[#This Row],['#Planted]]*Table11[[#This Row],[Canada Allocation2017 %]]</f>
        <v>0</v>
      </c>
      <c r="J264" s="16">
        <f>Table11[[#This Row],[Contract Amendment]]*Table11[[#This Row],[Canada Allocation2017 %]]</f>
        <v>0</v>
      </c>
      <c r="K264" s="16">
        <f>Table11[[#This Row],['#Trees as of 12/31/23]]*Table11[[#This Row],[Canada Allocation2017 %]]</f>
        <v>0</v>
      </c>
      <c r="L264" s="16">
        <f>Table11[[#This Row],['#Replace 24]]*Table11[[#This Row],[Canada Allocation2017 %]]</f>
        <v>0</v>
      </c>
      <c r="M264" s="16"/>
      <c r="N264" s="16">
        <f>(Table11[[#This Row],[2024 '#Trees Inventory + Estimate]]*Table11[[#This Row],[Canada Allocation2017 %]])-SUM(Table3789[[#This Row],['# Trees as of 12/31/23]:[New Trees/Planted in 2024]])</f>
        <v>0</v>
      </c>
      <c r="O264" s="32">
        <f>SUM(Table3789[[#This Row],['# Trees as of 12/31/23]:[2024 Tree Losses]])</f>
        <v>0</v>
      </c>
      <c r="P264" s="32">
        <f>SUM(Table3789[[#This Row],[Total Trees as of 12/31/24]]-Table3789[[#This Row],['# Trees as of 12/31/23]])</f>
        <v>0</v>
      </c>
      <c r="Q264" s="16">
        <f>Table11[[#This Row],['#Total Replacements]]*Table11[[#This Row],[Canada Allocation2017 %]]</f>
        <v>0</v>
      </c>
      <c r="R264" s="32">
        <f>IF(Table3789[[#This Row],['#Survival based on Inventory]]=0,Table3789['#Survival based on Last Year Estimate],Table3789['#Survival based on Inventory])</f>
        <v>0</v>
      </c>
      <c r="S264" s="16">
        <f>Table11[[#This Row],['#Planted]]*Table11[[#This Row],[Canada Allocation2017 %]]*Table11[[#This Row],[2024 Inventory Survival%-master]]</f>
        <v>0</v>
      </c>
      <c r="T264" s="16">
        <f>Table11[[#This Row],['#Planted]]*Table11[[#This Row],[Canada Allocation2017 %]]*Table11[[#This Row],[2024 Estimated Survival%]]</f>
        <v>0</v>
      </c>
      <c r="U264" s="7">
        <f>Table11[[#This Row],[ETP Year]]</f>
        <v>2021</v>
      </c>
      <c r="V264" s="7">
        <f>Table11[[#This Row],[Planting Year]]</f>
        <v>2021</v>
      </c>
      <c r="W264" s="8">
        <f>Table11[[#This Row],[Survival% as of 12/31/23]]</f>
        <v>1</v>
      </c>
      <c r="X264">
        <f>Table11[[#This Row],[ETP'#s]]</f>
        <v>1</v>
      </c>
    </row>
    <row r="265" spans="1:24" hidden="1" x14ac:dyDescent="0.25">
      <c r="A265">
        <f>Table11[[#This Row],[Farmer'#]]</f>
        <v>20068</v>
      </c>
      <c r="B265" t="str">
        <f>Table11[[#This Row],[Representative]]</f>
        <v xml:space="preserve">Luis Alonso Garita Hidalgo </v>
      </c>
      <c r="C265" t="str">
        <f>Table11[[#This Row],[Contract Name]]</f>
        <v>Ubuntu GH  S.A</v>
      </c>
      <c r="D265" t="str">
        <f>Table11[[#This Row],[Status]]</f>
        <v>Active</v>
      </c>
      <c r="E265" t="str">
        <f>Table11[[#This Row],[Contract Code]]</f>
        <v>CR0074</v>
      </c>
      <c r="F265">
        <f>Table11[[#This Row],['#TreesContract]]</f>
        <v>1730</v>
      </c>
      <c r="G265">
        <f>Table11[[#This Row],['#Planted]]</f>
        <v>1730</v>
      </c>
      <c r="H265" s="16">
        <f>Table11[[#This Row],['#TreesContract]]*Table11[[#This Row],[Canada Allocation2017 %]]</f>
        <v>0</v>
      </c>
      <c r="I265" s="16">
        <f>Table11[[#This Row],['#Planted]]*Table11[[#This Row],[Canada Allocation2017 %]]</f>
        <v>0</v>
      </c>
      <c r="J265" s="16">
        <f>Table11[[#This Row],[Contract Amendment]]*Table11[[#This Row],[Canada Allocation2017 %]]</f>
        <v>0</v>
      </c>
      <c r="K265" s="16">
        <f>Table11[[#This Row],['#Trees as of 12/31/23]]*Table11[[#This Row],[Canada Allocation2017 %]]</f>
        <v>0</v>
      </c>
      <c r="L265" s="16">
        <f>Table11[[#This Row],['#Replace 24]]*Table11[[#This Row],[Canada Allocation2017 %]]</f>
        <v>0</v>
      </c>
      <c r="M265" s="16"/>
      <c r="N265" s="16">
        <f>(Table11[[#This Row],[2024 '#Trees Inventory + Estimate]]*Table11[[#This Row],[Canada Allocation2017 %]])-SUM(Table3789[[#This Row],['# Trees as of 12/31/23]:[New Trees/Planted in 2024]])</f>
        <v>0</v>
      </c>
      <c r="O265" s="32">
        <f>SUM(Table3789[[#This Row],['# Trees as of 12/31/23]:[2024 Tree Losses]])</f>
        <v>0</v>
      </c>
      <c r="P265" s="32">
        <f>SUM(Table3789[[#This Row],[Total Trees as of 12/31/24]]-Table3789[[#This Row],['# Trees as of 12/31/23]])</f>
        <v>0</v>
      </c>
      <c r="Q265" s="16">
        <f>Table11[[#This Row],['#Total Replacements]]*Table11[[#This Row],[Canada Allocation2017 %]]</f>
        <v>0</v>
      </c>
      <c r="R265" s="32">
        <f>IF(Table3789[[#This Row],['#Survival based on Inventory]]=0,Table3789['#Survival based on Last Year Estimate],Table3789['#Survival based on Inventory])</f>
        <v>0</v>
      </c>
      <c r="S265" s="16">
        <f>Table11[[#This Row],['#Planted]]*Table11[[#This Row],[Canada Allocation2017 %]]*Table11[[#This Row],[2024 Inventory Survival%-master]]</f>
        <v>0</v>
      </c>
      <c r="T265" s="16">
        <f>Table11[[#This Row],['#Planted]]*Table11[[#This Row],[Canada Allocation2017 %]]*Table11[[#This Row],[2024 Estimated Survival%]]</f>
        <v>0</v>
      </c>
      <c r="U265" s="7">
        <f>Table11[[#This Row],[ETP Year]]</f>
        <v>2021</v>
      </c>
      <c r="V265" s="7">
        <f>Table11[[#This Row],[Planting Year]]</f>
        <v>2021</v>
      </c>
      <c r="W265" s="8">
        <f>Table11[[#This Row],[Survival% as of 12/31/23]]</f>
        <v>0.97687861271676302</v>
      </c>
      <c r="X265">
        <f>Table11[[#This Row],[ETP'#s]]</f>
        <v>1</v>
      </c>
    </row>
    <row r="266" spans="1:24" hidden="1" x14ac:dyDescent="0.25">
      <c r="A266">
        <f>Table11[[#This Row],[Farmer'#]]</f>
        <v>20069</v>
      </c>
      <c r="B266" t="str">
        <f>Table11[[#This Row],[Representative]]</f>
        <v>Oldemar Perez</v>
      </c>
      <c r="C266" t="str">
        <f>Table11[[#This Row],[Contract Name]]</f>
        <v>Oldemar Perez</v>
      </c>
      <c r="D266" t="str">
        <f>Table11[[#This Row],[Status]]</f>
        <v>Active</v>
      </c>
      <c r="E266" t="str">
        <f>Table11[[#This Row],[Contract Code]]</f>
        <v>CR0075</v>
      </c>
      <c r="F266">
        <f>Table11[[#This Row],['#TreesContract]]</f>
        <v>1000</v>
      </c>
      <c r="G266">
        <f>Table11[[#This Row],['#Planted]]</f>
        <v>1000</v>
      </c>
      <c r="H266" s="16">
        <f>Table11[[#This Row],['#TreesContract]]*Table11[[#This Row],[Canada Allocation2017 %]]</f>
        <v>0</v>
      </c>
      <c r="I266" s="16">
        <f>Table11[[#This Row],['#Planted]]*Table11[[#This Row],[Canada Allocation2017 %]]</f>
        <v>0</v>
      </c>
      <c r="J266" s="16">
        <f>Table11[[#This Row],[Contract Amendment]]*Table11[[#This Row],[Canada Allocation2017 %]]</f>
        <v>0</v>
      </c>
      <c r="K266" s="16">
        <f>Table11[[#This Row],['#Trees as of 12/31/23]]*Table11[[#This Row],[Canada Allocation2017 %]]</f>
        <v>0</v>
      </c>
      <c r="L266" s="16">
        <f>Table11[[#This Row],['#Replace 24]]*Table11[[#This Row],[Canada Allocation2017 %]]</f>
        <v>0</v>
      </c>
      <c r="M266" s="16"/>
      <c r="N266" s="16">
        <f>(Table11[[#This Row],[2024 '#Trees Inventory + Estimate]]*Table11[[#This Row],[Canada Allocation2017 %]])-SUM(Table3789[[#This Row],['# Trees as of 12/31/23]:[New Trees/Planted in 2024]])</f>
        <v>0</v>
      </c>
      <c r="O266" s="32">
        <f>SUM(Table3789[[#This Row],['# Trees as of 12/31/23]:[2024 Tree Losses]])</f>
        <v>0</v>
      </c>
      <c r="P266" s="32">
        <f>SUM(Table3789[[#This Row],[Total Trees as of 12/31/24]]-Table3789[[#This Row],['# Trees as of 12/31/23]])</f>
        <v>0</v>
      </c>
      <c r="Q266" s="16">
        <f>Table11[[#This Row],['#Total Replacements]]*Table11[[#This Row],[Canada Allocation2017 %]]</f>
        <v>0</v>
      </c>
      <c r="R266" s="32">
        <f>IF(Table3789[[#This Row],['#Survival based on Inventory]]=0,Table3789['#Survival based on Last Year Estimate],Table3789['#Survival based on Inventory])</f>
        <v>0</v>
      </c>
      <c r="S266" s="16">
        <f>Table11[[#This Row],['#Planted]]*Table11[[#This Row],[Canada Allocation2017 %]]*Table11[[#This Row],[2024 Inventory Survival%-master]]</f>
        <v>0</v>
      </c>
      <c r="T266" s="16">
        <f>Table11[[#This Row],['#Planted]]*Table11[[#This Row],[Canada Allocation2017 %]]*Table11[[#This Row],[2024 Estimated Survival%]]</f>
        <v>0</v>
      </c>
      <c r="U266" s="7">
        <f>Table11[[#This Row],[ETP Year]]</f>
        <v>2021</v>
      </c>
      <c r="V266" s="7">
        <f>Table11[[#This Row],[Planting Year]]</f>
        <v>2021</v>
      </c>
      <c r="W266" s="8">
        <f>Table11[[#This Row],[Survival% as of 12/31/23]]</f>
        <v>0.79738117283950627</v>
      </c>
      <c r="X266">
        <f>Table11[[#This Row],[ETP'#s]]</f>
        <v>1</v>
      </c>
    </row>
    <row r="267" spans="1:24" hidden="1" x14ac:dyDescent="0.25">
      <c r="A267">
        <f>Table11[[#This Row],[Farmer'#]]</f>
        <v>20070</v>
      </c>
      <c r="B267" t="str">
        <f>Table11[[#This Row],[Representative]]</f>
        <v xml:space="preserve">Olga Chavarria </v>
      </c>
      <c r="C267" t="str">
        <f>Table11[[#This Row],[Contract Name]]</f>
        <v xml:space="preserve">Olga Chavarria </v>
      </c>
      <c r="D267" t="str">
        <f>Table11[[#This Row],[Status]]</f>
        <v>Active</v>
      </c>
      <c r="E267" t="str">
        <f>Table11[[#This Row],[Contract Code]]</f>
        <v>CR0076</v>
      </c>
      <c r="F267">
        <f>Table11[[#This Row],['#TreesContract]]</f>
        <v>1000</v>
      </c>
      <c r="G267">
        <f>Table11[[#This Row],['#Planted]]</f>
        <v>1000</v>
      </c>
      <c r="H267" s="16">
        <f>Table11[[#This Row],['#TreesContract]]*Table11[[#This Row],[Canada Allocation2017 %]]</f>
        <v>0</v>
      </c>
      <c r="I267" s="16">
        <f>Table11[[#This Row],['#Planted]]*Table11[[#This Row],[Canada Allocation2017 %]]</f>
        <v>0</v>
      </c>
      <c r="J267" s="16">
        <f>Table11[[#This Row],[Contract Amendment]]*Table11[[#This Row],[Canada Allocation2017 %]]</f>
        <v>0</v>
      </c>
      <c r="K267" s="16">
        <f>Table11[[#This Row],['#Trees as of 12/31/23]]*Table11[[#This Row],[Canada Allocation2017 %]]</f>
        <v>0</v>
      </c>
      <c r="L267" s="16">
        <f>Table11[[#This Row],['#Replace 24]]*Table11[[#This Row],[Canada Allocation2017 %]]</f>
        <v>0</v>
      </c>
      <c r="M267" s="16"/>
      <c r="N267" s="16">
        <f>(Table11[[#This Row],[2024 '#Trees Inventory + Estimate]]*Table11[[#This Row],[Canada Allocation2017 %]])-SUM(Table3789[[#This Row],['# Trees as of 12/31/23]:[New Trees/Planted in 2024]])</f>
        <v>0</v>
      </c>
      <c r="O267" s="32">
        <f>SUM(Table3789[[#This Row],['# Trees as of 12/31/23]:[2024 Tree Losses]])</f>
        <v>0</v>
      </c>
      <c r="P267" s="32">
        <f>SUM(Table3789[[#This Row],[Total Trees as of 12/31/24]]-Table3789[[#This Row],['# Trees as of 12/31/23]])</f>
        <v>0</v>
      </c>
      <c r="Q267" s="16">
        <f>Table11[[#This Row],['#Total Replacements]]*Table11[[#This Row],[Canada Allocation2017 %]]</f>
        <v>0</v>
      </c>
      <c r="R267" s="32">
        <f>IF(Table3789[[#This Row],['#Survival based on Inventory]]=0,Table3789['#Survival based on Last Year Estimate],Table3789['#Survival based on Inventory])</f>
        <v>0</v>
      </c>
      <c r="S267" s="16">
        <f>Table11[[#This Row],['#Planted]]*Table11[[#This Row],[Canada Allocation2017 %]]*Table11[[#This Row],[2024 Inventory Survival%-master]]</f>
        <v>0</v>
      </c>
      <c r="T267" s="16">
        <f>Table11[[#This Row],['#Planted]]*Table11[[#This Row],[Canada Allocation2017 %]]*Table11[[#This Row],[2024 Estimated Survival%]]</f>
        <v>0</v>
      </c>
      <c r="U267" s="7">
        <f>Table11[[#This Row],[ETP Year]]</f>
        <v>2021</v>
      </c>
      <c r="V267" s="7">
        <f>Table11[[#This Row],[Planting Year]]</f>
        <v>2021</v>
      </c>
      <c r="W267" s="8">
        <f>Table11[[#This Row],[Survival% as of 12/31/23]]</f>
        <v>0.99199999999999999</v>
      </c>
      <c r="X267">
        <f>Table11[[#This Row],[ETP'#s]]</f>
        <v>1</v>
      </c>
    </row>
    <row r="268" spans="1:24" hidden="1" x14ac:dyDescent="0.25">
      <c r="A268">
        <f>Table11[[#This Row],[Farmer'#]]</f>
        <v>20071</v>
      </c>
      <c r="B268" t="str">
        <f>Table11[[#This Row],[Representative]]</f>
        <v>Rafael Quiroz</v>
      </c>
      <c r="C268" t="str">
        <f>Table11[[#This Row],[Contract Name]]</f>
        <v>Rafael Quiroz</v>
      </c>
      <c r="D268" t="str">
        <f>Table11[[#This Row],[Status]]</f>
        <v>Active</v>
      </c>
      <c r="E268" t="str">
        <f>Table11[[#This Row],[Contract Code]]</f>
        <v>CR0077</v>
      </c>
      <c r="F268">
        <f>Table11[[#This Row],['#TreesContract]]</f>
        <v>2875</v>
      </c>
      <c r="G268">
        <f>Table11[[#This Row],['#Planted]]</f>
        <v>2875</v>
      </c>
      <c r="H268" s="16">
        <f>Table11[[#This Row],['#TreesContract]]*Table11[[#This Row],[Canada Allocation2017 %]]</f>
        <v>0</v>
      </c>
      <c r="I268" s="16">
        <f>Table11[[#This Row],['#Planted]]*Table11[[#This Row],[Canada Allocation2017 %]]</f>
        <v>0</v>
      </c>
      <c r="J268" s="16">
        <f>Table11[[#This Row],[Contract Amendment]]*Table11[[#This Row],[Canada Allocation2017 %]]</f>
        <v>0</v>
      </c>
      <c r="K268" s="16">
        <f>Table11[[#This Row],['#Trees as of 12/31/23]]*Table11[[#This Row],[Canada Allocation2017 %]]</f>
        <v>0</v>
      </c>
      <c r="L268" s="16">
        <f>Table11[[#This Row],['#Replace 24]]*Table11[[#This Row],[Canada Allocation2017 %]]</f>
        <v>0</v>
      </c>
      <c r="M268" s="16"/>
      <c r="N268" s="16">
        <f>(Table11[[#This Row],[2024 '#Trees Inventory + Estimate]]*Table11[[#This Row],[Canada Allocation2017 %]])-SUM(Table3789[[#This Row],['# Trees as of 12/31/23]:[New Trees/Planted in 2024]])</f>
        <v>0</v>
      </c>
      <c r="O268" s="32">
        <f>SUM(Table3789[[#This Row],['# Trees as of 12/31/23]:[2024 Tree Losses]])</f>
        <v>0</v>
      </c>
      <c r="P268" s="32">
        <f>SUM(Table3789[[#This Row],[Total Trees as of 12/31/24]]-Table3789[[#This Row],['# Trees as of 12/31/23]])</f>
        <v>0</v>
      </c>
      <c r="Q268" s="16">
        <f>Table11[[#This Row],['#Total Replacements]]*Table11[[#This Row],[Canada Allocation2017 %]]</f>
        <v>0</v>
      </c>
      <c r="R268" s="32">
        <f>IF(Table3789[[#This Row],['#Survival based on Inventory]]=0,Table3789['#Survival based on Last Year Estimate],Table3789['#Survival based on Inventory])</f>
        <v>0</v>
      </c>
      <c r="S268" s="16">
        <f>Table11[[#This Row],['#Planted]]*Table11[[#This Row],[Canada Allocation2017 %]]*Table11[[#This Row],[2024 Inventory Survival%-master]]</f>
        <v>0</v>
      </c>
      <c r="T268" s="16">
        <f>Table11[[#This Row],['#Planted]]*Table11[[#This Row],[Canada Allocation2017 %]]*Table11[[#This Row],[2024 Estimated Survival%]]</f>
        <v>0</v>
      </c>
      <c r="U268" s="7">
        <f>Table11[[#This Row],[ETP Year]]</f>
        <v>2021</v>
      </c>
      <c r="V268" s="7">
        <f>Table11[[#This Row],[Planting Year]]</f>
        <v>2021</v>
      </c>
      <c r="W268" s="8">
        <f>Table11[[#This Row],[Survival% as of 12/31/23]]</f>
        <v>1</v>
      </c>
      <c r="X268">
        <f>Table11[[#This Row],[ETP'#s]]</f>
        <v>1</v>
      </c>
    </row>
    <row r="269" spans="1:24" hidden="1" x14ac:dyDescent="0.25">
      <c r="A269">
        <f>Table11[[#This Row],[Farmer'#]]</f>
        <v>20072</v>
      </c>
      <c r="B269" t="str">
        <f>Table11[[#This Row],[Representative]]</f>
        <v>Xinia Moya</v>
      </c>
      <c r="C269" t="str">
        <f>Table11[[#This Row],[Contract Name]]</f>
        <v>Xinia Moya</v>
      </c>
      <c r="D269" t="str">
        <f>Table11[[#This Row],[Status]]</f>
        <v>Active</v>
      </c>
      <c r="E269" t="str">
        <f>Table11[[#This Row],[Contract Code]]</f>
        <v>CR0078</v>
      </c>
      <c r="F269">
        <f>Table11[[#This Row],['#TreesContract]]</f>
        <v>1000</v>
      </c>
      <c r="G269">
        <f>Table11[[#This Row],['#Planted]]</f>
        <v>1000</v>
      </c>
      <c r="H269" s="16">
        <f>Table11[[#This Row],['#TreesContract]]*Table11[[#This Row],[Canada Allocation2017 %]]</f>
        <v>0</v>
      </c>
      <c r="I269" s="16">
        <f>Table11[[#This Row],['#Planted]]*Table11[[#This Row],[Canada Allocation2017 %]]</f>
        <v>0</v>
      </c>
      <c r="J269" s="16">
        <f>Table11[[#This Row],[Contract Amendment]]*Table11[[#This Row],[Canada Allocation2017 %]]</f>
        <v>0</v>
      </c>
      <c r="K269" s="16">
        <f>Table11[[#This Row],['#Trees as of 12/31/23]]*Table11[[#This Row],[Canada Allocation2017 %]]</f>
        <v>0</v>
      </c>
      <c r="L269" s="16">
        <f>Table11[[#This Row],['#Replace 24]]*Table11[[#This Row],[Canada Allocation2017 %]]</f>
        <v>0</v>
      </c>
      <c r="M269" s="16"/>
      <c r="N269" s="16">
        <f>(Table11[[#This Row],[2024 '#Trees Inventory + Estimate]]*Table11[[#This Row],[Canada Allocation2017 %]])-SUM(Table3789[[#This Row],['# Trees as of 12/31/23]:[New Trees/Planted in 2024]])</f>
        <v>0</v>
      </c>
      <c r="O269" s="32">
        <f>SUM(Table3789[[#This Row],['# Trees as of 12/31/23]:[2024 Tree Losses]])</f>
        <v>0</v>
      </c>
      <c r="P269" s="32">
        <f>SUM(Table3789[[#This Row],[Total Trees as of 12/31/24]]-Table3789[[#This Row],['# Trees as of 12/31/23]])</f>
        <v>0</v>
      </c>
      <c r="Q269" s="16">
        <f>Table11[[#This Row],['#Total Replacements]]*Table11[[#This Row],[Canada Allocation2017 %]]</f>
        <v>0</v>
      </c>
      <c r="R269" s="32">
        <f>IF(Table3789[[#This Row],['#Survival based on Inventory]]=0,Table3789['#Survival based on Last Year Estimate],Table3789['#Survival based on Inventory])</f>
        <v>0</v>
      </c>
      <c r="S269" s="16">
        <f>Table11[[#This Row],['#Planted]]*Table11[[#This Row],[Canada Allocation2017 %]]*Table11[[#This Row],[2024 Inventory Survival%-master]]</f>
        <v>0</v>
      </c>
      <c r="T269" s="16">
        <f>Table11[[#This Row],['#Planted]]*Table11[[#This Row],[Canada Allocation2017 %]]*Table11[[#This Row],[2024 Estimated Survival%]]</f>
        <v>0</v>
      </c>
      <c r="U269" s="7">
        <f>Table11[[#This Row],[ETP Year]]</f>
        <v>2021</v>
      </c>
      <c r="V269" s="7">
        <f>Table11[[#This Row],[Planting Year]]</f>
        <v>2021</v>
      </c>
      <c r="W269" s="8">
        <f>Table11[[#This Row],[Survival% as of 12/31/23]]</f>
        <v>0.91214444444444442</v>
      </c>
      <c r="X269">
        <f>Table11[[#This Row],[ETP'#s]]</f>
        <v>1</v>
      </c>
    </row>
    <row r="270" spans="1:24" hidden="1" x14ac:dyDescent="0.25">
      <c r="A270">
        <f>Table11[[#This Row],[Farmer'#]]</f>
        <v>20084</v>
      </c>
      <c r="B270" t="str">
        <f>Table11[[#This Row],[Representative]]</f>
        <v>Christian Araya</v>
      </c>
      <c r="C270" t="str">
        <f>Table11[[#This Row],[Contract Name]]</f>
        <v>Christian Araya</v>
      </c>
      <c r="D270" t="str">
        <f>Table11[[#This Row],[Status]]</f>
        <v>Active</v>
      </c>
      <c r="E270" t="str">
        <f>Table11[[#This Row],[Contract Code]]</f>
        <v>CR0092</v>
      </c>
      <c r="F270">
        <f>Table11[[#This Row],['#TreesContract]]</f>
        <v>1000</v>
      </c>
      <c r="G270">
        <f>Table11[[#This Row],['#Planted]]</f>
        <v>1000</v>
      </c>
      <c r="H270" s="16">
        <f>Table11[[#This Row],['#TreesContract]]*Table11[[#This Row],[Canada Allocation2017 %]]</f>
        <v>0</v>
      </c>
      <c r="I270" s="16">
        <f>Table11[[#This Row],['#Planted]]*Table11[[#This Row],[Canada Allocation2017 %]]</f>
        <v>0</v>
      </c>
      <c r="J270" s="16">
        <f>Table11[[#This Row],[Contract Amendment]]*Table11[[#This Row],[Canada Allocation2017 %]]</f>
        <v>0</v>
      </c>
      <c r="K270" s="16">
        <f>Table11[[#This Row],['#Trees as of 12/31/23]]*Table11[[#This Row],[Canada Allocation2017 %]]</f>
        <v>0</v>
      </c>
      <c r="L270" s="16">
        <f>Table11[[#This Row],['#Replace 24]]*Table11[[#This Row],[Canada Allocation2017 %]]</f>
        <v>0</v>
      </c>
      <c r="M270" s="16"/>
      <c r="N270" s="16">
        <f>(Table11[[#This Row],[2024 '#Trees Inventory + Estimate]]*Table11[[#This Row],[Canada Allocation2017 %]])-SUM(Table3789[[#This Row],['# Trees as of 12/31/23]:[New Trees/Planted in 2024]])</f>
        <v>0</v>
      </c>
      <c r="O270" s="32">
        <f>SUM(Table3789[[#This Row],['# Trees as of 12/31/23]:[2024 Tree Losses]])</f>
        <v>0</v>
      </c>
      <c r="P270" s="32">
        <f>SUM(Table3789[[#This Row],[Total Trees as of 12/31/24]]-Table3789[[#This Row],['# Trees as of 12/31/23]])</f>
        <v>0</v>
      </c>
      <c r="Q270" s="16">
        <f>Table11[[#This Row],['#Total Replacements]]*Table11[[#This Row],[Canada Allocation2017 %]]</f>
        <v>0</v>
      </c>
      <c r="R270" s="32">
        <f>IF(Table3789[[#This Row],['#Survival based on Inventory]]=0,Table3789['#Survival based on Last Year Estimate],Table3789['#Survival based on Inventory])</f>
        <v>0</v>
      </c>
      <c r="S270" s="16">
        <f>Table11[[#This Row],['#Planted]]*Table11[[#This Row],[Canada Allocation2017 %]]*Table11[[#This Row],[2024 Inventory Survival%-master]]</f>
        <v>0</v>
      </c>
      <c r="T270" s="16">
        <f>Table11[[#This Row],['#Planted]]*Table11[[#This Row],[Canada Allocation2017 %]]*Table11[[#This Row],[2024 Estimated Survival%]]</f>
        <v>0</v>
      </c>
      <c r="U270" s="7">
        <f>Table11[[#This Row],[ETP Year]]</f>
        <v>2021</v>
      </c>
      <c r="V270" s="7">
        <f>Table11[[#This Row],[Planting Year]]</f>
        <v>2021</v>
      </c>
      <c r="W270" s="8">
        <f>Table11[[#This Row],[Survival% as of 12/31/23]]</f>
        <v>0.89531611111111109</v>
      </c>
      <c r="X270">
        <f>Table11[[#This Row],[ETP'#s]]</f>
        <v>1</v>
      </c>
    </row>
    <row r="271" spans="1:24" hidden="1" x14ac:dyDescent="0.25">
      <c r="A271">
        <f>Table11[[#This Row],[Farmer'#]]</f>
        <v>30001</v>
      </c>
      <c r="B271" t="str">
        <f>Table11[[#This Row],[Representative]]</f>
        <v>Ada Patricia Scheel Bartlett</v>
      </c>
      <c r="C271" t="str">
        <f>Table11[[#This Row],[Contract Name]]</f>
        <v>Ada Patricia Scheel Bartlett</v>
      </c>
      <c r="D271" t="str">
        <f>Table11[[#This Row],[Status]]</f>
        <v>Active</v>
      </c>
      <c r="E271" t="str">
        <f>Table11[[#This Row],[Contract Code]]</f>
        <v>GT0030</v>
      </c>
      <c r="F271">
        <f>Table11[[#This Row],['#TreesContract]]</f>
        <v>2000</v>
      </c>
      <c r="G271">
        <f>Table11[[#This Row],['#Planted]]</f>
        <v>2000</v>
      </c>
      <c r="H271" s="16">
        <f>Table11[[#This Row],['#TreesContract]]*Table11[[#This Row],[Canada Allocation2017 %]]</f>
        <v>0</v>
      </c>
      <c r="I271" s="16">
        <f>Table11[[#This Row],['#Planted]]*Table11[[#This Row],[Canada Allocation2017 %]]</f>
        <v>0</v>
      </c>
      <c r="J271" s="16">
        <f>Table11[[#This Row],[Contract Amendment]]*Table11[[#This Row],[Canada Allocation2017 %]]</f>
        <v>0</v>
      </c>
      <c r="K271" s="16">
        <f>Table11[[#This Row],['#Trees as of 12/31/23]]*Table11[[#This Row],[Canada Allocation2017 %]]</f>
        <v>0</v>
      </c>
      <c r="L271" s="16">
        <f>Table11[[#This Row],['#Replace 24]]*Table11[[#This Row],[Canada Allocation2017 %]]</f>
        <v>0</v>
      </c>
      <c r="M271" s="16"/>
      <c r="N271" s="16">
        <f>(Table11[[#This Row],[2024 '#Trees Inventory + Estimate]]*Table11[[#This Row],[Canada Allocation2017 %]])-SUM(Table3789[[#This Row],['# Trees as of 12/31/23]:[New Trees/Planted in 2024]])</f>
        <v>0</v>
      </c>
      <c r="O271" s="32">
        <f>SUM(Table3789[[#This Row],['# Trees as of 12/31/23]:[2024 Tree Losses]])</f>
        <v>0</v>
      </c>
      <c r="P271" s="32">
        <f>SUM(Table3789[[#This Row],[Total Trees as of 12/31/24]]-Table3789[[#This Row],['# Trees as of 12/31/23]])</f>
        <v>0</v>
      </c>
      <c r="Q271" s="16">
        <f>Table11[[#This Row],['#Total Replacements]]*Table11[[#This Row],[Canada Allocation2017 %]]</f>
        <v>0</v>
      </c>
      <c r="R271" s="32">
        <f>IF(Table3789[[#This Row],['#Survival based on Inventory]]=0,Table3789['#Survival based on Last Year Estimate],Table3789['#Survival based on Inventory])</f>
        <v>0</v>
      </c>
      <c r="S271" s="16">
        <f>Table11[[#This Row],['#Planted]]*Table11[[#This Row],[Canada Allocation2017 %]]*Table11[[#This Row],[2024 Inventory Survival%-master]]</f>
        <v>0</v>
      </c>
      <c r="T271" s="16">
        <f>Table11[[#This Row],['#Planted]]*Table11[[#This Row],[Canada Allocation2017 %]]*Table11[[#This Row],[2024 Estimated Survival%]]</f>
        <v>0</v>
      </c>
      <c r="U271" s="7">
        <f>Table11[[#This Row],[ETP Year]]</f>
        <v>2021</v>
      </c>
      <c r="V271" s="7">
        <f>Table11[[#This Row],[Planting Year]]</f>
        <v>2021</v>
      </c>
      <c r="W271" s="8">
        <f>Table11[[#This Row],[Survival% as of 12/31/23]]</f>
        <v>0.47639943192307688</v>
      </c>
      <c r="X271">
        <f>Table11[[#This Row],[ETP'#s]]</f>
        <v>1</v>
      </c>
    </row>
    <row r="272" spans="1:24" hidden="1" x14ac:dyDescent="0.25">
      <c r="A272">
        <f>Table11[[#This Row],[Farmer'#]]</f>
        <v>30006</v>
      </c>
      <c r="B272" t="str">
        <f>Table11[[#This Row],[Representative]]</f>
        <v>Luis Fernando Morán Peréz</v>
      </c>
      <c r="C272" t="str">
        <f>Table11[[#This Row],[Contract Name]]</f>
        <v>Luis Fernando Morán Peréz</v>
      </c>
      <c r="D272" t="str">
        <f>Table11[[#This Row],[Status]]</f>
        <v>Active</v>
      </c>
      <c r="E272" t="str">
        <f>Table11[[#This Row],[Contract Code]]</f>
        <v>GT0038</v>
      </c>
      <c r="F272">
        <f>Table11[[#This Row],['#TreesContract]]</f>
        <v>3795</v>
      </c>
      <c r="G272">
        <f>Table11[[#This Row],['#Planted]]</f>
        <v>3795</v>
      </c>
      <c r="H272" s="16">
        <f>Table11[[#This Row],['#TreesContract]]*Table11[[#This Row],[Canada Allocation2017 %]]</f>
        <v>0</v>
      </c>
      <c r="I272" s="16">
        <f>Table11[[#This Row],['#Planted]]*Table11[[#This Row],[Canada Allocation2017 %]]</f>
        <v>0</v>
      </c>
      <c r="J272" s="16">
        <f>Table11[[#This Row],[Contract Amendment]]*Table11[[#This Row],[Canada Allocation2017 %]]</f>
        <v>0</v>
      </c>
      <c r="K272" s="16">
        <f>Table11[[#This Row],['#Trees as of 12/31/23]]*Table11[[#This Row],[Canada Allocation2017 %]]</f>
        <v>0</v>
      </c>
      <c r="L272" s="16">
        <f>Table11[[#This Row],['#Replace 24]]*Table11[[#This Row],[Canada Allocation2017 %]]</f>
        <v>0</v>
      </c>
      <c r="M272" s="16"/>
      <c r="N272" s="16">
        <f>(Table11[[#This Row],[2024 '#Trees Inventory + Estimate]]*Table11[[#This Row],[Canada Allocation2017 %]])-SUM(Table3789[[#This Row],['# Trees as of 12/31/23]:[New Trees/Planted in 2024]])</f>
        <v>0</v>
      </c>
      <c r="O272" s="32">
        <f>SUM(Table3789[[#This Row],['# Trees as of 12/31/23]:[2024 Tree Losses]])</f>
        <v>0</v>
      </c>
      <c r="P272" s="32">
        <f>SUM(Table3789[[#This Row],[Total Trees as of 12/31/24]]-Table3789[[#This Row],['# Trees as of 12/31/23]])</f>
        <v>0</v>
      </c>
      <c r="Q272" s="16">
        <f>Table11[[#This Row],['#Total Replacements]]*Table11[[#This Row],[Canada Allocation2017 %]]</f>
        <v>0</v>
      </c>
      <c r="R272" s="32">
        <f>IF(Table3789[[#This Row],['#Survival based on Inventory]]=0,Table3789['#Survival based on Last Year Estimate],Table3789['#Survival based on Inventory])</f>
        <v>0</v>
      </c>
      <c r="S272" s="16">
        <f>Table11[[#This Row],['#Planted]]*Table11[[#This Row],[Canada Allocation2017 %]]*Table11[[#This Row],[2024 Inventory Survival%-master]]</f>
        <v>0</v>
      </c>
      <c r="T272" s="16">
        <f>Table11[[#This Row],['#Planted]]*Table11[[#This Row],[Canada Allocation2017 %]]*Table11[[#This Row],[2024 Estimated Survival%]]</f>
        <v>0</v>
      </c>
      <c r="U272" s="7">
        <f>Table11[[#This Row],[ETP Year]]</f>
        <v>2021</v>
      </c>
      <c r="V272" s="7">
        <f>Table11[[#This Row],[Planting Year]]</f>
        <v>2021</v>
      </c>
      <c r="W272" s="8">
        <f>Table11[[#This Row],[Survival% as of 12/31/23]]</f>
        <v>0.79658714839778522</v>
      </c>
      <c r="X272">
        <f>Table11[[#This Row],[ETP'#s]]</f>
        <v>1</v>
      </c>
    </row>
    <row r="273" spans="1:24" hidden="1" x14ac:dyDescent="0.25">
      <c r="A273">
        <f>Table11[[#This Row],[Farmer'#]]</f>
        <v>30007</v>
      </c>
      <c r="B273" t="str">
        <f>Table11[[#This Row],[Representative]]</f>
        <v>Miguel Roberto Mombiela Bruni</v>
      </c>
      <c r="C273" t="str">
        <f>Table11[[#This Row],[Contract Name]]</f>
        <v>Miguel Roberto Mombiela Bruni</v>
      </c>
      <c r="D273" t="str">
        <f>Table11[[#This Row],[Status]]</f>
        <v>Active</v>
      </c>
      <c r="E273" t="str">
        <f>Table11[[#This Row],[Contract Code]]</f>
        <v>GT0040</v>
      </c>
      <c r="F273">
        <f>Table11[[#This Row],['#TreesContract]]</f>
        <v>690</v>
      </c>
      <c r="G273">
        <f>Table11[[#This Row],['#Planted]]</f>
        <v>690</v>
      </c>
      <c r="H273" s="16">
        <f>Table11[[#This Row],['#TreesContract]]*Table11[[#This Row],[Canada Allocation2017 %]]</f>
        <v>0</v>
      </c>
      <c r="I273" s="16">
        <f>Table11[[#This Row],['#Planted]]*Table11[[#This Row],[Canada Allocation2017 %]]</f>
        <v>0</v>
      </c>
      <c r="J273" s="16">
        <f>Table11[[#This Row],[Contract Amendment]]*Table11[[#This Row],[Canada Allocation2017 %]]</f>
        <v>0</v>
      </c>
      <c r="K273" s="16">
        <f>Table11[[#This Row],['#Trees as of 12/31/23]]*Table11[[#This Row],[Canada Allocation2017 %]]</f>
        <v>0</v>
      </c>
      <c r="L273" s="16">
        <f>Table11[[#This Row],['#Replace 24]]*Table11[[#This Row],[Canada Allocation2017 %]]</f>
        <v>0</v>
      </c>
      <c r="M273" s="16"/>
      <c r="N273" s="16">
        <f>(Table11[[#This Row],[2024 '#Trees Inventory + Estimate]]*Table11[[#This Row],[Canada Allocation2017 %]])-SUM(Table3789[[#This Row],['# Trees as of 12/31/23]:[New Trees/Planted in 2024]])</f>
        <v>0</v>
      </c>
      <c r="O273" s="32">
        <f>SUM(Table3789[[#This Row],['# Trees as of 12/31/23]:[2024 Tree Losses]])</f>
        <v>0</v>
      </c>
      <c r="P273" s="32">
        <f>SUM(Table3789[[#This Row],[Total Trees as of 12/31/24]]-Table3789[[#This Row],['# Trees as of 12/31/23]])</f>
        <v>0</v>
      </c>
      <c r="Q273" s="16">
        <f>Table11[[#This Row],['#Total Replacements]]*Table11[[#This Row],[Canada Allocation2017 %]]</f>
        <v>0</v>
      </c>
      <c r="R273" s="32">
        <f>IF(Table3789[[#This Row],['#Survival based on Inventory]]=0,Table3789['#Survival based on Last Year Estimate],Table3789['#Survival based on Inventory])</f>
        <v>0</v>
      </c>
      <c r="S273" s="16">
        <f>Table11[[#This Row],['#Planted]]*Table11[[#This Row],[Canada Allocation2017 %]]*Table11[[#This Row],[2024 Inventory Survival%-master]]</f>
        <v>0</v>
      </c>
      <c r="T273" s="16">
        <f>Table11[[#This Row],['#Planted]]*Table11[[#This Row],[Canada Allocation2017 %]]*Table11[[#This Row],[2024 Estimated Survival%]]</f>
        <v>0</v>
      </c>
      <c r="U273" s="7">
        <f>Table11[[#This Row],[ETP Year]]</f>
        <v>2020</v>
      </c>
      <c r="V273" s="7">
        <f>Table11[[#This Row],[Planting Year]]</f>
        <v>2021</v>
      </c>
      <c r="W273" s="8">
        <f>Table11[[#This Row],[Survival% as of 12/31/23]]</f>
        <v>0.9735441137123747</v>
      </c>
      <c r="X273">
        <f>Table11[[#This Row],[ETP'#s]]</f>
        <v>1</v>
      </c>
    </row>
    <row r="274" spans="1:24" hidden="1" x14ac:dyDescent="0.25">
      <c r="A274">
        <f>Table11[[#This Row],[Farmer'#]]</f>
        <v>30011</v>
      </c>
      <c r="B274" t="str">
        <f>Table11[[#This Row],[Representative]]</f>
        <v xml:space="preserve">Erick Cienfuegos </v>
      </c>
      <c r="C274" t="str">
        <f>Table11[[#This Row],[Contract Name]]</f>
        <v>Rudy Israel Cienfuegos Cordón</v>
      </c>
      <c r="D274" t="str">
        <f>Table11[[#This Row],[Status]]</f>
        <v>Active</v>
      </c>
      <c r="E274" t="str">
        <f>Table11[[#This Row],[Contract Code]]</f>
        <v>GT0029</v>
      </c>
      <c r="F274">
        <f>Table11[[#This Row],['#TreesContract]]</f>
        <v>4050</v>
      </c>
      <c r="G274">
        <f>Table11[[#This Row],['#Planted]]</f>
        <v>4050</v>
      </c>
      <c r="H274" s="16">
        <f>Table11[[#This Row],['#TreesContract]]*Table11[[#This Row],[Canada Allocation2017 %]]</f>
        <v>0</v>
      </c>
      <c r="I274" s="16">
        <f>Table11[[#This Row],['#Planted]]*Table11[[#This Row],[Canada Allocation2017 %]]</f>
        <v>0</v>
      </c>
      <c r="J274" s="16">
        <f>Table11[[#This Row],[Contract Amendment]]*Table11[[#This Row],[Canada Allocation2017 %]]</f>
        <v>0</v>
      </c>
      <c r="K274" s="16">
        <f>Table11[[#This Row],['#Trees as of 12/31/23]]*Table11[[#This Row],[Canada Allocation2017 %]]</f>
        <v>0</v>
      </c>
      <c r="L274" s="16">
        <f>Table11[[#This Row],['#Replace 24]]*Table11[[#This Row],[Canada Allocation2017 %]]</f>
        <v>0</v>
      </c>
      <c r="M274" s="16"/>
      <c r="N274" s="16">
        <f>(Table11[[#This Row],[2024 '#Trees Inventory + Estimate]]*Table11[[#This Row],[Canada Allocation2017 %]])-SUM(Table3789[[#This Row],['# Trees as of 12/31/23]:[New Trees/Planted in 2024]])</f>
        <v>0</v>
      </c>
      <c r="O274" s="32">
        <f>SUM(Table3789[[#This Row],['# Trees as of 12/31/23]:[2024 Tree Losses]])</f>
        <v>0</v>
      </c>
      <c r="P274" s="32">
        <f>SUM(Table3789[[#This Row],[Total Trees as of 12/31/24]]-Table3789[[#This Row],['# Trees as of 12/31/23]])</f>
        <v>0</v>
      </c>
      <c r="Q274" s="16">
        <f>Table11[[#This Row],['#Total Replacements]]*Table11[[#This Row],[Canada Allocation2017 %]]</f>
        <v>0</v>
      </c>
      <c r="R274" s="32">
        <f>IF(Table3789[[#This Row],['#Survival based on Inventory]]=0,Table3789['#Survival based on Last Year Estimate],Table3789['#Survival based on Inventory])</f>
        <v>0</v>
      </c>
      <c r="S274" s="16">
        <f>Table11[[#This Row],['#Planted]]*Table11[[#This Row],[Canada Allocation2017 %]]*Table11[[#This Row],[2024 Inventory Survival%-master]]</f>
        <v>0</v>
      </c>
      <c r="T274" s="16">
        <f>Table11[[#This Row],['#Planted]]*Table11[[#This Row],[Canada Allocation2017 %]]*Table11[[#This Row],[2024 Estimated Survival%]]</f>
        <v>0</v>
      </c>
      <c r="U274" s="7">
        <f>Table11[[#This Row],[ETP Year]]</f>
        <v>2020</v>
      </c>
      <c r="V274" s="7">
        <f>Table11[[#This Row],[Planting Year]]</f>
        <v>2021</v>
      </c>
      <c r="W274" s="8">
        <f>Table11[[#This Row],[Survival% as of 12/31/23]]</f>
        <v>0.63782465185185189</v>
      </c>
      <c r="X274">
        <f>Table11[[#This Row],[ETP'#s]]</f>
        <v>1</v>
      </c>
    </row>
    <row r="275" spans="1:24" hidden="1" x14ac:dyDescent="0.25">
      <c r="A275">
        <f>Table11[[#This Row],[Farmer'#]]</f>
        <v>30014</v>
      </c>
      <c r="B275" t="str">
        <f>Table11[[#This Row],[Representative]]</f>
        <v>Boris Garza</v>
      </c>
      <c r="C275" t="str">
        <f>Table11[[#This Row],[Contract Name]]</f>
        <v>Borigar S.A. Carmen Lucía Garza López</v>
      </c>
      <c r="D275" t="str">
        <f>Table11[[#This Row],[Status]]</f>
        <v>RFT</v>
      </c>
      <c r="E275" t="str">
        <f>Table11[[#This Row],[Contract Code]]</f>
        <v>GT0032</v>
      </c>
      <c r="F275">
        <f>Table11[[#This Row],['#TreesContract]]</f>
        <v>2000</v>
      </c>
      <c r="G275">
        <f>Table11[[#This Row],['#Planted]]</f>
        <v>2000</v>
      </c>
      <c r="H275" s="16">
        <f>Table11[[#This Row],['#TreesContract]]*Table11[[#This Row],[Canada Allocation2017 %]]</f>
        <v>0</v>
      </c>
      <c r="I275" s="16">
        <f>Table11[[#This Row],['#Planted]]*Table11[[#This Row],[Canada Allocation2017 %]]</f>
        <v>0</v>
      </c>
      <c r="J275" s="16">
        <f>Table11[[#This Row],[Contract Amendment]]*Table11[[#This Row],[Canada Allocation2017 %]]</f>
        <v>0</v>
      </c>
      <c r="K275" s="16">
        <f>Table11[[#This Row],['#Trees as of 12/31/23]]*Table11[[#This Row],[Canada Allocation2017 %]]</f>
        <v>0</v>
      </c>
      <c r="L275" s="16">
        <f>Table11[[#This Row],['#Replace 24]]*Table11[[#This Row],[Canada Allocation2017 %]]</f>
        <v>0</v>
      </c>
      <c r="M275" s="16"/>
      <c r="N275" s="16">
        <f>(Table11[[#This Row],[2024 '#Trees Inventory + Estimate]]*Table11[[#This Row],[Canada Allocation2017 %]])-SUM(Table3789[[#This Row],['# Trees as of 12/31/23]:[New Trees/Planted in 2024]])</f>
        <v>0</v>
      </c>
      <c r="O275" s="32">
        <f>SUM(Table3789[[#This Row],['# Trees as of 12/31/23]:[2024 Tree Losses]])</f>
        <v>0</v>
      </c>
      <c r="P275" s="32">
        <f>SUM(Table3789[[#This Row],[Total Trees as of 12/31/24]]-Table3789[[#This Row],['# Trees as of 12/31/23]])</f>
        <v>0</v>
      </c>
      <c r="Q275" s="16">
        <f>Table11[[#This Row],['#Total Replacements]]*Table11[[#This Row],[Canada Allocation2017 %]]</f>
        <v>0</v>
      </c>
      <c r="R275" s="32">
        <f>IF(Table3789[[#This Row],['#Survival based on Inventory]]=0,Table3789['#Survival based on Last Year Estimate],Table3789['#Survival based on Inventory])</f>
        <v>0</v>
      </c>
      <c r="S275" s="16">
        <f>Table11[[#This Row],['#Planted]]*Table11[[#This Row],[Canada Allocation2017 %]]*Table11[[#This Row],[2024 Inventory Survival%-master]]</f>
        <v>0</v>
      </c>
      <c r="T275" s="16">
        <f>Table11[[#This Row],['#Planted]]*Table11[[#This Row],[Canada Allocation2017 %]]*Table11[[#This Row],[2024 Estimated Survival%]]</f>
        <v>0</v>
      </c>
      <c r="U275" s="7">
        <f>Table11[[#This Row],[ETP Year]]</f>
        <v>2021</v>
      </c>
      <c r="V275" s="7">
        <f>Table11[[#This Row],[Planting Year]]</f>
        <v>2021</v>
      </c>
      <c r="W275" s="8">
        <f>Table11[[#This Row],[Survival% as of 12/31/23]]</f>
        <v>0</v>
      </c>
      <c r="X275">
        <f>Table11[[#This Row],[ETP'#s]]</f>
        <v>1</v>
      </c>
    </row>
    <row r="276" spans="1:24" hidden="1" x14ac:dyDescent="0.25">
      <c r="A276">
        <f>Table11[[#This Row],[Farmer'#]]</f>
        <v>30015</v>
      </c>
      <c r="B276" t="str">
        <f>Table11[[#This Row],[Representative]]</f>
        <v>Carlos Adolfo López Letona</v>
      </c>
      <c r="C276" t="str">
        <f>Table11[[#This Row],[Contract Name]]</f>
        <v>Carlos Adolfo López Letona</v>
      </c>
      <c r="D276" t="str">
        <f>Table11[[#This Row],[Status]]</f>
        <v>Active</v>
      </c>
      <c r="E276" t="str">
        <f>Table11[[#This Row],[Contract Code]]</f>
        <v>GT0033</v>
      </c>
      <c r="F276">
        <f>Table11[[#This Row],['#TreesContract]]</f>
        <v>2650</v>
      </c>
      <c r="G276">
        <f>Table11[[#This Row],['#Planted]]</f>
        <v>2650</v>
      </c>
      <c r="H276" s="16">
        <f>Table11[[#This Row],['#TreesContract]]*Table11[[#This Row],[Canada Allocation2017 %]]</f>
        <v>0</v>
      </c>
      <c r="I276" s="16">
        <f>Table11[[#This Row],['#Planted]]*Table11[[#This Row],[Canada Allocation2017 %]]</f>
        <v>0</v>
      </c>
      <c r="J276" s="16">
        <f>Table11[[#This Row],[Contract Amendment]]*Table11[[#This Row],[Canada Allocation2017 %]]</f>
        <v>0</v>
      </c>
      <c r="K276" s="16">
        <f>Table11[[#This Row],['#Trees as of 12/31/23]]*Table11[[#This Row],[Canada Allocation2017 %]]</f>
        <v>0</v>
      </c>
      <c r="L276" s="16">
        <f>Table11[[#This Row],['#Replace 24]]*Table11[[#This Row],[Canada Allocation2017 %]]</f>
        <v>0</v>
      </c>
      <c r="M276" s="16"/>
      <c r="N276" s="16">
        <f>(Table11[[#This Row],[2024 '#Trees Inventory + Estimate]]*Table11[[#This Row],[Canada Allocation2017 %]])-SUM(Table3789[[#This Row],['# Trees as of 12/31/23]:[New Trees/Planted in 2024]])</f>
        <v>0</v>
      </c>
      <c r="O276" s="32">
        <f>SUM(Table3789[[#This Row],['# Trees as of 12/31/23]:[2024 Tree Losses]])</f>
        <v>0</v>
      </c>
      <c r="P276" s="32">
        <f>SUM(Table3789[[#This Row],[Total Trees as of 12/31/24]]-Table3789[[#This Row],['# Trees as of 12/31/23]])</f>
        <v>0</v>
      </c>
      <c r="Q276" s="16">
        <f>Table11[[#This Row],['#Total Replacements]]*Table11[[#This Row],[Canada Allocation2017 %]]</f>
        <v>0</v>
      </c>
      <c r="R276" s="32">
        <f>IF(Table3789[[#This Row],['#Survival based on Inventory]]=0,Table3789['#Survival based on Last Year Estimate],Table3789['#Survival based on Inventory])</f>
        <v>0</v>
      </c>
      <c r="S276" s="16">
        <f>Table11[[#This Row],['#Planted]]*Table11[[#This Row],[Canada Allocation2017 %]]*Table11[[#This Row],[2024 Inventory Survival%-master]]</f>
        <v>0</v>
      </c>
      <c r="T276" s="16">
        <f>Table11[[#This Row],['#Planted]]*Table11[[#This Row],[Canada Allocation2017 %]]*Table11[[#This Row],[2024 Estimated Survival%]]</f>
        <v>0</v>
      </c>
      <c r="U276" s="7">
        <f>Table11[[#This Row],[ETP Year]]</f>
        <v>2020</v>
      </c>
      <c r="V276" s="7">
        <f>Table11[[#This Row],[Planting Year]]</f>
        <v>2021</v>
      </c>
      <c r="W276" s="8">
        <f>Table11[[#This Row],[Survival% as of 12/31/23]]</f>
        <v>0.40309903807890224</v>
      </c>
      <c r="X276">
        <f>Table11[[#This Row],[ETP'#s]]</f>
        <v>1</v>
      </c>
    </row>
    <row r="277" spans="1:24" hidden="1" x14ac:dyDescent="0.25">
      <c r="A277">
        <f>Table11[[#This Row],[Farmer'#]]</f>
        <v>30023</v>
      </c>
      <c r="B277" t="str">
        <f>Table11[[#This Row],[Representative]]</f>
        <v>Julio Francisco Morán Pérez</v>
      </c>
      <c r="C277" t="str">
        <f>Table11[[#This Row],[Contract Name]]</f>
        <v>Julio Francisco Morán Pérez</v>
      </c>
      <c r="D277" t="str">
        <f>Table11[[#This Row],[Status]]</f>
        <v>Active</v>
      </c>
      <c r="E277" t="str">
        <f>Table11[[#This Row],[Contract Code]]</f>
        <v>GT0024b</v>
      </c>
      <c r="F277">
        <f>Table11[[#This Row],['#TreesContract]]</f>
        <v>1433</v>
      </c>
      <c r="G277">
        <f>Table11[[#This Row],['#Planted]]</f>
        <v>1433</v>
      </c>
      <c r="H277" s="16">
        <f>Table11[[#This Row],['#TreesContract]]*Table11[[#This Row],[Canada Allocation2017 %]]</f>
        <v>0</v>
      </c>
      <c r="I277" s="16">
        <f>Table11[[#This Row],['#Planted]]*Table11[[#This Row],[Canada Allocation2017 %]]</f>
        <v>0</v>
      </c>
      <c r="J277" s="16">
        <f>Table11[[#This Row],[Contract Amendment]]*Table11[[#This Row],[Canada Allocation2017 %]]</f>
        <v>0</v>
      </c>
      <c r="K277" s="16">
        <f>Table11[[#This Row],['#Trees as of 12/31/23]]*Table11[[#This Row],[Canada Allocation2017 %]]</f>
        <v>0</v>
      </c>
      <c r="L277" s="16">
        <f>Table11[[#This Row],['#Replace 24]]*Table11[[#This Row],[Canada Allocation2017 %]]</f>
        <v>0</v>
      </c>
      <c r="M277" s="16"/>
      <c r="N277" s="16">
        <f>(Table11[[#This Row],[2024 '#Trees Inventory + Estimate]]*Table11[[#This Row],[Canada Allocation2017 %]])-SUM(Table3789[[#This Row],['# Trees as of 12/31/23]:[New Trees/Planted in 2024]])</f>
        <v>0</v>
      </c>
      <c r="O277" s="32">
        <f>SUM(Table3789[[#This Row],['# Trees as of 12/31/23]:[2024 Tree Losses]])</f>
        <v>0</v>
      </c>
      <c r="P277" s="32">
        <f>SUM(Table3789[[#This Row],[Total Trees as of 12/31/24]]-Table3789[[#This Row],['# Trees as of 12/31/23]])</f>
        <v>0</v>
      </c>
      <c r="Q277" s="16">
        <f>Table11[[#This Row],['#Total Replacements]]*Table11[[#This Row],[Canada Allocation2017 %]]</f>
        <v>0</v>
      </c>
      <c r="R277" s="32">
        <f>IF(Table3789[[#This Row],['#Survival based on Inventory]]=0,Table3789['#Survival based on Last Year Estimate],Table3789['#Survival based on Inventory])</f>
        <v>0</v>
      </c>
      <c r="S277" s="16">
        <f>Table11[[#This Row],['#Planted]]*Table11[[#This Row],[Canada Allocation2017 %]]*Table11[[#This Row],[2024 Inventory Survival%-master]]</f>
        <v>0</v>
      </c>
      <c r="T277" s="16">
        <f>Table11[[#This Row],['#Planted]]*Table11[[#This Row],[Canada Allocation2017 %]]*Table11[[#This Row],[2024 Estimated Survival%]]</f>
        <v>0</v>
      </c>
      <c r="U277" s="7">
        <f>Table11[[#This Row],[ETP Year]]</f>
        <v>2020</v>
      </c>
      <c r="V277" s="7">
        <f>Table11[[#This Row],[Planting Year]]</f>
        <v>2021</v>
      </c>
      <c r="W277" s="8">
        <f>Table11[[#This Row],[Survival% as of 12/31/23]]</f>
        <v>0.82858216683583918</v>
      </c>
      <c r="X277">
        <f>Table11[[#This Row],[ETP'#s]]</f>
        <v>1</v>
      </c>
    </row>
    <row r="278" spans="1:24" hidden="1" x14ac:dyDescent="0.25">
      <c r="A278">
        <f>Table11[[#This Row],[Farmer'#]]</f>
        <v>30024</v>
      </c>
      <c r="B278" t="str">
        <f>Table11[[#This Row],[Representative]]</f>
        <v>Marvin Rodolfo Porras Calderón</v>
      </c>
      <c r="C278" t="str">
        <f>Table11[[#This Row],[Contract Name]]</f>
        <v>Marvin Rodolfo Porras Calderón</v>
      </c>
      <c r="D278" t="str">
        <f>Table11[[#This Row],[Status]]</f>
        <v>RFT</v>
      </c>
      <c r="E278" t="str">
        <f>Table11[[#This Row],[Contract Code]]</f>
        <v>GT0039</v>
      </c>
      <c r="F278">
        <f>Table11[[#This Row],['#TreesContract]]</f>
        <v>2350</v>
      </c>
      <c r="G278">
        <f>Table11[[#This Row],['#Planted]]</f>
        <v>2350</v>
      </c>
      <c r="H278" s="16">
        <f>Table11[[#This Row],['#TreesContract]]*Table11[[#This Row],[Canada Allocation2017 %]]</f>
        <v>0</v>
      </c>
      <c r="I278" s="16">
        <f>Table11[[#This Row],['#Planted]]*Table11[[#This Row],[Canada Allocation2017 %]]</f>
        <v>0</v>
      </c>
      <c r="J278" s="16">
        <f>Table11[[#This Row],[Contract Amendment]]*Table11[[#This Row],[Canada Allocation2017 %]]</f>
        <v>0</v>
      </c>
      <c r="K278" s="16">
        <f>Table11[[#This Row],['#Trees as of 12/31/23]]*Table11[[#This Row],[Canada Allocation2017 %]]</f>
        <v>0</v>
      </c>
      <c r="L278" s="16">
        <f>Table11[[#This Row],['#Replace 24]]*Table11[[#This Row],[Canada Allocation2017 %]]</f>
        <v>0</v>
      </c>
      <c r="M278" s="16"/>
      <c r="N278" s="16">
        <f>(Table11[[#This Row],[2024 '#Trees Inventory + Estimate]]*Table11[[#This Row],[Canada Allocation2017 %]])-SUM(Table3789[[#This Row],['# Trees as of 12/31/23]:[New Trees/Planted in 2024]])</f>
        <v>0</v>
      </c>
      <c r="O278" s="32">
        <f>SUM(Table3789[[#This Row],['# Trees as of 12/31/23]:[2024 Tree Losses]])</f>
        <v>0</v>
      </c>
      <c r="P278" s="32">
        <f>SUM(Table3789[[#This Row],[Total Trees as of 12/31/24]]-Table3789[[#This Row],['# Trees as of 12/31/23]])</f>
        <v>0</v>
      </c>
      <c r="Q278" s="16">
        <f>Table11[[#This Row],['#Total Replacements]]*Table11[[#This Row],[Canada Allocation2017 %]]</f>
        <v>0</v>
      </c>
      <c r="R278" s="32">
        <f>IF(Table3789[[#This Row],['#Survival based on Inventory]]=0,Table3789['#Survival based on Last Year Estimate],Table3789['#Survival based on Inventory])</f>
        <v>0</v>
      </c>
      <c r="S278" s="16">
        <f>Table11[[#This Row],['#Planted]]*Table11[[#This Row],[Canada Allocation2017 %]]*Table11[[#This Row],[2024 Inventory Survival%-master]]</f>
        <v>0</v>
      </c>
      <c r="T278" s="16">
        <f>Table11[[#This Row],['#Planted]]*Table11[[#This Row],[Canada Allocation2017 %]]*Table11[[#This Row],[2024 Estimated Survival%]]</f>
        <v>0</v>
      </c>
      <c r="U278" s="7">
        <f>Table11[[#This Row],[ETP Year]]</f>
        <v>2020</v>
      </c>
      <c r="V278" s="7">
        <f>Table11[[#This Row],[Planting Year]]</f>
        <v>2021</v>
      </c>
      <c r="W278" s="8">
        <f>Table11[[#This Row],[Survival% as of 12/31/23]]</f>
        <v>0.569907813742912</v>
      </c>
      <c r="X278">
        <f>Table11[[#This Row],[ETP'#s]]</f>
        <v>1</v>
      </c>
    </row>
    <row r="279" spans="1:24" hidden="1" x14ac:dyDescent="0.25">
      <c r="A279">
        <f>Table11[[#This Row],[Farmer'#]]</f>
        <v>30028</v>
      </c>
      <c r="B279" t="str">
        <f>Table11[[#This Row],[Representative]]</f>
        <v>Derek José Herman Gordillo</v>
      </c>
      <c r="C279" t="str">
        <f>Table11[[#This Row],[Contract Name]]</f>
        <v>Agroindustrias Nativa S.A./Derek José Herman Gordillo</v>
      </c>
      <c r="D279" t="str">
        <f>Table11[[#This Row],[Status]]</f>
        <v>Active</v>
      </c>
      <c r="E279" t="str">
        <f>Table11[[#This Row],[Contract Code]]</f>
        <v>GT0031a</v>
      </c>
      <c r="F279">
        <f>Table11[[#This Row],['#TreesContract]]</f>
        <v>18000</v>
      </c>
      <c r="G279">
        <f>Table11[[#This Row],['#Planted]]</f>
        <v>18000</v>
      </c>
      <c r="H279" s="16">
        <f>Table11[[#This Row],['#TreesContract]]*Table11[[#This Row],[Canada Allocation2017 %]]</f>
        <v>0</v>
      </c>
      <c r="I279" s="16">
        <f>Table11[[#This Row],['#Planted]]*Table11[[#This Row],[Canada Allocation2017 %]]</f>
        <v>0</v>
      </c>
      <c r="J279" s="16">
        <f>Table11[[#This Row],[Contract Amendment]]*Table11[[#This Row],[Canada Allocation2017 %]]</f>
        <v>0</v>
      </c>
      <c r="K279" s="16">
        <f>Table11[[#This Row],['#Trees as of 12/31/23]]*Table11[[#This Row],[Canada Allocation2017 %]]</f>
        <v>0</v>
      </c>
      <c r="L279" s="16">
        <f>Table11[[#This Row],['#Replace 24]]*Table11[[#This Row],[Canada Allocation2017 %]]</f>
        <v>0</v>
      </c>
      <c r="M279" s="16"/>
      <c r="N279" s="16">
        <f>(Table11[[#This Row],[2024 '#Trees Inventory + Estimate]]*Table11[[#This Row],[Canada Allocation2017 %]])-SUM(Table3789[[#This Row],['# Trees as of 12/31/23]:[New Trees/Planted in 2024]])</f>
        <v>0</v>
      </c>
      <c r="O279" s="32">
        <f>SUM(Table3789[[#This Row],['# Trees as of 12/31/23]:[2024 Tree Losses]])</f>
        <v>0</v>
      </c>
      <c r="P279" s="32">
        <f>SUM(Table3789[[#This Row],[Total Trees as of 12/31/24]]-Table3789[[#This Row],['# Trees as of 12/31/23]])</f>
        <v>0</v>
      </c>
      <c r="Q279" s="16">
        <f>Table11[[#This Row],['#Total Replacements]]*Table11[[#This Row],[Canada Allocation2017 %]]</f>
        <v>0</v>
      </c>
      <c r="R279" s="32">
        <f>IF(Table3789[[#This Row],['#Survival based on Inventory]]=0,Table3789['#Survival based on Last Year Estimate],Table3789['#Survival based on Inventory])</f>
        <v>0</v>
      </c>
      <c r="S279" s="16">
        <f>Table11[[#This Row],['#Planted]]*Table11[[#This Row],[Canada Allocation2017 %]]*Table11[[#This Row],[2024 Inventory Survival%-master]]</f>
        <v>0</v>
      </c>
      <c r="T279" s="16">
        <f>Table11[[#This Row],['#Planted]]*Table11[[#This Row],[Canada Allocation2017 %]]*Table11[[#This Row],[2024 Estimated Survival%]]</f>
        <v>0</v>
      </c>
      <c r="U279" s="7">
        <f>Table11[[#This Row],[ETP Year]]</f>
        <v>2021</v>
      </c>
      <c r="V279" s="7">
        <f>Table11[[#This Row],[Planting Year]]</f>
        <v>2021</v>
      </c>
      <c r="W279" s="8">
        <f>Table11[[#This Row],[Survival% as of 12/31/23]]</f>
        <v>0.42083333333333334</v>
      </c>
      <c r="X279">
        <f>Table11[[#This Row],[ETP'#s]]</f>
        <v>1</v>
      </c>
    </row>
    <row r="280" spans="1:24" hidden="1" x14ac:dyDescent="0.25">
      <c r="A280">
        <f>Table11[[#This Row],[Farmer'#]]</f>
        <v>30029</v>
      </c>
      <c r="B280" t="str">
        <f>Table11[[#This Row],[Representative]]</f>
        <v>Edin Leonel Chávez Rodriguez</v>
      </c>
      <c r="C280" t="str">
        <f>Table11[[#This Row],[Contract Name]]</f>
        <v>Edin Leonel Chávez Rodriguez</v>
      </c>
      <c r="D280" t="str">
        <f>Table11[[#This Row],[Status]]</f>
        <v>Active</v>
      </c>
      <c r="E280" t="str">
        <f>Table11[[#This Row],[Contract Code]]</f>
        <v>GT0034</v>
      </c>
      <c r="F280">
        <f>Table11[[#This Row],['#TreesContract]]</f>
        <v>1000</v>
      </c>
      <c r="G280">
        <f>Table11[[#This Row],['#Planted]]</f>
        <v>1000</v>
      </c>
      <c r="H280" s="16">
        <f>Table11[[#This Row],['#TreesContract]]*Table11[[#This Row],[Canada Allocation2017 %]]</f>
        <v>0</v>
      </c>
      <c r="I280" s="16">
        <f>Table11[[#This Row],['#Planted]]*Table11[[#This Row],[Canada Allocation2017 %]]</f>
        <v>0</v>
      </c>
      <c r="J280" s="16">
        <f>Table11[[#This Row],[Contract Amendment]]*Table11[[#This Row],[Canada Allocation2017 %]]</f>
        <v>0</v>
      </c>
      <c r="K280" s="16">
        <f>Table11[[#This Row],['#Trees as of 12/31/23]]*Table11[[#This Row],[Canada Allocation2017 %]]</f>
        <v>0</v>
      </c>
      <c r="L280" s="16">
        <f>Table11[[#This Row],['#Replace 24]]*Table11[[#This Row],[Canada Allocation2017 %]]</f>
        <v>0</v>
      </c>
      <c r="M280" s="16"/>
      <c r="N280" s="16">
        <f>(Table11[[#This Row],[2024 '#Trees Inventory + Estimate]]*Table11[[#This Row],[Canada Allocation2017 %]])-SUM(Table3789[[#This Row],['# Trees as of 12/31/23]:[New Trees/Planted in 2024]])</f>
        <v>0</v>
      </c>
      <c r="O280" s="32">
        <f>SUM(Table3789[[#This Row],['# Trees as of 12/31/23]:[2024 Tree Losses]])</f>
        <v>0</v>
      </c>
      <c r="P280" s="32">
        <f>SUM(Table3789[[#This Row],[Total Trees as of 12/31/24]]-Table3789[[#This Row],['# Trees as of 12/31/23]])</f>
        <v>0</v>
      </c>
      <c r="Q280" s="16">
        <f>Table11[[#This Row],['#Total Replacements]]*Table11[[#This Row],[Canada Allocation2017 %]]</f>
        <v>0</v>
      </c>
      <c r="R280" s="32">
        <f>IF(Table3789[[#This Row],['#Survival based on Inventory]]=0,Table3789['#Survival based on Last Year Estimate],Table3789['#Survival based on Inventory])</f>
        <v>0</v>
      </c>
      <c r="S280" s="16">
        <f>Table11[[#This Row],['#Planted]]*Table11[[#This Row],[Canada Allocation2017 %]]*Table11[[#This Row],[2024 Inventory Survival%-master]]</f>
        <v>0</v>
      </c>
      <c r="T280" s="16">
        <f>Table11[[#This Row],['#Planted]]*Table11[[#This Row],[Canada Allocation2017 %]]*Table11[[#This Row],[2024 Estimated Survival%]]</f>
        <v>0</v>
      </c>
      <c r="U280" s="7">
        <f>Table11[[#This Row],[ETP Year]]</f>
        <v>2020</v>
      </c>
      <c r="V280" s="7">
        <f>Table11[[#This Row],[Planting Year]]</f>
        <v>2021</v>
      </c>
      <c r="W280" s="8">
        <f>Table11[[#This Row],[Survival% as of 12/31/23]]</f>
        <v>0.88318954662680671</v>
      </c>
      <c r="X280">
        <f>Table11[[#This Row],[ETP'#s]]</f>
        <v>1</v>
      </c>
    </row>
    <row r="281" spans="1:24" hidden="1" x14ac:dyDescent="0.25">
      <c r="A281">
        <f>Table11[[#This Row],[Farmer'#]]</f>
        <v>30030</v>
      </c>
      <c r="B281" t="str">
        <f>Table11[[#This Row],[Representative]]</f>
        <v>Sergio Gordillo</v>
      </c>
      <c r="C281" t="str">
        <f>Table11[[#This Row],[Contract Name]]</f>
        <v>El Paste S.A./Elisa Janeth Salguero Pineda De Gordillo</v>
      </c>
      <c r="D281" t="str">
        <f>Table11[[#This Row],[Status]]</f>
        <v>Active</v>
      </c>
      <c r="E281" t="str">
        <f>Table11[[#This Row],[Contract Code]]</f>
        <v>GT0035</v>
      </c>
      <c r="F281">
        <f>Table11[[#This Row],['#TreesContract]]</f>
        <v>1000</v>
      </c>
      <c r="G281">
        <f>Table11[[#This Row],['#Planted]]</f>
        <v>1000</v>
      </c>
      <c r="H281" s="16">
        <f>Table11[[#This Row],['#TreesContract]]*Table11[[#This Row],[Canada Allocation2017 %]]</f>
        <v>0</v>
      </c>
      <c r="I281" s="16">
        <f>Table11[[#This Row],['#Planted]]*Table11[[#This Row],[Canada Allocation2017 %]]</f>
        <v>0</v>
      </c>
      <c r="J281" s="16">
        <f>Table11[[#This Row],[Contract Amendment]]*Table11[[#This Row],[Canada Allocation2017 %]]</f>
        <v>0</v>
      </c>
      <c r="K281" s="16">
        <f>Table11[[#This Row],['#Trees as of 12/31/23]]*Table11[[#This Row],[Canada Allocation2017 %]]</f>
        <v>0</v>
      </c>
      <c r="L281" s="16">
        <f>Table11[[#This Row],['#Replace 24]]*Table11[[#This Row],[Canada Allocation2017 %]]</f>
        <v>0</v>
      </c>
      <c r="M281" s="16"/>
      <c r="N281" s="16">
        <f>(Table11[[#This Row],[2024 '#Trees Inventory + Estimate]]*Table11[[#This Row],[Canada Allocation2017 %]])-SUM(Table3789[[#This Row],['# Trees as of 12/31/23]:[New Trees/Planted in 2024]])</f>
        <v>0</v>
      </c>
      <c r="O281" s="32">
        <f>SUM(Table3789[[#This Row],['# Trees as of 12/31/23]:[2024 Tree Losses]])</f>
        <v>0</v>
      </c>
      <c r="P281" s="32">
        <f>SUM(Table3789[[#This Row],[Total Trees as of 12/31/24]]-Table3789[[#This Row],['# Trees as of 12/31/23]])</f>
        <v>0</v>
      </c>
      <c r="Q281" s="16">
        <f>Table11[[#This Row],['#Total Replacements]]*Table11[[#This Row],[Canada Allocation2017 %]]</f>
        <v>0</v>
      </c>
      <c r="R281" s="32">
        <f>IF(Table3789[[#This Row],['#Survival based on Inventory]]=0,Table3789['#Survival based on Last Year Estimate],Table3789['#Survival based on Inventory])</f>
        <v>0</v>
      </c>
      <c r="S281" s="16">
        <f>Table11[[#This Row],['#Planted]]*Table11[[#This Row],[Canada Allocation2017 %]]*Table11[[#This Row],[2024 Inventory Survival%-master]]</f>
        <v>0</v>
      </c>
      <c r="T281" s="16">
        <f>Table11[[#This Row],['#Planted]]*Table11[[#This Row],[Canada Allocation2017 %]]*Table11[[#This Row],[2024 Estimated Survival%]]</f>
        <v>0</v>
      </c>
      <c r="U281" s="7">
        <f>Table11[[#This Row],[ETP Year]]</f>
        <v>2020</v>
      </c>
      <c r="V281" s="7">
        <f>Table11[[#This Row],[Planting Year]]</f>
        <v>2021</v>
      </c>
      <c r="W281" s="8">
        <f>Table11[[#This Row],[Survival% as of 12/31/23]]</f>
        <v>0.89730003125000013</v>
      </c>
      <c r="X281">
        <f>Table11[[#This Row],[ETP'#s]]</f>
        <v>1</v>
      </c>
    </row>
    <row r="282" spans="1:24" hidden="1" x14ac:dyDescent="0.25">
      <c r="A282">
        <f>Table11[[#This Row],[Farmer'#]]</f>
        <v>30031</v>
      </c>
      <c r="B282" t="str">
        <f>Table11[[#This Row],[Representative]]</f>
        <v>Edilsar García</v>
      </c>
      <c r="C282" t="str">
        <f>Table11[[#This Row],[Contract Name]]</f>
        <v>Eloisa Amparo García Barrios</v>
      </c>
      <c r="D282" t="str">
        <f>Table11[[#This Row],[Status]]</f>
        <v>Active</v>
      </c>
      <c r="E282" t="str">
        <f>Table11[[#This Row],[Contract Code]]</f>
        <v>GT0036</v>
      </c>
      <c r="F282">
        <f>Table11[[#This Row],['#TreesContract]]</f>
        <v>2907</v>
      </c>
      <c r="G282">
        <f>Table11[[#This Row],['#Planted]]</f>
        <v>2907</v>
      </c>
      <c r="H282" s="16">
        <f>Table11[[#This Row],['#TreesContract]]*Table11[[#This Row],[Canada Allocation2017 %]]</f>
        <v>0</v>
      </c>
      <c r="I282" s="16">
        <f>Table11[[#This Row],['#Planted]]*Table11[[#This Row],[Canada Allocation2017 %]]</f>
        <v>0</v>
      </c>
      <c r="J282" s="16">
        <f>Table11[[#This Row],[Contract Amendment]]*Table11[[#This Row],[Canada Allocation2017 %]]</f>
        <v>0</v>
      </c>
      <c r="K282" s="16">
        <f>Table11[[#This Row],['#Trees as of 12/31/23]]*Table11[[#This Row],[Canada Allocation2017 %]]</f>
        <v>0</v>
      </c>
      <c r="L282" s="16">
        <f>Table11[[#This Row],['#Replace 24]]*Table11[[#This Row],[Canada Allocation2017 %]]</f>
        <v>0</v>
      </c>
      <c r="M282" s="16"/>
      <c r="N282" s="16">
        <f>(Table11[[#This Row],[2024 '#Trees Inventory + Estimate]]*Table11[[#This Row],[Canada Allocation2017 %]])-SUM(Table3789[[#This Row],['# Trees as of 12/31/23]:[New Trees/Planted in 2024]])</f>
        <v>0</v>
      </c>
      <c r="O282" s="32">
        <f>SUM(Table3789[[#This Row],['# Trees as of 12/31/23]:[2024 Tree Losses]])</f>
        <v>0</v>
      </c>
      <c r="P282" s="32">
        <f>SUM(Table3789[[#This Row],[Total Trees as of 12/31/24]]-Table3789[[#This Row],['# Trees as of 12/31/23]])</f>
        <v>0</v>
      </c>
      <c r="Q282" s="16">
        <f>Table11[[#This Row],['#Total Replacements]]*Table11[[#This Row],[Canada Allocation2017 %]]</f>
        <v>0</v>
      </c>
      <c r="R282" s="32">
        <f>IF(Table3789[[#This Row],['#Survival based on Inventory]]=0,Table3789['#Survival based on Last Year Estimate],Table3789['#Survival based on Inventory])</f>
        <v>0</v>
      </c>
      <c r="S282" s="16">
        <f>Table11[[#This Row],['#Planted]]*Table11[[#This Row],[Canada Allocation2017 %]]*Table11[[#This Row],[2024 Inventory Survival%-master]]</f>
        <v>0</v>
      </c>
      <c r="T282" s="16">
        <f>Table11[[#This Row],['#Planted]]*Table11[[#This Row],[Canada Allocation2017 %]]*Table11[[#This Row],[2024 Estimated Survival%]]</f>
        <v>0</v>
      </c>
      <c r="U282" s="7">
        <f>Table11[[#This Row],[ETP Year]]</f>
        <v>2021</v>
      </c>
      <c r="V282" s="7">
        <f>Table11[[#This Row],[Planting Year]]</f>
        <v>2021</v>
      </c>
      <c r="W282" s="8">
        <f>Table11[[#This Row],[Survival% as of 12/31/23]]</f>
        <v>0.99556028895768844</v>
      </c>
      <c r="X282">
        <f>Table11[[#This Row],[ETP'#s]]</f>
        <v>1</v>
      </c>
    </row>
    <row r="283" spans="1:24" hidden="1" x14ac:dyDescent="0.25">
      <c r="A283">
        <f>Table11[[#This Row],[Farmer'#]]</f>
        <v>30032</v>
      </c>
      <c r="B283" t="str">
        <f>Table11[[#This Row],[Representative]]</f>
        <v>Jorge Mario De León Alconero</v>
      </c>
      <c r="C283" t="str">
        <f>Table11[[#This Row],[Contract Name]]</f>
        <v>Jorge Mario De León Alconero</v>
      </c>
      <c r="D283" t="str">
        <f>Table11[[#This Row],[Status]]</f>
        <v>Active</v>
      </c>
      <c r="E283" t="str">
        <f>Table11[[#This Row],[Contract Code]]</f>
        <v>GT0037</v>
      </c>
      <c r="F283">
        <f>Table11[[#This Row],['#TreesContract]]</f>
        <v>1500</v>
      </c>
      <c r="G283">
        <f>Table11[[#This Row],['#Planted]]</f>
        <v>1500</v>
      </c>
      <c r="H283" s="16">
        <f>Table11[[#This Row],['#TreesContract]]*Table11[[#This Row],[Canada Allocation2017 %]]</f>
        <v>0</v>
      </c>
      <c r="I283" s="16">
        <f>Table11[[#This Row],['#Planted]]*Table11[[#This Row],[Canada Allocation2017 %]]</f>
        <v>0</v>
      </c>
      <c r="J283" s="16">
        <f>Table11[[#This Row],[Contract Amendment]]*Table11[[#This Row],[Canada Allocation2017 %]]</f>
        <v>0</v>
      </c>
      <c r="K283" s="16">
        <f>Table11[[#This Row],['#Trees as of 12/31/23]]*Table11[[#This Row],[Canada Allocation2017 %]]</f>
        <v>0</v>
      </c>
      <c r="L283" s="16">
        <f>Table11[[#This Row],['#Replace 24]]*Table11[[#This Row],[Canada Allocation2017 %]]</f>
        <v>0</v>
      </c>
      <c r="M283" s="16"/>
      <c r="N283" s="16">
        <f>(Table11[[#This Row],[2024 '#Trees Inventory + Estimate]]*Table11[[#This Row],[Canada Allocation2017 %]])-SUM(Table3789[[#This Row],['# Trees as of 12/31/23]:[New Trees/Planted in 2024]])</f>
        <v>0</v>
      </c>
      <c r="O283" s="32">
        <f>SUM(Table3789[[#This Row],['# Trees as of 12/31/23]:[2024 Tree Losses]])</f>
        <v>0</v>
      </c>
      <c r="P283" s="32">
        <f>SUM(Table3789[[#This Row],[Total Trees as of 12/31/24]]-Table3789[[#This Row],['# Trees as of 12/31/23]])</f>
        <v>0</v>
      </c>
      <c r="Q283" s="16">
        <f>Table11[[#This Row],['#Total Replacements]]*Table11[[#This Row],[Canada Allocation2017 %]]</f>
        <v>0</v>
      </c>
      <c r="R283" s="32">
        <f>IF(Table3789[[#This Row],['#Survival based on Inventory]]=0,Table3789['#Survival based on Last Year Estimate],Table3789['#Survival based on Inventory])</f>
        <v>0</v>
      </c>
      <c r="S283" s="16">
        <f>Table11[[#This Row],['#Planted]]*Table11[[#This Row],[Canada Allocation2017 %]]*Table11[[#This Row],[2024 Inventory Survival%-master]]</f>
        <v>0</v>
      </c>
      <c r="T283" s="16">
        <f>Table11[[#This Row],['#Planted]]*Table11[[#This Row],[Canada Allocation2017 %]]*Table11[[#This Row],[2024 Estimated Survival%]]</f>
        <v>0</v>
      </c>
      <c r="U283" s="7">
        <f>Table11[[#This Row],[ETP Year]]</f>
        <v>2021</v>
      </c>
      <c r="V283" s="7">
        <f>Table11[[#This Row],[Planting Year]]</f>
        <v>2021</v>
      </c>
      <c r="W283" s="8">
        <f>Table11[[#This Row],[Survival% as of 12/31/23]]</f>
        <v>0.77819284158241753</v>
      </c>
      <c r="X283">
        <f>Table11[[#This Row],[ETP'#s]]</f>
        <v>1</v>
      </c>
    </row>
    <row r="284" spans="1:24" hidden="1" x14ac:dyDescent="0.25">
      <c r="A284">
        <f>Table11[[#This Row],[Farmer'#]]</f>
        <v>40003</v>
      </c>
      <c r="B284" t="str">
        <f>Table11[[#This Row],[Representative]]</f>
        <v>Ana Paulina Hurtado Castro</v>
      </c>
      <c r="C284" t="str">
        <f>Table11[[#This Row],[Contract Name]]</f>
        <v>Ana Paulina Hurtado Castro</v>
      </c>
      <c r="D284" t="str">
        <f>Table11[[#This Row],[Status]]</f>
        <v>RFT</v>
      </c>
      <c r="E284" t="str">
        <f>Table11[[#This Row],[Contract Code]]</f>
        <v>MX0003</v>
      </c>
      <c r="F284">
        <f>Table11[[#This Row],['#TreesContract]]</f>
        <v>1100</v>
      </c>
      <c r="G284">
        <f>Table11[[#This Row],['#Planted]]</f>
        <v>1100</v>
      </c>
      <c r="H284" s="16">
        <f>Table11[[#This Row],['#TreesContract]]*Table11[[#This Row],[Canada Allocation2017 %]]</f>
        <v>0</v>
      </c>
      <c r="I284" s="16">
        <f>Table11[[#This Row],['#Planted]]*Table11[[#This Row],[Canada Allocation2017 %]]</f>
        <v>0</v>
      </c>
      <c r="J284" s="16">
        <f>Table11[[#This Row],[Contract Amendment]]*Table11[[#This Row],[Canada Allocation2017 %]]</f>
        <v>0</v>
      </c>
      <c r="K284" s="16">
        <f>Table11[[#This Row],['#Trees as of 12/31/23]]*Table11[[#This Row],[Canada Allocation2017 %]]</f>
        <v>0</v>
      </c>
      <c r="L284" s="16">
        <f>Table11[[#This Row],['#Replace 24]]*Table11[[#This Row],[Canada Allocation2017 %]]</f>
        <v>0</v>
      </c>
      <c r="M284" s="16"/>
      <c r="N284" s="16">
        <f>(Table11[[#This Row],[2024 '#Trees Inventory + Estimate]]*Table11[[#This Row],[Canada Allocation2017 %]])-SUM(Table3789[[#This Row],['# Trees as of 12/31/23]:[New Trees/Planted in 2024]])</f>
        <v>0</v>
      </c>
      <c r="O284" s="32">
        <f>SUM(Table3789[[#This Row],['# Trees as of 12/31/23]:[2024 Tree Losses]])</f>
        <v>0</v>
      </c>
      <c r="P284" s="32">
        <f>SUM(Table3789[[#This Row],[Total Trees as of 12/31/24]]-Table3789[[#This Row],['# Trees as of 12/31/23]])</f>
        <v>0</v>
      </c>
      <c r="Q284" s="16">
        <f>Table11[[#This Row],['#Total Replacements]]*Table11[[#This Row],[Canada Allocation2017 %]]</f>
        <v>0</v>
      </c>
      <c r="R284" s="32">
        <f>IF(Table3789[[#This Row],['#Survival based on Inventory]]=0,Table3789['#Survival based on Last Year Estimate],Table3789['#Survival based on Inventory])</f>
        <v>0</v>
      </c>
      <c r="S284" s="16">
        <f>Table11[[#This Row],['#Planted]]*Table11[[#This Row],[Canada Allocation2017 %]]*Table11[[#This Row],[2024 Inventory Survival%-master]]</f>
        <v>0</v>
      </c>
      <c r="T284" s="16">
        <f>Table11[[#This Row],['#Planted]]*Table11[[#This Row],[Canada Allocation2017 %]]*Table11[[#This Row],[2024 Estimated Survival%]]</f>
        <v>0</v>
      </c>
      <c r="U284" s="7">
        <f>Table11[[#This Row],[ETP Year]]</f>
        <v>2020</v>
      </c>
      <c r="V284" s="7">
        <f>Table11[[#This Row],[Planting Year]]</f>
        <v>2021</v>
      </c>
      <c r="W284" s="8">
        <f>Table11[[#This Row],[Survival% as of 12/31/23]]</f>
        <v>0.99</v>
      </c>
      <c r="X284">
        <f>Table11[[#This Row],[ETP'#s]]</f>
        <v>1</v>
      </c>
    </row>
    <row r="285" spans="1:24" hidden="1" x14ac:dyDescent="0.25">
      <c r="A285">
        <f>Table11[[#This Row],[Farmer'#]]</f>
        <v>40008</v>
      </c>
      <c r="B285" t="str">
        <f>Table11[[#This Row],[Representative]]</f>
        <v>Dolores Ramirez Rodriguez</v>
      </c>
      <c r="C285" t="str">
        <f>Table11[[#This Row],[Contract Name]]</f>
        <v>Dolores Ramirez Rodriguez</v>
      </c>
      <c r="D285" t="str">
        <f>Table11[[#This Row],[Status]]</f>
        <v>Active</v>
      </c>
      <c r="E285" t="str">
        <f>Table11[[#This Row],[Contract Code]]</f>
        <v>MX0009</v>
      </c>
      <c r="F285">
        <f>Table11[[#This Row],['#TreesContract]]</f>
        <v>2750</v>
      </c>
      <c r="G285">
        <f>Table11[[#This Row],['#Planted]]</f>
        <v>2750</v>
      </c>
      <c r="H285" s="16">
        <f>Table11[[#This Row],['#TreesContract]]*Table11[[#This Row],[Canada Allocation2017 %]]</f>
        <v>0</v>
      </c>
      <c r="I285" s="16">
        <f>Table11[[#This Row],['#Planted]]*Table11[[#This Row],[Canada Allocation2017 %]]</f>
        <v>0</v>
      </c>
      <c r="J285" s="16">
        <f>Table11[[#This Row],[Contract Amendment]]*Table11[[#This Row],[Canada Allocation2017 %]]</f>
        <v>0</v>
      </c>
      <c r="K285" s="16">
        <f>Table11[[#This Row],['#Trees as of 12/31/23]]*Table11[[#This Row],[Canada Allocation2017 %]]</f>
        <v>0</v>
      </c>
      <c r="L285" s="16">
        <f>Table11[[#This Row],['#Replace 24]]*Table11[[#This Row],[Canada Allocation2017 %]]</f>
        <v>0</v>
      </c>
      <c r="M285" s="16"/>
      <c r="N285" s="16">
        <f>(Table11[[#This Row],[2024 '#Trees Inventory + Estimate]]*Table11[[#This Row],[Canada Allocation2017 %]])-SUM(Table3789[[#This Row],['# Trees as of 12/31/23]:[New Trees/Planted in 2024]])</f>
        <v>0</v>
      </c>
      <c r="O285" s="32">
        <f>SUM(Table3789[[#This Row],['# Trees as of 12/31/23]:[2024 Tree Losses]])</f>
        <v>0</v>
      </c>
      <c r="P285" s="32">
        <f>SUM(Table3789[[#This Row],[Total Trees as of 12/31/24]]-Table3789[[#This Row],['# Trees as of 12/31/23]])</f>
        <v>0</v>
      </c>
      <c r="Q285" s="16">
        <f>Table11[[#This Row],['#Total Replacements]]*Table11[[#This Row],[Canada Allocation2017 %]]</f>
        <v>0</v>
      </c>
      <c r="R285" s="32">
        <f>IF(Table3789[[#This Row],['#Survival based on Inventory]]=0,Table3789['#Survival based on Last Year Estimate],Table3789['#Survival based on Inventory])</f>
        <v>0</v>
      </c>
      <c r="S285" s="16">
        <f>Table11[[#This Row],['#Planted]]*Table11[[#This Row],[Canada Allocation2017 %]]*Table11[[#This Row],[2024 Inventory Survival%-master]]</f>
        <v>0</v>
      </c>
      <c r="T285" s="16">
        <f>Table11[[#This Row],['#Planted]]*Table11[[#This Row],[Canada Allocation2017 %]]*Table11[[#This Row],[2024 Estimated Survival%]]</f>
        <v>0</v>
      </c>
      <c r="U285" s="7">
        <f>Table11[[#This Row],[ETP Year]]</f>
        <v>2021</v>
      </c>
      <c r="V285" s="7">
        <f>Table11[[#This Row],[Planting Year]]</f>
        <v>2021</v>
      </c>
      <c r="W285" s="8">
        <f>Table11[[#This Row],[Survival% as of 12/31/23]]</f>
        <v>0.75180051860701436</v>
      </c>
      <c r="X285">
        <f>Table11[[#This Row],[ETP'#s]]</f>
        <v>1</v>
      </c>
    </row>
    <row r="286" spans="1:24" hidden="1" x14ac:dyDescent="0.25">
      <c r="A286">
        <f>Table11[[#This Row],[Farmer'#]]</f>
        <v>40020</v>
      </c>
      <c r="B286" t="str">
        <f>Table11[[#This Row],[Representative]]</f>
        <v>Alvaro Hernandez Suarez</v>
      </c>
      <c r="C286" t="str">
        <f>Table11[[#This Row],[Contract Name]]</f>
        <v>Alvaro Hernandez Suarez</v>
      </c>
      <c r="D286" t="str">
        <f>Table11[[#This Row],[Status]]</f>
        <v>RFT</v>
      </c>
      <c r="E286" t="str">
        <f>Table11[[#This Row],[Contract Code]]</f>
        <v>MX0021</v>
      </c>
      <c r="F286">
        <f>Table11[[#This Row],['#TreesContract]]</f>
        <v>2750</v>
      </c>
      <c r="G286">
        <f>Table11[[#This Row],['#Planted]]</f>
        <v>2750</v>
      </c>
      <c r="H286" s="16">
        <f>Table11[[#This Row],['#TreesContract]]*Table11[[#This Row],[Canada Allocation2017 %]]</f>
        <v>0</v>
      </c>
      <c r="I286" s="16">
        <f>Table11[[#This Row],['#Planted]]*Table11[[#This Row],[Canada Allocation2017 %]]</f>
        <v>0</v>
      </c>
      <c r="J286" s="16">
        <f>Table11[[#This Row],[Contract Amendment]]*Table11[[#This Row],[Canada Allocation2017 %]]</f>
        <v>0</v>
      </c>
      <c r="K286" s="16">
        <f>Table11[[#This Row],['#Trees as of 12/31/23]]*Table11[[#This Row],[Canada Allocation2017 %]]</f>
        <v>0</v>
      </c>
      <c r="L286" s="16">
        <f>Table11[[#This Row],['#Replace 24]]*Table11[[#This Row],[Canada Allocation2017 %]]</f>
        <v>0</v>
      </c>
      <c r="M286" s="16"/>
      <c r="N286" s="16">
        <f>(Table11[[#This Row],[2024 '#Trees Inventory + Estimate]]*Table11[[#This Row],[Canada Allocation2017 %]])-SUM(Table3789[[#This Row],['# Trees as of 12/31/23]:[New Trees/Planted in 2024]])</f>
        <v>0</v>
      </c>
      <c r="O286" s="32">
        <f>SUM(Table3789[[#This Row],['# Trees as of 12/31/23]:[2024 Tree Losses]])</f>
        <v>0</v>
      </c>
      <c r="P286" s="32">
        <f>SUM(Table3789[[#This Row],[Total Trees as of 12/31/24]]-Table3789[[#This Row],['# Trees as of 12/31/23]])</f>
        <v>0</v>
      </c>
      <c r="Q286" s="16">
        <f>Table11[[#This Row],['#Total Replacements]]*Table11[[#This Row],[Canada Allocation2017 %]]</f>
        <v>0</v>
      </c>
      <c r="R286" s="32">
        <f>IF(Table3789[[#This Row],['#Survival based on Inventory]]=0,Table3789['#Survival based on Last Year Estimate],Table3789['#Survival based on Inventory])</f>
        <v>0</v>
      </c>
      <c r="S286" s="16">
        <f>Table11[[#This Row],['#Planted]]*Table11[[#This Row],[Canada Allocation2017 %]]*Table11[[#This Row],[2024 Inventory Survival%-master]]</f>
        <v>0</v>
      </c>
      <c r="T286" s="16">
        <f>Table11[[#This Row],['#Planted]]*Table11[[#This Row],[Canada Allocation2017 %]]*Table11[[#This Row],[2024 Estimated Survival%]]</f>
        <v>0</v>
      </c>
      <c r="U286" s="7">
        <f>Table11[[#This Row],[ETP Year]]</f>
        <v>2021</v>
      </c>
      <c r="V286" s="7">
        <f>Table11[[#This Row],[Planting Year]]</f>
        <v>2021</v>
      </c>
      <c r="W286" s="8">
        <f>Table11[[#This Row],[Survival% as of 12/31/23]]</f>
        <v>0.49865233400236858</v>
      </c>
      <c r="X286">
        <f>Table11[[#This Row],[ETP'#s]]</f>
        <v>1</v>
      </c>
    </row>
    <row r="287" spans="1:24" hidden="1" x14ac:dyDescent="0.25">
      <c r="A287">
        <f>Table11[[#This Row],[Farmer'#]]</f>
        <v>40021</v>
      </c>
      <c r="B287" t="str">
        <f>Table11[[#This Row],[Representative]]</f>
        <v>Gregorio Martinez Sebastian</v>
      </c>
      <c r="C287" t="str">
        <f>Table11[[#This Row],[Contract Name]]</f>
        <v>Gregorio Martinez Sebastian</v>
      </c>
      <c r="D287" t="str">
        <f>Table11[[#This Row],[Status]]</f>
        <v>Active</v>
      </c>
      <c r="E287" t="str">
        <f>Table11[[#This Row],[Contract Code]]</f>
        <v>MX0022</v>
      </c>
      <c r="F287">
        <f>Table11[[#This Row],['#TreesContract]]</f>
        <v>2750</v>
      </c>
      <c r="G287">
        <f>Table11[[#This Row],['#Planted]]</f>
        <v>2750</v>
      </c>
      <c r="H287" s="16">
        <f>Table11[[#This Row],['#TreesContract]]*Table11[[#This Row],[Canada Allocation2017 %]]</f>
        <v>0</v>
      </c>
      <c r="I287" s="16">
        <f>Table11[[#This Row],['#Planted]]*Table11[[#This Row],[Canada Allocation2017 %]]</f>
        <v>0</v>
      </c>
      <c r="J287" s="16">
        <f>Table11[[#This Row],[Contract Amendment]]*Table11[[#This Row],[Canada Allocation2017 %]]</f>
        <v>0</v>
      </c>
      <c r="K287" s="16">
        <f>Table11[[#This Row],['#Trees as of 12/31/23]]*Table11[[#This Row],[Canada Allocation2017 %]]</f>
        <v>0</v>
      </c>
      <c r="L287" s="16">
        <f>Table11[[#This Row],['#Replace 24]]*Table11[[#This Row],[Canada Allocation2017 %]]</f>
        <v>0</v>
      </c>
      <c r="M287" s="16"/>
      <c r="N287" s="16">
        <f>(Table11[[#This Row],[2024 '#Trees Inventory + Estimate]]*Table11[[#This Row],[Canada Allocation2017 %]])-SUM(Table3789[[#This Row],['# Trees as of 12/31/23]:[New Trees/Planted in 2024]])</f>
        <v>0</v>
      </c>
      <c r="O287" s="32">
        <f>SUM(Table3789[[#This Row],['# Trees as of 12/31/23]:[2024 Tree Losses]])</f>
        <v>0</v>
      </c>
      <c r="P287" s="32">
        <f>SUM(Table3789[[#This Row],[Total Trees as of 12/31/24]]-Table3789[[#This Row],['# Trees as of 12/31/23]])</f>
        <v>0</v>
      </c>
      <c r="Q287" s="16">
        <f>Table11[[#This Row],['#Total Replacements]]*Table11[[#This Row],[Canada Allocation2017 %]]</f>
        <v>0</v>
      </c>
      <c r="R287" s="32">
        <f>IF(Table3789[[#This Row],['#Survival based on Inventory]]=0,Table3789['#Survival based on Last Year Estimate],Table3789['#Survival based on Inventory])</f>
        <v>0</v>
      </c>
      <c r="S287" s="16">
        <f>Table11[[#This Row],['#Planted]]*Table11[[#This Row],[Canada Allocation2017 %]]*Table11[[#This Row],[2024 Inventory Survival%-master]]</f>
        <v>0</v>
      </c>
      <c r="T287" s="16">
        <f>Table11[[#This Row],['#Planted]]*Table11[[#This Row],[Canada Allocation2017 %]]*Table11[[#This Row],[2024 Estimated Survival%]]</f>
        <v>0</v>
      </c>
      <c r="U287" s="7">
        <f>Table11[[#This Row],[ETP Year]]</f>
        <v>2021</v>
      </c>
      <c r="V287" s="7">
        <f>Table11[[#This Row],[Planting Year]]</f>
        <v>2021</v>
      </c>
      <c r="W287" s="8">
        <f>Table11[[#This Row],[Survival% as of 12/31/23]]</f>
        <v>0.98381437317028064</v>
      </c>
      <c r="X287">
        <f>Table11[[#This Row],[ETP'#s]]</f>
        <v>1</v>
      </c>
    </row>
    <row r="288" spans="1:24" hidden="1" x14ac:dyDescent="0.25">
      <c r="A288">
        <f>Table11[[#This Row],[Farmer'#]]</f>
        <v>40022</v>
      </c>
      <c r="B288" t="str">
        <f>Table11[[#This Row],[Representative]]</f>
        <v>Guadelupe Morales Cordova</v>
      </c>
      <c r="C288" t="str">
        <f>Table11[[#This Row],[Contract Name]]</f>
        <v>Guadelupe Morales Cordova</v>
      </c>
      <c r="D288" t="str">
        <f>Table11[[#This Row],[Status]]</f>
        <v>Active</v>
      </c>
      <c r="E288" t="str">
        <f>Table11[[#This Row],[Contract Code]]</f>
        <v>MX0023</v>
      </c>
      <c r="F288">
        <f>Table11[[#This Row],['#TreesContract]]</f>
        <v>2200</v>
      </c>
      <c r="G288">
        <f>Table11[[#This Row],['#Planted]]</f>
        <v>2200</v>
      </c>
      <c r="H288" s="16">
        <f>Table11[[#This Row],['#TreesContract]]*Table11[[#This Row],[Canada Allocation2017 %]]</f>
        <v>0</v>
      </c>
      <c r="I288" s="16">
        <f>Table11[[#This Row],['#Planted]]*Table11[[#This Row],[Canada Allocation2017 %]]</f>
        <v>0</v>
      </c>
      <c r="J288" s="16">
        <f>Table11[[#This Row],[Contract Amendment]]*Table11[[#This Row],[Canada Allocation2017 %]]</f>
        <v>0</v>
      </c>
      <c r="K288" s="16">
        <f>Table11[[#This Row],['#Trees as of 12/31/23]]*Table11[[#This Row],[Canada Allocation2017 %]]</f>
        <v>0</v>
      </c>
      <c r="L288" s="16">
        <f>Table11[[#This Row],['#Replace 24]]*Table11[[#This Row],[Canada Allocation2017 %]]</f>
        <v>0</v>
      </c>
      <c r="M288" s="16"/>
      <c r="N288" s="16">
        <f>(Table11[[#This Row],[2024 '#Trees Inventory + Estimate]]*Table11[[#This Row],[Canada Allocation2017 %]])-SUM(Table3789[[#This Row],['# Trees as of 12/31/23]:[New Trees/Planted in 2024]])</f>
        <v>0</v>
      </c>
      <c r="O288" s="32">
        <f>SUM(Table3789[[#This Row],['# Trees as of 12/31/23]:[2024 Tree Losses]])</f>
        <v>0</v>
      </c>
      <c r="P288" s="32">
        <f>SUM(Table3789[[#This Row],[Total Trees as of 12/31/24]]-Table3789[[#This Row],['# Trees as of 12/31/23]])</f>
        <v>0</v>
      </c>
      <c r="Q288" s="16">
        <f>Table11[[#This Row],['#Total Replacements]]*Table11[[#This Row],[Canada Allocation2017 %]]</f>
        <v>0</v>
      </c>
      <c r="R288" s="32">
        <f>IF(Table3789[[#This Row],['#Survival based on Inventory]]=0,Table3789['#Survival based on Last Year Estimate],Table3789['#Survival based on Inventory])</f>
        <v>0</v>
      </c>
      <c r="S288" s="16">
        <f>Table11[[#This Row],['#Planted]]*Table11[[#This Row],[Canada Allocation2017 %]]*Table11[[#This Row],[2024 Inventory Survival%-master]]</f>
        <v>0</v>
      </c>
      <c r="T288" s="16">
        <f>Table11[[#This Row],['#Planted]]*Table11[[#This Row],[Canada Allocation2017 %]]*Table11[[#This Row],[2024 Estimated Survival%]]</f>
        <v>0</v>
      </c>
      <c r="U288" s="7">
        <f>Table11[[#This Row],[ETP Year]]</f>
        <v>2021</v>
      </c>
      <c r="V288" s="7">
        <f>Table11[[#This Row],[Planting Year]]</f>
        <v>2021</v>
      </c>
      <c r="W288" s="8">
        <f>Table11[[#This Row],[Survival% as of 12/31/23]]</f>
        <v>0.76766132076147975</v>
      </c>
      <c r="X288">
        <f>Table11[[#This Row],[ETP'#s]]</f>
        <v>1</v>
      </c>
    </row>
    <row r="289" spans="1:24" hidden="1" x14ac:dyDescent="0.25">
      <c r="A289">
        <f>Table11[[#This Row],[Farmer'#]]</f>
        <v>40023</v>
      </c>
      <c r="B289" t="str">
        <f>Table11[[#This Row],[Representative]]</f>
        <v>José Baruche Rodríguez Zuñiga</v>
      </c>
      <c r="C289" t="str">
        <f>Table11[[#This Row],[Contract Name]]</f>
        <v>Mayolo Rodríguez Mendoza</v>
      </c>
      <c r="D289" t="str">
        <f>Table11[[#This Row],[Status]]</f>
        <v>RFT</v>
      </c>
      <c r="E289" t="str">
        <f>Table11[[#This Row],[Contract Code]]</f>
        <v>MX0024</v>
      </c>
      <c r="F289">
        <f>Table11[[#This Row],['#TreesContract]]</f>
        <v>1100</v>
      </c>
      <c r="G289">
        <f>Table11[[#This Row],['#Planted]]</f>
        <v>1100</v>
      </c>
      <c r="H289" s="16">
        <f>Table11[[#This Row],['#TreesContract]]*Table11[[#This Row],[Canada Allocation2017 %]]</f>
        <v>0</v>
      </c>
      <c r="I289" s="16">
        <f>Table11[[#This Row],['#Planted]]*Table11[[#This Row],[Canada Allocation2017 %]]</f>
        <v>0</v>
      </c>
      <c r="J289" s="16">
        <f>Table11[[#This Row],[Contract Amendment]]*Table11[[#This Row],[Canada Allocation2017 %]]</f>
        <v>0</v>
      </c>
      <c r="K289" s="16">
        <f>Table11[[#This Row],['#Trees as of 12/31/23]]*Table11[[#This Row],[Canada Allocation2017 %]]</f>
        <v>0</v>
      </c>
      <c r="L289" s="16">
        <f>Table11[[#This Row],['#Replace 24]]*Table11[[#This Row],[Canada Allocation2017 %]]</f>
        <v>0</v>
      </c>
      <c r="M289" s="16"/>
      <c r="N289" s="16">
        <f>(Table11[[#This Row],[2024 '#Trees Inventory + Estimate]]*Table11[[#This Row],[Canada Allocation2017 %]])-SUM(Table3789[[#This Row],['# Trees as of 12/31/23]:[New Trees/Planted in 2024]])</f>
        <v>0</v>
      </c>
      <c r="O289" s="32">
        <f>SUM(Table3789[[#This Row],['# Trees as of 12/31/23]:[2024 Tree Losses]])</f>
        <v>0</v>
      </c>
      <c r="P289" s="32">
        <f>SUM(Table3789[[#This Row],[Total Trees as of 12/31/24]]-Table3789[[#This Row],['# Trees as of 12/31/23]])</f>
        <v>0</v>
      </c>
      <c r="Q289" s="16">
        <f>Table11[[#This Row],['#Total Replacements]]*Table11[[#This Row],[Canada Allocation2017 %]]</f>
        <v>0</v>
      </c>
      <c r="R289" s="32">
        <f>IF(Table3789[[#This Row],['#Survival based on Inventory]]=0,Table3789['#Survival based on Last Year Estimate],Table3789['#Survival based on Inventory])</f>
        <v>0</v>
      </c>
      <c r="S289" s="16">
        <f>Table11[[#This Row],['#Planted]]*Table11[[#This Row],[Canada Allocation2017 %]]*Table11[[#This Row],[2024 Inventory Survival%-master]]</f>
        <v>0</v>
      </c>
      <c r="T289" s="16">
        <f>Table11[[#This Row],['#Planted]]*Table11[[#This Row],[Canada Allocation2017 %]]*Table11[[#This Row],[2024 Estimated Survival%]]</f>
        <v>0</v>
      </c>
      <c r="U289" s="7">
        <f>Table11[[#This Row],[ETP Year]]</f>
        <v>2021</v>
      </c>
      <c r="V289" s="7">
        <f>Table11[[#This Row],[Planting Year]]</f>
        <v>2021</v>
      </c>
      <c r="W289" s="8">
        <f>Table11[[#This Row],[Survival% as of 12/31/23]]</f>
        <v>0.95</v>
      </c>
      <c r="X289">
        <f>Table11[[#This Row],[ETP'#s]]</f>
        <v>1</v>
      </c>
    </row>
    <row r="290" spans="1:24" hidden="1" x14ac:dyDescent="0.25">
      <c r="A290">
        <f>Table11[[#This Row],[Farmer'#]]</f>
        <v>40024</v>
      </c>
      <c r="B290" t="str">
        <f>Table11[[#This Row],[Representative]]</f>
        <v>Francisco Crivelli</v>
      </c>
      <c r="C290" t="str">
        <f>Table11[[#This Row],[Contract Name]]</f>
        <v>Teresa Morales Román</v>
      </c>
      <c r="D290" t="str">
        <f>Table11[[#This Row],[Status]]</f>
        <v>RFT</v>
      </c>
      <c r="E290" t="str">
        <f>Table11[[#This Row],[Contract Code]]</f>
        <v>MX0025</v>
      </c>
      <c r="F290">
        <f>Table11[[#This Row],['#TreesContract]]</f>
        <v>2750</v>
      </c>
      <c r="G290">
        <f>Table11[[#This Row],['#Planted]]</f>
        <v>2750</v>
      </c>
      <c r="H290" s="16">
        <f>Table11[[#This Row],['#TreesContract]]*Table11[[#This Row],[Canada Allocation2017 %]]</f>
        <v>0</v>
      </c>
      <c r="I290" s="16">
        <f>Table11[[#This Row],['#Planted]]*Table11[[#This Row],[Canada Allocation2017 %]]</f>
        <v>0</v>
      </c>
      <c r="J290" s="16">
        <f>Table11[[#This Row],[Contract Amendment]]*Table11[[#This Row],[Canada Allocation2017 %]]</f>
        <v>0</v>
      </c>
      <c r="K290" s="16">
        <f>Table11[[#This Row],['#Trees as of 12/31/23]]*Table11[[#This Row],[Canada Allocation2017 %]]</f>
        <v>0</v>
      </c>
      <c r="L290" s="16">
        <f>Table11[[#This Row],['#Replace 24]]*Table11[[#This Row],[Canada Allocation2017 %]]</f>
        <v>0</v>
      </c>
      <c r="M290" s="16"/>
      <c r="N290" s="16">
        <f>(Table11[[#This Row],[2024 '#Trees Inventory + Estimate]]*Table11[[#This Row],[Canada Allocation2017 %]])-SUM(Table3789[[#This Row],['# Trees as of 12/31/23]:[New Trees/Planted in 2024]])</f>
        <v>0</v>
      </c>
      <c r="O290" s="32">
        <f>SUM(Table3789[[#This Row],['# Trees as of 12/31/23]:[2024 Tree Losses]])</f>
        <v>0</v>
      </c>
      <c r="P290" s="32">
        <f>SUM(Table3789[[#This Row],[Total Trees as of 12/31/24]]-Table3789[[#This Row],['# Trees as of 12/31/23]])</f>
        <v>0</v>
      </c>
      <c r="Q290" s="16">
        <f>Table11[[#This Row],['#Total Replacements]]*Table11[[#This Row],[Canada Allocation2017 %]]</f>
        <v>0</v>
      </c>
      <c r="R290" s="32">
        <f>IF(Table3789[[#This Row],['#Survival based on Inventory]]=0,Table3789['#Survival based on Last Year Estimate],Table3789['#Survival based on Inventory])</f>
        <v>0</v>
      </c>
      <c r="S290" s="16">
        <f>Table11[[#This Row],['#Planted]]*Table11[[#This Row],[Canada Allocation2017 %]]*Table11[[#This Row],[2024 Inventory Survival%-master]]</f>
        <v>0</v>
      </c>
      <c r="T290" s="16">
        <f>Table11[[#This Row],['#Planted]]*Table11[[#This Row],[Canada Allocation2017 %]]*Table11[[#This Row],[2024 Estimated Survival%]]</f>
        <v>0</v>
      </c>
      <c r="U290" s="7">
        <f>Table11[[#This Row],[ETP Year]]</f>
        <v>2021</v>
      </c>
      <c r="V290" s="7">
        <f>Table11[[#This Row],[Planting Year]]</f>
        <v>2021</v>
      </c>
      <c r="W290" s="8">
        <f>Table11[[#This Row],[Survival% as of 12/31/23]]</f>
        <v>0.14065963545930102</v>
      </c>
      <c r="X290">
        <f>Table11[[#This Row],[ETP'#s]]</f>
        <v>1</v>
      </c>
    </row>
    <row r="291" spans="1:24" hidden="1" x14ac:dyDescent="0.25">
      <c r="A291">
        <f>Table11[[#This Row],[Farmer'#]]</f>
        <v>10068</v>
      </c>
      <c r="B291" t="str">
        <f>Table11[[#This Row],[Representative]]</f>
        <v>Pete Preskitt</v>
      </c>
      <c r="C291" t="str">
        <f>Table11[[#This Row],[Contract Name]]</f>
        <v>Pete Preskitt</v>
      </c>
      <c r="D291" t="str">
        <f>Table11[[#This Row],[Status]]</f>
        <v>RFT</v>
      </c>
      <c r="E291" t="str">
        <f>Table11[[#This Row],[Contract Code]]</f>
        <v>US0137</v>
      </c>
      <c r="F291">
        <f>Table11[[#This Row],['#TreesContract]]</f>
        <v>1100</v>
      </c>
      <c r="G291">
        <f>Table11[[#This Row],['#Planted]]</f>
        <v>1100</v>
      </c>
      <c r="H291" s="16">
        <f>Table11[[#This Row],['#TreesContract]]*Table11[[#This Row],[Canada Allocation2017 %]]</f>
        <v>0</v>
      </c>
      <c r="I291" s="16">
        <f>Table11[[#This Row],['#Planted]]*Table11[[#This Row],[Canada Allocation2017 %]]</f>
        <v>0</v>
      </c>
      <c r="J291" s="16">
        <f>Table11[[#This Row],[Contract Amendment]]*Table11[[#This Row],[Canada Allocation2017 %]]</f>
        <v>0</v>
      </c>
      <c r="K291" s="16">
        <f>Table11[[#This Row],['#Trees as of 12/31/23]]*Table11[[#This Row],[Canada Allocation2017 %]]</f>
        <v>0</v>
      </c>
      <c r="L291" s="16">
        <f>Table11[[#This Row],['#Replace 24]]*Table11[[#This Row],[Canada Allocation2017 %]]</f>
        <v>0</v>
      </c>
      <c r="M291" s="16"/>
      <c r="N291" s="16">
        <f>(Table11[[#This Row],[2024 '#Trees Inventory + Estimate]]*Table11[[#This Row],[Canada Allocation2017 %]])-SUM(Table3789[[#This Row],['# Trees as of 12/31/23]:[New Trees/Planted in 2024]])</f>
        <v>0</v>
      </c>
      <c r="O291" s="32">
        <f>SUM(Table3789[[#This Row],['# Trees as of 12/31/23]:[2024 Tree Losses]])</f>
        <v>0</v>
      </c>
      <c r="P291" s="32">
        <f>SUM(Table3789[[#This Row],[Total Trees as of 12/31/24]]-Table3789[[#This Row],['# Trees as of 12/31/23]])</f>
        <v>0</v>
      </c>
      <c r="Q291" s="16">
        <f>Table11[[#This Row],['#Total Replacements]]*Table11[[#This Row],[Canada Allocation2017 %]]</f>
        <v>0</v>
      </c>
      <c r="R291" s="32">
        <f>IF(Table3789[[#This Row],['#Survival based on Inventory]]=0,Table3789['#Survival based on Last Year Estimate],Table3789['#Survival based on Inventory])</f>
        <v>0</v>
      </c>
      <c r="S291" s="16">
        <f>Table11[[#This Row],['#Planted]]*Table11[[#This Row],[Canada Allocation2017 %]]*Table11[[#This Row],[2024 Inventory Survival%-master]]</f>
        <v>0</v>
      </c>
      <c r="T291" s="16">
        <f>Table11[[#This Row],['#Planted]]*Table11[[#This Row],[Canada Allocation2017 %]]*Table11[[#This Row],[2024 Estimated Survival%]]</f>
        <v>0</v>
      </c>
      <c r="U291" s="7">
        <f>Table11[[#This Row],[ETP Year]]</f>
        <v>2021</v>
      </c>
      <c r="V291" s="7">
        <f>Table11[[#This Row],[Planting Year]]</f>
        <v>2022</v>
      </c>
      <c r="W291" s="8">
        <f>Table11[[#This Row],[Survival% as of 12/31/23]]</f>
        <v>1</v>
      </c>
      <c r="X291">
        <f>Table11[[#This Row],[ETP'#s]]</f>
        <v>1</v>
      </c>
    </row>
    <row r="292" spans="1:24" hidden="1" x14ac:dyDescent="0.25">
      <c r="A292">
        <f>Table11[[#This Row],[Farmer'#]]</f>
        <v>10080</v>
      </c>
      <c r="B292" t="str">
        <f>Table11[[#This Row],[Representative]]</f>
        <v>Bobby Searcy</v>
      </c>
      <c r="C292" t="str">
        <f>Table11[[#This Row],[Contract Name]]</f>
        <v>Bobby Searcy</v>
      </c>
      <c r="D292" t="str">
        <f>Table11[[#This Row],[Status]]</f>
        <v>Active</v>
      </c>
      <c r="E292" t="str">
        <f>Table11[[#This Row],[Contract Code]]</f>
        <v>US0129</v>
      </c>
      <c r="F292">
        <f>Table11[[#This Row],['#TreesContract]]</f>
        <v>550</v>
      </c>
      <c r="G292">
        <f>Table11[[#This Row],['#Planted]]</f>
        <v>550</v>
      </c>
      <c r="H292" s="16">
        <f>Table11[[#This Row],['#TreesContract]]*Table11[[#This Row],[Canada Allocation2017 %]]</f>
        <v>0</v>
      </c>
      <c r="I292" s="16">
        <f>Table11[[#This Row],['#Planted]]*Table11[[#This Row],[Canada Allocation2017 %]]</f>
        <v>0</v>
      </c>
      <c r="J292" s="16">
        <f>Table11[[#This Row],[Contract Amendment]]*Table11[[#This Row],[Canada Allocation2017 %]]</f>
        <v>0</v>
      </c>
      <c r="K292" s="16">
        <f>Table11[[#This Row],['#Trees as of 12/31/23]]*Table11[[#This Row],[Canada Allocation2017 %]]</f>
        <v>0</v>
      </c>
      <c r="L292" s="16">
        <f>Table11[[#This Row],['#Replace 24]]*Table11[[#This Row],[Canada Allocation2017 %]]</f>
        <v>0</v>
      </c>
      <c r="M292" s="16"/>
      <c r="N292" s="16">
        <f>(Table11[[#This Row],[2024 '#Trees Inventory + Estimate]]*Table11[[#This Row],[Canada Allocation2017 %]])-SUM(Table3789[[#This Row],['# Trees as of 12/31/23]:[New Trees/Planted in 2024]])</f>
        <v>0</v>
      </c>
      <c r="O292" s="32">
        <f>SUM(Table3789[[#This Row],['# Trees as of 12/31/23]:[2024 Tree Losses]])</f>
        <v>0</v>
      </c>
      <c r="P292" s="32">
        <f>SUM(Table3789[[#This Row],[Total Trees as of 12/31/24]]-Table3789[[#This Row],['# Trees as of 12/31/23]])</f>
        <v>0</v>
      </c>
      <c r="Q292" s="16">
        <f>Table11[[#This Row],['#Total Replacements]]*Table11[[#This Row],[Canada Allocation2017 %]]</f>
        <v>0</v>
      </c>
      <c r="R292" s="32">
        <f>IF(Table3789[[#This Row],['#Survival based on Inventory]]=0,Table3789['#Survival based on Last Year Estimate],Table3789['#Survival based on Inventory])</f>
        <v>0</v>
      </c>
      <c r="S292" s="16">
        <f>Table11[[#This Row],['#Planted]]*Table11[[#This Row],[Canada Allocation2017 %]]*Table11[[#This Row],[2024 Inventory Survival%-master]]</f>
        <v>0</v>
      </c>
      <c r="T292" s="16">
        <f>Table11[[#This Row],['#Planted]]*Table11[[#This Row],[Canada Allocation2017 %]]*Table11[[#This Row],[2024 Estimated Survival%]]</f>
        <v>0</v>
      </c>
      <c r="U292" s="7">
        <f>Table11[[#This Row],[ETP Year]]</f>
        <v>2021</v>
      </c>
      <c r="V292" s="7">
        <f>Table11[[#This Row],[Planting Year]]</f>
        <v>2022</v>
      </c>
      <c r="W292" s="8">
        <f>Table11[[#This Row],[Survival% as of 12/31/23]]</f>
        <v>1</v>
      </c>
      <c r="X292">
        <f>Table11[[#This Row],[ETP'#s]]</f>
        <v>1</v>
      </c>
    </row>
    <row r="293" spans="1:24" hidden="1" x14ac:dyDescent="0.25">
      <c r="A293">
        <f>Table11[[#This Row],[Farmer'#]]</f>
        <v>10082</v>
      </c>
      <c r="B293" t="str">
        <f>Table11[[#This Row],[Representative]]</f>
        <v>Chris Bolen</v>
      </c>
      <c r="C293" t="str">
        <f>Table11[[#This Row],[Contract Name]]</f>
        <v>Chris Bolen</v>
      </c>
      <c r="D293" t="str">
        <f>Table11[[#This Row],[Status]]</f>
        <v>Active</v>
      </c>
      <c r="E293" t="str">
        <f>Table11[[#This Row],[Contract Code]]</f>
        <v>US0130</v>
      </c>
      <c r="F293">
        <f>Table11[[#This Row],['#TreesContract]]</f>
        <v>1100</v>
      </c>
      <c r="G293">
        <f>Table11[[#This Row],['#Planted]]</f>
        <v>1100</v>
      </c>
      <c r="H293" s="16">
        <f>Table11[[#This Row],['#TreesContract]]*Table11[[#This Row],[Canada Allocation2017 %]]</f>
        <v>0</v>
      </c>
      <c r="I293" s="16">
        <f>Table11[[#This Row],['#Planted]]*Table11[[#This Row],[Canada Allocation2017 %]]</f>
        <v>0</v>
      </c>
      <c r="J293" s="16">
        <f>Table11[[#This Row],[Contract Amendment]]*Table11[[#This Row],[Canada Allocation2017 %]]</f>
        <v>0</v>
      </c>
      <c r="K293" s="16">
        <f>Table11[[#This Row],['#Trees as of 12/31/23]]*Table11[[#This Row],[Canada Allocation2017 %]]</f>
        <v>0</v>
      </c>
      <c r="L293" s="16">
        <f>Table11[[#This Row],['#Replace 24]]*Table11[[#This Row],[Canada Allocation2017 %]]</f>
        <v>0</v>
      </c>
      <c r="M293" s="16"/>
      <c r="N293" s="16">
        <f>(Table11[[#This Row],[2024 '#Trees Inventory + Estimate]]*Table11[[#This Row],[Canada Allocation2017 %]])-SUM(Table3789[[#This Row],['# Trees as of 12/31/23]:[New Trees/Planted in 2024]])</f>
        <v>0</v>
      </c>
      <c r="O293" s="32">
        <f>SUM(Table3789[[#This Row],['# Trees as of 12/31/23]:[2024 Tree Losses]])</f>
        <v>0</v>
      </c>
      <c r="P293" s="32">
        <f>SUM(Table3789[[#This Row],[Total Trees as of 12/31/24]]-Table3789[[#This Row],['# Trees as of 12/31/23]])</f>
        <v>0</v>
      </c>
      <c r="Q293" s="16">
        <f>Table11[[#This Row],['#Total Replacements]]*Table11[[#This Row],[Canada Allocation2017 %]]</f>
        <v>0</v>
      </c>
      <c r="R293" s="32">
        <f>IF(Table3789[[#This Row],['#Survival based on Inventory]]=0,Table3789['#Survival based on Last Year Estimate],Table3789['#Survival based on Inventory])</f>
        <v>0</v>
      </c>
      <c r="S293" s="16">
        <f>Table11[[#This Row],['#Planted]]*Table11[[#This Row],[Canada Allocation2017 %]]*Table11[[#This Row],[2024 Inventory Survival%-master]]</f>
        <v>0</v>
      </c>
      <c r="T293" s="16">
        <f>Table11[[#This Row],['#Planted]]*Table11[[#This Row],[Canada Allocation2017 %]]*Table11[[#This Row],[2024 Estimated Survival%]]</f>
        <v>0</v>
      </c>
      <c r="U293" s="7">
        <f>Table11[[#This Row],[ETP Year]]</f>
        <v>2021</v>
      </c>
      <c r="V293" s="7">
        <f>Table11[[#This Row],[Planting Year]]</f>
        <v>2022</v>
      </c>
      <c r="W293" s="8">
        <f>Table11[[#This Row],[Survival% as of 12/31/23]]</f>
        <v>1</v>
      </c>
      <c r="X293">
        <f>Table11[[#This Row],[ETP'#s]]</f>
        <v>1</v>
      </c>
    </row>
    <row r="294" spans="1:24" hidden="1" x14ac:dyDescent="0.25">
      <c r="A294">
        <f>Table11[[#This Row],[Farmer'#]]</f>
        <v>10094</v>
      </c>
      <c r="B294" t="str">
        <f>Table11[[#This Row],[Representative]]</f>
        <v>Kyle Flint</v>
      </c>
      <c r="C294" t="str">
        <f>Table11[[#This Row],[Contract Name]]</f>
        <v>Kyle Flint</v>
      </c>
      <c r="D294" t="str">
        <f>Table11[[#This Row],[Status]]</f>
        <v>Active</v>
      </c>
      <c r="E294" t="str">
        <f>Table11[[#This Row],[Contract Code]]</f>
        <v>US0135</v>
      </c>
      <c r="F294">
        <f>Table11[[#This Row],['#TreesContract]]</f>
        <v>4400</v>
      </c>
      <c r="G294">
        <f>Table11[[#This Row],['#Planted]]</f>
        <v>4400</v>
      </c>
      <c r="H294" s="16">
        <f>Table11[[#This Row],['#TreesContract]]*Table11[[#This Row],[Canada Allocation2017 %]]</f>
        <v>0</v>
      </c>
      <c r="I294" s="16">
        <f>Table11[[#This Row],['#Planted]]*Table11[[#This Row],[Canada Allocation2017 %]]</f>
        <v>0</v>
      </c>
      <c r="J294" s="16">
        <f>Table11[[#This Row],[Contract Amendment]]*Table11[[#This Row],[Canada Allocation2017 %]]</f>
        <v>0</v>
      </c>
      <c r="K294" s="16">
        <f>Table11[[#This Row],['#Trees as of 12/31/23]]*Table11[[#This Row],[Canada Allocation2017 %]]</f>
        <v>0</v>
      </c>
      <c r="L294" s="16">
        <f>Table11[[#This Row],['#Replace 24]]*Table11[[#This Row],[Canada Allocation2017 %]]</f>
        <v>0</v>
      </c>
      <c r="M294" s="16"/>
      <c r="N294" s="16">
        <f>(Table11[[#This Row],[2024 '#Trees Inventory + Estimate]]*Table11[[#This Row],[Canada Allocation2017 %]])-SUM(Table3789[[#This Row],['# Trees as of 12/31/23]:[New Trees/Planted in 2024]])</f>
        <v>0</v>
      </c>
      <c r="O294" s="32">
        <f>SUM(Table3789[[#This Row],['# Trees as of 12/31/23]:[2024 Tree Losses]])</f>
        <v>0</v>
      </c>
      <c r="P294" s="32">
        <f>SUM(Table3789[[#This Row],[Total Trees as of 12/31/24]]-Table3789[[#This Row],['# Trees as of 12/31/23]])</f>
        <v>0</v>
      </c>
      <c r="Q294" s="16">
        <f>Table11[[#This Row],['#Total Replacements]]*Table11[[#This Row],[Canada Allocation2017 %]]</f>
        <v>0</v>
      </c>
      <c r="R294" s="32">
        <f>IF(Table3789[[#This Row],['#Survival based on Inventory]]=0,Table3789['#Survival based on Last Year Estimate],Table3789['#Survival based on Inventory])</f>
        <v>0</v>
      </c>
      <c r="S294" s="16">
        <f>Table11[[#This Row],['#Planted]]*Table11[[#This Row],[Canada Allocation2017 %]]*Table11[[#This Row],[2024 Inventory Survival%-master]]</f>
        <v>0</v>
      </c>
      <c r="T294" s="16">
        <f>Table11[[#This Row],['#Planted]]*Table11[[#This Row],[Canada Allocation2017 %]]*Table11[[#This Row],[2024 Estimated Survival%]]</f>
        <v>0</v>
      </c>
      <c r="U294" s="7">
        <f>Table11[[#This Row],[ETP Year]]</f>
        <v>2021</v>
      </c>
      <c r="V294" s="7">
        <f>Table11[[#This Row],[Planting Year]]</f>
        <v>2022</v>
      </c>
      <c r="W294" s="8">
        <f>Table11[[#This Row],[Survival% as of 12/31/23]]</f>
        <v>1</v>
      </c>
      <c r="X294">
        <f>Table11[[#This Row],[ETP'#s]]</f>
        <v>1</v>
      </c>
    </row>
    <row r="295" spans="1:24" hidden="1" x14ac:dyDescent="0.25">
      <c r="A295">
        <f>Table11[[#This Row],[Farmer'#]]</f>
        <v>10102</v>
      </c>
      <c r="B295" t="str">
        <f>Table11[[#This Row],[Representative]]</f>
        <v>Sisay Souphom</v>
      </c>
      <c r="C295" t="str">
        <f>Table11[[#This Row],[Contract Name]]</f>
        <v>Sisay Souphom</v>
      </c>
      <c r="D295" t="str">
        <f>Table11[[#This Row],[Status]]</f>
        <v>Active</v>
      </c>
      <c r="E295" t="str">
        <f>Table11[[#This Row],[Contract Code]]</f>
        <v>US0141</v>
      </c>
      <c r="F295">
        <f>Table11[[#This Row],['#TreesContract]]</f>
        <v>550</v>
      </c>
      <c r="G295">
        <f>Table11[[#This Row],['#Planted]]</f>
        <v>550</v>
      </c>
      <c r="H295" s="16">
        <f>Table11[[#This Row],['#TreesContract]]*Table11[[#This Row],[Canada Allocation2017 %]]</f>
        <v>0</v>
      </c>
      <c r="I295" s="16">
        <f>Table11[[#This Row],['#Planted]]*Table11[[#This Row],[Canada Allocation2017 %]]</f>
        <v>0</v>
      </c>
      <c r="J295" s="16">
        <f>Table11[[#This Row],[Contract Amendment]]*Table11[[#This Row],[Canada Allocation2017 %]]</f>
        <v>0</v>
      </c>
      <c r="K295" s="16">
        <f>Table11[[#This Row],['#Trees as of 12/31/23]]*Table11[[#This Row],[Canada Allocation2017 %]]</f>
        <v>0</v>
      </c>
      <c r="L295" s="16">
        <f>Table11[[#This Row],['#Replace 24]]*Table11[[#This Row],[Canada Allocation2017 %]]</f>
        <v>0</v>
      </c>
      <c r="M295" s="16"/>
      <c r="N295" s="16">
        <f>(Table11[[#This Row],[2024 '#Trees Inventory + Estimate]]*Table11[[#This Row],[Canada Allocation2017 %]])-SUM(Table3789[[#This Row],['# Trees as of 12/31/23]:[New Trees/Planted in 2024]])</f>
        <v>0</v>
      </c>
      <c r="O295" s="32">
        <f>SUM(Table3789[[#This Row],['# Trees as of 12/31/23]:[2024 Tree Losses]])</f>
        <v>0</v>
      </c>
      <c r="P295" s="32">
        <f>SUM(Table3789[[#This Row],[Total Trees as of 12/31/24]]-Table3789[[#This Row],['# Trees as of 12/31/23]])</f>
        <v>0</v>
      </c>
      <c r="Q295" s="16">
        <f>Table11[[#This Row],['#Total Replacements]]*Table11[[#This Row],[Canada Allocation2017 %]]</f>
        <v>0</v>
      </c>
      <c r="R295" s="32">
        <f>IF(Table3789[[#This Row],['#Survival based on Inventory]]=0,Table3789['#Survival based on Last Year Estimate],Table3789['#Survival based on Inventory])</f>
        <v>0</v>
      </c>
      <c r="S295" s="16">
        <f>Table11[[#This Row],['#Planted]]*Table11[[#This Row],[Canada Allocation2017 %]]*Table11[[#This Row],[2024 Inventory Survival%-master]]</f>
        <v>0</v>
      </c>
      <c r="T295" s="16">
        <f>Table11[[#This Row],['#Planted]]*Table11[[#This Row],[Canada Allocation2017 %]]*Table11[[#This Row],[2024 Estimated Survival%]]</f>
        <v>0</v>
      </c>
      <c r="U295" s="7">
        <f>Table11[[#This Row],[ETP Year]]</f>
        <v>2021</v>
      </c>
      <c r="V295" s="7">
        <f>Table11[[#This Row],[Planting Year]]</f>
        <v>2022</v>
      </c>
      <c r="W295" s="8">
        <f>Table11[[#This Row],[Survival% as of 12/31/23]]</f>
        <v>1</v>
      </c>
      <c r="X295">
        <f>Table11[[#This Row],[ETP'#s]]</f>
        <v>1</v>
      </c>
    </row>
    <row r="296" spans="1:24" hidden="1" x14ac:dyDescent="0.25">
      <c r="A296">
        <f>Table11[[#This Row],[Farmer'#]]</f>
        <v>10104</v>
      </c>
      <c r="B296" t="str">
        <f>Table11[[#This Row],[Representative]]</f>
        <v>Steven Hunter</v>
      </c>
      <c r="C296" t="str">
        <f>Table11[[#This Row],[Contract Name]]</f>
        <v>Steven Hunter</v>
      </c>
      <c r="D296" t="str">
        <f>Table11[[#This Row],[Status]]</f>
        <v>Active</v>
      </c>
      <c r="E296" t="str">
        <f>Table11[[#This Row],[Contract Code]]</f>
        <v>US0142</v>
      </c>
      <c r="F296">
        <f>Table11[[#This Row],['#TreesContract]]</f>
        <v>1100</v>
      </c>
      <c r="G296">
        <f>Table11[[#This Row],['#Planted]]</f>
        <v>1100</v>
      </c>
      <c r="H296" s="16">
        <f>Table11[[#This Row],['#TreesContract]]*Table11[[#This Row],[Canada Allocation2017 %]]</f>
        <v>0</v>
      </c>
      <c r="I296" s="16">
        <f>Table11[[#This Row],['#Planted]]*Table11[[#This Row],[Canada Allocation2017 %]]</f>
        <v>0</v>
      </c>
      <c r="J296" s="16">
        <f>Table11[[#This Row],[Contract Amendment]]*Table11[[#This Row],[Canada Allocation2017 %]]</f>
        <v>0</v>
      </c>
      <c r="K296" s="16">
        <f>Table11[[#This Row],['#Trees as of 12/31/23]]*Table11[[#This Row],[Canada Allocation2017 %]]</f>
        <v>0</v>
      </c>
      <c r="L296" s="16">
        <f>Table11[[#This Row],['#Replace 24]]*Table11[[#This Row],[Canada Allocation2017 %]]</f>
        <v>0</v>
      </c>
      <c r="M296" s="16"/>
      <c r="N296" s="16">
        <f>(Table11[[#This Row],[2024 '#Trees Inventory + Estimate]]*Table11[[#This Row],[Canada Allocation2017 %]])-SUM(Table3789[[#This Row],['# Trees as of 12/31/23]:[New Trees/Planted in 2024]])</f>
        <v>0</v>
      </c>
      <c r="O296" s="32">
        <f>SUM(Table3789[[#This Row],['# Trees as of 12/31/23]:[2024 Tree Losses]])</f>
        <v>0</v>
      </c>
      <c r="P296" s="32">
        <f>SUM(Table3789[[#This Row],[Total Trees as of 12/31/24]]-Table3789[[#This Row],['# Trees as of 12/31/23]])</f>
        <v>0</v>
      </c>
      <c r="Q296" s="16">
        <f>Table11[[#This Row],['#Total Replacements]]*Table11[[#This Row],[Canada Allocation2017 %]]</f>
        <v>0</v>
      </c>
      <c r="R296" s="32">
        <f>IF(Table3789[[#This Row],['#Survival based on Inventory]]=0,Table3789['#Survival based on Last Year Estimate],Table3789['#Survival based on Inventory])</f>
        <v>0</v>
      </c>
      <c r="S296" s="16">
        <f>Table11[[#This Row],['#Planted]]*Table11[[#This Row],[Canada Allocation2017 %]]*Table11[[#This Row],[2024 Inventory Survival%-master]]</f>
        <v>0</v>
      </c>
      <c r="T296" s="16">
        <f>Table11[[#This Row],['#Planted]]*Table11[[#This Row],[Canada Allocation2017 %]]*Table11[[#This Row],[2024 Estimated Survival%]]</f>
        <v>0</v>
      </c>
      <c r="U296" s="7">
        <f>Table11[[#This Row],[ETP Year]]</f>
        <v>2021</v>
      </c>
      <c r="V296" s="7">
        <f>Table11[[#This Row],[Planting Year]]</f>
        <v>2022</v>
      </c>
      <c r="W296" s="8">
        <f>Table11[[#This Row],[Survival% as of 12/31/23]]</f>
        <v>1</v>
      </c>
      <c r="X296">
        <f>Table11[[#This Row],[ETP'#s]]</f>
        <v>1</v>
      </c>
    </row>
    <row r="297" spans="1:24" hidden="1" x14ac:dyDescent="0.25">
      <c r="A297">
        <f>Table11[[#This Row],[Farmer'#]]</f>
        <v>10109</v>
      </c>
      <c r="B297" t="str">
        <f>Table11[[#This Row],[Representative]]</f>
        <v>Belinda Twohig</v>
      </c>
      <c r="C297" t="str">
        <f>Table11[[#This Row],[Contract Name]]</f>
        <v>Belinda Twohig</v>
      </c>
      <c r="D297" t="str">
        <f>Table11[[#This Row],[Status]]</f>
        <v>Active</v>
      </c>
      <c r="E297" t="str">
        <f>Table11[[#This Row],[Contract Code]]</f>
        <v>US0128</v>
      </c>
      <c r="F297">
        <f>Table11[[#This Row],['#TreesContract]]</f>
        <v>1320</v>
      </c>
      <c r="G297">
        <f>Table11[[#This Row],['#Planted]]</f>
        <v>1320</v>
      </c>
      <c r="H297" s="16">
        <f>Table11[[#This Row],['#TreesContract]]*Table11[[#This Row],[Canada Allocation2017 %]]</f>
        <v>0</v>
      </c>
      <c r="I297" s="16">
        <f>Table11[[#This Row],['#Planted]]*Table11[[#This Row],[Canada Allocation2017 %]]</f>
        <v>0</v>
      </c>
      <c r="J297" s="16">
        <f>Table11[[#This Row],[Contract Amendment]]*Table11[[#This Row],[Canada Allocation2017 %]]</f>
        <v>0</v>
      </c>
      <c r="K297" s="16">
        <f>Table11[[#This Row],['#Trees as of 12/31/23]]*Table11[[#This Row],[Canada Allocation2017 %]]</f>
        <v>0</v>
      </c>
      <c r="L297" s="16">
        <f>Table11[[#This Row],['#Replace 24]]*Table11[[#This Row],[Canada Allocation2017 %]]</f>
        <v>0</v>
      </c>
      <c r="M297" s="16"/>
      <c r="N297" s="16">
        <f>(Table11[[#This Row],[2024 '#Trees Inventory + Estimate]]*Table11[[#This Row],[Canada Allocation2017 %]])-SUM(Table3789[[#This Row],['# Trees as of 12/31/23]:[New Trees/Planted in 2024]])</f>
        <v>0</v>
      </c>
      <c r="O297" s="32">
        <f>SUM(Table3789[[#This Row],['# Trees as of 12/31/23]:[2024 Tree Losses]])</f>
        <v>0</v>
      </c>
      <c r="P297" s="32">
        <f>SUM(Table3789[[#This Row],[Total Trees as of 12/31/24]]-Table3789[[#This Row],['# Trees as of 12/31/23]])</f>
        <v>0</v>
      </c>
      <c r="Q297" s="16">
        <f>Table11[[#This Row],['#Total Replacements]]*Table11[[#This Row],[Canada Allocation2017 %]]</f>
        <v>0</v>
      </c>
      <c r="R297" s="32">
        <f>IF(Table3789[[#This Row],['#Survival based on Inventory]]=0,Table3789['#Survival based on Last Year Estimate],Table3789['#Survival based on Inventory])</f>
        <v>0</v>
      </c>
      <c r="S297" s="16">
        <f>Table11[[#This Row],['#Planted]]*Table11[[#This Row],[Canada Allocation2017 %]]*Table11[[#This Row],[2024 Inventory Survival%-master]]</f>
        <v>0</v>
      </c>
      <c r="T297" s="16">
        <f>Table11[[#This Row],['#Planted]]*Table11[[#This Row],[Canada Allocation2017 %]]*Table11[[#This Row],[2024 Estimated Survival%]]</f>
        <v>0</v>
      </c>
      <c r="U297" s="7">
        <f>Table11[[#This Row],[ETP Year]]</f>
        <v>2021</v>
      </c>
      <c r="V297" s="7">
        <f>Table11[[#This Row],[Planting Year]]</f>
        <v>2022</v>
      </c>
      <c r="W297" s="8">
        <f>Table11[[#This Row],[Survival% as of 12/31/23]]</f>
        <v>1</v>
      </c>
      <c r="X297">
        <f>Table11[[#This Row],[ETP'#s]]</f>
        <v>1</v>
      </c>
    </row>
    <row r="298" spans="1:24" hidden="1" x14ac:dyDescent="0.25">
      <c r="A298">
        <f>Table11[[#This Row],[Farmer'#]]</f>
        <v>10110</v>
      </c>
      <c r="B298" t="str">
        <f>Table11[[#This Row],[Representative]]</f>
        <v>David Hall</v>
      </c>
      <c r="C298" t="str">
        <f>Table11[[#This Row],[Contract Name]]</f>
        <v>David Hall</v>
      </c>
      <c r="D298" t="str">
        <f>Table11[[#This Row],[Status]]</f>
        <v>Active</v>
      </c>
      <c r="E298" t="str">
        <f>Table11[[#This Row],[Contract Code]]</f>
        <v>US0131</v>
      </c>
      <c r="F298">
        <f>Table11[[#This Row],['#TreesContract]]</f>
        <v>3829</v>
      </c>
      <c r="G298">
        <f>Table11[[#This Row],['#Planted]]</f>
        <v>3829</v>
      </c>
      <c r="H298" s="16">
        <f>Table11[[#This Row],['#TreesContract]]*Table11[[#This Row],[Canada Allocation2017 %]]</f>
        <v>0</v>
      </c>
      <c r="I298" s="16">
        <f>Table11[[#This Row],['#Planted]]*Table11[[#This Row],[Canada Allocation2017 %]]</f>
        <v>0</v>
      </c>
      <c r="J298" s="16">
        <f>Table11[[#This Row],[Contract Amendment]]*Table11[[#This Row],[Canada Allocation2017 %]]</f>
        <v>0</v>
      </c>
      <c r="K298" s="16">
        <f>Table11[[#This Row],['#Trees as of 12/31/23]]*Table11[[#This Row],[Canada Allocation2017 %]]</f>
        <v>0</v>
      </c>
      <c r="L298" s="16">
        <f>Table11[[#This Row],['#Replace 24]]*Table11[[#This Row],[Canada Allocation2017 %]]</f>
        <v>0</v>
      </c>
      <c r="M298" s="16"/>
      <c r="N298" s="16">
        <f>(Table11[[#This Row],[2024 '#Trees Inventory + Estimate]]*Table11[[#This Row],[Canada Allocation2017 %]])-SUM(Table3789[[#This Row],['# Trees as of 12/31/23]:[New Trees/Planted in 2024]])</f>
        <v>0</v>
      </c>
      <c r="O298" s="32">
        <f>SUM(Table3789[[#This Row],['# Trees as of 12/31/23]:[2024 Tree Losses]])</f>
        <v>0</v>
      </c>
      <c r="P298" s="32">
        <f>SUM(Table3789[[#This Row],[Total Trees as of 12/31/24]]-Table3789[[#This Row],['# Trees as of 12/31/23]])</f>
        <v>0</v>
      </c>
      <c r="Q298" s="16">
        <f>Table11[[#This Row],['#Total Replacements]]*Table11[[#This Row],[Canada Allocation2017 %]]</f>
        <v>0</v>
      </c>
      <c r="R298" s="32">
        <f>IF(Table3789[[#This Row],['#Survival based on Inventory]]=0,Table3789['#Survival based on Last Year Estimate],Table3789['#Survival based on Inventory])</f>
        <v>0</v>
      </c>
      <c r="S298" s="16">
        <f>Table11[[#This Row],['#Planted]]*Table11[[#This Row],[Canada Allocation2017 %]]*Table11[[#This Row],[2024 Inventory Survival%-master]]</f>
        <v>0</v>
      </c>
      <c r="T298" s="16">
        <f>Table11[[#This Row],['#Planted]]*Table11[[#This Row],[Canada Allocation2017 %]]*Table11[[#This Row],[2024 Estimated Survival%]]</f>
        <v>0</v>
      </c>
      <c r="U298" s="7">
        <f>Table11[[#This Row],[ETP Year]]</f>
        <v>2021</v>
      </c>
      <c r="V298" s="7">
        <f>Table11[[#This Row],[Planting Year]]</f>
        <v>2022</v>
      </c>
      <c r="W298" s="8">
        <f>Table11[[#This Row],[Survival% as of 12/31/23]]</f>
        <v>1</v>
      </c>
      <c r="X298">
        <f>Table11[[#This Row],[ETP'#s]]</f>
        <v>1</v>
      </c>
    </row>
    <row r="299" spans="1:24" hidden="1" x14ac:dyDescent="0.25">
      <c r="A299">
        <f>Table11[[#This Row],[Farmer'#]]</f>
        <v>10111</v>
      </c>
      <c r="B299" t="str">
        <f>Table11[[#This Row],[Representative]]</f>
        <v>David Lewis</v>
      </c>
      <c r="C299" t="str">
        <f>Table11[[#This Row],[Contract Name]]</f>
        <v>David Lewis</v>
      </c>
      <c r="D299" t="str">
        <f>Table11[[#This Row],[Status]]</f>
        <v>Active</v>
      </c>
      <c r="E299" t="str">
        <f>Table11[[#This Row],[Contract Code]]</f>
        <v>US0132</v>
      </c>
      <c r="F299">
        <f>Table11[[#This Row],['#TreesContract]]</f>
        <v>1100</v>
      </c>
      <c r="G299">
        <f>Table11[[#This Row],['#Planted]]</f>
        <v>1100</v>
      </c>
      <c r="H299" s="16">
        <f>Table11[[#This Row],['#TreesContract]]*Table11[[#This Row],[Canada Allocation2017 %]]</f>
        <v>0</v>
      </c>
      <c r="I299" s="16">
        <f>Table11[[#This Row],['#Planted]]*Table11[[#This Row],[Canada Allocation2017 %]]</f>
        <v>0</v>
      </c>
      <c r="J299" s="16">
        <f>Table11[[#This Row],[Contract Amendment]]*Table11[[#This Row],[Canada Allocation2017 %]]</f>
        <v>0</v>
      </c>
      <c r="K299" s="16">
        <f>Table11[[#This Row],['#Trees as of 12/31/23]]*Table11[[#This Row],[Canada Allocation2017 %]]</f>
        <v>0</v>
      </c>
      <c r="L299" s="16">
        <f>Table11[[#This Row],['#Replace 24]]*Table11[[#This Row],[Canada Allocation2017 %]]</f>
        <v>0</v>
      </c>
      <c r="M299" s="16"/>
      <c r="N299" s="16">
        <f>(Table11[[#This Row],[2024 '#Trees Inventory + Estimate]]*Table11[[#This Row],[Canada Allocation2017 %]])-SUM(Table3789[[#This Row],['# Trees as of 12/31/23]:[New Trees/Planted in 2024]])</f>
        <v>0</v>
      </c>
      <c r="O299" s="32">
        <f>SUM(Table3789[[#This Row],['# Trees as of 12/31/23]:[2024 Tree Losses]])</f>
        <v>0</v>
      </c>
      <c r="P299" s="32">
        <f>SUM(Table3789[[#This Row],[Total Trees as of 12/31/24]]-Table3789[[#This Row],['# Trees as of 12/31/23]])</f>
        <v>0</v>
      </c>
      <c r="Q299" s="16">
        <f>Table11[[#This Row],['#Total Replacements]]*Table11[[#This Row],[Canada Allocation2017 %]]</f>
        <v>0</v>
      </c>
      <c r="R299" s="32">
        <f>IF(Table3789[[#This Row],['#Survival based on Inventory]]=0,Table3789['#Survival based on Last Year Estimate],Table3789['#Survival based on Inventory])</f>
        <v>0</v>
      </c>
      <c r="S299" s="16">
        <f>Table11[[#This Row],['#Planted]]*Table11[[#This Row],[Canada Allocation2017 %]]*Table11[[#This Row],[2024 Inventory Survival%-master]]</f>
        <v>0</v>
      </c>
      <c r="T299" s="16">
        <f>Table11[[#This Row],['#Planted]]*Table11[[#This Row],[Canada Allocation2017 %]]*Table11[[#This Row],[2024 Estimated Survival%]]</f>
        <v>0</v>
      </c>
      <c r="U299" s="7">
        <f>Table11[[#This Row],[ETP Year]]</f>
        <v>2021</v>
      </c>
      <c r="V299" s="7">
        <f>Table11[[#This Row],[Planting Year]]</f>
        <v>2022</v>
      </c>
      <c r="W299" s="8">
        <f>Table11[[#This Row],[Survival% as of 12/31/23]]</f>
        <v>1</v>
      </c>
      <c r="X299">
        <f>Table11[[#This Row],[ETP'#s]]</f>
        <v>1</v>
      </c>
    </row>
    <row r="300" spans="1:24" hidden="1" x14ac:dyDescent="0.25">
      <c r="A300">
        <f>Table11[[#This Row],[Farmer'#]]</f>
        <v>10112</v>
      </c>
      <c r="B300" t="str">
        <f>Table11[[#This Row],[Representative]]</f>
        <v>Heather Rule</v>
      </c>
      <c r="C300" t="str">
        <f>Table11[[#This Row],[Contract Name]]</f>
        <v>Heather Rule</v>
      </c>
      <c r="D300" t="str">
        <f>Table11[[#This Row],[Status]]</f>
        <v>Active</v>
      </c>
      <c r="E300" t="str">
        <f>Table11[[#This Row],[Contract Code]]</f>
        <v>US0133</v>
      </c>
      <c r="F300">
        <f>Table11[[#This Row],['#TreesContract]]</f>
        <v>1373</v>
      </c>
      <c r="G300">
        <f>Table11[[#This Row],['#Planted]]</f>
        <v>1373</v>
      </c>
      <c r="H300" s="16">
        <f>Table11[[#This Row],['#TreesContract]]*Table11[[#This Row],[Canada Allocation2017 %]]</f>
        <v>0</v>
      </c>
      <c r="I300" s="16">
        <f>Table11[[#This Row],['#Planted]]*Table11[[#This Row],[Canada Allocation2017 %]]</f>
        <v>0</v>
      </c>
      <c r="J300" s="16">
        <f>Table11[[#This Row],[Contract Amendment]]*Table11[[#This Row],[Canada Allocation2017 %]]</f>
        <v>0</v>
      </c>
      <c r="K300" s="16">
        <f>Table11[[#This Row],['#Trees as of 12/31/23]]*Table11[[#This Row],[Canada Allocation2017 %]]</f>
        <v>0</v>
      </c>
      <c r="L300" s="16">
        <f>Table11[[#This Row],['#Replace 24]]*Table11[[#This Row],[Canada Allocation2017 %]]</f>
        <v>0</v>
      </c>
      <c r="M300" s="16"/>
      <c r="N300" s="16">
        <f>(Table11[[#This Row],[2024 '#Trees Inventory + Estimate]]*Table11[[#This Row],[Canada Allocation2017 %]])-SUM(Table3789[[#This Row],['# Trees as of 12/31/23]:[New Trees/Planted in 2024]])</f>
        <v>0</v>
      </c>
      <c r="O300" s="32">
        <f>SUM(Table3789[[#This Row],['# Trees as of 12/31/23]:[2024 Tree Losses]])</f>
        <v>0</v>
      </c>
      <c r="P300" s="32">
        <f>SUM(Table3789[[#This Row],[Total Trees as of 12/31/24]]-Table3789[[#This Row],['# Trees as of 12/31/23]])</f>
        <v>0</v>
      </c>
      <c r="Q300" s="16">
        <f>Table11[[#This Row],['#Total Replacements]]*Table11[[#This Row],[Canada Allocation2017 %]]</f>
        <v>0</v>
      </c>
      <c r="R300" s="32">
        <f>IF(Table3789[[#This Row],['#Survival based on Inventory]]=0,Table3789['#Survival based on Last Year Estimate],Table3789['#Survival based on Inventory])</f>
        <v>0</v>
      </c>
      <c r="S300" s="16">
        <f>Table11[[#This Row],['#Planted]]*Table11[[#This Row],[Canada Allocation2017 %]]*Table11[[#This Row],[2024 Inventory Survival%-master]]</f>
        <v>0</v>
      </c>
      <c r="T300" s="16">
        <f>Table11[[#This Row],['#Planted]]*Table11[[#This Row],[Canada Allocation2017 %]]*Table11[[#This Row],[2024 Estimated Survival%]]</f>
        <v>0</v>
      </c>
      <c r="U300" s="7">
        <f>Table11[[#This Row],[ETP Year]]</f>
        <v>2021</v>
      </c>
      <c r="V300" s="7">
        <f>Table11[[#This Row],[Planting Year]]</f>
        <v>2022</v>
      </c>
      <c r="W300" s="8">
        <f>Table11[[#This Row],[Survival% as of 12/31/23]]</f>
        <v>1</v>
      </c>
      <c r="X300">
        <f>Table11[[#This Row],[ETP'#s]]</f>
        <v>1</v>
      </c>
    </row>
    <row r="301" spans="1:24" hidden="1" x14ac:dyDescent="0.25">
      <c r="A301">
        <f>Table11[[#This Row],[Farmer'#]]</f>
        <v>10113</v>
      </c>
      <c r="B301" t="str">
        <f>Table11[[#This Row],[Representative]]</f>
        <v>Kennsel Bennett</v>
      </c>
      <c r="C301" t="str">
        <f>Table11[[#This Row],[Contract Name]]</f>
        <v>Kennsel Bennett</v>
      </c>
      <c r="D301" t="str">
        <f>Table11[[#This Row],[Status]]</f>
        <v>Active</v>
      </c>
      <c r="E301" t="str">
        <f>Table11[[#This Row],[Contract Code]]</f>
        <v>US0134</v>
      </c>
      <c r="F301">
        <f>Table11[[#This Row],['#TreesContract]]</f>
        <v>1100</v>
      </c>
      <c r="G301">
        <f>Table11[[#This Row],['#Planted]]</f>
        <v>1100</v>
      </c>
      <c r="H301" s="16">
        <f>Table11[[#This Row],['#TreesContract]]*Table11[[#This Row],[Canada Allocation2017 %]]</f>
        <v>0</v>
      </c>
      <c r="I301" s="16">
        <f>Table11[[#This Row],['#Planted]]*Table11[[#This Row],[Canada Allocation2017 %]]</f>
        <v>0</v>
      </c>
      <c r="J301" s="16">
        <f>Table11[[#This Row],[Contract Amendment]]*Table11[[#This Row],[Canada Allocation2017 %]]</f>
        <v>0</v>
      </c>
      <c r="K301" s="16">
        <f>Table11[[#This Row],['#Trees as of 12/31/23]]*Table11[[#This Row],[Canada Allocation2017 %]]</f>
        <v>0</v>
      </c>
      <c r="L301" s="16">
        <f>Table11[[#This Row],['#Replace 24]]*Table11[[#This Row],[Canada Allocation2017 %]]</f>
        <v>0</v>
      </c>
      <c r="M301" s="16"/>
      <c r="N301" s="16">
        <f>(Table11[[#This Row],[2024 '#Trees Inventory + Estimate]]*Table11[[#This Row],[Canada Allocation2017 %]])-SUM(Table3789[[#This Row],['# Trees as of 12/31/23]:[New Trees/Planted in 2024]])</f>
        <v>0</v>
      </c>
      <c r="O301" s="32">
        <f>SUM(Table3789[[#This Row],['# Trees as of 12/31/23]:[2024 Tree Losses]])</f>
        <v>0</v>
      </c>
      <c r="P301" s="32">
        <f>SUM(Table3789[[#This Row],[Total Trees as of 12/31/24]]-Table3789[[#This Row],['# Trees as of 12/31/23]])</f>
        <v>0</v>
      </c>
      <c r="Q301" s="16">
        <f>Table11[[#This Row],['#Total Replacements]]*Table11[[#This Row],[Canada Allocation2017 %]]</f>
        <v>0</v>
      </c>
      <c r="R301" s="32">
        <f>IF(Table3789[[#This Row],['#Survival based on Inventory]]=0,Table3789['#Survival based on Last Year Estimate],Table3789['#Survival based on Inventory])</f>
        <v>0</v>
      </c>
      <c r="S301" s="16">
        <f>Table11[[#This Row],['#Planted]]*Table11[[#This Row],[Canada Allocation2017 %]]*Table11[[#This Row],[2024 Inventory Survival%-master]]</f>
        <v>0</v>
      </c>
      <c r="T301" s="16">
        <f>Table11[[#This Row],['#Planted]]*Table11[[#This Row],[Canada Allocation2017 %]]*Table11[[#This Row],[2024 Estimated Survival%]]</f>
        <v>0</v>
      </c>
      <c r="U301" s="7">
        <f>Table11[[#This Row],[ETP Year]]</f>
        <v>2021</v>
      </c>
      <c r="V301" s="7">
        <f>Table11[[#This Row],[Planting Year]]</f>
        <v>2022</v>
      </c>
      <c r="W301" s="8">
        <f>Table11[[#This Row],[Survival% as of 12/31/23]]</f>
        <v>1</v>
      </c>
      <c r="X301">
        <f>Table11[[#This Row],[ETP'#s]]</f>
        <v>1</v>
      </c>
    </row>
    <row r="302" spans="1:24" hidden="1" x14ac:dyDescent="0.25">
      <c r="A302">
        <f>Table11[[#This Row],[Farmer'#]]</f>
        <v>10114</v>
      </c>
      <c r="B302" t="str">
        <f>Table11[[#This Row],[Representative]]</f>
        <v>Michele Dominguez</v>
      </c>
      <c r="C302" t="str">
        <f>Table11[[#This Row],[Contract Name]]</f>
        <v>Michele Dominguez</v>
      </c>
      <c r="D302" t="str">
        <f>Table11[[#This Row],[Status]]</f>
        <v>RFT</v>
      </c>
      <c r="E302" t="str">
        <f>Table11[[#This Row],[Contract Code]]</f>
        <v>US0136</v>
      </c>
      <c r="F302">
        <f>Table11[[#This Row],['#TreesContract]]</f>
        <v>1112</v>
      </c>
      <c r="G302">
        <f>Table11[[#This Row],['#Planted]]</f>
        <v>1112</v>
      </c>
      <c r="H302" s="16">
        <f>Table11[[#This Row],['#TreesContract]]*Table11[[#This Row],[Canada Allocation2017 %]]</f>
        <v>0</v>
      </c>
      <c r="I302" s="16">
        <f>Table11[[#This Row],['#Planted]]*Table11[[#This Row],[Canada Allocation2017 %]]</f>
        <v>0</v>
      </c>
      <c r="J302" s="16">
        <f>Table11[[#This Row],[Contract Amendment]]*Table11[[#This Row],[Canada Allocation2017 %]]</f>
        <v>0</v>
      </c>
      <c r="K302" s="16">
        <f>Table11[[#This Row],['#Trees as of 12/31/23]]*Table11[[#This Row],[Canada Allocation2017 %]]</f>
        <v>0</v>
      </c>
      <c r="L302" s="16">
        <f>Table11[[#This Row],['#Replace 24]]*Table11[[#This Row],[Canada Allocation2017 %]]</f>
        <v>0</v>
      </c>
      <c r="M302" s="16"/>
      <c r="N302" s="16">
        <f>(Table11[[#This Row],[2024 '#Trees Inventory + Estimate]]*Table11[[#This Row],[Canada Allocation2017 %]])-SUM(Table3789[[#This Row],['# Trees as of 12/31/23]:[New Trees/Planted in 2024]])</f>
        <v>0</v>
      </c>
      <c r="O302" s="32">
        <f>SUM(Table3789[[#This Row],['# Trees as of 12/31/23]:[2024 Tree Losses]])</f>
        <v>0</v>
      </c>
      <c r="P302" s="32">
        <f>SUM(Table3789[[#This Row],[Total Trees as of 12/31/24]]-Table3789[[#This Row],['# Trees as of 12/31/23]])</f>
        <v>0</v>
      </c>
      <c r="Q302" s="16">
        <f>Table11[[#This Row],['#Total Replacements]]*Table11[[#This Row],[Canada Allocation2017 %]]</f>
        <v>0</v>
      </c>
      <c r="R302" s="32">
        <f>IF(Table3789[[#This Row],['#Survival based on Inventory]]=0,Table3789['#Survival based on Last Year Estimate],Table3789['#Survival based on Inventory])</f>
        <v>0</v>
      </c>
      <c r="S302" s="16">
        <f>Table11[[#This Row],['#Planted]]*Table11[[#This Row],[Canada Allocation2017 %]]*Table11[[#This Row],[2024 Inventory Survival%-master]]</f>
        <v>0</v>
      </c>
      <c r="T302" s="16">
        <f>Table11[[#This Row],['#Planted]]*Table11[[#This Row],[Canada Allocation2017 %]]*Table11[[#This Row],[2024 Estimated Survival%]]</f>
        <v>0</v>
      </c>
      <c r="U302" s="7">
        <f>Table11[[#This Row],[ETP Year]]</f>
        <v>2021</v>
      </c>
      <c r="V302" s="7">
        <f>Table11[[#This Row],[Planting Year]]</f>
        <v>2022</v>
      </c>
      <c r="W302" s="8">
        <f>Table11[[#This Row],[Survival% as of 12/31/23]]</f>
        <v>1</v>
      </c>
      <c r="X302">
        <f>Table11[[#This Row],[ETP'#s]]</f>
        <v>1</v>
      </c>
    </row>
    <row r="303" spans="1:24" hidden="1" x14ac:dyDescent="0.25">
      <c r="A303">
        <f>Table11[[#This Row],[Farmer'#]]</f>
        <v>10115</v>
      </c>
      <c r="B303" t="str">
        <f>Table11[[#This Row],[Representative]]</f>
        <v>Rick Griffis</v>
      </c>
      <c r="C303" t="str">
        <f>Table11[[#This Row],[Contract Name]]</f>
        <v>Rick Griffis</v>
      </c>
      <c r="D303" t="str">
        <f>Table11[[#This Row],[Status]]</f>
        <v>RFT</v>
      </c>
      <c r="E303" t="str">
        <f>Table11[[#This Row],[Contract Code]]</f>
        <v>US0138</v>
      </c>
      <c r="F303">
        <f>Table11[[#This Row],['#TreesContract]]</f>
        <v>1100</v>
      </c>
      <c r="G303">
        <f>Table11[[#This Row],['#Planted]]</f>
        <v>1100</v>
      </c>
      <c r="H303" s="16">
        <f>Table11[[#This Row],['#TreesContract]]*Table11[[#This Row],[Canada Allocation2017 %]]</f>
        <v>0</v>
      </c>
      <c r="I303" s="16">
        <f>Table11[[#This Row],['#Planted]]*Table11[[#This Row],[Canada Allocation2017 %]]</f>
        <v>0</v>
      </c>
      <c r="J303" s="16">
        <f>Table11[[#This Row],[Contract Amendment]]*Table11[[#This Row],[Canada Allocation2017 %]]</f>
        <v>0</v>
      </c>
      <c r="K303" s="16">
        <f>Table11[[#This Row],['#Trees as of 12/31/23]]*Table11[[#This Row],[Canada Allocation2017 %]]</f>
        <v>0</v>
      </c>
      <c r="L303" s="16">
        <f>Table11[[#This Row],['#Replace 24]]*Table11[[#This Row],[Canada Allocation2017 %]]</f>
        <v>0</v>
      </c>
      <c r="M303" s="16"/>
      <c r="N303" s="16">
        <f>(Table11[[#This Row],[2024 '#Trees Inventory + Estimate]]*Table11[[#This Row],[Canada Allocation2017 %]])-SUM(Table3789[[#This Row],['# Trees as of 12/31/23]:[New Trees/Planted in 2024]])</f>
        <v>0</v>
      </c>
      <c r="O303" s="32">
        <f>SUM(Table3789[[#This Row],['# Trees as of 12/31/23]:[2024 Tree Losses]])</f>
        <v>0</v>
      </c>
      <c r="P303" s="32">
        <f>SUM(Table3789[[#This Row],[Total Trees as of 12/31/24]]-Table3789[[#This Row],['# Trees as of 12/31/23]])</f>
        <v>0</v>
      </c>
      <c r="Q303" s="16">
        <f>Table11[[#This Row],['#Total Replacements]]*Table11[[#This Row],[Canada Allocation2017 %]]</f>
        <v>0</v>
      </c>
      <c r="R303" s="32">
        <f>IF(Table3789[[#This Row],['#Survival based on Inventory]]=0,Table3789['#Survival based on Last Year Estimate],Table3789['#Survival based on Inventory])</f>
        <v>0</v>
      </c>
      <c r="S303" s="16">
        <f>Table11[[#This Row],['#Planted]]*Table11[[#This Row],[Canada Allocation2017 %]]*Table11[[#This Row],[2024 Inventory Survival%-master]]</f>
        <v>0</v>
      </c>
      <c r="T303" s="16">
        <f>Table11[[#This Row],['#Planted]]*Table11[[#This Row],[Canada Allocation2017 %]]*Table11[[#This Row],[2024 Estimated Survival%]]</f>
        <v>0</v>
      </c>
      <c r="U303" s="7">
        <f>Table11[[#This Row],[ETP Year]]</f>
        <v>2021</v>
      </c>
      <c r="V303" s="7">
        <f>Table11[[#This Row],[Planting Year]]</f>
        <v>2022</v>
      </c>
      <c r="W303" s="8">
        <f>Table11[[#This Row],[Survival% as of 12/31/23]]</f>
        <v>1</v>
      </c>
      <c r="X303">
        <f>Table11[[#This Row],[ETP'#s]]</f>
        <v>1</v>
      </c>
    </row>
    <row r="304" spans="1:24" hidden="1" x14ac:dyDescent="0.25">
      <c r="A304">
        <f>Table11[[#This Row],[Farmer'#]]</f>
        <v>10116</v>
      </c>
      <c r="B304" t="str">
        <f>Table11[[#This Row],[Representative]]</f>
        <v>Rob Cason</v>
      </c>
      <c r="C304" t="str">
        <f>Table11[[#This Row],[Contract Name]]</f>
        <v>Rob Cason</v>
      </c>
      <c r="D304" t="str">
        <f>Table11[[#This Row],[Status]]</f>
        <v>Active</v>
      </c>
      <c r="E304" t="str">
        <f>Table11[[#This Row],[Contract Code]]</f>
        <v>US0139</v>
      </c>
      <c r="F304">
        <f>Table11[[#This Row],['#TreesContract]]</f>
        <v>2200</v>
      </c>
      <c r="G304">
        <f>Table11[[#This Row],['#Planted]]</f>
        <v>2200</v>
      </c>
      <c r="H304" s="16">
        <f>Table11[[#This Row],['#TreesContract]]*Table11[[#This Row],[Canada Allocation2017 %]]</f>
        <v>0</v>
      </c>
      <c r="I304" s="16">
        <f>Table11[[#This Row],['#Planted]]*Table11[[#This Row],[Canada Allocation2017 %]]</f>
        <v>0</v>
      </c>
      <c r="J304" s="16">
        <f>Table11[[#This Row],[Contract Amendment]]*Table11[[#This Row],[Canada Allocation2017 %]]</f>
        <v>0</v>
      </c>
      <c r="K304" s="16">
        <f>Table11[[#This Row],['#Trees as of 12/31/23]]*Table11[[#This Row],[Canada Allocation2017 %]]</f>
        <v>0</v>
      </c>
      <c r="L304" s="16">
        <f>Table11[[#This Row],['#Replace 24]]*Table11[[#This Row],[Canada Allocation2017 %]]</f>
        <v>0</v>
      </c>
      <c r="M304" s="16"/>
      <c r="N304" s="16">
        <f>(Table11[[#This Row],[2024 '#Trees Inventory + Estimate]]*Table11[[#This Row],[Canada Allocation2017 %]])-SUM(Table3789[[#This Row],['# Trees as of 12/31/23]:[New Trees/Planted in 2024]])</f>
        <v>0</v>
      </c>
      <c r="O304" s="32">
        <f>SUM(Table3789[[#This Row],['# Trees as of 12/31/23]:[2024 Tree Losses]])</f>
        <v>0</v>
      </c>
      <c r="P304" s="32">
        <f>SUM(Table3789[[#This Row],[Total Trees as of 12/31/24]]-Table3789[[#This Row],['# Trees as of 12/31/23]])</f>
        <v>0</v>
      </c>
      <c r="Q304" s="16">
        <f>Table11[[#This Row],['#Total Replacements]]*Table11[[#This Row],[Canada Allocation2017 %]]</f>
        <v>0</v>
      </c>
      <c r="R304" s="32">
        <f>IF(Table3789[[#This Row],['#Survival based on Inventory]]=0,Table3789['#Survival based on Last Year Estimate],Table3789['#Survival based on Inventory])</f>
        <v>0</v>
      </c>
      <c r="S304" s="16">
        <f>Table11[[#This Row],['#Planted]]*Table11[[#This Row],[Canada Allocation2017 %]]*Table11[[#This Row],[2024 Inventory Survival%-master]]</f>
        <v>0</v>
      </c>
      <c r="T304" s="16">
        <f>Table11[[#This Row],['#Planted]]*Table11[[#This Row],[Canada Allocation2017 %]]*Table11[[#This Row],[2024 Estimated Survival%]]</f>
        <v>0</v>
      </c>
      <c r="U304" s="7">
        <f>Table11[[#This Row],[ETP Year]]</f>
        <v>2021</v>
      </c>
      <c r="V304" s="7">
        <f>Table11[[#This Row],[Planting Year]]</f>
        <v>2022</v>
      </c>
      <c r="W304" s="8">
        <f>Table11[[#This Row],[Survival% as of 12/31/23]]</f>
        <v>1</v>
      </c>
      <c r="X304">
        <f>Table11[[#This Row],[ETP'#s]]</f>
        <v>1</v>
      </c>
    </row>
    <row r="305" spans="1:24" hidden="1" x14ac:dyDescent="0.25">
      <c r="A305">
        <f>Table11[[#This Row],[Farmer'#]]</f>
        <v>10117</v>
      </c>
      <c r="B305" t="str">
        <f>Table11[[#This Row],[Representative]]</f>
        <v>Scott Hamilton</v>
      </c>
      <c r="C305" t="str">
        <f>Table11[[#This Row],[Contract Name]]</f>
        <v>Scott Hamilton</v>
      </c>
      <c r="D305" t="str">
        <f>Table11[[#This Row],[Status]]</f>
        <v>Active</v>
      </c>
      <c r="E305" t="str">
        <f>Table11[[#This Row],[Contract Code]]</f>
        <v>US0140</v>
      </c>
      <c r="F305">
        <f>Table11[[#This Row],['#TreesContract]]</f>
        <v>1980</v>
      </c>
      <c r="G305">
        <f>Table11[[#This Row],['#Planted]]</f>
        <v>1980</v>
      </c>
      <c r="H305" s="16">
        <f>Table11[[#This Row],['#TreesContract]]*Table11[[#This Row],[Canada Allocation2017 %]]</f>
        <v>0</v>
      </c>
      <c r="I305" s="16">
        <f>Table11[[#This Row],['#Planted]]*Table11[[#This Row],[Canada Allocation2017 %]]</f>
        <v>0</v>
      </c>
      <c r="J305" s="16">
        <f>Table11[[#This Row],[Contract Amendment]]*Table11[[#This Row],[Canada Allocation2017 %]]</f>
        <v>0</v>
      </c>
      <c r="K305" s="16">
        <f>Table11[[#This Row],['#Trees as of 12/31/23]]*Table11[[#This Row],[Canada Allocation2017 %]]</f>
        <v>0</v>
      </c>
      <c r="L305" s="16">
        <f>Table11[[#This Row],['#Replace 24]]*Table11[[#This Row],[Canada Allocation2017 %]]</f>
        <v>0</v>
      </c>
      <c r="M305" s="16"/>
      <c r="N305" s="16">
        <f>(Table11[[#This Row],[2024 '#Trees Inventory + Estimate]]*Table11[[#This Row],[Canada Allocation2017 %]])-SUM(Table3789[[#This Row],['# Trees as of 12/31/23]:[New Trees/Planted in 2024]])</f>
        <v>0</v>
      </c>
      <c r="O305" s="32">
        <f>SUM(Table3789[[#This Row],['# Trees as of 12/31/23]:[2024 Tree Losses]])</f>
        <v>0</v>
      </c>
      <c r="P305" s="32">
        <f>SUM(Table3789[[#This Row],[Total Trees as of 12/31/24]]-Table3789[[#This Row],['# Trees as of 12/31/23]])</f>
        <v>0</v>
      </c>
      <c r="Q305" s="16">
        <f>Table11[[#This Row],['#Total Replacements]]*Table11[[#This Row],[Canada Allocation2017 %]]</f>
        <v>0</v>
      </c>
      <c r="R305" s="32">
        <f>IF(Table3789[[#This Row],['#Survival based on Inventory]]=0,Table3789['#Survival based on Last Year Estimate],Table3789['#Survival based on Inventory])</f>
        <v>0</v>
      </c>
      <c r="S305" s="16">
        <f>Table11[[#This Row],['#Planted]]*Table11[[#This Row],[Canada Allocation2017 %]]*Table11[[#This Row],[2024 Inventory Survival%-master]]</f>
        <v>0</v>
      </c>
      <c r="T305" s="16">
        <f>Table11[[#This Row],['#Planted]]*Table11[[#This Row],[Canada Allocation2017 %]]*Table11[[#This Row],[2024 Estimated Survival%]]</f>
        <v>0</v>
      </c>
      <c r="U305" s="7">
        <f>Table11[[#This Row],[ETP Year]]</f>
        <v>2021</v>
      </c>
      <c r="V305" s="7">
        <f>Table11[[#This Row],[Planting Year]]</f>
        <v>2022</v>
      </c>
      <c r="W305" s="8">
        <f>Table11[[#This Row],[Survival% as of 12/31/23]]</f>
        <v>1</v>
      </c>
      <c r="X305">
        <f>Table11[[#This Row],[ETP'#s]]</f>
        <v>1</v>
      </c>
    </row>
    <row r="306" spans="1:24" hidden="1" x14ac:dyDescent="0.25">
      <c r="A306">
        <f>Table11[[#This Row],[Farmer'#]]</f>
        <v>10118</v>
      </c>
      <c r="B306" t="str">
        <f>Table11[[#This Row],[Representative]]</f>
        <v>Todd McCarley</v>
      </c>
      <c r="C306" t="str">
        <f>Table11[[#This Row],[Contract Name]]</f>
        <v>Todd McCarley</v>
      </c>
      <c r="D306" t="str">
        <f>Table11[[#This Row],[Status]]</f>
        <v>Active</v>
      </c>
      <c r="E306" t="str">
        <f>Table11[[#This Row],[Contract Code]]</f>
        <v>US0143</v>
      </c>
      <c r="F306">
        <f>Table11[[#This Row],['#TreesContract]]</f>
        <v>1100</v>
      </c>
      <c r="G306">
        <f>Table11[[#This Row],['#Planted]]</f>
        <v>1100</v>
      </c>
      <c r="H306" s="16">
        <f>Table11[[#This Row],['#TreesContract]]*Table11[[#This Row],[Canada Allocation2017 %]]</f>
        <v>0</v>
      </c>
      <c r="I306" s="16">
        <f>Table11[[#This Row],['#Planted]]*Table11[[#This Row],[Canada Allocation2017 %]]</f>
        <v>0</v>
      </c>
      <c r="J306" s="16">
        <f>Table11[[#This Row],[Contract Amendment]]*Table11[[#This Row],[Canada Allocation2017 %]]</f>
        <v>0</v>
      </c>
      <c r="K306" s="16">
        <f>Table11[[#This Row],['#Trees as of 12/31/23]]*Table11[[#This Row],[Canada Allocation2017 %]]</f>
        <v>0</v>
      </c>
      <c r="L306" s="16">
        <f>Table11[[#This Row],['#Replace 24]]*Table11[[#This Row],[Canada Allocation2017 %]]</f>
        <v>0</v>
      </c>
      <c r="M306" s="16"/>
      <c r="N306" s="16">
        <f>(Table11[[#This Row],[2024 '#Trees Inventory + Estimate]]*Table11[[#This Row],[Canada Allocation2017 %]])-SUM(Table3789[[#This Row],['# Trees as of 12/31/23]:[New Trees/Planted in 2024]])</f>
        <v>0</v>
      </c>
      <c r="O306" s="32">
        <f>SUM(Table3789[[#This Row],['# Trees as of 12/31/23]:[2024 Tree Losses]])</f>
        <v>0</v>
      </c>
      <c r="P306" s="32">
        <f>SUM(Table3789[[#This Row],[Total Trees as of 12/31/24]]-Table3789[[#This Row],['# Trees as of 12/31/23]])</f>
        <v>0</v>
      </c>
      <c r="Q306" s="16">
        <f>Table11[[#This Row],['#Total Replacements]]*Table11[[#This Row],[Canada Allocation2017 %]]</f>
        <v>0</v>
      </c>
      <c r="R306" s="32">
        <f>IF(Table3789[[#This Row],['#Survival based on Inventory]]=0,Table3789['#Survival based on Last Year Estimate],Table3789['#Survival based on Inventory])</f>
        <v>0</v>
      </c>
      <c r="S306" s="16">
        <f>Table11[[#This Row],['#Planted]]*Table11[[#This Row],[Canada Allocation2017 %]]*Table11[[#This Row],[2024 Inventory Survival%-master]]</f>
        <v>0</v>
      </c>
      <c r="T306" s="16">
        <f>Table11[[#This Row],['#Planted]]*Table11[[#This Row],[Canada Allocation2017 %]]*Table11[[#This Row],[2024 Estimated Survival%]]</f>
        <v>0</v>
      </c>
      <c r="U306" s="7">
        <f>Table11[[#This Row],[ETP Year]]</f>
        <v>2021</v>
      </c>
      <c r="V306" s="7">
        <f>Table11[[#This Row],[Planting Year]]</f>
        <v>2022</v>
      </c>
      <c r="W306" s="8">
        <f>Table11[[#This Row],[Survival% as of 12/31/23]]</f>
        <v>1</v>
      </c>
      <c r="X306">
        <f>Table11[[#This Row],[ETP'#s]]</f>
        <v>1</v>
      </c>
    </row>
    <row r="307" spans="1:24" hidden="1" x14ac:dyDescent="0.25">
      <c r="A307">
        <f>Table11[[#This Row],[Farmer'#]]</f>
        <v>10119</v>
      </c>
      <c r="B307" t="str">
        <f>Table11[[#This Row],[Representative]]</f>
        <v>William (Cliff) Scales</v>
      </c>
      <c r="C307" t="str">
        <f>Table11[[#This Row],[Contract Name]]</f>
        <v>William (Cliff) Scales</v>
      </c>
      <c r="D307" t="str">
        <f>Table11[[#This Row],[Status]]</f>
        <v>Active</v>
      </c>
      <c r="E307" t="str">
        <f>Table11[[#This Row],[Contract Code]]</f>
        <v>US0144</v>
      </c>
      <c r="F307">
        <f>Table11[[#This Row],['#TreesContract]]</f>
        <v>1100</v>
      </c>
      <c r="G307">
        <f>Table11[[#This Row],['#Planted]]</f>
        <v>1100</v>
      </c>
      <c r="H307" s="16">
        <f>Table11[[#This Row],['#TreesContract]]*Table11[[#This Row],[Canada Allocation2017 %]]</f>
        <v>0</v>
      </c>
      <c r="I307" s="16">
        <f>Table11[[#This Row],['#Planted]]*Table11[[#This Row],[Canada Allocation2017 %]]</f>
        <v>0</v>
      </c>
      <c r="J307" s="16">
        <f>Table11[[#This Row],[Contract Amendment]]*Table11[[#This Row],[Canada Allocation2017 %]]</f>
        <v>0</v>
      </c>
      <c r="K307" s="16">
        <f>Table11[[#This Row],['#Trees as of 12/31/23]]*Table11[[#This Row],[Canada Allocation2017 %]]</f>
        <v>0</v>
      </c>
      <c r="L307" s="16">
        <f>Table11[[#This Row],['#Replace 24]]*Table11[[#This Row],[Canada Allocation2017 %]]</f>
        <v>0</v>
      </c>
      <c r="M307" s="16"/>
      <c r="N307" s="16">
        <f>(Table11[[#This Row],[2024 '#Trees Inventory + Estimate]]*Table11[[#This Row],[Canada Allocation2017 %]])-SUM(Table3789[[#This Row],['# Trees as of 12/31/23]:[New Trees/Planted in 2024]])</f>
        <v>0</v>
      </c>
      <c r="O307" s="32">
        <f>SUM(Table3789[[#This Row],['# Trees as of 12/31/23]:[2024 Tree Losses]])</f>
        <v>0</v>
      </c>
      <c r="P307" s="32">
        <f>SUM(Table3789[[#This Row],[Total Trees as of 12/31/24]]-Table3789[[#This Row],['# Trees as of 12/31/23]])</f>
        <v>0</v>
      </c>
      <c r="Q307" s="16">
        <f>Table11[[#This Row],['#Total Replacements]]*Table11[[#This Row],[Canada Allocation2017 %]]</f>
        <v>0</v>
      </c>
      <c r="R307" s="32">
        <f>IF(Table3789[[#This Row],['#Survival based on Inventory]]=0,Table3789['#Survival based on Last Year Estimate],Table3789['#Survival based on Inventory])</f>
        <v>0</v>
      </c>
      <c r="S307" s="16">
        <f>Table11[[#This Row],['#Planted]]*Table11[[#This Row],[Canada Allocation2017 %]]*Table11[[#This Row],[2024 Inventory Survival%-master]]</f>
        <v>0</v>
      </c>
      <c r="T307" s="16">
        <f>Table11[[#This Row],['#Planted]]*Table11[[#This Row],[Canada Allocation2017 %]]*Table11[[#This Row],[2024 Estimated Survival%]]</f>
        <v>0</v>
      </c>
      <c r="U307" s="7">
        <f>Table11[[#This Row],[ETP Year]]</f>
        <v>2021</v>
      </c>
      <c r="V307" s="7">
        <f>Table11[[#This Row],[Planting Year]]</f>
        <v>2022</v>
      </c>
      <c r="W307" s="8">
        <f>Table11[[#This Row],[Survival% as of 12/31/23]]</f>
        <v>1</v>
      </c>
      <c r="X307">
        <f>Table11[[#This Row],[ETP'#s]]</f>
        <v>1</v>
      </c>
    </row>
    <row r="308" spans="1:24" hidden="1" x14ac:dyDescent="0.25">
      <c r="A308">
        <f>Table11[[#This Row],[Farmer'#]]</f>
        <v>20089</v>
      </c>
      <c r="B308" t="str">
        <f>Table11[[#This Row],[Representative]]</f>
        <v>Alvaro Vargas</v>
      </c>
      <c r="C308" t="str">
        <f>Table11[[#This Row],[Contract Name]]</f>
        <v>Alvaro Vargas</v>
      </c>
      <c r="D308" t="str">
        <f>Table11[[#This Row],[Status]]</f>
        <v>RFT</v>
      </c>
      <c r="E308" t="str">
        <f>Table11[[#This Row],[Contract Code]]</f>
        <v>CR0097</v>
      </c>
      <c r="F308">
        <f>Table11[[#This Row],['#TreesContract]]</f>
        <v>1200</v>
      </c>
      <c r="G308">
        <f>Table11[[#This Row],['#Planted]]</f>
        <v>1200</v>
      </c>
      <c r="H308" s="16">
        <f>Table11[[#This Row],['#TreesContract]]*Table11[[#This Row],[Canada Allocation2017 %]]</f>
        <v>0</v>
      </c>
      <c r="I308" s="16">
        <f>Table11[[#This Row],['#Planted]]*Table11[[#This Row],[Canada Allocation2017 %]]</f>
        <v>0</v>
      </c>
      <c r="J308" s="16">
        <f>Table11[[#This Row],[Contract Amendment]]*Table11[[#This Row],[Canada Allocation2017 %]]</f>
        <v>0</v>
      </c>
      <c r="K308" s="16">
        <f>Table11[[#This Row],['#Trees as of 12/31/23]]*Table11[[#This Row],[Canada Allocation2017 %]]</f>
        <v>0</v>
      </c>
      <c r="L308" s="16">
        <f>Table11[[#This Row],['#Replace 24]]*Table11[[#This Row],[Canada Allocation2017 %]]</f>
        <v>0</v>
      </c>
      <c r="M308" s="16"/>
      <c r="N308" s="16">
        <f>(Table11[[#This Row],[2024 '#Trees Inventory + Estimate]]*Table11[[#This Row],[Canada Allocation2017 %]])-SUM(Table3789[[#This Row],['# Trees as of 12/31/23]:[New Trees/Planted in 2024]])</f>
        <v>0</v>
      </c>
      <c r="O308" s="32">
        <f>SUM(Table3789[[#This Row],['# Trees as of 12/31/23]:[2024 Tree Losses]])</f>
        <v>0</v>
      </c>
      <c r="P308" s="32">
        <f>SUM(Table3789[[#This Row],[Total Trees as of 12/31/24]]-Table3789[[#This Row],['# Trees as of 12/31/23]])</f>
        <v>0</v>
      </c>
      <c r="Q308" s="16">
        <f>Table11[[#This Row],['#Total Replacements]]*Table11[[#This Row],[Canada Allocation2017 %]]</f>
        <v>0</v>
      </c>
      <c r="R308" s="32">
        <f>IF(Table3789[[#This Row],['#Survival based on Inventory]]=0,Table3789['#Survival based on Last Year Estimate],Table3789['#Survival based on Inventory])</f>
        <v>0</v>
      </c>
      <c r="S308" s="16">
        <f>Table11[[#This Row],['#Planted]]*Table11[[#This Row],[Canada Allocation2017 %]]*Table11[[#This Row],[2024 Inventory Survival%-master]]</f>
        <v>0</v>
      </c>
      <c r="T308" s="16">
        <f>Table11[[#This Row],['#Planted]]*Table11[[#This Row],[Canada Allocation2017 %]]*Table11[[#This Row],[2024 Estimated Survival%]]</f>
        <v>0</v>
      </c>
      <c r="U308" s="7">
        <f>Table11[[#This Row],[ETP Year]]</f>
        <v>2021</v>
      </c>
      <c r="V308" s="7">
        <f>Table11[[#This Row],[Planting Year]]</f>
        <v>2022</v>
      </c>
      <c r="W308" s="8">
        <f>Table11[[#This Row],[Survival% as of 12/31/23]]</f>
        <v>1</v>
      </c>
      <c r="X308">
        <f>Table11[[#This Row],[ETP'#s]]</f>
        <v>1</v>
      </c>
    </row>
    <row r="309" spans="1:24" hidden="1" x14ac:dyDescent="0.25">
      <c r="A309">
        <f>Table11[[#This Row],[Farmer'#]]</f>
        <v>20090</v>
      </c>
      <c r="B309" t="str">
        <f>Table11[[#This Row],[Representative]]</f>
        <v>Jacobo Pardo Jara</v>
      </c>
      <c r="C309" t="str">
        <f>Table11[[#This Row],[Contract Name]]</f>
        <v>Grettel Jara Lara</v>
      </c>
      <c r="D309" t="str">
        <f>Table11[[#This Row],[Status]]</f>
        <v>Active</v>
      </c>
      <c r="E309" t="str">
        <f>Table11[[#This Row],[Contract Code]]</f>
        <v>CR0098</v>
      </c>
      <c r="F309">
        <f>Table11[[#This Row],['#TreesContract]]</f>
        <v>1000</v>
      </c>
      <c r="G309">
        <f>Table11[[#This Row],['#Planted]]</f>
        <v>1000</v>
      </c>
      <c r="H309" s="16">
        <f>Table11[[#This Row],['#TreesContract]]*Table11[[#This Row],[Canada Allocation2017 %]]</f>
        <v>0</v>
      </c>
      <c r="I309" s="16">
        <f>Table11[[#This Row],['#Planted]]*Table11[[#This Row],[Canada Allocation2017 %]]</f>
        <v>0</v>
      </c>
      <c r="J309" s="16">
        <f>Table11[[#This Row],[Contract Amendment]]*Table11[[#This Row],[Canada Allocation2017 %]]</f>
        <v>0</v>
      </c>
      <c r="K309" s="16">
        <f>Table11[[#This Row],['#Trees as of 12/31/23]]*Table11[[#This Row],[Canada Allocation2017 %]]</f>
        <v>0</v>
      </c>
      <c r="L309" s="16">
        <f>Table11[[#This Row],['#Replace 24]]*Table11[[#This Row],[Canada Allocation2017 %]]</f>
        <v>0</v>
      </c>
      <c r="M309" s="16"/>
      <c r="N309" s="16">
        <f>(Table11[[#This Row],[2024 '#Trees Inventory + Estimate]]*Table11[[#This Row],[Canada Allocation2017 %]])-SUM(Table3789[[#This Row],['# Trees as of 12/31/23]:[New Trees/Planted in 2024]])</f>
        <v>0</v>
      </c>
      <c r="O309" s="32">
        <f>SUM(Table3789[[#This Row],['# Trees as of 12/31/23]:[2024 Tree Losses]])</f>
        <v>0</v>
      </c>
      <c r="P309" s="32">
        <f>SUM(Table3789[[#This Row],[Total Trees as of 12/31/24]]-Table3789[[#This Row],['# Trees as of 12/31/23]])</f>
        <v>0</v>
      </c>
      <c r="Q309" s="16">
        <f>Table11[[#This Row],['#Total Replacements]]*Table11[[#This Row],[Canada Allocation2017 %]]</f>
        <v>0</v>
      </c>
      <c r="R309" s="32">
        <f>IF(Table3789[[#This Row],['#Survival based on Inventory]]=0,Table3789['#Survival based on Last Year Estimate],Table3789['#Survival based on Inventory])</f>
        <v>0</v>
      </c>
      <c r="S309" s="16">
        <f>Table11[[#This Row],['#Planted]]*Table11[[#This Row],[Canada Allocation2017 %]]*Table11[[#This Row],[2024 Inventory Survival%-master]]</f>
        <v>0</v>
      </c>
      <c r="T309" s="16">
        <f>Table11[[#This Row],['#Planted]]*Table11[[#This Row],[Canada Allocation2017 %]]*Table11[[#This Row],[2024 Estimated Survival%]]</f>
        <v>0</v>
      </c>
      <c r="U309" s="7">
        <f>Table11[[#This Row],[ETP Year]]</f>
        <v>2021</v>
      </c>
      <c r="V309" s="7">
        <f>Table11[[#This Row],[Planting Year]]</f>
        <v>2022</v>
      </c>
      <c r="W309">
        <f>Table11[[#This Row],[Survival% as of 12/31/23]]</f>
        <v>1</v>
      </c>
      <c r="X309">
        <f>Table11[[#This Row],[ETP'#s]]</f>
        <v>1</v>
      </c>
    </row>
    <row r="310" spans="1:24" hidden="1" x14ac:dyDescent="0.25">
      <c r="A310">
        <f>Table11[[#This Row],[Farmer'#]]</f>
        <v>20091</v>
      </c>
      <c r="B310" t="str">
        <f>Table11[[#This Row],[Representative]]</f>
        <v>Corporacion Comercial San Miguel del Pacifico S.A</v>
      </c>
      <c r="C310" t="str">
        <f>Table11[[#This Row],[Contract Name]]</f>
        <v>Jose Francisco Angulo</v>
      </c>
      <c r="D310" t="str">
        <f>Table11[[#This Row],[Status]]</f>
        <v>Active</v>
      </c>
      <c r="E310" t="str">
        <f>Table11[[#This Row],[Contract Code]]</f>
        <v>CR0099</v>
      </c>
      <c r="F310">
        <f>Table11[[#This Row],['#TreesContract]]</f>
        <v>2000</v>
      </c>
      <c r="G310">
        <f>Table11[[#This Row],['#Planted]]</f>
        <v>2000</v>
      </c>
      <c r="H310" s="16">
        <f>Table11[[#This Row],['#TreesContract]]*Table11[[#This Row],[Canada Allocation2017 %]]</f>
        <v>0</v>
      </c>
      <c r="I310" s="16">
        <f>Table11[[#This Row],['#Planted]]*Table11[[#This Row],[Canada Allocation2017 %]]</f>
        <v>0</v>
      </c>
      <c r="J310" s="16">
        <f>Table11[[#This Row],[Contract Amendment]]*Table11[[#This Row],[Canada Allocation2017 %]]</f>
        <v>0</v>
      </c>
      <c r="K310" s="16">
        <f>Table11[[#This Row],['#Trees as of 12/31/23]]*Table11[[#This Row],[Canada Allocation2017 %]]</f>
        <v>0</v>
      </c>
      <c r="L310" s="16">
        <f>Table11[[#This Row],['#Replace 24]]*Table11[[#This Row],[Canada Allocation2017 %]]</f>
        <v>0</v>
      </c>
      <c r="M310" s="16"/>
      <c r="N310" s="16">
        <f>(Table11[[#This Row],[2024 '#Trees Inventory + Estimate]]*Table11[[#This Row],[Canada Allocation2017 %]])-SUM(Table3789[[#This Row],['# Trees as of 12/31/23]:[New Trees/Planted in 2024]])</f>
        <v>0</v>
      </c>
      <c r="O310" s="32">
        <f>SUM(Table3789[[#This Row],['# Trees as of 12/31/23]:[2024 Tree Losses]])</f>
        <v>0</v>
      </c>
      <c r="P310" s="32">
        <f>SUM(Table3789[[#This Row],[Total Trees as of 12/31/24]]-Table3789[[#This Row],['# Trees as of 12/31/23]])</f>
        <v>0</v>
      </c>
      <c r="Q310" s="16">
        <f>Table11[[#This Row],['#Total Replacements]]*Table11[[#This Row],[Canada Allocation2017 %]]</f>
        <v>0</v>
      </c>
      <c r="R310" s="32">
        <f>IF(Table3789[[#This Row],['#Survival based on Inventory]]=0,Table3789['#Survival based on Last Year Estimate],Table3789['#Survival based on Inventory])</f>
        <v>0</v>
      </c>
      <c r="S310" s="16">
        <f>Table11[[#This Row],['#Planted]]*Table11[[#This Row],[Canada Allocation2017 %]]*Table11[[#This Row],[2024 Inventory Survival%-master]]</f>
        <v>0</v>
      </c>
      <c r="T310" s="16">
        <f>Table11[[#This Row],['#Planted]]*Table11[[#This Row],[Canada Allocation2017 %]]*Table11[[#This Row],[2024 Estimated Survival%]]</f>
        <v>0</v>
      </c>
      <c r="U310" s="7">
        <f>Table11[[#This Row],[ETP Year]]</f>
        <v>2021</v>
      </c>
      <c r="V310" s="7">
        <f>Table11[[#This Row],[Planting Year]]</f>
        <v>2022</v>
      </c>
      <c r="W310">
        <f>Table11[[#This Row],[Survival% as of 12/31/23]]</f>
        <v>1</v>
      </c>
      <c r="X310">
        <f>Table11[[#This Row],[ETP'#s]]</f>
        <v>1</v>
      </c>
    </row>
    <row r="311" spans="1:24" hidden="1" x14ac:dyDescent="0.25">
      <c r="A311">
        <f>Table11[[#This Row],[Farmer'#]]</f>
        <v>30023</v>
      </c>
      <c r="B311" t="str">
        <f>Table11[[#This Row],[Representative]]</f>
        <v>Julio Francisco Morán Pérez</v>
      </c>
      <c r="C311" t="str">
        <f>Table11[[#This Row],[Contract Name]]</f>
        <v>Julio Francisco Morán Pérez</v>
      </c>
      <c r="D311" t="str">
        <f>Table11[[#This Row],[Status]]</f>
        <v>Active</v>
      </c>
      <c r="E311" t="str">
        <f>Table11[[#This Row],[Contract Code]]</f>
        <v>GT0042</v>
      </c>
      <c r="F311">
        <f>Table11[[#This Row],['#TreesContract]]</f>
        <v>4000</v>
      </c>
      <c r="G311">
        <f>Table11[[#This Row],['#Planted]]</f>
        <v>4000</v>
      </c>
      <c r="H311" s="16">
        <f>Table11[[#This Row],['#TreesContract]]*Table11[[#This Row],[Canada Allocation2017 %]]</f>
        <v>0</v>
      </c>
      <c r="I311" s="16">
        <f>Table11[[#This Row],['#Planted]]*Table11[[#This Row],[Canada Allocation2017 %]]</f>
        <v>0</v>
      </c>
      <c r="J311" s="16">
        <f>Table11[[#This Row],[Contract Amendment]]*Table11[[#This Row],[Canada Allocation2017 %]]</f>
        <v>0</v>
      </c>
      <c r="K311" s="16">
        <f>Table11[[#This Row],['#Trees as of 12/31/23]]*Table11[[#This Row],[Canada Allocation2017 %]]</f>
        <v>0</v>
      </c>
      <c r="L311" s="16">
        <f>Table11[[#This Row],['#Replace 24]]*Table11[[#This Row],[Canada Allocation2017 %]]</f>
        <v>0</v>
      </c>
      <c r="M311" s="16"/>
      <c r="N311" s="16">
        <f>(Table11[[#This Row],[2024 '#Trees Inventory + Estimate]]*Table11[[#This Row],[Canada Allocation2017 %]])-SUM(Table3789[[#This Row],['# Trees as of 12/31/23]:[New Trees/Planted in 2024]])</f>
        <v>0</v>
      </c>
      <c r="O311" s="32">
        <f>SUM(Table3789[[#This Row],['# Trees as of 12/31/23]:[2024 Tree Losses]])</f>
        <v>0</v>
      </c>
      <c r="P311" s="32">
        <f>SUM(Table3789[[#This Row],[Total Trees as of 12/31/24]]-Table3789[[#This Row],['# Trees as of 12/31/23]])</f>
        <v>0</v>
      </c>
      <c r="Q311" s="16">
        <f>Table11[[#This Row],['#Total Replacements]]*Table11[[#This Row],[Canada Allocation2017 %]]</f>
        <v>0</v>
      </c>
      <c r="R311" s="32">
        <f>IF(Table3789[[#This Row],['#Survival based on Inventory]]=0,Table3789['#Survival based on Last Year Estimate],Table3789['#Survival based on Inventory])</f>
        <v>0</v>
      </c>
      <c r="S311" s="16">
        <f>Table11[[#This Row],['#Planted]]*Table11[[#This Row],[Canada Allocation2017 %]]*Table11[[#This Row],[2024 Inventory Survival%-master]]</f>
        <v>0</v>
      </c>
      <c r="T311" s="16">
        <f>Table11[[#This Row],['#Planted]]*Table11[[#This Row],[Canada Allocation2017 %]]*Table11[[#This Row],[2024 Estimated Survival%]]</f>
        <v>0</v>
      </c>
      <c r="U311" s="7">
        <f>Table11[[#This Row],[ETP Year]]</f>
        <v>2021</v>
      </c>
      <c r="V311" s="7">
        <f>Table11[[#This Row],[Planting Year]]</f>
        <v>2022</v>
      </c>
      <c r="W311">
        <f>Table11[[#This Row],[Survival% as of 12/31/23]]</f>
        <v>1</v>
      </c>
      <c r="X311">
        <f>Table11[[#This Row],[ETP'#s]]</f>
        <v>1</v>
      </c>
    </row>
    <row r="312" spans="1:24" hidden="1" x14ac:dyDescent="0.25">
      <c r="A312">
        <f>Table11[[#This Row],[Farmer'#]]</f>
        <v>30026</v>
      </c>
      <c r="B312" t="str">
        <f>Table11[[#This Row],[Representative]]</f>
        <v>Richard Steven Callaway Ayau - Eco Energía H20</v>
      </c>
      <c r="C312" t="str">
        <f>Table11[[#This Row],[Contract Name]]</f>
        <v>Richard Steven Callaway Ayau</v>
      </c>
      <c r="D312" t="str">
        <f>Table11[[#This Row],[Status]]</f>
        <v>Active</v>
      </c>
      <c r="E312" t="str">
        <f>Table11[[#This Row],[Contract Code]]</f>
        <v>GT0043</v>
      </c>
      <c r="F312">
        <f>Table11[[#This Row],['#TreesContract]]</f>
        <v>2000</v>
      </c>
      <c r="G312">
        <f>Table11[[#This Row],['#Planted]]</f>
        <v>2000</v>
      </c>
      <c r="H312" s="16">
        <f>Table11[[#This Row],['#TreesContract]]*Table11[[#This Row],[Canada Allocation2017 %]]</f>
        <v>0</v>
      </c>
      <c r="I312" s="16">
        <f>Table11[[#This Row],['#Planted]]*Table11[[#This Row],[Canada Allocation2017 %]]</f>
        <v>0</v>
      </c>
      <c r="J312" s="16">
        <f>Table11[[#This Row],[Contract Amendment]]*Table11[[#This Row],[Canada Allocation2017 %]]</f>
        <v>0</v>
      </c>
      <c r="K312" s="16">
        <f>Table11[[#This Row],['#Trees as of 12/31/23]]*Table11[[#This Row],[Canada Allocation2017 %]]</f>
        <v>0</v>
      </c>
      <c r="L312" s="16">
        <f>Table11[[#This Row],['#Replace 24]]*Table11[[#This Row],[Canada Allocation2017 %]]</f>
        <v>0</v>
      </c>
      <c r="M312" s="16"/>
      <c r="N312" s="16">
        <f>(Table11[[#This Row],[2024 '#Trees Inventory + Estimate]]*Table11[[#This Row],[Canada Allocation2017 %]])-SUM(Table3789[[#This Row],['# Trees as of 12/31/23]:[New Trees/Planted in 2024]])</f>
        <v>0</v>
      </c>
      <c r="O312" s="32">
        <f>SUM(Table3789[[#This Row],['# Trees as of 12/31/23]:[2024 Tree Losses]])</f>
        <v>0</v>
      </c>
      <c r="P312" s="32">
        <f>SUM(Table3789[[#This Row],[Total Trees as of 12/31/24]]-Table3789[[#This Row],['# Trees as of 12/31/23]])</f>
        <v>0</v>
      </c>
      <c r="Q312" s="16">
        <f>Table11[[#This Row],['#Total Replacements]]*Table11[[#This Row],[Canada Allocation2017 %]]</f>
        <v>0</v>
      </c>
      <c r="R312" s="32">
        <f>IF(Table3789[[#This Row],['#Survival based on Inventory]]=0,Table3789['#Survival based on Last Year Estimate],Table3789['#Survival based on Inventory])</f>
        <v>0</v>
      </c>
      <c r="S312" s="16">
        <f>Table11[[#This Row],['#Planted]]*Table11[[#This Row],[Canada Allocation2017 %]]*Table11[[#This Row],[2024 Inventory Survival%-master]]</f>
        <v>0</v>
      </c>
      <c r="T312" s="16">
        <f>Table11[[#This Row],['#Planted]]*Table11[[#This Row],[Canada Allocation2017 %]]*Table11[[#This Row],[2024 Estimated Survival%]]</f>
        <v>0</v>
      </c>
      <c r="U312" s="7">
        <f>Table11[[#This Row],[ETP Year]]</f>
        <v>2021</v>
      </c>
      <c r="V312" s="7">
        <f>Table11[[#This Row],[Planting Year]]</f>
        <v>2022</v>
      </c>
      <c r="W312">
        <f>Table11[[#This Row],[Survival% as of 12/31/23]]</f>
        <v>1</v>
      </c>
      <c r="X312">
        <f>Table11[[#This Row],[ETP'#s]]</f>
        <v>1</v>
      </c>
    </row>
    <row r="313" spans="1:24" hidden="1" x14ac:dyDescent="0.25">
      <c r="A313">
        <f>Table11[[#This Row],[Farmer'#]]</f>
        <v>30028</v>
      </c>
      <c r="B313" t="str">
        <f>Table11[[#This Row],[Representative]]</f>
        <v>Derek José Herman Gordillo</v>
      </c>
      <c r="C313" t="str">
        <f>Table11[[#This Row],[Contract Name]]</f>
        <v>Agroindustrias Nativa S.A./Derek José Herman Gordillo</v>
      </c>
      <c r="D313" t="str">
        <f>Table11[[#This Row],[Status]]</f>
        <v>Active</v>
      </c>
      <c r="E313" t="str">
        <f>Table11[[#This Row],[Contract Code]]</f>
        <v>GT0031b</v>
      </c>
      <c r="F313">
        <f>Table11[[#This Row],['#TreesContract]]</f>
        <v>20500</v>
      </c>
      <c r="G313">
        <f>Table11[[#This Row],['#Planted]]</f>
        <v>20489</v>
      </c>
      <c r="H313" s="16">
        <f>Table11[[#This Row],['#TreesContract]]*Table11[[#This Row],[Canada Allocation2017 %]]</f>
        <v>0</v>
      </c>
      <c r="I313" s="16">
        <f>Table11[[#This Row],['#Planted]]*Table11[[#This Row],[Canada Allocation2017 %]]</f>
        <v>0</v>
      </c>
      <c r="J313" s="16">
        <f>Table11[[#This Row],[Contract Amendment]]*Table11[[#This Row],[Canada Allocation2017 %]]</f>
        <v>0</v>
      </c>
      <c r="K313" s="16">
        <f>Table11[[#This Row],['#Trees as of 12/31/23]]*Table11[[#This Row],[Canada Allocation2017 %]]</f>
        <v>0</v>
      </c>
      <c r="L313" s="16">
        <f>Table11[[#This Row],['#Replace 24]]*Table11[[#This Row],[Canada Allocation2017 %]]</f>
        <v>0</v>
      </c>
      <c r="M313" s="16"/>
      <c r="N313" s="16">
        <f>(Table11[[#This Row],[2024 '#Trees Inventory + Estimate]]*Table11[[#This Row],[Canada Allocation2017 %]])-SUM(Table3789[[#This Row],['# Trees as of 12/31/23]:[New Trees/Planted in 2024]])</f>
        <v>0</v>
      </c>
      <c r="O313" s="32">
        <f>SUM(Table3789[[#This Row],['# Trees as of 12/31/23]:[2024 Tree Losses]])</f>
        <v>0</v>
      </c>
      <c r="P313" s="32">
        <f>SUM(Table3789[[#This Row],[Total Trees as of 12/31/24]]-Table3789[[#This Row],['# Trees as of 12/31/23]])</f>
        <v>0</v>
      </c>
      <c r="Q313" s="16">
        <f>Table11[[#This Row],['#Total Replacements]]*Table11[[#This Row],[Canada Allocation2017 %]]</f>
        <v>0</v>
      </c>
      <c r="R313" s="32">
        <f>IF(Table3789[[#This Row],['#Survival based on Inventory]]=0,Table3789['#Survival based on Last Year Estimate],Table3789['#Survival based on Inventory])</f>
        <v>0</v>
      </c>
      <c r="S313" s="16">
        <f>Table11[[#This Row],['#Planted]]*Table11[[#This Row],[Canada Allocation2017 %]]*Table11[[#This Row],[2024 Inventory Survival%-master]]</f>
        <v>0</v>
      </c>
      <c r="T313" s="16">
        <f>Table11[[#This Row],['#Planted]]*Table11[[#This Row],[Canada Allocation2017 %]]*Table11[[#This Row],[2024 Estimated Survival%]]</f>
        <v>0</v>
      </c>
      <c r="U313" s="7">
        <f>Table11[[#This Row],[ETP Year]]</f>
        <v>2021</v>
      </c>
      <c r="V313" s="7">
        <f>Table11[[#This Row],[Planting Year]]</f>
        <v>2022</v>
      </c>
      <c r="W313">
        <f>Table11[[#This Row],[Survival% as of 12/31/23]]</f>
        <v>1</v>
      </c>
      <c r="X313">
        <f>Table11[[#This Row],[ETP'#s]]</f>
        <v>1</v>
      </c>
    </row>
    <row r="314" spans="1:24" hidden="1" x14ac:dyDescent="0.25">
      <c r="A314">
        <f>Table11[[#This Row],[Farmer'#]]</f>
        <v>30033</v>
      </c>
      <c r="B314" t="str">
        <f>Table11[[#This Row],[Representative]]</f>
        <v>Trapiche de la Vega S.A. /María Isabel Agüero</v>
      </c>
      <c r="C314" t="str">
        <f>Table11[[#This Row],[Contract Name]]</f>
        <v>Trapiche de la Vega S.A. /María Isabel Agüero</v>
      </c>
      <c r="D314" t="str">
        <f>Table11[[#This Row],[Status]]</f>
        <v>Active</v>
      </c>
      <c r="E314" t="str">
        <f>Table11[[#This Row],[Contract Code]]</f>
        <v>GT0041</v>
      </c>
      <c r="F314">
        <f>Table11[[#This Row],['#TreesContract]]</f>
        <v>1000</v>
      </c>
      <c r="G314">
        <f>Table11[[#This Row],['#Planted]]</f>
        <v>1000</v>
      </c>
      <c r="H314" s="16">
        <f>Table11[[#This Row],['#TreesContract]]*Table11[[#This Row],[Canada Allocation2017 %]]</f>
        <v>0</v>
      </c>
      <c r="I314" s="16">
        <f>Table11[[#This Row],['#Planted]]*Table11[[#This Row],[Canada Allocation2017 %]]</f>
        <v>0</v>
      </c>
      <c r="J314" s="16">
        <f>Table11[[#This Row],[Contract Amendment]]*Table11[[#This Row],[Canada Allocation2017 %]]</f>
        <v>0</v>
      </c>
      <c r="K314" s="16">
        <f>Table11[[#This Row],['#Trees as of 12/31/23]]*Table11[[#This Row],[Canada Allocation2017 %]]</f>
        <v>0</v>
      </c>
      <c r="L314" s="16">
        <f>Table11[[#This Row],['#Replace 24]]*Table11[[#This Row],[Canada Allocation2017 %]]</f>
        <v>0</v>
      </c>
      <c r="M314" s="16"/>
      <c r="N314" s="16">
        <f>(Table11[[#This Row],[2024 '#Trees Inventory + Estimate]]*Table11[[#This Row],[Canada Allocation2017 %]])-SUM(Table3789[[#This Row],['# Trees as of 12/31/23]:[New Trees/Planted in 2024]])</f>
        <v>0</v>
      </c>
      <c r="O314" s="32">
        <f>SUM(Table3789[[#This Row],['# Trees as of 12/31/23]:[2024 Tree Losses]])</f>
        <v>0</v>
      </c>
      <c r="P314" s="32">
        <f>SUM(Table3789[[#This Row],[Total Trees as of 12/31/24]]-Table3789[[#This Row],['# Trees as of 12/31/23]])</f>
        <v>0</v>
      </c>
      <c r="Q314" s="16">
        <f>Table11[[#This Row],['#Total Replacements]]*Table11[[#This Row],[Canada Allocation2017 %]]</f>
        <v>0</v>
      </c>
      <c r="R314" s="32">
        <f>IF(Table3789[[#This Row],['#Survival based on Inventory]]=0,Table3789['#Survival based on Last Year Estimate],Table3789['#Survival based on Inventory])</f>
        <v>0</v>
      </c>
      <c r="S314" s="16">
        <f>Table11[[#This Row],['#Planted]]*Table11[[#This Row],[Canada Allocation2017 %]]*Table11[[#This Row],[2024 Inventory Survival%-master]]</f>
        <v>0</v>
      </c>
      <c r="T314" s="16">
        <f>Table11[[#This Row],['#Planted]]*Table11[[#This Row],[Canada Allocation2017 %]]*Table11[[#This Row],[2024 Estimated Survival%]]</f>
        <v>0</v>
      </c>
      <c r="U314" s="7">
        <f>Table11[[#This Row],[ETP Year]]</f>
        <v>2021</v>
      </c>
      <c r="V314" s="7">
        <f>Table11[[#This Row],[Planting Year]]</f>
        <v>2022</v>
      </c>
      <c r="W314">
        <f>Table11[[#This Row],[Survival% as of 12/31/23]]</f>
        <v>1</v>
      </c>
      <c r="X314">
        <f>Table11[[#This Row],[ETP'#s]]</f>
        <v>1</v>
      </c>
    </row>
    <row r="315" spans="1:24" hidden="1" x14ac:dyDescent="0.25">
      <c r="A315">
        <f>Table11[[#This Row],[Farmer'#]]</f>
        <v>40025</v>
      </c>
      <c r="B315" t="str">
        <f>Table11[[#This Row],[Representative]]</f>
        <v>Caralampio Arreola López</v>
      </c>
      <c r="C315" t="str">
        <f>Table11[[#This Row],[Contract Name]]</f>
        <v>Caralampio Arreola López</v>
      </c>
      <c r="D315" t="str">
        <f>Table11[[#This Row],[Status]]</f>
        <v>Active</v>
      </c>
      <c r="E315" t="str">
        <f>Table11[[#This Row],[Contract Code]]</f>
        <v>MX0026</v>
      </c>
      <c r="F315">
        <f>Table11[[#This Row],['#TreesContract]]</f>
        <v>2750</v>
      </c>
      <c r="G315">
        <f>Table11[[#This Row],['#Planted]]</f>
        <v>2750</v>
      </c>
      <c r="H315" s="16">
        <f>Table11[[#This Row],['#TreesContract]]*Table11[[#This Row],[Canada Allocation2017 %]]</f>
        <v>0</v>
      </c>
      <c r="I315" s="16">
        <f>Table11[[#This Row],['#Planted]]*Table11[[#This Row],[Canada Allocation2017 %]]</f>
        <v>0</v>
      </c>
      <c r="J315" s="16">
        <f>Table11[[#This Row],[Contract Amendment]]*Table11[[#This Row],[Canada Allocation2017 %]]</f>
        <v>0</v>
      </c>
      <c r="K315" s="16">
        <f>Table11[[#This Row],['#Trees as of 12/31/23]]*Table11[[#This Row],[Canada Allocation2017 %]]</f>
        <v>0</v>
      </c>
      <c r="L315" s="16">
        <f>Table11[[#This Row],['#Replace 24]]*Table11[[#This Row],[Canada Allocation2017 %]]</f>
        <v>0</v>
      </c>
      <c r="M315" s="16"/>
      <c r="N315" s="16">
        <f>(Table11[[#This Row],[2024 '#Trees Inventory + Estimate]]*Table11[[#This Row],[Canada Allocation2017 %]])-SUM(Table3789[[#This Row],['# Trees as of 12/31/23]:[New Trees/Planted in 2024]])</f>
        <v>0</v>
      </c>
      <c r="O315" s="32">
        <f>SUM(Table3789[[#This Row],['# Trees as of 12/31/23]:[2024 Tree Losses]])</f>
        <v>0</v>
      </c>
      <c r="P315" s="32">
        <f>SUM(Table3789[[#This Row],[Total Trees as of 12/31/24]]-Table3789[[#This Row],['# Trees as of 12/31/23]])</f>
        <v>0</v>
      </c>
      <c r="Q315" s="16">
        <f>Table11[[#This Row],['#Total Replacements]]*Table11[[#This Row],[Canada Allocation2017 %]]</f>
        <v>0</v>
      </c>
      <c r="R315" s="32">
        <f>IF(Table3789[[#This Row],['#Survival based on Inventory]]=0,Table3789['#Survival based on Last Year Estimate],Table3789['#Survival based on Inventory])</f>
        <v>0</v>
      </c>
      <c r="S315" s="16">
        <f>Table11[[#This Row],['#Planted]]*Table11[[#This Row],[Canada Allocation2017 %]]*Table11[[#This Row],[2024 Inventory Survival%-master]]</f>
        <v>0</v>
      </c>
      <c r="T315" s="16">
        <f>Table11[[#This Row],['#Planted]]*Table11[[#This Row],[Canada Allocation2017 %]]*Table11[[#This Row],[2024 Estimated Survival%]]</f>
        <v>0</v>
      </c>
      <c r="U315" s="7">
        <f>Table11[[#This Row],[ETP Year]]</f>
        <v>2021</v>
      </c>
      <c r="V315" s="7">
        <f>Table11[[#This Row],[Planting Year]]</f>
        <v>2022</v>
      </c>
      <c r="W315">
        <f>Table11[[#This Row],[Survival% as of 12/31/23]]</f>
        <v>1</v>
      </c>
      <c r="X315">
        <f>Table11[[#This Row],[ETP'#s]]</f>
        <v>1</v>
      </c>
    </row>
    <row r="316" spans="1:24" hidden="1" x14ac:dyDescent="0.25">
      <c r="A316">
        <f>Table11[[#This Row],[Farmer'#]]</f>
        <v>40026</v>
      </c>
      <c r="B316" t="str">
        <f>Table11[[#This Row],[Representative]]</f>
        <v>Carlos Carbajal</v>
      </c>
      <c r="C316" t="str">
        <f>Table11[[#This Row],[Contract Name]]</f>
        <v>Carlos Carbajal</v>
      </c>
      <c r="D316" t="str">
        <f>Table11[[#This Row],[Status]]</f>
        <v>Active</v>
      </c>
      <c r="E316" t="str">
        <f>Table11[[#This Row],[Contract Code]]</f>
        <v>MX0027</v>
      </c>
      <c r="F316">
        <f>Table11[[#This Row],['#TreesContract]]</f>
        <v>2750</v>
      </c>
      <c r="G316">
        <f>Table11[[#This Row],['#Planted]]</f>
        <v>2750</v>
      </c>
      <c r="H316" s="16">
        <f>Table11[[#This Row],['#TreesContract]]*Table11[[#This Row],[Canada Allocation2017 %]]</f>
        <v>0</v>
      </c>
      <c r="I316" s="16">
        <f>Table11[[#This Row],['#Planted]]*Table11[[#This Row],[Canada Allocation2017 %]]</f>
        <v>0</v>
      </c>
      <c r="J316" s="16">
        <f>Table11[[#This Row],[Contract Amendment]]*Table11[[#This Row],[Canada Allocation2017 %]]</f>
        <v>0</v>
      </c>
      <c r="K316" s="16">
        <f>Table11[[#This Row],['#Trees as of 12/31/23]]*Table11[[#This Row],[Canada Allocation2017 %]]</f>
        <v>0</v>
      </c>
      <c r="L316" s="16">
        <f>Table11[[#This Row],['#Replace 24]]*Table11[[#This Row],[Canada Allocation2017 %]]</f>
        <v>0</v>
      </c>
      <c r="M316" s="16"/>
      <c r="N316" s="16">
        <f>(Table11[[#This Row],[2024 '#Trees Inventory + Estimate]]*Table11[[#This Row],[Canada Allocation2017 %]])-SUM(Table3789[[#This Row],['# Trees as of 12/31/23]:[New Trees/Planted in 2024]])</f>
        <v>0</v>
      </c>
      <c r="O316" s="32">
        <f>SUM(Table3789[[#This Row],['# Trees as of 12/31/23]:[2024 Tree Losses]])</f>
        <v>0</v>
      </c>
      <c r="P316" s="32">
        <f>SUM(Table3789[[#This Row],[Total Trees as of 12/31/24]]-Table3789[[#This Row],['# Trees as of 12/31/23]])</f>
        <v>0</v>
      </c>
      <c r="Q316" s="16">
        <f>Table11[[#This Row],['#Total Replacements]]*Table11[[#This Row],[Canada Allocation2017 %]]</f>
        <v>0</v>
      </c>
      <c r="R316" s="32">
        <f>IF(Table3789[[#This Row],['#Survival based on Inventory]]=0,Table3789['#Survival based on Last Year Estimate],Table3789['#Survival based on Inventory])</f>
        <v>0</v>
      </c>
      <c r="S316" s="16">
        <f>Table11[[#This Row],['#Planted]]*Table11[[#This Row],[Canada Allocation2017 %]]*Table11[[#This Row],[2024 Inventory Survival%-master]]</f>
        <v>0</v>
      </c>
      <c r="T316" s="16">
        <f>Table11[[#This Row],['#Planted]]*Table11[[#This Row],[Canada Allocation2017 %]]*Table11[[#This Row],[2024 Estimated Survival%]]</f>
        <v>0</v>
      </c>
      <c r="U316" s="7">
        <f>Table11[[#This Row],[ETP Year]]</f>
        <v>2021</v>
      </c>
      <c r="V316" s="7">
        <f>Table11[[#This Row],[Planting Year]]</f>
        <v>2022</v>
      </c>
      <c r="W316">
        <f>Table11[[#This Row],[Survival% as of 12/31/23]]</f>
        <v>1</v>
      </c>
      <c r="X316">
        <f>Table11[[#This Row],[ETP'#s]]</f>
        <v>1</v>
      </c>
    </row>
    <row r="317" spans="1:24" hidden="1" x14ac:dyDescent="0.25">
      <c r="A317">
        <f>Table11[[#This Row],[Farmer'#]]</f>
        <v>40027</v>
      </c>
      <c r="B317" t="str">
        <f>Table11[[#This Row],[Representative]]</f>
        <v>Cirilo Carbajal Hernandez</v>
      </c>
      <c r="C317" t="str">
        <f>Table11[[#This Row],[Contract Name]]</f>
        <v>Cirilo Carbajal Hernandez</v>
      </c>
      <c r="D317" t="str">
        <f>Table11[[#This Row],[Status]]</f>
        <v>Active</v>
      </c>
      <c r="E317" t="str">
        <f>Table11[[#This Row],[Contract Code]]</f>
        <v>MX0028</v>
      </c>
      <c r="F317">
        <f>Table11[[#This Row],['#TreesContract]]</f>
        <v>2750</v>
      </c>
      <c r="G317">
        <f>Table11[[#This Row],['#Planted]]</f>
        <v>2750</v>
      </c>
      <c r="H317" s="16">
        <f>Table11[[#This Row],['#TreesContract]]*Table11[[#This Row],[Canada Allocation2017 %]]</f>
        <v>0</v>
      </c>
      <c r="I317" s="16">
        <f>Table11[[#This Row],['#Planted]]*Table11[[#This Row],[Canada Allocation2017 %]]</f>
        <v>0</v>
      </c>
      <c r="J317" s="16">
        <f>Table11[[#This Row],[Contract Amendment]]*Table11[[#This Row],[Canada Allocation2017 %]]</f>
        <v>0</v>
      </c>
      <c r="K317" s="16">
        <f>Table11[[#This Row],['#Trees as of 12/31/23]]*Table11[[#This Row],[Canada Allocation2017 %]]</f>
        <v>0</v>
      </c>
      <c r="L317" s="16">
        <f>Table11[[#This Row],['#Replace 24]]*Table11[[#This Row],[Canada Allocation2017 %]]</f>
        <v>0</v>
      </c>
      <c r="M317" s="16"/>
      <c r="N317" s="16">
        <f>(Table11[[#This Row],[2024 '#Trees Inventory + Estimate]]*Table11[[#This Row],[Canada Allocation2017 %]])-SUM(Table3789[[#This Row],['# Trees as of 12/31/23]:[New Trees/Planted in 2024]])</f>
        <v>0</v>
      </c>
      <c r="O317" s="32">
        <f>SUM(Table3789[[#This Row],['# Trees as of 12/31/23]:[2024 Tree Losses]])</f>
        <v>0</v>
      </c>
      <c r="P317" s="32">
        <f>SUM(Table3789[[#This Row],[Total Trees as of 12/31/24]]-Table3789[[#This Row],['# Trees as of 12/31/23]])</f>
        <v>0</v>
      </c>
      <c r="Q317" s="16">
        <f>Table11[[#This Row],['#Total Replacements]]*Table11[[#This Row],[Canada Allocation2017 %]]</f>
        <v>0</v>
      </c>
      <c r="R317" s="32">
        <f>IF(Table3789[[#This Row],['#Survival based on Inventory]]=0,Table3789['#Survival based on Last Year Estimate],Table3789['#Survival based on Inventory])</f>
        <v>0</v>
      </c>
      <c r="S317" s="16">
        <f>Table11[[#This Row],['#Planted]]*Table11[[#This Row],[Canada Allocation2017 %]]*Table11[[#This Row],[2024 Inventory Survival%-master]]</f>
        <v>0</v>
      </c>
      <c r="T317" s="16">
        <f>Table11[[#This Row],['#Planted]]*Table11[[#This Row],[Canada Allocation2017 %]]*Table11[[#This Row],[2024 Estimated Survival%]]</f>
        <v>0</v>
      </c>
      <c r="U317" s="7">
        <f>Table11[[#This Row],[ETP Year]]</f>
        <v>2021</v>
      </c>
      <c r="V317" s="7">
        <f>Table11[[#This Row],[Planting Year]]</f>
        <v>2022</v>
      </c>
      <c r="W317">
        <f>Table11[[#This Row],[Survival% as of 12/31/23]]</f>
        <v>1</v>
      </c>
      <c r="X317">
        <f>Table11[[#This Row],[ETP'#s]]</f>
        <v>1</v>
      </c>
    </row>
    <row r="318" spans="1:24" hidden="1" x14ac:dyDescent="0.25">
      <c r="A318">
        <f>Table11[[#This Row],[Farmer'#]]</f>
        <v>40028</v>
      </c>
      <c r="B318" t="str">
        <f>Table11[[#This Row],[Representative]]</f>
        <v>Francisco Contreras</v>
      </c>
      <c r="C318" t="str">
        <f>Table11[[#This Row],[Contract Name]]</f>
        <v>Francisco Contreras</v>
      </c>
      <c r="D318" t="str">
        <f>Table11[[#This Row],[Status]]</f>
        <v>Active</v>
      </c>
      <c r="E318" t="str">
        <f>Table11[[#This Row],[Contract Code]]</f>
        <v>MX0029</v>
      </c>
      <c r="F318">
        <f>Table11[[#This Row],['#TreesContract]]</f>
        <v>5600</v>
      </c>
      <c r="G318">
        <f>Table11[[#This Row],['#Planted]]</f>
        <v>5600</v>
      </c>
      <c r="H318" s="16">
        <f>Table11[[#This Row],['#TreesContract]]*Table11[[#This Row],[Canada Allocation2017 %]]</f>
        <v>0</v>
      </c>
      <c r="I318" s="16">
        <f>Table11[[#This Row],['#Planted]]*Table11[[#This Row],[Canada Allocation2017 %]]</f>
        <v>0</v>
      </c>
      <c r="J318" s="16">
        <f>Table11[[#This Row],[Contract Amendment]]*Table11[[#This Row],[Canada Allocation2017 %]]</f>
        <v>0</v>
      </c>
      <c r="K318" s="16">
        <f>Table11[[#This Row],['#Trees as of 12/31/23]]*Table11[[#This Row],[Canada Allocation2017 %]]</f>
        <v>0</v>
      </c>
      <c r="L318" s="16">
        <f>Table11[[#This Row],['#Replace 24]]*Table11[[#This Row],[Canada Allocation2017 %]]</f>
        <v>0</v>
      </c>
      <c r="M318" s="16"/>
      <c r="N318" s="16">
        <f>(Table11[[#This Row],[2024 '#Trees Inventory + Estimate]]*Table11[[#This Row],[Canada Allocation2017 %]])-SUM(Table3789[[#This Row],['# Trees as of 12/31/23]:[New Trees/Planted in 2024]])</f>
        <v>0</v>
      </c>
      <c r="O318" s="32">
        <f>SUM(Table3789[[#This Row],['# Trees as of 12/31/23]:[2024 Tree Losses]])</f>
        <v>0</v>
      </c>
      <c r="P318" s="32">
        <f>SUM(Table3789[[#This Row],[Total Trees as of 12/31/24]]-Table3789[[#This Row],['# Trees as of 12/31/23]])</f>
        <v>0</v>
      </c>
      <c r="Q318" s="16">
        <f>Table11[[#This Row],['#Total Replacements]]*Table11[[#This Row],[Canada Allocation2017 %]]</f>
        <v>0</v>
      </c>
      <c r="R318" s="32">
        <f>IF(Table3789[[#This Row],['#Survival based on Inventory]]=0,Table3789['#Survival based on Last Year Estimate],Table3789['#Survival based on Inventory])</f>
        <v>0</v>
      </c>
      <c r="S318" s="16">
        <f>Table11[[#This Row],['#Planted]]*Table11[[#This Row],[Canada Allocation2017 %]]*Table11[[#This Row],[2024 Inventory Survival%-master]]</f>
        <v>0</v>
      </c>
      <c r="T318" s="16">
        <f>Table11[[#This Row],['#Planted]]*Table11[[#This Row],[Canada Allocation2017 %]]*Table11[[#This Row],[2024 Estimated Survival%]]</f>
        <v>0</v>
      </c>
      <c r="U318" s="7">
        <f>Table11[[#This Row],[ETP Year]]</f>
        <v>2021</v>
      </c>
      <c r="V318" s="7">
        <f>Table11[[#This Row],[Planting Year]]</f>
        <v>2022</v>
      </c>
      <c r="W318">
        <f>Table11[[#This Row],[Survival% as of 12/31/23]]</f>
        <v>1</v>
      </c>
      <c r="X318">
        <f>Table11[[#This Row],[ETP'#s]]</f>
        <v>1</v>
      </c>
    </row>
    <row r="319" spans="1:24" hidden="1" x14ac:dyDescent="0.25">
      <c r="A319">
        <f>Table11[[#This Row],[Farmer'#]]</f>
        <v>40029</v>
      </c>
      <c r="B319" t="str">
        <f>Table11[[#This Row],[Representative]]</f>
        <v>Heradio Hernandez Jímenez</v>
      </c>
      <c r="C319" t="str">
        <f>Table11[[#This Row],[Contract Name]]</f>
        <v>Heradio Hernandez Jimenez</v>
      </c>
      <c r="D319" t="str">
        <f>Table11[[#This Row],[Status]]</f>
        <v>Active</v>
      </c>
      <c r="E319" t="str">
        <f>Table11[[#This Row],[Contract Code]]</f>
        <v>MX0030</v>
      </c>
      <c r="F319">
        <f>Table11[[#This Row],['#TreesContract]]</f>
        <v>2200</v>
      </c>
      <c r="G319">
        <f>Table11[[#This Row],['#Planted]]</f>
        <v>2200</v>
      </c>
      <c r="H319" s="16">
        <f>Table11[[#This Row],['#TreesContract]]*Table11[[#This Row],[Canada Allocation2017 %]]</f>
        <v>0</v>
      </c>
      <c r="I319" s="16">
        <f>Table11[[#This Row],['#Planted]]*Table11[[#This Row],[Canada Allocation2017 %]]</f>
        <v>0</v>
      </c>
      <c r="J319" s="16">
        <f>Table11[[#This Row],[Contract Amendment]]*Table11[[#This Row],[Canada Allocation2017 %]]</f>
        <v>0</v>
      </c>
      <c r="K319" s="16">
        <f>Table11[[#This Row],['#Trees as of 12/31/23]]*Table11[[#This Row],[Canada Allocation2017 %]]</f>
        <v>0</v>
      </c>
      <c r="L319" s="16">
        <f>Table11[[#This Row],['#Replace 24]]*Table11[[#This Row],[Canada Allocation2017 %]]</f>
        <v>0</v>
      </c>
      <c r="M319" s="16"/>
      <c r="N319" s="16">
        <f>(Table11[[#This Row],[2024 '#Trees Inventory + Estimate]]*Table11[[#This Row],[Canada Allocation2017 %]])-SUM(Table3789[[#This Row],['# Trees as of 12/31/23]:[New Trees/Planted in 2024]])</f>
        <v>0</v>
      </c>
      <c r="O319" s="32">
        <f>SUM(Table3789[[#This Row],['# Trees as of 12/31/23]:[2024 Tree Losses]])</f>
        <v>0</v>
      </c>
      <c r="P319" s="32">
        <f>SUM(Table3789[[#This Row],[Total Trees as of 12/31/24]]-Table3789[[#This Row],['# Trees as of 12/31/23]])</f>
        <v>0</v>
      </c>
      <c r="Q319" s="16">
        <f>Table11[[#This Row],['#Total Replacements]]*Table11[[#This Row],[Canada Allocation2017 %]]</f>
        <v>0</v>
      </c>
      <c r="R319" s="32">
        <f>IF(Table3789[[#This Row],['#Survival based on Inventory]]=0,Table3789['#Survival based on Last Year Estimate],Table3789['#Survival based on Inventory])</f>
        <v>0</v>
      </c>
      <c r="S319" s="16">
        <f>Table11[[#This Row],['#Planted]]*Table11[[#This Row],[Canada Allocation2017 %]]*Table11[[#This Row],[2024 Inventory Survival%-master]]</f>
        <v>0</v>
      </c>
      <c r="T319" s="16">
        <f>Table11[[#This Row],['#Planted]]*Table11[[#This Row],[Canada Allocation2017 %]]*Table11[[#This Row],[2024 Estimated Survival%]]</f>
        <v>0</v>
      </c>
      <c r="U319" s="7">
        <f>Table11[[#This Row],[ETP Year]]</f>
        <v>2021</v>
      </c>
      <c r="V319" s="7">
        <f>Table11[[#This Row],[Planting Year]]</f>
        <v>2022</v>
      </c>
      <c r="W319">
        <f>Table11[[#This Row],[Survival% as of 12/31/23]]</f>
        <v>1</v>
      </c>
      <c r="X319">
        <f>Table11[[#This Row],[ETP'#s]]</f>
        <v>1</v>
      </c>
    </row>
    <row r="320" spans="1:24" hidden="1" x14ac:dyDescent="0.25">
      <c r="A320">
        <f>Table11[[#This Row],[Farmer'#]]</f>
        <v>40030</v>
      </c>
      <c r="B320" t="str">
        <f>Table11[[#This Row],[Representative]]</f>
        <v>Jesus Rauda Gutierrez</v>
      </c>
      <c r="C320" t="str">
        <f>Table11[[#This Row],[Contract Name]]</f>
        <v>Jesus Rauda Gutierrez</v>
      </c>
      <c r="D320" t="str">
        <f>Table11[[#This Row],[Status]]</f>
        <v>Active</v>
      </c>
      <c r="E320" t="str">
        <f>Table11[[#This Row],[Contract Code]]</f>
        <v>MX0031</v>
      </c>
      <c r="F320">
        <f>Table11[[#This Row],['#TreesContract]]</f>
        <v>2750</v>
      </c>
      <c r="G320">
        <f>Table11[[#This Row],['#Planted]]</f>
        <v>2750</v>
      </c>
      <c r="H320" s="16">
        <f>Table11[[#This Row],['#TreesContract]]*Table11[[#This Row],[Canada Allocation2017 %]]</f>
        <v>0</v>
      </c>
      <c r="I320" s="16">
        <f>Table11[[#This Row],['#Planted]]*Table11[[#This Row],[Canada Allocation2017 %]]</f>
        <v>0</v>
      </c>
      <c r="J320" s="16">
        <f>Table11[[#This Row],[Contract Amendment]]*Table11[[#This Row],[Canada Allocation2017 %]]</f>
        <v>0</v>
      </c>
      <c r="K320" s="16">
        <f>Table11[[#This Row],['#Trees as of 12/31/23]]*Table11[[#This Row],[Canada Allocation2017 %]]</f>
        <v>0</v>
      </c>
      <c r="L320" s="16">
        <f>Table11[[#This Row],['#Replace 24]]*Table11[[#This Row],[Canada Allocation2017 %]]</f>
        <v>0</v>
      </c>
      <c r="M320" s="16"/>
      <c r="N320" s="16">
        <f>(Table11[[#This Row],[2024 '#Trees Inventory + Estimate]]*Table11[[#This Row],[Canada Allocation2017 %]])-SUM(Table3789[[#This Row],['# Trees as of 12/31/23]:[New Trees/Planted in 2024]])</f>
        <v>0</v>
      </c>
      <c r="O320" s="32">
        <f>SUM(Table3789[[#This Row],['# Trees as of 12/31/23]:[2024 Tree Losses]])</f>
        <v>0</v>
      </c>
      <c r="P320" s="32">
        <f>SUM(Table3789[[#This Row],[Total Trees as of 12/31/24]]-Table3789[[#This Row],['# Trees as of 12/31/23]])</f>
        <v>0</v>
      </c>
      <c r="Q320" s="16">
        <f>Table11[[#This Row],['#Total Replacements]]*Table11[[#This Row],[Canada Allocation2017 %]]</f>
        <v>0</v>
      </c>
      <c r="R320" s="32">
        <f>IF(Table3789[[#This Row],['#Survival based on Inventory]]=0,Table3789['#Survival based on Last Year Estimate],Table3789['#Survival based on Inventory])</f>
        <v>0</v>
      </c>
      <c r="S320" s="16">
        <f>Table11[[#This Row],['#Planted]]*Table11[[#This Row],[Canada Allocation2017 %]]*Table11[[#This Row],[2024 Inventory Survival%-master]]</f>
        <v>0</v>
      </c>
      <c r="T320" s="16">
        <f>Table11[[#This Row],['#Planted]]*Table11[[#This Row],[Canada Allocation2017 %]]*Table11[[#This Row],[2024 Estimated Survival%]]</f>
        <v>0</v>
      </c>
      <c r="U320" s="7">
        <f>Table11[[#This Row],[ETP Year]]</f>
        <v>2021</v>
      </c>
      <c r="V320" s="7">
        <f>Table11[[#This Row],[Planting Year]]</f>
        <v>2022</v>
      </c>
      <c r="W320">
        <f>Table11[[#This Row],[Survival% as of 12/31/23]]</f>
        <v>1</v>
      </c>
      <c r="X320">
        <f>Table11[[#This Row],[ETP'#s]]</f>
        <v>1</v>
      </c>
    </row>
    <row r="321" spans="1:24" hidden="1" x14ac:dyDescent="0.25">
      <c r="A321">
        <f>Table11[[#This Row],[Farmer'#]]</f>
        <v>40031</v>
      </c>
      <c r="B321" t="str">
        <f>Table11[[#This Row],[Representative]]</f>
        <v>Jose Armando Carbajal Ocampo</v>
      </c>
      <c r="C321" t="str">
        <f>Table11[[#This Row],[Contract Name]]</f>
        <v>Jose Armando Carbajal Ocampo</v>
      </c>
      <c r="D321" t="str">
        <f>Table11[[#This Row],[Status]]</f>
        <v>Active</v>
      </c>
      <c r="E321" t="str">
        <f>Table11[[#This Row],[Contract Code]]</f>
        <v>MX0032</v>
      </c>
      <c r="F321">
        <f>Table11[[#This Row],['#TreesContract]]</f>
        <v>2750</v>
      </c>
      <c r="G321">
        <f>Table11[[#This Row],['#Planted]]</f>
        <v>2750</v>
      </c>
      <c r="H321" s="16">
        <f>Table11[[#This Row],['#TreesContract]]*Table11[[#This Row],[Canada Allocation2017 %]]</f>
        <v>0</v>
      </c>
      <c r="I321" s="16">
        <f>Table11[[#This Row],['#Planted]]*Table11[[#This Row],[Canada Allocation2017 %]]</f>
        <v>0</v>
      </c>
      <c r="J321" s="16">
        <f>Table11[[#This Row],[Contract Amendment]]*Table11[[#This Row],[Canada Allocation2017 %]]</f>
        <v>0</v>
      </c>
      <c r="K321" s="16">
        <f>Table11[[#This Row],['#Trees as of 12/31/23]]*Table11[[#This Row],[Canada Allocation2017 %]]</f>
        <v>0</v>
      </c>
      <c r="L321" s="16">
        <f>Table11[[#This Row],['#Replace 24]]*Table11[[#This Row],[Canada Allocation2017 %]]</f>
        <v>0</v>
      </c>
      <c r="M321" s="16"/>
      <c r="N321" s="16">
        <f>(Table11[[#This Row],[2024 '#Trees Inventory + Estimate]]*Table11[[#This Row],[Canada Allocation2017 %]])-SUM(Table3789[[#This Row],['# Trees as of 12/31/23]:[New Trees/Planted in 2024]])</f>
        <v>0</v>
      </c>
      <c r="O321" s="32">
        <f>SUM(Table3789[[#This Row],['# Trees as of 12/31/23]:[2024 Tree Losses]])</f>
        <v>0</v>
      </c>
      <c r="P321" s="32">
        <f>SUM(Table3789[[#This Row],[Total Trees as of 12/31/24]]-Table3789[[#This Row],['# Trees as of 12/31/23]])</f>
        <v>0</v>
      </c>
      <c r="Q321" s="16">
        <f>Table11[[#This Row],['#Total Replacements]]*Table11[[#This Row],[Canada Allocation2017 %]]</f>
        <v>0</v>
      </c>
      <c r="R321" s="32">
        <f>IF(Table3789[[#This Row],['#Survival based on Inventory]]=0,Table3789['#Survival based on Last Year Estimate],Table3789['#Survival based on Inventory])</f>
        <v>0</v>
      </c>
      <c r="S321" s="16">
        <f>Table11[[#This Row],['#Planted]]*Table11[[#This Row],[Canada Allocation2017 %]]*Table11[[#This Row],[2024 Inventory Survival%-master]]</f>
        <v>0</v>
      </c>
      <c r="T321" s="16">
        <f>Table11[[#This Row],['#Planted]]*Table11[[#This Row],[Canada Allocation2017 %]]*Table11[[#This Row],[2024 Estimated Survival%]]</f>
        <v>0</v>
      </c>
      <c r="U321" s="7">
        <f>Table11[[#This Row],[ETP Year]]</f>
        <v>2021</v>
      </c>
      <c r="V321" s="7">
        <f>Table11[[#This Row],[Planting Year]]</f>
        <v>2022</v>
      </c>
      <c r="W321">
        <f>Table11[[#This Row],[Survival% as of 12/31/23]]</f>
        <v>1</v>
      </c>
      <c r="X321">
        <f>Table11[[#This Row],[ETP'#s]]</f>
        <v>1</v>
      </c>
    </row>
    <row r="322" spans="1:24" hidden="1" x14ac:dyDescent="0.25">
      <c r="A322">
        <f>Table11[[#This Row],[Farmer'#]]</f>
        <v>40032</v>
      </c>
      <c r="B322" t="str">
        <f>Table11[[#This Row],[Representative]]</f>
        <v>Lucas Raudas Guitierrez</v>
      </c>
      <c r="C322" t="str">
        <f>Table11[[#This Row],[Contract Name]]</f>
        <v>Lucas Raudas Guitierrez</v>
      </c>
      <c r="D322" t="str">
        <f>Table11[[#This Row],[Status]]</f>
        <v>Active</v>
      </c>
      <c r="E322" t="str">
        <f>Table11[[#This Row],[Contract Code]]</f>
        <v>MX0033</v>
      </c>
      <c r="F322">
        <f>Table11[[#This Row],['#TreesContract]]</f>
        <v>4716</v>
      </c>
      <c r="G322">
        <f>Table11[[#This Row],['#Planted]]</f>
        <v>4716</v>
      </c>
      <c r="H322" s="16">
        <f>Table11[[#This Row],['#TreesContract]]*Table11[[#This Row],[Canada Allocation2017 %]]</f>
        <v>0</v>
      </c>
      <c r="I322" s="16">
        <f>Table11[[#This Row],['#Planted]]*Table11[[#This Row],[Canada Allocation2017 %]]</f>
        <v>0</v>
      </c>
      <c r="J322" s="16">
        <f>Table11[[#This Row],[Contract Amendment]]*Table11[[#This Row],[Canada Allocation2017 %]]</f>
        <v>0</v>
      </c>
      <c r="K322" s="16">
        <f>Table11[[#This Row],['#Trees as of 12/31/23]]*Table11[[#This Row],[Canada Allocation2017 %]]</f>
        <v>0</v>
      </c>
      <c r="L322" s="16">
        <f>Table11[[#This Row],['#Replace 24]]*Table11[[#This Row],[Canada Allocation2017 %]]</f>
        <v>0</v>
      </c>
      <c r="M322" s="16"/>
      <c r="N322" s="16">
        <f>(Table11[[#This Row],[2024 '#Trees Inventory + Estimate]]*Table11[[#This Row],[Canada Allocation2017 %]])-SUM(Table3789[[#This Row],['# Trees as of 12/31/23]:[New Trees/Planted in 2024]])</f>
        <v>0</v>
      </c>
      <c r="O322" s="32">
        <f>SUM(Table3789[[#This Row],['# Trees as of 12/31/23]:[2024 Tree Losses]])</f>
        <v>0</v>
      </c>
      <c r="P322" s="32">
        <f>SUM(Table3789[[#This Row],[Total Trees as of 12/31/24]]-Table3789[[#This Row],['# Trees as of 12/31/23]])</f>
        <v>0</v>
      </c>
      <c r="Q322" s="16">
        <f>Table11[[#This Row],['#Total Replacements]]*Table11[[#This Row],[Canada Allocation2017 %]]</f>
        <v>0</v>
      </c>
      <c r="R322" s="32">
        <f>IF(Table3789[[#This Row],['#Survival based on Inventory]]=0,Table3789['#Survival based on Last Year Estimate],Table3789['#Survival based on Inventory])</f>
        <v>0</v>
      </c>
      <c r="S322" s="16">
        <f>Table11[[#This Row],['#Planted]]*Table11[[#This Row],[Canada Allocation2017 %]]*Table11[[#This Row],[2024 Inventory Survival%-master]]</f>
        <v>0</v>
      </c>
      <c r="T322" s="16">
        <f>Table11[[#This Row],['#Planted]]*Table11[[#This Row],[Canada Allocation2017 %]]*Table11[[#This Row],[2024 Estimated Survival%]]</f>
        <v>0</v>
      </c>
      <c r="U322" s="7">
        <f>Table11[[#This Row],[ETP Year]]</f>
        <v>2021</v>
      </c>
      <c r="V322" s="7">
        <f>Table11[[#This Row],[Planting Year]]</f>
        <v>2022</v>
      </c>
      <c r="W322">
        <f>Table11[[#This Row],[Survival% as of 12/31/23]]</f>
        <v>1</v>
      </c>
      <c r="X322">
        <f>Table11[[#This Row],[ETP'#s]]</f>
        <v>1</v>
      </c>
    </row>
    <row r="323" spans="1:24" hidden="1" x14ac:dyDescent="0.25">
      <c r="A323">
        <f>Table11[[#This Row],[Farmer'#]]</f>
        <v>40033</v>
      </c>
      <c r="B323" t="str">
        <f>Table11[[#This Row],[Representative]]</f>
        <v>Pedro Molina Sanchez</v>
      </c>
      <c r="C323" t="str">
        <f>Table11[[#This Row],[Contract Name]]</f>
        <v>Pedro Molina Sanchez</v>
      </c>
      <c r="D323" t="str">
        <f>Table11[[#This Row],[Status]]</f>
        <v>Active</v>
      </c>
      <c r="E323" t="str">
        <f>Table11[[#This Row],[Contract Code]]</f>
        <v>MX0034</v>
      </c>
      <c r="F323">
        <f>Table11[[#This Row],['#TreesContract]]</f>
        <v>4400</v>
      </c>
      <c r="G323">
        <f>Table11[[#This Row],['#Planted]]</f>
        <v>4400</v>
      </c>
      <c r="H323" s="16">
        <f>Table11[[#This Row],['#TreesContract]]*Table11[[#This Row],[Canada Allocation2017 %]]</f>
        <v>0</v>
      </c>
      <c r="I323" s="16">
        <f>Table11[[#This Row],['#Planted]]*Table11[[#This Row],[Canada Allocation2017 %]]</f>
        <v>0</v>
      </c>
      <c r="J323" s="16">
        <f>Table11[[#This Row],[Contract Amendment]]*Table11[[#This Row],[Canada Allocation2017 %]]</f>
        <v>0</v>
      </c>
      <c r="K323" s="16">
        <f>Table11[[#This Row],['#Trees as of 12/31/23]]*Table11[[#This Row],[Canada Allocation2017 %]]</f>
        <v>0</v>
      </c>
      <c r="L323" s="16">
        <f>Table11[[#This Row],['#Replace 24]]*Table11[[#This Row],[Canada Allocation2017 %]]</f>
        <v>0</v>
      </c>
      <c r="M323" s="16"/>
      <c r="N323" s="16">
        <f>(Table11[[#This Row],[2024 '#Trees Inventory + Estimate]]*Table11[[#This Row],[Canada Allocation2017 %]])-SUM(Table3789[[#This Row],['# Trees as of 12/31/23]:[New Trees/Planted in 2024]])</f>
        <v>0</v>
      </c>
      <c r="O323" s="32">
        <f>SUM(Table3789[[#This Row],['# Trees as of 12/31/23]:[2024 Tree Losses]])</f>
        <v>0</v>
      </c>
      <c r="P323" s="32">
        <f>SUM(Table3789[[#This Row],[Total Trees as of 12/31/24]]-Table3789[[#This Row],['# Trees as of 12/31/23]])</f>
        <v>0</v>
      </c>
      <c r="Q323" s="16">
        <f>Table11[[#This Row],['#Total Replacements]]*Table11[[#This Row],[Canada Allocation2017 %]]</f>
        <v>0</v>
      </c>
      <c r="R323" s="32">
        <f>IF(Table3789[[#This Row],['#Survival based on Inventory]]=0,Table3789['#Survival based on Last Year Estimate],Table3789['#Survival based on Inventory])</f>
        <v>0</v>
      </c>
      <c r="S323" s="16">
        <f>Table11[[#This Row],['#Planted]]*Table11[[#This Row],[Canada Allocation2017 %]]*Table11[[#This Row],[2024 Inventory Survival%-master]]</f>
        <v>0</v>
      </c>
      <c r="T323" s="16">
        <f>Table11[[#This Row],['#Planted]]*Table11[[#This Row],[Canada Allocation2017 %]]*Table11[[#This Row],[2024 Estimated Survival%]]</f>
        <v>0</v>
      </c>
      <c r="U323" s="7">
        <f>Table11[[#This Row],[ETP Year]]</f>
        <v>2021</v>
      </c>
      <c r="V323" s="7">
        <f>Table11[[#This Row],[Planting Year]]</f>
        <v>2022</v>
      </c>
      <c r="W323">
        <f>Table11[[#This Row],[Survival% as of 12/31/23]]</f>
        <v>1</v>
      </c>
      <c r="X323">
        <f>Table11[[#This Row],[ETP'#s]]</f>
        <v>1</v>
      </c>
    </row>
    <row r="324" spans="1:24" hidden="1" x14ac:dyDescent="0.25">
      <c r="A324">
        <f>Table11[[#This Row],[Farmer'#]]</f>
        <v>40034</v>
      </c>
      <c r="B324" t="str">
        <f>Table11[[#This Row],[Representative]]</f>
        <v>Rafael Hernández Hernández</v>
      </c>
      <c r="C324" t="str">
        <f>Table11[[#This Row],[Contract Name]]</f>
        <v>Rafael Hernández Hernández</v>
      </c>
      <c r="D324" t="str">
        <f>Table11[[#This Row],[Status]]</f>
        <v>Active</v>
      </c>
      <c r="E324" t="str">
        <f>Table11[[#This Row],[Contract Code]]</f>
        <v>MX0035</v>
      </c>
      <c r="F324">
        <f>Table11[[#This Row],['#TreesContract]]</f>
        <v>2200</v>
      </c>
      <c r="G324">
        <f>Table11[[#This Row],['#Planted]]</f>
        <v>2200</v>
      </c>
      <c r="H324" s="16">
        <f>Table11[[#This Row],['#TreesContract]]*Table11[[#This Row],[Canada Allocation2017 %]]</f>
        <v>0</v>
      </c>
      <c r="I324" s="16">
        <f>Table11[[#This Row],['#Planted]]*Table11[[#This Row],[Canada Allocation2017 %]]</f>
        <v>0</v>
      </c>
      <c r="J324" s="16">
        <f>Table11[[#This Row],[Contract Amendment]]*Table11[[#This Row],[Canada Allocation2017 %]]</f>
        <v>0</v>
      </c>
      <c r="K324" s="16">
        <f>Table11[[#This Row],['#Trees as of 12/31/23]]*Table11[[#This Row],[Canada Allocation2017 %]]</f>
        <v>0</v>
      </c>
      <c r="L324" s="16">
        <f>Table11[[#This Row],['#Replace 24]]*Table11[[#This Row],[Canada Allocation2017 %]]</f>
        <v>0</v>
      </c>
      <c r="M324" s="16"/>
      <c r="N324" s="16">
        <f>(Table11[[#This Row],[2024 '#Trees Inventory + Estimate]]*Table11[[#This Row],[Canada Allocation2017 %]])-SUM(Table3789[[#This Row],['# Trees as of 12/31/23]:[New Trees/Planted in 2024]])</f>
        <v>0</v>
      </c>
      <c r="O324" s="32">
        <f>SUM(Table3789[[#This Row],['# Trees as of 12/31/23]:[2024 Tree Losses]])</f>
        <v>0</v>
      </c>
      <c r="P324" s="32">
        <f>SUM(Table3789[[#This Row],[Total Trees as of 12/31/24]]-Table3789[[#This Row],['# Trees as of 12/31/23]])</f>
        <v>0</v>
      </c>
      <c r="Q324" s="16">
        <f>Table11[[#This Row],['#Total Replacements]]*Table11[[#This Row],[Canada Allocation2017 %]]</f>
        <v>0</v>
      </c>
      <c r="R324" s="32">
        <f>IF(Table3789[[#This Row],['#Survival based on Inventory]]=0,Table3789['#Survival based on Last Year Estimate],Table3789['#Survival based on Inventory])</f>
        <v>0</v>
      </c>
      <c r="S324" s="16">
        <f>Table11[[#This Row],['#Planted]]*Table11[[#This Row],[Canada Allocation2017 %]]*Table11[[#This Row],[2024 Inventory Survival%-master]]</f>
        <v>0</v>
      </c>
      <c r="T324" s="16">
        <f>Table11[[#This Row],['#Planted]]*Table11[[#This Row],[Canada Allocation2017 %]]*Table11[[#This Row],[2024 Estimated Survival%]]</f>
        <v>0</v>
      </c>
      <c r="U324" s="7">
        <f>Table11[[#This Row],[ETP Year]]</f>
        <v>2021</v>
      </c>
      <c r="V324" s="7">
        <f>Table11[[#This Row],[Planting Year]]</f>
        <v>2022</v>
      </c>
      <c r="W324">
        <f>Table11[[#This Row],[Survival% as of 12/31/23]]</f>
        <v>1</v>
      </c>
      <c r="X324">
        <f>Table11[[#This Row],[ETP'#s]]</f>
        <v>1</v>
      </c>
    </row>
    <row r="325" spans="1:24" hidden="1" x14ac:dyDescent="0.25">
      <c r="A325">
        <f>Table11[[#This Row],[Farmer'#]]</f>
        <v>40035</v>
      </c>
      <c r="B325" t="str">
        <f>Table11[[#This Row],[Representative]]</f>
        <v>Tito Soria</v>
      </c>
      <c r="C325" t="str">
        <f>Table11[[#This Row],[Contract Name]]</f>
        <v>Tito Soria</v>
      </c>
      <c r="D325" t="str">
        <f>Table11[[#This Row],[Status]]</f>
        <v>Active</v>
      </c>
      <c r="E325" t="str">
        <f>Table11[[#This Row],[Contract Code]]</f>
        <v>MX0036</v>
      </c>
      <c r="F325">
        <f>Table11[[#This Row],['#TreesContract]]</f>
        <v>2750</v>
      </c>
      <c r="G325">
        <f>Table11[[#This Row],['#Planted]]</f>
        <v>2750</v>
      </c>
      <c r="H325" s="16">
        <f>Table11[[#This Row],['#TreesContract]]*Table11[[#This Row],[Canada Allocation2017 %]]</f>
        <v>0</v>
      </c>
      <c r="I325" s="16">
        <f>Table11[[#This Row],['#Planted]]*Table11[[#This Row],[Canada Allocation2017 %]]</f>
        <v>0</v>
      </c>
      <c r="J325" s="16">
        <f>Table11[[#This Row],[Contract Amendment]]*Table11[[#This Row],[Canada Allocation2017 %]]</f>
        <v>0</v>
      </c>
      <c r="K325" s="16">
        <f>Table11[[#This Row],['#Trees as of 12/31/23]]*Table11[[#This Row],[Canada Allocation2017 %]]</f>
        <v>0</v>
      </c>
      <c r="L325" s="16">
        <f>Table11[[#This Row],['#Replace 24]]*Table11[[#This Row],[Canada Allocation2017 %]]</f>
        <v>0</v>
      </c>
      <c r="M325" s="16"/>
      <c r="N325" s="16">
        <f>(Table11[[#This Row],[2024 '#Trees Inventory + Estimate]]*Table11[[#This Row],[Canada Allocation2017 %]])-SUM(Table3789[[#This Row],['# Trees as of 12/31/23]:[New Trees/Planted in 2024]])</f>
        <v>0</v>
      </c>
      <c r="O325" s="32">
        <f>SUM(Table3789[[#This Row],['# Trees as of 12/31/23]:[2024 Tree Losses]])</f>
        <v>0</v>
      </c>
      <c r="P325" s="32">
        <f>SUM(Table3789[[#This Row],[Total Trees as of 12/31/24]]-Table3789[[#This Row],['# Trees as of 12/31/23]])</f>
        <v>0</v>
      </c>
      <c r="Q325" s="16">
        <f>Table11[[#This Row],['#Total Replacements]]*Table11[[#This Row],[Canada Allocation2017 %]]</f>
        <v>0</v>
      </c>
      <c r="R325" s="32">
        <f>IF(Table3789[[#This Row],['#Survival based on Inventory]]=0,Table3789['#Survival based on Last Year Estimate],Table3789['#Survival based on Inventory])</f>
        <v>0</v>
      </c>
      <c r="S325" s="16">
        <f>Table11[[#This Row],['#Planted]]*Table11[[#This Row],[Canada Allocation2017 %]]*Table11[[#This Row],[2024 Inventory Survival%-master]]</f>
        <v>0</v>
      </c>
      <c r="T325" s="16">
        <f>Table11[[#This Row],['#Planted]]*Table11[[#This Row],[Canada Allocation2017 %]]*Table11[[#This Row],[2024 Estimated Survival%]]</f>
        <v>0</v>
      </c>
      <c r="U325" s="7">
        <f>Table11[[#This Row],[ETP Year]]</f>
        <v>2021</v>
      </c>
      <c r="V325" s="7">
        <f>Table11[[#This Row],[Planting Year]]</f>
        <v>2022</v>
      </c>
      <c r="W325" s="8">
        <f>Table11[[#This Row],[Survival% as of 12/31/23]]</f>
        <v>1</v>
      </c>
      <c r="X325">
        <f>Table11[[#This Row],[ETP'#s]]</f>
        <v>1</v>
      </c>
    </row>
    <row r="326" spans="1:24" hidden="1" x14ac:dyDescent="0.25">
      <c r="A326">
        <f>Table11[[#This Row],[Farmer'#]]</f>
        <v>40036</v>
      </c>
      <c r="B326" t="str">
        <f>Table11[[#This Row],[Representative]]</f>
        <v>Ubaldo Guillermo Pérez Cruz</v>
      </c>
      <c r="C326" t="str">
        <f>Table11[[#This Row],[Contract Name]]</f>
        <v>Ubaldo Guillermo Pérez Cruz</v>
      </c>
      <c r="D326" t="str">
        <f>Table11[[#This Row],[Status]]</f>
        <v>Active</v>
      </c>
      <c r="E326" t="str">
        <f>Table11[[#This Row],[Contract Code]]</f>
        <v>MX0037</v>
      </c>
      <c r="F326">
        <f>Table11[[#This Row],['#TreesContract]]</f>
        <v>2750</v>
      </c>
      <c r="G326">
        <f>Table11[[#This Row],['#Planted]]</f>
        <v>2750</v>
      </c>
      <c r="H326" s="16">
        <f>Table11[[#This Row],['#TreesContract]]*Table11[[#This Row],[Canada Allocation2017 %]]</f>
        <v>0</v>
      </c>
      <c r="I326" s="16">
        <f>Table11[[#This Row],['#Planted]]*Table11[[#This Row],[Canada Allocation2017 %]]</f>
        <v>0</v>
      </c>
      <c r="J326" s="16">
        <f>Table11[[#This Row],[Contract Amendment]]*Table11[[#This Row],[Canada Allocation2017 %]]</f>
        <v>0</v>
      </c>
      <c r="K326" s="16">
        <f>Table11[[#This Row],['#Trees as of 12/31/23]]*Table11[[#This Row],[Canada Allocation2017 %]]</f>
        <v>0</v>
      </c>
      <c r="L326" s="16">
        <f>Table11[[#This Row],['#Replace 24]]*Table11[[#This Row],[Canada Allocation2017 %]]</f>
        <v>0</v>
      </c>
      <c r="M326" s="16"/>
      <c r="N326" s="16">
        <f>(Table11[[#This Row],[2024 '#Trees Inventory + Estimate]]*Table11[[#This Row],[Canada Allocation2017 %]])-SUM(Table3789[[#This Row],['# Trees as of 12/31/23]:[New Trees/Planted in 2024]])</f>
        <v>0</v>
      </c>
      <c r="O326" s="32">
        <f>SUM(Table3789[[#This Row],['# Trees as of 12/31/23]:[2024 Tree Losses]])</f>
        <v>0</v>
      </c>
      <c r="P326" s="32">
        <f>SUM(Table3789[[#This Row],[Total Trees as of 12/31/24]]-Table3789[[#This Row],['# Trees as of 12/31/23]])</f>
        <v>0</v>
      </c>
      <c r="Q326" s="16">
        <f>Table11[[#This Row],['#Total Replacements]]*Table11[[#This Row],[Canada Allocation2017 %]]</f>
        <v>0</v>
      </c>
      <c r="R326" s="32">
        <f>IF(Table3789[[#This Row],['#Survival based on Inventory]]=0,Table3789['#Survival based on Last Year Estimate],Table3789['#Survival based on Inventory])</f>
        <v>0</v>
      </c>
      <c r="S326" s="16">
        <f>Table11[[#This Row],['#Planted]]*Table11[[#This Row],[Canada Allocation2017 %]]*Table11[[#This Row],[2024 Inventory Survival%-master]]</f>
        <v>0</v>
      </c>
      <c r="T326" s="16">
        <f>Table11[[#This Row],['#Planted]]*Table11[[#This Row],[Canada Allocation2017 %]]*Table11[[#This Row],[2024 Estimated Survival%]]</f>
        <v>0</v>
      </c>
      <c r="U326" s="7">
        <f>Table11[[#This Row],[ETP Year]]</f>
        <v>2021</v>
      </c>
      <c r="V326" s="7">
        <f>Table11[[#This Row],[Planting Year]]</f>
        <v>2022</v>
      </c>
      <c r="W326" s="8">
        <f>Table11[[#This Row],[Survival% as of 12/31/23]]</f>
        <v>1</v>
      </c>
      <c r="X326">
        <f>Table11[[#This Row],[ETP'#s]]</f>
        <v>1</v>
      </c>
    </row>
    <row r="327" spans="1:24" hidden="1" x14ac:dyDescent="0.25">
      <c r="A327">
        <f>Table11[[#This Row],[Farmer'#]]</f>
        <v>10061</v>
      </c>
      <c r="B327" t="str">
        <f>Table11[[#This Row],[Representative]]</f>
        <v>Jim West</v>
      </c>
      <c r="C327" t="str">
        <f>Table11[[#This Row],[Contract Name]]</f>
        <v>Jim West</v>
      </c>
      <c r="D327" t="str">
        <f>Table11[[#This Row],[Status]]</f>
        <v>Active</v>
      </c>
      <c r="E327" t="str">
        <f>Table11[[#This Row],[Contract Code]]</f>
        <v>US0151</v>
      </c>
      <c r="F327">
        <f>Table11[[#This Row],['#TreesContract]]</f>
        <v>1100</v>
      </c>
      <c r="G327">
        <f>Table11[[#This Row],['#Planted]]</f>
        <v>1100</v>
      </c>
      <c r="H327" s="16">
        <f>Table11[[#This Row],['#TreesContract]]*Table11[[#This Row],[Canada Allocation2017 %]]</f>
        <v>0</v>
      </c>
      <c r="I327" s="16">
        <f>Table11[[#This Row],['#Planted]]*Table11[[#This Row],[Canada Allocation2017 %]]</f>
        <v>0</v>
      </c>
      <c r="J327" s="16">
        <f>Table11[[#This Row],[Contract Amendment]]*Table11[[#This Row],[Canada Allocation2017 %]]</f>
        <v>0</v>
      </c>
      <c r="K327" s="16">
        <f>Table11[[#This Row],['#Trees as of 12/31/23]]*Table11[[#This Row],[Canada Allocation2017 %]]</f>
        <v>0</v>
      </c>
      <c r="L327" s="16">
        <f>Table11[[#This Row],['#Replace 24]]*Table11[[#This Row],[Canada Allocation2017 %]]</f>
        <v>0</v>
      </c>
      <c r="M327" s="16"/>
      <c r="N327" s="16">
        <f>(Table11[[#This Row],[2024 '#Trees Inventory + Estimate]]*Table11[[#This Row],[Canada Allocation2017 %]])-SUM(Table3789[[#This Row],['# Trees as of 12/31/23]:[New Trees/Planted in 2024]])</f>
        <v>0</v>
      </c>
      <c r="O327" s="32">
        <f>SUM(Table3789[[#This Row],['# Trees as of 12/31/23]:[2024 Tree Losses]])</f>
        <v>0</v>
      </c>
      <c r="P327" s="32">
        <f>SUM(Table3789[[#This Row],[Total Trees as of 12/31/24]]-Table3789[[#This Row],['# Trees as of 12/31/23]])</f>
        <v>0</v>
      </c>
      <c r="Q327" s="16">
        <f>Table11[[#This Row],['#Total Replacements]]*Table11[[#This Row],[Canada Allocation2017 %]]</f>
        <v>0</v>
      </c>
      <c r="R327" s="32">
        <f>IF(Table3789[[#This Row],['#Survival based on Inventory]]=0,Table3789['#Survival based on Last Year Estimate],Table3789['#Survival based on Inventory])</f>
        <v>0</v>
      </c>
      <c r="S327" s="16">
        <f>Table11[[#This Row],['#Planted]]*Table11[[#This Row],[Canada Allocation2017 %]]*Table11[[#This Row],[2024 Inventory Survival%-master]]</f>
        <v>0</v>
      </c>
      <c r="T327" s="16">
        <f>Table11[[#This Row],['#Planted]]*Table11[[#This Row],[Canada Allocation2017 %]]*Table11[[#This Row],[2024 Estimated Survival%]]</f>
        <v>0</v>
      </c>
      <c r="U327" s="7">
        <f>Table11[[#This Row],[ETP Year]]</f>
        <v>2021</v>
      </c>
      <c r="V327" s="7">
        <f>Table11[[#This Row],[Planting Year]]</f>
        <v>2023</v>
      </c>
      <c r="W327" s="8">
        <f>Table11[[#This Row],[Survival% as of 12/31/23]]</f>
        <v>1</v>
      </c>
      <c r="X327">
        <f>Table11[[#This Row],[ETP'#s]]</f>
        <v>1</v>
      </c>
    </row>
    <row r="328" spans="1:24" hidden="1" x14ac:dyDescent="0.25">
      <c r="A328">
        <f>Table11[[#This Row],[Farmer'#]]</f>
        <v>10094</v>
      </c>
      <c r="B328" t="str">
        <f>Table11[[#This Row],[Representative]]</f>
        <v>Kyle Flint</v>
      </c>
      <c r="C328" t="str">
        <f>Table11[[#This Row],[Contract Name]]</f>
        <v>Kyle Flint</v>
      </c>
      <c r="D328" t="str">
        <f>Table11[[#This Row],[Status]]</f>
        <v>Active</v>
      </c>
      <c r="E328" t="str">
        <f>Table11[[#This Row],[Contract Code]]</f>
        <v>US0152</v>
      </c>
      <c r="F328">
        <f>Table11[[#This Row],['#TreesContract]]</f>
        <v>1100</v>
      </c>
      <c r="G328">
        <f>Table11[[#This Row],['#Planted]]</f>
        <v>1100</v>
      </c>
      <c r="H328" s="16">
        <f>Table11[[#This Row],['#TreesContract]]*Table11[[#This Row],[Canada Allocation2017 %]]</f>
        <v>0</v>
      </c>
      <c r="I328" s="16">
        <f>Table11[[#This Row],['#Planted]]*Table11[[#This Row],[Canada Allocation2017 %]]</f>
        <v>0</v>
      </c>
      <c r="J328" s="16">
        <f>Table11[[#This Row],[Contract Amendment]]*Table11[[#This Row],[Canada Allocation2017 %]]</f>
        <v>0</v>
      </c>
      <c r="K328" s="16">
        <f>Table11[[#This Row],['#Trees as of 12/31/23]]*Table11[[#This Row],[Canada Allocation2017 %]]</f>
        <v>0</v>
      </c>
      <c r="L328" s="16">
        <f>Table11[[#This Row],['#Replace 24]]*Table11[[#This Row],[Canada Allocation2017 %]]</f>
        <v>0</v>
      </c>
      <c r="M328" s="16"/>
      <c r="N328" s="16">
        <f>(Table11[[#This Row],[2024 '#Trees Inventory + Estimate]]*Table11[[#This Row],[Canada Allocation2017 %]])-SUM(Table3789[[#This Row],['# Trees as of 12/31/23]:[New Trees/Planted in 2024]])</f>
        <v>0</v>
      </c>
      <c r="O328" s="32">
        <f>SUM(Table3789[[#This Row],['# Trees as of 12/31/23]:[2024 Tree Losses]])</f>
        <v>0</v>
      </c>
      <c r="P328" s="32">
        <f>SUM(Table3789[[#This Row],[Total Trees as of 12/31/24]]-Table3789[[#This Row],['# Trees as of 12/31/23]])</f>
        <v>0</v>
      </c>
      <c r="Q328" s="16">
        <f>Table11[[#This Row],['#Total Replacements]]*Table11[[#This Row],[Canada Allocation2017 %]]</f>
        <v>0</v>
      </c>
      <c r="R328" s="32">
        <f>IF(Table3789[[#This Row],['#Survival based on Inventory]]=0,Table3789['#Survival based on Last Year Estimate],Table3789['#Survival based on Inventory])</f>
        <v>0</v>
      </c>
      <c r="S328" s="16">
        <f>Table11[[#This Row],['#Planted]]*Table11[[#This Row],[Canada Allocation2017 %]]*Table11[[#This Row],[2024 Inventory Survival%-master]]</f>
        <v>0</v>
      </c>
      <c r="T328" s="16">
        <f>Table11[[#This Row],['#Planted]]*Table11[[#This Row],[Canada Allocation2017 %]]*Table11[[#This Row],[2024 Estimated Survival%]]</f>
        <v>0</v>
      </c>
      <c r="U328" s="7">
        <f>Table11[[#This Row],[ETP Year]]</f>
        <v>2021</v>
      </c>
      <c r="V328" s="7">
        <f>Table11[[#This Row],[Planting Year]]</f>
        <v>2023</v>
      </c>
      <c r="W328" s="8">
        <f>Table11[[#This Row],[Survival% as of 12/31/23]]</f>
        <v>1</v>
      </c>
      <c r="X328">
        <f>Table11[[#This Row],[ETP'#s]]</f>
        <v>1</v>
      </c>
    </row>
    <row r="329" spans="1:24" hidden="1" x14ac:dyDescent="0.25">
      <c r="A329">
        <f>Table11[[#This Row],[Farmer'#]]</f>
        <v>10110</v>
      </c>
      <c r="B329" t="str">
        <f>Table11[[#This Row],[Representative]]</f>
        <v>David Hall</v>
      </c>
      <c r="C329" t="str">
        <f>Table11[[#This Row],[Contract Name]]</f>
        <v>David Hall</v>
      </c>
      <c r="D329" t="str">
        <f>Table11[[#This Row],[Status]]</f>
        <v>Active</v>
      </c>
      <c r="E329" t="str">
        <f>Table11[[#This Row],[Contract Code]]</f>
        <v>US0148</v>
      </c>
      <c r="F329">
        <f>Table11[[#This Row],['#TreesContract]]</f>
        <v>1100</v>
      </c>
      <c r="G329">
        <f>Table11[[#This Row],['#Planted]]</f>
        <v>1100</v>
      </c>
      <c r="H329" s="16">
        <f>Table11[[#This Row],['#TreesContract]]*Table11[[#This Row],[Canada Allocation2017 %]]</f>
        <v>0</v>
      </c>
      <c r="I329" s="16">
        <f>Table11[[#This Row],['#Planted]]*Table11[[#This Row],[Canada Allocation2017 %]]</f>
        <v>0</v>
      </c>
      <c r="J329" s="16">
        <f>Table11[[#This Row],[Contract Amendment]]*Table11[[#This Row],[Canada Allocation2017 %]]</f>
        <v>0</v>
      </c>
      <c r="K329" s="16">
        <f>Table11[[#This Row],['#Trees as of 12/31/23]]*Table11[[#This Row],[Canada Allocation2017 %]]</f>
        <v>0</v>
      </c>
      <c r="L329" s="16">
        <f>Table11[[#This Row],['#Replace 24]]*Table11[[#This Row],[Canada Allocation2017 %]]</f>
        <v>0</v>
      </c>
      <c r="M329" s="16"/>
      <c r="N329" s="16">
        <f>(Table11[[#This Row],[2024 '#Trees Inventory + Estimate]]*Table11[[#This Row],[Canada Allocation2017 %]])-SUM(Table3789[[#This Row],['# Trees as of 12/31/23]:[New Trees/Planted in 2024]])</f>
        <v>0</v>
      </c>
      <c r="O329" s="32">
        <f>SUM(Table3789[[#This Row],['# Trees as of 12/31/23]:[2024 Tree Losses]])</f>
        <v>0</v>
      </c>
      <c r="P329" s="32">
        <f>SUM(Table3789[[#This Row],[Total Trees as of 12/31/24]]-Table3789[[#This Row],['# Trees as of 12/31/23]])</f>
        <v>0</v>
      </c>
      <c r="Q329" s="16">
        <f>Table11[[#This Row],['#Total Replacements]]*Table11[[#This Row],[Canada Allocation2017 %]]</f>
        <v>0</v>
      </c>
      <c r="R329" s="32">
        <f>IF(Table3789[[#This Row],['#Survival based on Inventory]]=0,Table3789['#Survival based on Last Year Estimate],Table3789['#Survival based on Inventory])</f>
        <v>0</v>
      </c>
      <c r="S329" s="16">
        <f>Table11[[#This Row],['#Planted]]*Table11[[#This Row],[Canada Allocation2017 %]]*Table11[[#This Row],[2024 Inventory Survival%-master]]</f>
        <v>0</v>
      </c>
      <c r="T329" s="16">
        <f>Table11[[#This Row],['#Planted]]*Table11[[#This Row],[Canada Allocation2017 %]]*Table11[[#This Row],[2024 Estimated Survival%]]</f>
        <v>0</v>
      </c>
      <c r="U329" s="7">
        <f>Table11[[#This Row],[ETP Year]]</f>
        <v>2021</v>
      </c>
      <c r="V329" s="7">
        <f>Table11[[#This Row],[Planting Year]]</f>
        <v>2023</v>
      </c>
      <c r="W329">
        <f>Table11[[#This Row],[Survival% as of 12/31/23]]</f>
        <v>1</v>
      </c>
      <c r="X329">
        <f>Table11[[#This Row],[ETP'#s]]</f>
        <v>1</v>
      </c>
    </row>
    <row r="330" spans="1:24" hidden="1" x14ac:dyDescent="0.25">
      <c r="A330">
        <f>Table11[[#This Row],[Farmer'#]]</f>
        <v>10116</v>
      </c>
      <c r="B330" t="str">
        <f>Table11[[#This Row],[Representative]]</f>
        <v>Rob Cason</v>
      </c>
      <c r="C330" t="str">
        <f>Table11[[#This Row],[Contract Name]]</f>
        <v>Rob Cason</v>
      </c>
      <c r="D330" t="str">
        <f>Table11[[#This Row],[Status]]</f>
        <v>Active</v>
      </c>
      <c r="E330" t="str">
        <f>Table11[[#This Row],[Contract Code]]</f>
        <v>US0153</v>
      </c>
      <c r="F330">
        <f>Table11[[#This Row],['#TreesContract]]</f>
        <v>1430</v>
      </c>
      <c r="G330">
        <f>Table11[[#This Row],['#Planted]]</f>
        <v>1430</v>
      </c>
      <c r="H330" s="16">
        <f>Table11[[#This Row],['#TreesContract]]*Table11[[#This Row],[Canada Allocation2017 %]]</f>
        <v>0</v>
      </c>
      <c r="I330" s="16">
        <f>Table11[[#This Row],['#Planted]]*Table11[[#This Row],[Canada Allocation2017 %]]</f>
        <v>0</v>
      </c>
      <c r="J330" s="16">
        <f>Table11[[#This Row],[Contract Amendment]]*Table11[[#This Row],[Canada Allocation2017 %]]</f>
        <v>0</v>
      </c>
      <c r="K330" s="16">
        <f>Table11[[#This Row],['#Trees as of 12/31/23]]*Table11[[#This Row],[Canada Allocation2017 %]]</f>
        <v>0</v>
      </c>
      <c r="L330" s="16">
        <f>Table11[[#This Row],['#Replace 24]]*Table11[[#This Row],[Canada Allocation2017 %]]</f>
        <v>0</v>
      </c>
      <c r="M330" s="16"/>
      <c r="N330" s="16">
        <f>(Table11[[#This Row],[2024 '#Trees Inventory + Estimate]]*Table11[[#This Row],[Canada Allocation2017 %]])-SUM(Table3789[[#This Row],['# Trees as of 12/31/23]:[New Trees/Planted in 2024]])</f>
        <v>0</v>
      </c>
      <c r="O330" s="32">
        <f>SUM(Table3789[[#This Row],['# Trees as of 12/31/23]:[2024 Tree Losses]])</f>
        <v>0</v>
      </c>
      <c r="P330" s="32">
        <f>SUM(Table3789[[#This Row],[Total Trees as of 12/31/24]]-Table3789[[#This Row],['# Trees as of 12/31/23]])</f>
        <v>0</v>
      </c>
      <c r="Q330" s="16">
        <f>Table11[[#This Row],['#Total Replacements]]*Table11[[#This Row],[Canada Allocation2017 %]]</f>
        <v>0</v>
      </c>
      <c r="R330" s="32">
        <f>IF(Table3789[[#This Row],['#Survival based on Inventory]]=0,Table3789['#Survival based on Last Year Estimate],Table3789['#Survival based on Inventory])</f>
        <v>0</v>
      </c>
      <c r="S330" s="16">
        <f>Table11[[#This Row],['#Planted]]*Table11[[#This Row],[Canada Allocation2017 %]]*Table11[[#This Row],[2024 Inventory Survival%-master]]</f>
        <v>0</v>
      </c>
      <c r="T330" s="16">
        <f>Table11[[#This Row],['#Planted]]*Table11[[#This Row],[Canada Allocation2017 %]]*Table11[[#This Row],[2024 Estimated Survival%]]</f>
        <v>0</v>
      </c>
      <c r="U330" s="7">
        <f>Table11[[#This Row],[ETP Year]]</f>
        <v>2022</v>
      </c>
      <c r="V330" s="7">
        <f>Table11[[#This Row],[Planting Year]]</f>
        <v>2023</v>
      </c>
      <c r="W330">
        <f>Table11[[#This Row],[Survival% as of 12/31/23]]</f>
        <v>1</v>
      </c>
      <c r="X330">
        <f>Table11[[#This Row],[ETP'#s]]</f>
        <v>1</v>
      </c>
    </row>
    <row r="331" spans="1:24" hidden="1" x14ac:dyDescent="0.25">
      <c r="A331">
        <f>Table11[[#This Row],[Farmer'#]]</f>
        <v>10120</v>
      </c>
      <c r="B331" t="str">
        <f>Table11[[#This Row],[Representative]]</f>
        <v>Andy McCormick</v>
      </c>
      <c r="C331" t="str">
        <f>Table11[[#This Row],[Contract Name]]</f>
        <v>Andy McCormick</v>
      </c>
      <c r="D331" t="str">
        <f>Table11[[#This Row],[Status]]</f>
        <v>Active</v>
      </c>
      <c r="E331" t="str">
        <f>Table11[[#This Row],[Contract Code]]</f>
        <v>US0145</v>
      </c>
      <c r="F331">
        <f>Table11[[#This Row],['#TreesContract]]</f>
        <v>1650</v>
      </c>
      <c r="G331">
        <f>Table11[[#This Row],['#Planted]]</f>
        <v>1650</v>
      </c>
      <c r="H331" s="16">
        <f>Table11[[#This Row],['#TreesContract]]*Table11[[#This Row],[Canada Allocation2017 %]]</f>
        <v>0</v>
      </c>
      <c r="I331" s="16">
        <f>Table11[[#This Row],['#Planted]]*Table11[[#This Row],[Canada Allocation2017 %]]</f>
        <v>0</v>
      </c>
      <c r="J331" s="16">
        <f>Table11[[#This Row],[Contract Amendment]]*Table11[[#This Row],[Canada Allocation2017 %]]</f>
        <v>0</v>
      </c>
      <c r="K331" s="16">
        <f>Table11[[#This Row],['#Trees as of 12/31/23]]*Table11[[#This Row],[Canada Allocation2017 %]]</f>
        <v>0</v>
      </c>
      <c r="L331" s="16">
        <f>Table11[[#This Row],['#Replace 24]]*Table11[[#This Row],[Canada Allocation2017 %]]</f>
        <v>0</v>
      </c>
      <c r="M331" s="16"/>
      <c r="N331" s="16">
        <f>(Table11[[#This Row],[2024 '#Trees Inventory + Estimate]]*Table11[[#This Row],[Canada Allocation2017 %]])-SUM(Table3789[[#This Row],['# Trees as of 12/31/23]:[New Trees/Planted in 2024]])</f>
        <v>0</v>
      </c>
      <c r="O331" s="32">
        <f>SUM(Table3789[[#This Row],['# Trees as of 12/31/23]:[2024 Tree Losses]])</f>
        <v>0</v>
      </c>
      <c r="P331" s="32">
        <f>SUM(Table3789[[#This Row],[Total Trees as of 12/31/24]]-Table3789[[#This Row],['# Trees as of 12/31/23]])</f>
        <v>0</v>
      </c>
      <c r="Q331" s="16">
        <f>Table11[[#This Row],['#Total Replacements]]*Table11[[#This Row],[Canada Allocation2017 %]]</f>
        <v>0</v>
      </c>
      <c r="R331" s="32">
        <f>IF(Table3789[[#This Row],['#Survival based on Inventory]]=0,Table3789['#Survival based on Last Year Estimate],Table3789['#Survival based on Inventory])</f>
        <v>0</v>
      </c>
      <c r="S331" s="16">
        <f>Table11[[#This Row],['#Planted]]*Table11[[#This Row],[Canada Allocation2017 %]]*Table11[[#This Row],[2024 Inventory Survival%-master]]</f>
        <v>0</v>
      </c>
      <c r="T331" s="16">
        <f>Table11[[#This Row],['#Planted]]*Table11[[#This Row],[Canada Allocation2017 %]]*Table11[[#This Row],[2024 Estimated Survival%]]</f>
        <v>0</v>
      </c>
      <c r="U331" s="7">
        <f>Table11[[#This Row],[ETP Year]]</f>
        <v>2021</v>
      </c>
      <c r="V331" s="7">
        <f>Table11[[#This Row],[Planting Year]]</f>
        <v>2023</v>
      </c>
      <c r="W331">
        <f>Table11[[#This Row],[Survival% as of 12/31/23]]</f>
        <v>1</v>
      </c>
      <c r="X331">
        <f>Table11[[#This Row],[ETP'#s]]</f>
        <v>1</v>
      </c>
    </row>
    <row r="332" spans="1:24" hidden="1" x14ac:dyDescent="0.25">
      <c r="A332">
        <f>Table11[[#This Row],[Farmer'#]]</f>
        <v>10121</v>
      </c>
      <c r="B332" t="str">
        <f>Table11[[#This Row],[Representative]]</f>
        <v>Clinton Hardie</v>
      </c>
      <c r="C332" t="str">
        <f>Table11[[#This Row],[Contract Name]]</f>
        <v>Anita J Hardie</v>
      </c>
      <c r="D332" t="str">
        <f>Table11[[#This Row],[Status]]</f>
        <v>Active</v>
      </c>
      <c r="E332" t="str">
        <f>Table11[[#This Row],[Contract Code]]</f>
        <v>US0146</v>
      </c>
      <c r="F332">
        <f>Table11[[#This Row],['#TreesContract]]</f>
        <v>2800</v>
      </c>
      <c r="G332">
        <f>Table11[[#This Row],['#Planted]]</f>
        <v>2800</v>
      </c>
      <c r="H332" s="16">
        <f>Table11[[#This Row],['#TreesContract]]*Table11[[#This Row],[Canada Allocation2017 %]]</f>
        <v>0</v>
      </c>
      <c r="I332" s="16">
        <f>Table11[[#This Row],['#Planted]]*Table11[[#This Row],[Canada Allocation2017 %]]</f>
        <v>0</v>
      </c>
      <c r="J332" s="16">
        <f>Table11[[#This Row],[Contract Amendment]]*Table11[[#This Row],[Canada Allocation2017 %]]</f>
        <v>0</v>
      </c>
      <c r="K332" s="16">
        <f>Table11[[#This Row],['#Trees as of 12/31/23]]*Table11[[#This Row],[Canada Allocation2017 %]]</f>
        <v>0</v>
      </c>
      <c r="L332" s="16">
        <f>Table11[[#This Row],['#Replace 24]]*Table11[[#This Row],[Canada Allocation2017 %]]</f>
        <v>0</v>
      </c>
      <c r="M332" s="16"/>
      <c r="N332" s="16">
        <f>(Table11[[#This Row],[2024 '#Trees Inventory + Estimate]]*Table11[[#This Row],[Canada Allocation2017 %]])-SUM(Table3789[[#This Row],['# Trees as of 12/31/23]:[New Trees/Planted in 2024]])</f>
        <v>0</v>
      </c>
      <c r="O332" s="32">
        <f>SUM(Table3789[[#This Row],['# Trees as of 12/31/23]:[2024 Tree Losses]])</f>
        <v>0</v>
      </c>
      <c r="P332" s="32">
        <f>SUM(Table3789[[#This Row],[Total Trees as of 12/31/24]]-Table3789[[#This Row],['# Trees as of 12/31/23]])</f>
        <v>0</v>
      </c>
      <c r="Q332" s="16">
        <f>Table11[[#This Row],['#Total Replacements]]*Table11[[#This Row],[Canada Allocation2017 %]]</f>
        <v>0</v>
      </c>
      <c r="R332" s="32">
        <f>IF(Table3789[[#This Row],['#Survival based on Inventory]]=0,Table3789['#Survival based on Last Year Estimate],Table3789['#Survival based on Inventory])</f>
        <v>0</v>
      </c>
      <c r="S332" s="16">
        <f>Table11[[#This Row],['#Planted]]*Table11[[#This Row],[Canada Allocation2017 %]]*Table11[[#This Row],[2024 Inventory Survival%-master]]</f>
        <v>0</v>
      </c>
      <c r="T332" s="16">
        <f>Table11[[#This Row],['#Planted]]*Table11[[#This Row],[Canada Allocation2017 %]]*Table11[[#This Row],[2024 Estimated Survival%]]</f>
        <v>0</v>
      </c>
      <c r="U332" s="7">
        <f>Table11[[#This Row],[ETP Year]]</f>
        <v>2021</v>
      </c>
      <c r="V332" s="7">
        <f>Table11[[#This Row],[Planting Year]]</f>
        <v>2023</v>
      </c>
      <c r="W332">
        <f>Table11[[#This Row],[Survival% as of 12/31/23]]</f>
        <v>1</v>
      </c>
      <c r="X332">
        <f>Table11[[#This Row],[ETP'#s]]</f>
        <v>1</v>
      </c>
    </row>
    <row r="333" spans="1:24" hidden="1" x14ac:dyDescent="0.25">
      <c r="A333">
        <f>Table11[[#This Row],[Farmer'#]]</f>
        <v>10122</v>
      </c>
      <c r="B333" t="str">
        <f>Table11[[#This Row],[Representative]]</f>
        <v>Colin McCulley</v>
      </c>
      <c r="C333" t="str">
        <f>Table11[[#This Row],[Contract Name]]</f>
        <v>Colin McCulley</v>
      </c>
      <c r="D333" t="str">
        <f>Table11[[#This Row],[Status]]</f>
        <v>Active</v>
      </c>
      <c r="E333" t="str">
        <f>Table11[[#This Row],[Contract Code]]</f>
        <v>US0147</v>
      </c>
      <c r="F333">
        <f>Table11[[#This Row],['#TreesContract]]</f>
        <v>1320</v>
      </c>
      <c r="G333">
        <f>Table11[[#This Row],['#Planted]]</f>
        <v>1320</v>
      </c>
      <c r="H333" s="16">
        <f>Table11[[#This Row],['#TreesContract]]*Table11[[#This Row],[Canada Allocation2017 %]]</f>
        <v>0</v>
      </c>
      <c r="I333" s="16">
        <f>Table11[[#This Row],['#Planted]]*Table11[[#This Row],[Canada Allocation2017 %]]</f>
        <v>0</v>
      </c>
      <c r="J333" s="16">
        <f>Table11[[#This Row],[Contract Amendment]]*Table11[[#This Row],[Canada Allocation2017 %]]</f>
        <v>0</v>
      </c>
      <c r="K333" s="16">
        <f>Table11[[#This Row],['#Trees as of 12/31/23]]*Table11[[#This Row],[Canada Allocation2017 %]]</f>
        <v>0</v>
      </c>
      <c r="L333" s="16">
        <f>Table11[[#This Row],['#Replace 24]]*Table11[[#This Row],[Canada Allocation2017 %]]</f>
        <v>0</v>
      </c>
      <c r="M333" s="16"/>
      <c r="N333" s="16">
        <f>(Table11[[#This Row],[2024 '#Trees Inventory + Estimate]]*Table11[[#This Row],[Canada Allocation2017 %]])-SUM(Table3789[[#This Row],['# Trees as of 12/31/23]:[New Trees/Planted in 2024]])</f>
        <v>0</v>
      </c>
      <c r="O333" s="32">
        <f>SUM(Table3789[[#This Row],['# Trees as of 12/31/23]:[2024 Tree Losses]])</f>
        <v>0</v>
      </c>
      <c r="P333" s="32">
        <f>SUM(Table3789[[#This Row],[Total Trees as of 12/31/24]]-Table3789[[#This Row],['# Trees as of 12/31/23]])</f>
        <v>0</v>
      </c>
      <c r="Q333" s="16">
        <f>Table11[[#This Row],['#Total Replacements]]*Table11[[#This Row],[Canada Allocation2017 %]]</f>
        <v>0</v>
      </c>
      <c r="R333" s="32">
        <f>IF(Table3789[[#This Row],['#Survival based on Inventory]]=0,Table3789['#Survival based on Last Year Estimate],Table3789['#Survival based on Inventory])</f>
        <v>0</v>
      </c>
      <c r="S333" s="16">
        <f>Table11[[#This Row],['#Planted]]*Table11[[#This Row],[Canada Allocation2017 %]]*Table11[[#This Row],[2024 Inventory Survival%-master]]</f>
        <v>0</v>
      </c>
      <c r="T333" s="16">
        <f>Table11[[#This Row],['#Planted]]*Table11[[#This Row],[Canada Allocation2017 %]]*Table11[[#This Row],[2024 Estimated Survival%]]</f>
        <v>0</v>
      </c>
      <c r="U333" s="7">
        <f>Table11[[#This Row],[ETP Year]]</f>
        <v>2021</v>
      </c>
      <c r="V333" s="7">
        <f>Table11[[#This Row],[Planting Year]]</f>
        <v>2023</v>
      </c>
      <c r="W333">
        <f>Table11[[#This Row],[Survival% as of 12/31/23]]</f>
        <v>1</v>
      </c>
      <c r="X333">
        <f>Table11[[#This Row],[ETP'#s]]</f>
        <v>1</v>
      </c>
    </row>
    <row r="334" spans="1:24" hidden="1" x14ac:dyDescent="0.25">
      <c r="A334">
        <f>Table11[[#This Row],[Farmer'#]]</f>
        <v>10123</v>
      </c>
      <c r="B334" t="str">
        <f>Table11[[#This Row],[Representative]]</f>
        <v>Greg Lumpkin</v>
      </c>
      <c r="C334" t="str">
        <f>Table11[[#This Row],[Contract Name]]</f>
        <v>WT Lumpkin Farms</v>
      </c>
      <c r="D334" t="str">
        <f>Table11[[#This Row],[Status]]</f>
        <v>Active</v>
      </c>
      <c r="E334" t="str">
        <f>Table11[[#This Row],[Contract Code]]</f>
        <v>US0149</v>
      </c>
      <c r="F334">
        <f>Table11[[#This Row],['#TreesContract]]</f>
        <v>2096</v>
      </c>
      <c r="G334">
        <f>Table11[[#This Row],['#Planted]]</f>
        <v>2096</v>
      </c>
      <c r="H334" s="16">
        <f>Table11[[#This Row],['#TreesContract]]*Table11[[#This Row],[Canada Allocation2017 %]]</f>
        <v>0</v>
      </c>
      <c r="I334" s="16">
        <f>Table11[[#This Row],['#Planted]]*Table11[[#This Row],[Canada Allocation2017 %]]</f>
        <v>0</v>
      </c>
      <c r="J334" s="16">
        <f>Table11[[#This Row],[Contract Amendment]]*Table11[[#This Row],[Canada Allocation2017 %]]</f>
        <v>0</v>
      </c>
      <c r="K334" s="16">
        <f>Table11[[#This Row],['#Trees as of 12/31/23]]*Table11[[#This Row],[Canada Allocation2017 %]]</f>
        <v>0</v>
      </c>
      <c r="L334" s="16">
        <f>Table11[[#This Row],['#Replace 24]]*Table11[[#This Row],[Canada Allocation2017 %]]</f>
        <v>0</v>
      </c>
      <c r="M334" s="16"/>
      <c r="N334" s="16">
        <f>(Table11[[#This Row],[2024 '#Trees Inventory + Estimate]]*Table11[[#This Row],[Canada Allocation2017 %]])-SUM(Table3789[[#This Row],['# Trees as of 12/31/23]:[New Trees/Planted in 2024]])</f>
        <v>0</v>
      </c>
      <c r="O334" s="32">
        <f>SUM(Table3789[[#This Row],['# Trees as of 12/31/23]:[2024 Tree Losses]])</f>
        <v>0</v>
      </c>
      <c r="P334" s="32">
        <f>SUM(Table3789[[#This Row],[Total Trees as of 12/31/24]]-Table3789[[#This Row],['# Trees as of 12/31/23]])</f>
        <v>0</v>
      </c>
      <c r="Q334" s="16">
        <f>Table11[[#This Row],['#Total Replacements]]*Table11[[#This Row],[Canada Allocation2017 %]]</f>
        <v>0</v>
      </c>
      <c r="R334" s="32">
        <f>IF(Table3789[[#This Row],['#Survival based on Inventory]]=0,Table3789['#Survival based on Last Year Estimate],Table3789['#Survival based on Inventory])</f>
        <v>0</v>
      </c>
      <c r="S334" s="16">
        <f>Table11[[#This Row],['#Planted]]*Table11[[#This Row],[Canada Allocation2017 %]]*Table11[[#This Row],[2024 Inventory Survival%-master]]</f>
        <v>0</v>
      </c>
      <c r="T334" s="16">
        <f>Table11[[#This Row],['#Planted]]*Table11[[#This Row],[Canada Allocation2017 %]]*Table11[[#This Row],[2024 Estimated Survival%]]</f>
        <v>0</v>
      </c>
      <c r="U334" s="7">
        <f>Table11[[#This Row],[ETP Year]]</f>
        <v>2021</v>
      </c>
      <c r="V334" s="7">
        <f>Table11[[#This Row],[Planting Year]]</f>
        <v>2023</v>
      </c>
      <c r="W334">
        <f>Table11[[#This Row],[Survival% as of 12/31/23]]</f>
        <v>1</v>
      </c>
      <c r="X334">
        <f>Table11[[#This Row],[ETP'#s]]</f>
        <v>1</v>
      </c>
    </row>
    <row r="335" spans="1:24" hidden="1" x14ac:dyDescent="0.25">
      <c r="A335">
        <f>Table11[[#This Row],[Farmer'#]]</f>
        <v>10124</v>
      </c>
      <c r="B335" t="str">
        <f>Table11[[#This Row],[Representative]]</f>
        <v>Jim Lamberth</v>
      </c>
      <c r="C335" t="str">
        <f>Table11[[#This Row],[Contract Name]]</f>
        <v>James Lamberth</v>
      </c>
      <c r="D335" t="str">
        <f>Table11[[#This Row],[Status]]</f>
        <v>Active</v>
      </c>
      <c r="E335" t="str">
        <f>Table11[[#This Row],[Contract Code]]</f>
        <v>US0150</v>
      </c>
      <c r="F335">
        <f>Table11[[#This Row],['#TreesContract]]</f>
        <v>2200</v>
      </c>
      <c r="G335">
        <f>Table11[[#This Row],['#Planted]]</f>
        <v>2200</v>
      </c>
      <c r="H335" s="16">
        <f>Table11[[#This Row],['#TreesContract]]*Table11[[#This Row],[Canada Allocation2017 %]]</f>
        <v>0</v>
      </c>
      <c r="I335" s="16">
        <f>Table11[[#This Row],['#Planted]]*Table11[[#This Row],[Canada Allocation2017 %]]</f>
        <v>0</v>
      </c>
      <c r="J335" s="16">
        <f>Table11[[#This Row],[Contract Amendment]]*Table11[[#This Row],[Canada Allocation2017 %]]</f>
        <v>0</v>
      </c>
      <c r="K335" s="16">
        <f>Table11[[#This Row],['#Trees as of 12/31/23]]*Table11[[#This Row],[Canada Allocation2017 %]]</f>
        <v>0</v>
      </c>
      <c r="L335" s="16">
        <f>Table11[[#This Row],['#Replace 24]]*Table11[[#This Row],[Canada Allocation2017 %]]</f>
        <v>0</v>
      </c>
      <c r="M335" s="16"/>
      <c r="N335" s="16">
        <f>(Table11[[#This Row],[2024 '#Trees Inventory + Estimate]]*Table11[[#This Row],[Canada Allocation2017 %]])-SUM(Table3789[[#This Row],['# Trees as of 12/31/23]:[New Trees/Planted in 2024]])</f>
        <v>0</v>
      </c>
      <c r="O335" s="32">
        <f>SUM(Table3789[[#This Row],['# Trees as of 12/31/23]:[2024 Tree Losses]])</f>
        <v>0</v>
      </c>
      <c r="P335" s="32">
        <f>SUM(Table3789[[#This Row],[Total Trees as of 12/31/24]]-Table3789[[#This Row],['# Trees as of 12/31/23]])</f>
        <v>0</v>
      </c>
      <c r="Q335" s="16">
        <f>Table11[[#This Row],['#Total Replacements]]*Table11[[#This Row],[Canada Allocation2017 %]]</f>
        <v>0</v>
      </c>
      <c r="R335" s="32">
        <f>IF(Table3789[[#This Row],['#Survival based on Inventory]]=0,Table3789['#Survival based on Last Year Estimate],Table3789['#Survival based on Inventory])</f>
        <v>0</v>
      </c>
      <c r="S335" s="16">
        <f>Table11[[#This Row],['#Planted]]*Table11[[#This Row],[Canada Allocation2017 %]]*Table11[[#This Row],[2024 Inventory Survival%-master]]</f>
        <v>0</v>
      </c>
      <c r="T335" s="16">
        <f>Table11[[#This Row],['#Planted]]*Table11[[#This Row],[Canada Allocation2017 %]]*Table11[[#This Row],[2024 Estimated Survival%]]</f>
        <v>0</v>
      </c>
      <c r="U335" s="7">
        <f>Table11[[#This Row],[ETP Year]]</f>
        <v>2021</v>
      </c>
      <c r="V335" s="7">
        <f>Table11[[#This Row],[Planting Year]]</f>
        <v>2023</v>
      </c>
      <c r="W335">
        <f>Table11[[#This Row],[Survival% as of 12/31/23]]</f>
        <v>1</v>
      </c>
      <c r="X335">
        <f>Table11[[#This Row],[ETP'#s]]</f>
        <v>1</v>
      </c>
    </row>
    <row r="336" spans="1:24" hidden="1" x14ac:dyDescent="0.25">
      <c r="A336">
        <f>Table11[[#This Row],[Farmer'#]]</f>
        <v>10125</v>
      </c>
      <c r="B336" t="str">
        <f>Table11[[#This Row],[Representative]]</f>
        <v>Steve Carson</v>
      </c>
      <c r="C336" t="str">
        <f>Table11[[#This Row],[Contract Name]]</f>
        <v>Steve Carson</v>
      </c>
      <c r="D336" t="str">
        <f>Table11[[#This Row],[Status]]</f>
        <v>Active</v>
      </c>
      <c r="E336" t="str">
        <f>Table11[[#This Row],[Contract Code]]</f>
        <v>US0154</v>
      </c>
      <c r="F336">
        <f>Table11[[#This Row],['#TreesContract]]</f>
        <v>2750</v>
      </c>
      <c r="G336">
        <f>Table11[[#This Row],['#Planted]]</f>
        <v>2750</v>
      </c>
      <c r="H336" s="16">
        <f>Table11[[#This Row],['#TreesContract]]*Table11[[#This Row],[Canada Allocation2017 %]]</f>
        <v>0</v>
      </c>
      <c r="I336" s="16">
        <f>Table11[[#This Row],['#Planted]]*Table11[[#This Row],[Canada Allocation2017 %]]</f>
        <v>0</v>
      </c>
      <c r="J336" s="16">
        <f>Table11[[#This Row],[Contract Amendment]]*Table11[[#This Row],[Canada Allocation2017 %]]</f>
        <v>0</v>
      </c>
      <c r="K336" s="16">
        <f>Table11[[#This Row],['#Trees as of 12/31/23]]*Table11[[#This Row],[Canada Allocation2017 %]]</f>
        <v>0</v>
      </c>
      <c r="L336" s="16">
        <f>Table11[[#This Row],['#Replace 24]]*Table11[[#This Row],[Canada Allocation2017 %]]</f>
        <v>0</v>
      </c>
      <c r="M336" s="16"/>
      <c r="N336" s="16">
        <f>(Table11[[#This Row],[2024 '#Trees Inventory + Estimate]]*Table11[[#This Row],[Canada Allocation2017 %]])-SUM(Table3789[[#This Row],['# Trees as of 12/31/23]:[New Trees/Planted in 2024]])</f>
        <v>0</v>
      </c>
      <c r="O336" s="32">
        <f>SUM(Table3789[[#This Row],['# Trees as of 12/31/23]:[2024 Tree Losses]])</f>
        <v>0</v>
      </c>
      <c r="P336" s="32">
        <f>SUM(Table3789[[#This Row],[Total Trees as of 12/31/24]]-Table3789[[#This Row],['# Trees as of 12/31/23]])</f>
        <v>0</v>
      </c>
      <c r="Q336" s="16">
        <f>Table11[[#This Row],['#Total Replacements]]*Table11[[#This Row],[Canada Allocation2017 %]]</f>
        <v>0</v>
      </c>
      <c r="R336" s="32">
        <f>IF(Table3789[[#This Row],['#Survival based on Inventory]]=0,Table3789['#Survival based on Last Year Estimate],Table3789['#Survival based on Inventory])</f>
        <v>0</v>
      </c>
      <c r="S336" s="16">
        <f>Table11[[#This Row],['#Planted]]*Table11[[#This Row],[Canada Allocation2017 %]]*Table11[[#This Row],[2024 Inventory Survival%-master]]</f>
        <v>0</v>
      </c>
      <c r="T336" s="16">
        <f>Table11[[#This Row],['#Planted]]*Table11[[#This Row],[Canada Allocation2017 %]]*Table11[[#This Row],[2024 Estimated Survival%]]</f>
        <v>0</v>
      </c>
      <c r="U336" s="7">
        <f>Table11[[#This Row],[ETP Year]]</f>
        <v>2022</v>
      </c>
      <c r="V336" s="7">
        <f>Table11[[#This Row],[Planting Year]]</f>
        <v>2023</v>
      </c>
      <c r="W336">
        <f>Table11[[#This Row],[Survival% as of 12/31/23]]</f>
        <v>1</v>
      </c>
      <c r="X336">
        <f>Table11[[#This Row],[ETP'#s]]</f>
        <v>1</v>
      </c>
    </row>
    <row r="337" spans="1:24" hidden="1" x14ac:dyDescent="0.25">
      <c r="A337">
        <f>Table11[[#This Row],[Farmer'#]]</f>
        <v>20092</v>
      </c>
      <c r="B337" t="str">
        <f>Table11[[#This Row],[Representative]]</f>
        <v>Samuel Wards</v>
      </c>
      <c r="C337" t="str">
        <f>Table11[[#This Row],[Contract Name]]</f>
        <v>Samule Wards</v>
      </c>
      <c r="D337" t="str">
        <f>Table11[[#This Row],[Status]]</f>
        <v>Active</v>
      </c>
      <c r="E337" t="str">
        <f>Table11[[#This Row],[Contract Code]]</f>
        <v>CR0100</v>
      </c>
      <c r="F337">
        <f>Table11[[#This Row],['#TreesContract]]</f>
        <v>1000</v>
      </c>
      <c r="G337">
        <f>Table11[[#This Row],['#Planted]]</f>
        <v>1000</v>
      </c>
      <c r="H337" s="16">
        <f>Table11[[#This Row],['#TreesContract]]*Table11[[#This Row],[Canada Allocation2017 %]]</f>
        <v>0</v>
      </c>
      <c r="I337" s="16">
        <f>Table11[[#This Row],['#Planted]]*Table11[[#This Row],[Canada Allocation2017 %]]</f>
        <v>0</v>
      </c>
      <c r="J337" s="16">
        <f>Table11[[#This Row],[Contract Amendment]]*Table11[[#This Row],[Canada Allocation2017 %]]</f>
        <v>0</v>
      </c>
      <c r="K337" s="16">
        <f>Table11[[#This Row],['#Trees as of 12/31/23]]*Table11[[#This Row],[Canada Allocation2017 %]]</f>
        <v>0</v>
      </c>
      <c r="L337" s="16">
        <f>Table11[[#This Row],['#Replace 24]]*Table11[[#This Row],[Canada Allocation2017 %]]</f>
        <v>0</v>
      </c>
      <c r="M337" s="16"/>
      <c r="N337" s="16">
        <f>(Table11[[#This Row],[2024 '#Trees Inventory + Estimate]]*Table11[[#This Row],[Canada Allocation2017 %]])-SUM(Table3789[[#This Row],['# Trees as of 12/31/23]:[New Trees/Planted in 2024]])</f>
        <v>0</v>
      </c>
      <c r="O337" s="32">
        <f>SUM(Table3789[[#This Row],['# Trees as of 12/31/23]:[2024 Tree Losses]])</f>
        <v>0</v>
      </c>
      <c r="P337" s="32">
        <f>SUM(Table3789[[#This Row],[Total Trees as of 12/31/24]]-Table3789[[#This Row],['# Trees as of 12/31/23]])</f>
        <v>0</v>
      </c>
      <c r="Q337" s="16">
        <f>Table11[[#This Row],['#Total Replacements]]*Table11[[#This Row],[Canada Allocation2017 %]]</f>
        <v>0</v>
      </c>
      <c r="R337" s="32">
        <f>IF(Table3789[[#This Row],['#Survival based on Inventory]]=0,Table3789['#Survival based on Last Year Estimate],Table3789['#Survival based on Inventory])</f>
        <v>0</v>
      </c>
      <c r="S337" s="16">
        <f>Table11[[#This Row],['#Planted]]*Table11[[#This Row],[Canada Allocation2017 %]]*Table11[[#This Row],[2024 Inventory Survival%-master]]</f>
        <v>0</v>
      </c>
      <c r="T337" s="16">
        <f>Table11[[#This Row],['#Planted]]*Table11[[#This Row],[Canada Allocation2017 %]]*Table11[[#This Row],[2024 Estimated Survival%]]</f>
        <v>0</v>
      </c>
      <c r="U337" s="7">
        <f>Table11[[#This Row],[ETP Year]]</f>
        <v>2021</v>
      </c>
      <c r="V337" s="7">
        <f>Table11[[#This Row],[Planting Year]]</f>
        <v>2023</v>
      </c>
      <c r="W337">
        <f>Table11[[#This Row],[Survival% as of 12/31/23]]</f>
        <v>1</v>
      </c>
      <c r="X337">
        <f>Table11[[#This Row],[ETP'#s]]</f>
        <v>1</v>
      </c>
    </row>
    <row r="338" spans="1:24" hidden="1" x14ac:dyDescent="0.25">
      <c r="A338">
        <f>Table11[[#This Row],[Farmer'#]]</f>
        <v>20093</v>
      </c>
      <c r="B338" t="str">
        <f>Table11[[#This Row],[Representative]]</f>
        <v>Leonardo Barquero</v>
      </c>
      <c r="C338" t="str">
        <f>Table11[[#This Row],[Contract Name]]</f>
        <v>Tecamachalco S.A</v>
      </c>
      <c r="D338" t="str">
        <f>Table11[[#This Row],[Status]]</f>
        <v>Active</v>
      </c>
      <c r="E338" t="str">
        <f>Table11[[#This Row],[Contract Code]]</f>
        <v>CR0101</v>
      </c>
      <c r="F338">
        <f>Table11[[#This Row],['#TreesContract]]</f>
        <v>1700</v>
      </c>
      <c r="G338">
        <f>Table11[[#This Row],['#Planted]]</f>
        <v>1700</v>
      </c>
      <c r="H338" s="16">
        <f>Table11[[#This Row],['#TreesContract]]*Table11[[#This Row],[Canada Allocation2017 %]]</f>
        <v>0</v>
      </c>
      <c r="I338" s="16">
        <f>Table11[[#This Row],['#Planted]]*Table11[[#This Row],[Canada Allocation2017 %]]</f>
        <v>0</v>
      </c>
      <c r="J338" s="16">
        <f>Table11[[#This Row],[Contract Amendment]]*Table11[[#This Row],[Canada Allocation2017 %]]</f>
        <v>0</v>
      </c>
      <c r="K338" s="16">
        <f>Table11[[#This Row],['#Trees as of 12/31/23]]*Table11[[#This Row],[Canada Allocation2017 %]]</f>
        <v>0</v>
      </c>
      <c r="L338" s="16">
        <f>Table11[[#This Row],['#Replace 24]]*Table11[[#This Row],[Canada Allocation2017 %]]</f>
        <v>0</v>
      </c>
      <c r="M338" s="16"/>
      <c r="N338" s="16">
        <f>(Table11[[#This Row],[2024 '#Trees Inventory + Estimate]]*Table11[[#This Row],[Canada Allocation2017 %]])-SUM(Table3789[[#This Row],['# Trees as of 12/31/23]:[New Trees/Planted in 2024]])</f>
        <v>0</v>
      </c>
      <c r="O338" s="32">
        <f>SUM(Table3789[[#This Row],['# Trees as of 12/31/23]:[2024 Tree Losses]])</f>
        <v>0</v>
      </c>
      <c r="P338" s="32">
        <f>SUM(Table3789[[#This Row],[Total Trees as of 12/31/24]]-Table3789[[#This Row],['# Trees as of 12/31/23]])</f>
        <v>0</v>
      </c>
      <c r="Q338" s="16">
        <f>Table11[[#This Row],['#Total Replacements]]*Table11[[#This Row],[Canada Allocation2017 %]]</f>
        <v>0</v>
      </c>
      <c r="R338" s="32">
        <f>IF(Table3789[[#This Row],['#Survival based on Inventory]]=0,Table3789['#Survival based on Last Year Estimate],Table3789['#Survival based on Inventory])</f>
        <v>0</v>
      </c>
      <c r="S338" s="16">
        <f>Table11[[#This Row],['#Planted]]*Table11[[#This Row],[Canada Allocation2017 %]]*Table11[[#This Row],[2024 Inventory Survival%-master]]</f>
        <v>0</v>
      </c>
      <c r="T338" s="16">
        <f>Table11[[#This Row],['#Planted]]*Table11[[#This Row],[Canada Allocation2017 %]]*Table11[[#This Row],[2024 Estimated Survival%]]</f>
        <v>0</v>
      </c>
      <c r="U338" s="7">
        <f>Table11[[#This Row],[ETP Year]]</f>
        <v>2021</v>
      </c>
      <c r="V338" s="7">
        <f>Table11[[#This Row],[Planting Year]]</f>
        <v>2023</v>
      </c>
      <c r="W338">
        <f>Table11[[#This Row],[Survival% as of 12/31/23]]</f>
        <v>1</v>
      </c>
      <c r="X338">
        <f>Table11[[#This Row],[ETP'#s]]</f>
        <v>1</v>
      </c>
    </row>
    <row r="339" spans="1:24" hidden="1" x14ac:dyDescent="0.25">
      <c r="A339">
        <f>Table11[[#This Row],[Farmer'#]]</f>
        <v>20094</v>
      </c>
      <c r="B339" t="str">
        <f>Table11[[#This Row],[Representative]]</f>
        <v>William Romero</v>
      </c>
      <c r="C339" t="str">
        <f>Table11[[#This Row],[Contract Name]]</f>
        <v>Karen Vargas Fernandez y William Romero Fernandez</v>
      </c>
      <c r="D339" t="str">
        <f>Table11[[#This Row],[Status]]</f>
        <v>Active</v>
      </c>
      <c r="E339" t="str">
        <f>Table11[[#This Row],[Contract Code]]</f>
        <v>CR0102</v>
      </c>
      <c r="F339">
        <f>Table11[[#This Row],['#TreesContract]]</f>
        <v>1200</v>
      </c>
      <c r="G339">
        <f>Table11[[#This Row],['#Planted]]</f>
        <v>1200</v>
      </c>
      <c r="H339" s="16">
        <f>Table11[[#This Row],['#TreesContract]]*Table11[[#This Row],[Canada Allocation2017 %]]</f>
        <v>0</v>
      </c>
      <c r="I339" s="16">
        <f>Table11[[#This Row],['#Planted]]*Table11[[#This Row],[Canada Allocation2017 %]]</f>
        <v>0</v>
      </c>
      <c r="J339" s="16">
        <f>Table11[[#This Row],[Contract Amendment]]*Table11[[#This Row],[Canada Allocation2017 %]]</f>
        <v>0</v>
      </c>
      <c r="K339" s="16">
        <f>Table11[[#This Row],['#Trees as of 12/31/23]]*Table11[[#This Row],[Canada Allocation2017 %]]</f>
        <v>0</v>
      </c>
      <c r="L339" s="16">
        <f>Table11[[#This Row],['#Replace 24]]*Table11[[#This Row],[Canada Allocation2017 %]]</f>
        <v>0</v>
      </c>
      <c r="M339" s="16"/>
      <c r="N339" s="16">
        <f>(Table11[[#This Row],[2024 '#Trees Inventory + Estimate]]*Table11[[#This Row],[Canada Allocation2017 %]])-SUM(Table3789[[#This Row],['# Trees as of 12/31/23]:[New Trees/Planted in 2024]])</f>
        <v>0</v>
      </c>
      <c r="O339" s="32">
        <f>SUM(Table3789[[#This Row],['# Trees as of 12/31/23]:[2024 Tree Losses]])</f>
        <v>0</v>
      </c>
      <c r="P339" s="32">
        <f>SUM(Table3789[[#This Row],[Total Trees as of 12/31/24]]-Table3789[[#This Row],['# Trees as of 12/31/23]])</f>
        <v>0</v>
      </c>
      <c r="Q339" s="16">
        <f>Table11[[#This Row],['#Total Replacements]]*Table11[[#This Row],[Canada Allocation2017 %]]</f>
        <v>0</v>
      </c>
      <c r="R339" s="32">
        <f>IF(Table3789[[#This Row],['#Survival based on Inventory]]=0,Table3789['#Survival based on Last Year Estimate],Table3789['#Survival based on Inventory])</f>
        <v>0</v>
      </c>
      <c r="S339" s="16">
        <f>Table11[[#This Row],['#Planted]]*Table11[[#This Row],[Canada Allocation2017 %]]*Table11[[#This Row],[2024 Inventory Survival%-master]]</f>
        <v>0</v>
      </c>
      <c r="T339" s="16">
        <f>Table11[[#This Row],['#Planted]]*Table11[[#This Row],[Canada Allocation2017 %]]*Table11[[#This Row],[2024 Estimated Survival%]]</f>
        <v>0</v>
      </c>
      <c r="U339" s="7">
        <f>Table11[[#This Row],[ETP Year]]</f>
        <v>2022</v>
      </c>
      <c r="V339" s="7">
        <f>Table11[[#This Row],[Planting Year]]</f>
        <v>2023</v>
      </c>
      <c r="W339">
        <f>Table11[[#This Row],[Survival% as of 12/31/23]]</f>
        <v>1</v>
      </c>
      <c r="X339">
        <f>Table11[[#This Row],[ETP'#s]]</f>
        <v>1</v>
      </c>
    </row>
    <row r="340" spans="1:24" hidden="1" x14ac:dyDescent="0.25">
      <c r="A340">
        <f>Table11[[#This Row],[Farmer'#]]</f>
        <v>20095</v>
      </c>
      <c r="B340" t="str">
        <f>Table11[[#This Row],[Representative]]</f>
        <v>Jorge Alberto Cole</v>
      </c>
      <c r="C340" t="str">
        <f>Table11[[#This Row],[Contract Name]]</f>
        <v>Himalaya Verde  LTDA</v>
      </c>
      <c r="D340" t="str">
        <f>Table11[[#This Row],[Status]]</f>
        <v>Active</v>
      </c>
      <c r="E340" t="str">
        <f>Table11[[#This Row],[Contract Code]]</f>
        <v>CR0103</v>
      </c>
      <c r="F340">
        <f>Table11[[#This Row],['#TreesContract]]</f>
        <v>2000</v>
      </c>
      <c r="G340">
        <f>Table11[[#This Row],['#Planted]]</f>
        <v>2000</v>
      </c>
      <c r="H340" s="16">
        <f>Table11[[#This Row],['#TreesContract]]*Table11[[#This Row],[Canada Allocation2017 %]]</f>
        <v>0</v>
      </c>
      <c r="I340" s="16">
        <f>Table11[[#This Row],['#Planted]]*Table11[[#This Row],[Canada Allocation2017 %]]</f>
        <v>0</v>
      </c>
      <c r="J340" s="16">
        <f>Table11[[#This Row],[Contract Amendment]]*Table11[[#This Row],[Canada Allocation2017 %]]</f>
        <v>0</v>
      </c>
      <c r="K340" s="16">
        <f>Table11[[#This Row],['#Trees as of 12/31/23]]*Table11[[#This Row],[Canada Allocation2017 %]]</f>
        <v>0</v>
      </c>
      <c r="L340" s="16">
        <f>Table11[[#This Row],['#Replace 24]]*Table11[[#This Row],[Canada Allocation2017 %]]</f>
        <v>0</v>
      </c>
      <c r="M340" s="16"/>
      <c r="N340" s="16">
        <f>(Table11[[#This Row],[2024 '#Trees Inventory + Estimate]]*Table11[[#This Row],[Canada Allocation2017 %]])-SUM(Table3789[[#This Row],['# Trees as of 12/31/23]:[New Trees/Planted in 2024]])</f>
        <v>0</v>
      </c>
      <c r="O340" s="32">
        <f>SUM(Table3789[[#This Row],['# Trees as of 12/31/23]:[2024 Tree Losses]])</f>
        <v>0</v>
      </c>
      <c r="P340" s="32">
        <f>SUM(Table3789[[#This Row],[Total Trees as of 12/31/24]]-Table3789[[#This Row],['# Trees as of 12/31/23]])</f>
        <v>0</v>
      </c>
      <c r="Q340" s="16">
        <f>Table11[[#This Row],['#Total Replacements]]*Table11[[#This Row],[Canada Allocation2017 %]]</f>
        <v>0</v>
      </c>
      <c r="R340" s="32">
        <f>IF(Table3789[[#This Row],['#Survival based on Inventory]]=0,Table3789['#Survival based on Last Year Estimate],Table3789['#Survival based on Inventory])</f>
        <v>0</v>
      </c>
      <c r="S340" s="16">
        <f>Table11[[#This Row],['#Planted]]*Table11[[#This Row],[Canada Allocation2017 %]]*Table11[[#This Row],[2024 Inventory Survival%-master]]</f>
        <v>0</v>
      </c>
      <c r="T340" s="16">
        <f>Table11[[#This Row],['#Planted]]*Table11[[#This Row],[Canada Allocation2017 %]]*Table11[[#This Row],[2024 Estimated Survival%]]</f>
        <v>0</v>
      </c>
      <c r="U340" s="7">
        <f>Table11[[#This Row],[ETP Year]]</f>
        <v>2022</v>
      </c>
      <c r="V340" s="7">
        <f>Table11[[#This Row],[Planting Year]]</f>
        <v>2023</v>
      </c>
      <c r="W340">
        <f>Table11[[#This Row],[Survival% as of 12/31/23]]</f>
        <v>1</v>
      </c>
      <c r="X340">
        <f>Table11[[#This Row],[ETP'#s]]</f>
        <v>1</v>
      </c>
    </row>
    <row r="341" spans="1:24" hidden="1" x14ac:dyDescent="0.25">
      <c r="A341">
        <f>Table11[[#This Row],[Farmer'#]]</f>
        <v>20096</v>
      </c>
      <c r="B341" t="str">
        <f>Table11[[#This Row],[Representative]]</f>
        <v>Emmanuel Manuel Ruiz</v>
      </c>
      <c r="C341" t="str">
        <f>Table11[[#This Row],[Contract Name]]</f>
        <v>Jose Manuel Ruiz</v>
      </c>
      <c r="D341" t="str">
        <f>Table11[[#This Row],[Status]]</f>
        <v>Active</v>
      </c>
      <c r="E341" t="str">
        <f>Table11[[#This Row],[Contract Code]]</f>
        <v>CR0104</v>
      </c>
      <c r="F341">
        <f>Table11[[#This Row],['#TreesContract]]</f>
        <v>2000</v>
      </c>
      <c r="G341">
        <f>Table11[[#This Row],['#Planted]]</f>
        <v>2000</v>
      </c>
      <c r="H341" s="16">
        <f>Table11[[#This Row],['#TreesContract]]*Table11[[#This Row],[Canada Allocation2017 %]]</f>
        <v>0</v>
      </c>
      <c r="I341" s="16">
        <f>Table11[[#This Row],['#Planted]]*Table11[[#This Row],[Canada Allocation2017 %]]</f>
        <v>0</v>
      </c>
      <c r="J341" s="16">
        <f>Table11[[#This Row],[Contract Amendment]]*Table11[[#This Row],[Canada Allocation2017 %]]</f>
        <v>0</v>
      </c>
      <c r="K341" s="16">
        <f>Table11[[#This Row],['#Trees as of 12/31/23]]*Table11[[#This Row],[Canada Allocation2017 %]]</f>
        <v>0</v>
      </c>
      <c r="L341" s="16">
        <f>Table11[[#This Row],['#Replace 24]]*Table11[[#This Row],[Canada Allocation2017 %]]</f>
        <v>0</v>
      </c>
      <c r="M341" s="16"/>
      <c r="N341" s="16">
        <f>(Table11[[#This Row],[2024 '#Trees Inventory + Estimate]]*Table11[[#This Row],[Canada Allocation2017 %]])-SUM(Table3789[[#This Row],['# Trees as of 12/31/23]:[New Trees/Planted in 2024]])</f>
        <v>0</v>
      </c>
      <c r="O341" s="32">
        <f>SUM(Table3789[[#This Row],['# Trees as of 12/31/23]:[2024 Tree Losses]])</f>
        <v>0</v>
      </c>
      <c r="P341" s="32">
        <f>SUM(Table3789[[#This Row],[Total Trees as of 12/31/24]]-Table3789[[#This Row],['# Trees as of 12/31/23]])</f>
        <v>0</v>
      </c>
      <c r="Q341" s="16">
        <f>Table11[[#This Row],['#Total Replacements]]*Table11[[#This Row],[Canada Allocation2017 %]]</f>
        <v>0</v>
      </c>
      <c r="R341" s="32">
        <f>IF(Table3789[[#This Row],['#Survival based on Inventory]]=0,Table3789['#Survival based on Last Year Estimate],Table3789['#Survival based on Inventory])</f>
        <v>0</v>
      </c>
      <c r="S341" s="16">
        <f>Table11[[#This Row],['#Planted]]*Table11[[#This Row],[Canada Allocation2017 %]]*Table11[[#This Row],[2024 Inventory Survival%-master]]</f>
        <v>0</v>
      </c>
      <c r="T341" s="16">
        <f>Table11[[#This Row],['#Planted]]*Table11[[#This Row],[Canada Allocation2017 %]]*Table11[[#This Row],[2024 Estimated Survival%]]</f>
        <v>0</v>
      </c>
      <c r="U341" s="7">
        <f>Table11[[#This Row],[ETP Year]]</f>
        <v>2022</v>
      </c>
      <c r="V341" s="7">
        <f>Table11[[#This Row],[Planting Year]]</f>
        <v>2023</v>
      </c>
      <c r="W341">
        <f>Table11[[#This Row],[Survival% as of 12/31/23]]</f>
        <v>1</v>
      </c>
      <c r="X341">
        <f>Table11[[#This Row],[ETP'#s]]</f>
        <v>1</v>
      </c>
    </row>
    <row r="342" spans="1:24" hidden="1" x14ac:dyDescent="0.25">
      <c r="A342">
        <f>Table11[[#This Row],[Farmer'#]]</f>
        <v>20097</v>
      </c>
      <c r="B342" t="str">
        <f>Table11[[#This Row],[Representative]]</f>
        <v>Johaner Rosales Flores</v>
      </c>
      <c r="C342" t="str">
        <f>Table11[[#This Row],[Contract Name]]</f>
        <v>Johaner Rosales Flores</v>
      </c>
      <c r="D342" t="str">
        <f>Table11[[#This Row],[Status]]</f>
        <v>Active</v>
      </c>
      <c r="E342" t="str">
        <f>Table11[[#This Row],[Contract Code]]</f>
        <v>CR0105</v>
      </c>
      <c r="F342">
        <f>Table11[[#This Row],['#TreesContract]]</f>
        <v>2400</v>
      </c>
      <c r="G342">
        <f>Table11[[#This Row],['#Planted]]</f>
        <v>2400</v>
      </c>
      <c r="H342" s="16">
        <f>Table11[[#This Row],['#TreesContract]]*Table11[[#This Row],[Canada Allocation2017 %]]</f>
        <v>0</v>
      </c>
      <c r="I342" s="16">
        <f>Table11[[#This Row],['#Planted]]*Table11[[#This Row],[Canada Allocation2017 %]]</f>
        <v>0</v>
      </c>
      <c r="J342" s="16">
        <f>Table11[[#This Row],[Contract Amendment]]*Table11[[#This Row],[Canada Allocation2017 %]]</f>
        <v>0</v>
      </c>
      <c r="K342" s="16">
        <f>Table11[[#This Row],['#Trees as of 12/31/23]]*Table11[[#This Row],[Canada Allocation2017 %]]</f>
        <v>0</v>
      </c>
      <c r="L342" s="16">
        <f>Table11[[#This Row],['#Replace 24]]*Table11[[#This Row],[Canada Allocation2017 %]]</f>
        <v>0</v>
      </c>
      <c r="M342" s="16"/>
      <c r="N342" s="16">
        <f>(Table11[[#This Row],[2024 '#Trees Inventory + Estimate]]*Table11[[#This Row],[Canada Allocation2017 %]])-SUM(Table3789[[#This Row],['# Trees as of 12/31/23]:[New Trees/Planted in 2024]])</f>
        <v>0</v>
      </c>
      <c r="O342" s="32">
        <f>SUM(Table3789[[#This Row],['# Trees as of 12/31/23]:[2024 Tree Losses]])</f>
        <v>0</v>
      </c>
      <c r="P342" s="32">
        <f>SUM(Table3789[[#This Row],[Total Trees as of 12/31/24]]-Table3789[[#This Row],['# Trees as of 12/31/23]])</f>
        <v>0</v>
      </c>
      <c r="Q342" s="16">
        <f>Table11[[#This Row],['#Total Replacements]]*Table11[[#This Row],[Canada Allocation2017 %]]</f>
        <v>0</v>
      </c>
      <c r="R342" s="32">
        <f>IF(Table3789[[#This Row],['#Survival based on Inventory]]=0,Table3789['#Survival based on Last Year Estimate],Table3789['#Survival based on Inventory])</f>
        <v>0</v>
      </c>
      <c r="S342" s="16">
        <f>Table11[[#This Row],['#Planted]]*Table11[[#This Row],[Canada Allocation2017 %]]*Table11[[#This Row],[2024 Inventory Survival%-master]]</f>
        <v>0</v>
      </c>
      <c r="T342" s="16">
        <f>Table11[[#This Row],['#Planted]]*Table11[[#This Row],[Canada Allocation2017 %]]*Table11[[#This Row],[2024 Estimated Survival%]]</f>
        <v>0</v>
      </c>
      <c r="U342" s="7">
        <f>Table11[[#This Row],[ETP Year]]</f>
        <v>2021</v>
      </c>
      <c r="V342" s="7">
        <f>Table11[[#This Row],[Planting Year]]</f>
        <v>2023</v>
      </c>
      <c r="W342">
        <f>Table11[[#This Row],[Survival% as of 12/31/23]]</f>
        <v>1</v>
      </c>
      <c r="X342">
        <f>Table11[[#This Row],[ETP'#s]]</f>
        <v>1</v>
      </c>
    </row>
    <row r="343" spans="1:24" hidden="1" x14ac:dyDescent="0.25">
      <c r="A343">
        <f>Table11[[#This Row],[Farmer'#]]</f>
        <v>30017</v>
      </c>
      <c r="B343" t="str">
        <f>Table11[[#This Row],[Representative]]</f>
        <v>David Horacio Estrada Jeréz</v>
      </c>
      <c r="C343" t="str">
        <f>Table11[[#This Row],[Contract Name]]</f>
        <v>David Horacio Estrada Jeréz</v>
      </c>
      <c r="D343" t="str">
        <f>Table11[[#This Row],[Status]]</f>
        <v>Active</v>
      </c>
      <c r="E343" t="str">
        <f>Table11[[#This Row],[Contract Code]]</f>
        <v>GT0044</v>
      </c>
      <c r="F343">
        <f>Table11[[#This Row],['#TreesContract]]</f>
        <v>1000</v>
      </c>
      <c r="G343">
        <f>Table11[[#This Row],['#Planted]]</f>
        <v>1000</v>
      </c>
      <c r="H343" s="16">
        <f>Table11[[#This Row],['#TreesContract]]*Table11[[#This Row],[Canada Allocation2017 %]]</f>
        <v>0</v>
      </c>
      <c r="I343" s="16">
        <f>Table11[[#This Row],['#Planted]]*Table11[[#This Row],[Canada Allocation2017 %]]</f>
        <v>0</v>
      </c>
      <c r="J343" s="16">
        <f>Table11[[#This Row],[Contract Amendment]]*Table11[[#This Row],[Canada Allocation2017 %]]</f>
        <v>0</v>
      </c>
      <c r="K343" s="16">
        <f>Table11[[#This Row],['#Trees as of 12/31/23]]*Table11[[#This Row],[Canada Allocation2017 %]]</f>
        <v>0</v>
      </c>
      <c r="L343" s="16">
        <f>Table11[[#This Row],['#Replace 24]]*Table11[[#This Row],[Canada Allocation2017 %]]</f>
        <v>0</v>
      </c>
      <c r="M343" s="16"/>
      <c r="N343" s="16">
        <f>(Table11[[#This Row],[2024 '#Trees Inventory + Estimate]]*Table11[[#This Row],[Canada Allocation2017 %]])-SUM(Table3789[[#This Row],['# Trees as of 12/31/23]:[New Trees/Planted in 2024]])</f>
        <v>0</v>
      </c>
      <c r="O343" s="32">
        <f>SUM(Table3789[[#This Row],['# Trees as of 12/31/23]:[2024 Tree Losses]])</f>
        <v>0</v>
      </c>
      <c r="P343" s="32">
        <f>SUM(Table3789[[#This Row],[Total Trees as of 12/31/24]]-Table3789[[#This Row],['# Trees as of 12/31/23]])</f>
        <v>0</v>
      </c>
      <c r="Q343" s="16">
        <f>Table11[[#This Row],['#Total Replacements]]*Table11[[#This Row],[Canada Allocation2017 %]]</f>
        <v>0</v>
      </c>
      <c r="R343" s="32">
        <f>IF(Table3789[[#This Row],['#Survival based on Inventory]]=0,Table3789['#Survival based on Last Year Estimate],Table3789['#Survival based on Inventory])</f>
        <v>0</v>
      </c>
      <c r="S343" s="16">
        <f>Table11[[#This Row],['#Planted]]*Table11[[#This Row],[Canada Allocation2017 %]]*Table11[[#This Row],[2024 Inventory Survival%-master]]</f>
        <v>0</v>
      </c>
      <c r="T343" s="16">
        <f>Table11[[#This Row],['#Planted]]*Table11[[#This Row],[Canada Allocation2017 %]]*Table11[[#This Row],[2024 Estimated Survival%]]</f>
        <v>0</v>
      </c>
      <c r="U343" s="7">
        <f>Table11[[#This Row],[ETP Year]]</f>
        <v>2022</v>
      </c>
      <c r="V343" s="7">
        <f>Table11[[#This Row],[Planting Year]]</f>
        <v>2023</v>
      </c>
      <c r="W343">
        <f>Table11[[#This Row],[Survival% as of 12/31/23]]</f>
        <v>1</v>
      </c>
      <c r="X343">
        <f>Table11[[#This Row],[ETP'#s]]</f>
        <v>1</v>
      </c>
    </row>
    <row r="344" spans="1:24" hidden="1" x14ac:dyDescent="0.25">
      <c r="A344">
        <f>Table11[[#This Row],[Farmer'#]]</f>
        <v>30028</v>
      </c>
      <c r="B344" t="str">
        <f>Table11[[#This Row],[Representative]]</f>
        <v>Derek José Herman Gordillo</v>
      </c>
      <c r="C344" t="str">
        <f>Table11[[#This Row],[Contract Name]]</f>
        <v>Agroindustrias Nativa S.A./Derek José Herman Gordillo</v>
      </c>
      <c r="D344" t="str">
        <f>Table11[[#This Row],[Status]]</f>
        <v>Active</v>
      </c>
      <c r="E344" t="str">
        <f>Table11[[#This Row],[Contract Code]]</f>
        <v>GT0031c</v>
      </c>
      <c r="F344">
        <f>Table11[[#This Row],['#TreesContract]]</f>
        <v>9420</v>
      </c>
      <c r="G344">
        <f>Table11[[#This Row],['#Planted]]</f>
        <v>9420</v>
      </c>
      <c r="H344" s="16">
        <f>Table11[[#This Row],['#TreesContract]]*Table11[[#This Row],[Canada Allocation2017 %]]</f>
        <v>0</v>
      </c>
      <c r="I344" s="16">
        <f>Table11[[#This Row],['#Planted]]*Table11[[#This Row],[Canada Allocation2017 %]]</f>
        <v>0</v>
      </c>
      <c r="J344" s="16">
        <f>Table11[[#This Row],[Contract Amendment]]*Table11[[#This Row],[Canada Allocation2017 %]]</f>
        <v>0</v>
      </c>
      <c r="K344" s="16">
        <f>Table11[[#This Row],['#Trees as of 12/31/23]]*Table11[[#This Row],[Canada Allocation2017 %]]</f>
        <v>0</v>
      </c>
      <c r="L344" s="16">
        <f>Table11[[#This Row],['#Replace 24]]*Table11[[#This Row],[Canada Allocation2017 %]]</f>
        <v>0</v>
      </c>
      <c r="M344" s="16"/>
      <c r="N344" s="16">
        <f>(Table11[[#This Row],[2024 '#Trees Inventory + Estimate]]*Table11[[#This Row],[Canada Allocation2017 %]])-SUM(Table3789[[#This Row],['# Trees as of 12/31/23]:[New Trees/Planted in 2024]])</f>
        <v>0</v>
      </c>
      <c r="O344" s="32">
        <f>SUM(Table3789[[#This Row],['# Trees as of 12/31/23]:[2024 Tree Losses]])</f>
        <v>0</v>
      </c>
      <c r="P344" s="32">
        <f>SUM(Table3789[[#This Row],[Total Trees as of 12/31/24]]-Table3789[[#This Row],['# Trees as of 12/31/23]])</f>
        <v>0</v>
      </c>
      <c r="Q344" s="16">
        <f>Table11[[#This Row],['#Total Replacements]]*Table11[[#This Row],[Canada Allocation2017 %]]</f>
        <v>0</v>
      </c>
      <c r="R344" s="32">
        <f>IF(Table3789[[#This Row],['#Survival based on Inventory]]=0,Table3789['#Survival based on Last Year Estimate],Table3789['#Survival based on Inventory])</f>
        <v>0</v>
      </c>
      <c r="S344" s="16">
        <f>Table11[[#This Row],['#Planted]]*Table11[[#This Row],[Canada Allocation2017 %]]*Table11[[#This Row],[2024 Inventory Survival%-master]]</f>
        <v>0</v>
      </c>
      <c r="T344" s="16">
        <f>Table11[[#This Row],['#Planted]]*Table11[[#This Row],[Canada Allocation2017 %]]*Table11[[#This Row],[2024 Estimated Survival%]]</f>
        <v>0</v>
      </c>
      <c r="U344" s="7">
        <f>Table11[[#This Row],[ETP Year]]</f>
        <v>2022</v>
      </c>
      <c r="V344" s="7">
        <f>Table11[[#This Row],[Planting Year]]</f>
        <v>2023</v>
      </c>
      <c r="W344">
        <f>Table11[[#This Row],[Survival% as of 12/31/23]]</f>
        <v>1</v>
      </c>
      <c r="X344">
        <f>Table11[[#This Row],[ETP'#s]]</f>
        <v>1</v>
      </c>
    </row>
    <row r="345" spans="1:24" hidden="1" x14ac:dyDescent="0.25">
      <c r="A345">
        <f>Table11[[#This Row],[Farmer'#]]</f>
        <v>30033</v>
      </c>
      <c r="B345" t="str">
        <f>Table11[[#This Row],[Representative]]</f>
        <v>Trapiche de la Vega S.A. /María Isabel Agüero</v>
      </c>
      <c r="C345" t="str">
        <f>Table11[[#This Row],[Contract Name]]</f>
        <v>Trapiche de la Vega Sociedad Anónima / Walesca María Isabel Agüero Urruela de Maegli</v>
      </c>
      <c r="D345" t="str">
        <f>Table11[[#This Row],[Status]]</f>
        <v>Active</v>
      </c>
      <c r="E345" t="str">
        <f>Table11[[#This Row],[Contract Code]]</f>
        <v>GT0045</v>
      </c>
      <c r="F345">
        <f>Table11[[#This Row],['#TreesContract]]</f>
        <v>1640</v>
      </c>
      <c r="G345">
        <f>Table11[[#This Row],['#Planted]]</f>
        <v>1640</v>
      </c>
      <c r="H345" s="16">
        <f>Table11[[#This Row],['#TreesContract]]*Table11[[#This Row],[Canada Allocation2017 %]]</f>
        <v>0</v>
      </c>
      <c r="I345" s="16">
        <f>Table11[[#This Row],['#Planted]]*Table11[[#This Row],[Canada Allocation2017 %]]</f>
        <v>0</v>
      </c>
      <c r="J345" s="16">
        <f>Table11[[#This Row],[Contract Amendment]]*Table11[[#This Row],[Canada Allocation2017 %]]</f>
        <v>0</v>
      </c>
      <c r="K345" s="16">
        <f>Table11[[#This Row],['#Trees as of 12/31/23]]*Table11[[#This Row],[Canada Allocation2017 %]]</f>
        <v>0</v>
      </c>
      <c r="L345" s="16">
        <f>Table11[[#This Row],['#Replace 24]]*Table11[[#This Row],[Canada Allocation2017 %]]</f>
        <v>0</v>
      </c>
      <c r="M345" s="16"/>
      <c r="N345" s="16">
        <f>(Table11[[#This Row],[2024 '#Trees Inventory + Estimate]]*Table11[[#This Row],[Canada Allocation2017 %]])-SUM(Table3789[[#This Row],['# Trees as of 12/31/23]:[New Trees/Planted in 2024]])</f>
        <v>0</v>
      </c>
      <c r="O345" s="32">
        <f>SUM(Table3789[[#This Row],['# Trees as of 12/31/23]:[2024 Tree Losses]])</f>
        <v>0</v>
      </c>
      <c r="P345" s="32">
        <f>SUM(Table3789[[#This Row],[Total Trees as of 12/31/24]]-Table3789[[#This Row],['# Trees as of 12/31/23]])</f>
        <v>0</v>
      </c>
      <c r="Q345" s="16">
        <f>Table11[[#This Row],['#Total Replacements]]*Table11[[#This Row],[Canada Allocation2017 %]]</f>
        <v>0</v>
      </c>
      <c r="R345" s="32">
        <f>IF(Table3789[[#This Row],['#Survival based on Inventory]]=0,Table3789['#Survival based on Last Year Estimate],Table3789['#Survival based on Inventory])</f>
        <v>0</v>
      </c>
      <c r="S345" s="16">
        <f>Table11[[#This Row],['#Planted]]*Table11[[#This Row],[Canada Allocation2017 %]]*Table11[[#This Row],[2024 Inventory Survival%-master]]</f>
        <v>0</v>
      </c>
      <c r="T345" s="16">
        <f>Table11[[#This Row],['#Planted]]*Table11[[#This Row],[Canada Allocation2017 %]]*Table11[[#This Row],[2024 Estimated Survival%]]</f>
        <v>0</v>
      </c>
      <c r="U345" s="7">
        <f>Table11[[#This Row],[ETP Year]]</f>
        <v>2022</v>
      </c>
      <c r="V345" s="7">
        <f>Table11[[#This Row],[Planting Year]]</f>
        <v>2023</v>
      </c>
      <c r="W345">
        <f>Table11[[#This Row],[Survival% as of 12/31/23]]</f>
        <v>1</v>
      </c>
      <c r="X345">
        <f>Table11[[#This Row],[ETP'#s]]</f>
        <v>1</v>
      </c>
    </row>
    <row r="346" spans="1:24" hidden="1" x14ac:dyDescent="0.25">
      <c r="A346">
        <f>Table11[[#This Row],[Farmer'#]]</f>
        <v>40025</v>
      </c>
      <c r="B346" t="str">
        <f>Table11[[#This Row],[Representative]]</f>
        <v>Caralampio Arreola López</v>
      </c>
      <c r="C346" t="str">
        <f>Table11[[#This Row],[Contract Name]]</f>
        <v>Caralampio Arreola López</v>
      </c>
      <c r="D346" t="str">
        <f>Table11[[#This Row],[Status]]</f>
        <v>Active</v>
      </c>
      <c r="E346" t="str">
        <f>Table11[[#This Row],[Contract Code]]</f>
        <v>MX0042</v>
      </c>
      <c r="F346">
        <f>Table11[[#This Row],['#TreesContract]]</f>
        <v>1100</v>
      </c>
      <c r="G346">
        <f>Table11[[#This Row],['#Planted]]</f>
        <v>1100</v>
      </c>
      <c r="H346" s="16">
        <f>Table11[[#This Row],['#TreesContract]]*Table11[[#This Row],[Canada Allocation2017 %]]</f>
        <v>0</v>
      </c>
      <c r="I346" s="16">
        <f>Table11[[#This Row],['#Planted]]*Table11[[#This Row],[Canada Allocation2017 %]]</f>
        <v>0</v>
      </c>
      <c r="J346" s="16">
        <f>Table11[[#This Row],[Contract Amendment]]*Table11[[#This Row],[Canada Allocation2017 %]]</f>
        <v>0</v>
      </c>
      <c r="K346" s="16">
        <f>Table11[[#This Row],['#Trees as of 12/31/23]]*Table11[[#This Row],[Canada Allocation2017 %]]</f>
        <v>0</v>
      </c>
      <c r="L346" s="16">
        <f>Table11[[#This Row],['#Replace 24]]*Table11[[#This Row],[Canada Allocation2017 %]]</f>
        <v>0</v>
      </c>
      <c r="M346" s="16"/>
      <c r="N346" s="16">
        <f>(Table11[[#This Row],[2024 '#Trees Inventory + Estimate]]*Table11[[#This Row],[Canada Allocation2017 %]])-SUM(Table3789[[#This Row],['# Trees as of 12/31/23]:[New Trees/Planted in 2024]])</f>
        <v>0</v>
      </c>
      <c r="O346" s="32">
        <f>SUM(Table3789[[#This Row],['# Trees as of 12/31/23]:[2024 Tree Losses]])</f>
        <v>0</v>
      </c>
      <c r="P346" s="32">
        <f>SUM(Table3789[[#This Row],[Total Trees as of 12/31/24]]-Table3789[[#This Row],['# Trees as of 12/31/23]])</f>
        <v>0</v>
      </c>
      <c r="Q346" s="16">
        <f>Table11[[#This Row],['#Total Replacements]]*Table11[[#This Row],[Canada Allocation2017 %]]</f>
        <v>0</v>
      </c>
      <c r="R346" s="32">
        <f>IF(Table3789[[#This Row],['#Survival based on Inventory]]=0,Table3789['#Survival based on Last Year Estimate],Table3789['#Survival based on Inventory])</f>
        <v>0</v>
      </c>
      <c r="S346" s="16">
        <f>Table11[[#This Row],['#Planted]]*Table11[[#This Row],[Canada Allocation2017 %]]*Table11[[#This Row],[2024 Inventory Survival%-master]]</f>
        <v>0</v>
      </c>
      <c r="T346" s="16">
        <f>Table11[[#This Row],['#Planted]]*Table11[[#This Row],[Canada Allocation2017 %]]*Table11[[#This Row],[2024 Estimated Survival%]]</f>
        <v>0</v>
      </c>
      <c r="U346" s="7">
        <f>Table11[[#This Row],[ETP Year]]</f>
        <v>2022</v>
      </c>
      <c r="V346" s="7">
        <f>Table11[[#This Row],[Planting Year]]</f>
        <v>2023</v>
      </c>
      <c r="W346">
        <f>Table11[[#This Row],[Survival% as of 12/31/23]]</f>
        <v>1</v>
      </c>
      <c r="X346">
        <f>Table11[[#This Row],[ETP'#s]]</f>
        <v>1</v>
      </c>
    </row>
    <row r="347" spans="1:24" hidden="1" x14ac:dyDescent="0.25">
      <c r="A347">
        <f>Table11[[#This Row],[Farmer'#]]</f>
        <v>40026</v>
      </c>
      <c r="B347" t="str">
        <f>Table11[[#This Row],[Representative]]</f>
        <v>Carlos Carbajal Gutiérrez</v>
      </c>
      <c r="C347" t="str">
        <f>Table11[[#This Row],[Contract Name]]</f>
        <v>Carlos Carbajal Gutiérrez</v>
      </c>
      <c r="D347" t="str">
        <f>Table11[[#This Row],[Status]]</f>
        <v>Active</v>
      </c>
      <c r="E347" t="str">
        <f>Table11[[#This Row],[Contract Code]]</f>
        <v>MX0043</v>
      </c>
      <c r="F347">
        <f>Table11[[#This Row],['#TreesContract]]</f>
        <v>1100</v>
      </c>
      <c r="G347">
        <f>Table11[[#This Row],['#Planted]]</f>
        <v>1100</v>
      </c>
      <c r="H347" s="16">
        <f>Table11[[#This Row],['#TreesContract]]*Table11[[#This Row],[Canada Allocation2017 %]]</f>
        <v>0</v>
      </c>
      <c r="I347" s="16">
        <f>Table11[[#This Row],['#Planted]]*Table11[[#This Row],[Canada Allocation2017 %]]</f>
        <v>0</v>
      </c>
      <c r="J347" s="16">
        <f>Table11[[#This Row],[Contract Amendment]]*Table11[[#This Row],[Canada Allocation2017 %]]</f>
        <v>0</v>
      </c>
      <c r="K347" s="16">
        <f>Table11[[#This Row],['#Trees as of 12/31/23]]*Table11[[#This Row],[Canada Allocation2017 %]]</f>
        <v>0</v>
      </c>
      <c r="L347" s="16">
        <f>Table11[[#This Row],['#Replace 24]]*Table11[[#This Row],[Canada Allocation2017 %]]</f>
        <v>0</v>
      </c>
      <c r="M347" s="16"/>
      <c r="N347" s="16">
        <f>(Table11[[#This Row],[2024 '#Trees Inventory + Estimate]]*Table11[[#This Row],[Canada Allocation2017 %]])-SUM(Table3789[[#This Row],['# Trees as of 12/31/23]:[New Trees/Planted in 2024]])</f>
        <v>0</v>
      </c>
      <c r="O347" s="32">
        <f>SUM(Table3789[[#This Row],['# Trees as of 12/31/23]:[2024 Tree Losses]])</f>
        <v>0</v>
      </c>
      <c r="P347" s="32">
        <f>SUM(Table3789[[#This Row],[Total Trees as of 12/31/24]]-Table3789[[#This Row],['# Trees as of 12/31/23]])</f>
        <v>0</v>
      </c>
      <c r="Q347" s="16">
        <f>Table11[[#This Row],['#Total Replacements]]*Table11[[#This Row],[Canada Allocation2017 %]]</f>
        <v>0</v>
      </c>
      <c r="R347" s="32">
        <f>IF(Table3789[[#This Row],['#Survival based on Inventory]]=0,Table3789['#Survival based on Last Year Estimate],Table3789['#Survival based on Inventory])</f>
        <v>0</v>
      </c>
      <c r="S347" s="16">
        <f>Table11[[#This Row],['#Planted]]*Table11[[#This Row],[Canada Allocation2017 %]]*Table11[[#This Row],[2024 Inventory Survival%-master]]</f>
        <v>0</v>
      </c>
      <c r="T347" s="16">
        <f>Table11[[#This Row],['#Planted]]*Table11[[#This Row],[Canada Allocation2017 %]]*Table11[[#This Row],[2024 Estimated Survival%]]</f>
        <v>0</v>
      </c>
      <c r="U347" s="7">
        <f>Table11[[#This Row],[ETP Year]]</f>
        <v>2022</v>
      </c>
      <c r="V347" s="7">
        <f>Table11[[#This Row],[Planting Year]]</f>
        <v>2023</v>
      </c>
      <c r="W347">
        <f>Table11[[#This Row],[Survival% as of 12/31/23]]</f>
        <v>1</v>
      </c>
      <c r="X347">
        <f>Table11[[#This Row],[ETP'#s]]</f>
        <v>1</v>
      </c>
    </row>
    <row r="348" spans="1:24" hidden="1" x14ac:dyDescent="0.25">
      <c r="A348">
        <f>Table11[[#This Row],[Farmer'#]]</f>
        <v>40033</v>
      </c>
      <c r="B348" t="str">
        <f>Table11[[#This Row],[Representative]]</f>
        <v>Pedro Molina Sánchez</v>
      </c>
      <c r="C348" t="str">
        <f>Table11[[#This Row],[Contract Name]]</f>
        <v>Pedro Molina Sánchez</v>
      </c>
      <c r="D348" t="str">
        <f>Table11[[#This Row],[Status]]</f>
        <v>Active</v>
      </c>
      <c r="E348" t="str">
        <f>Table11[[#This Row],[Contract Code]]</f>
        <v>MX0048</v>
      </c>
      <c r="F348">
        <f>Table11[[#This Row],['#TreesContract]]</f>
        <v>1650</v>
      </c>
      <c r="G348">
        <f>Table11[[#This Row],['#Planted]]</f>
        <v>1650</v>
      </c>
      <c r="H348" s="16">
        <f>Table11[[#This Row],['#TreesContract]]*Table11[[#This Row],[Canada Allocation2017 %]]</f>
        <v>0</v>
      </c>
      <c r="I348" s="16">
        <f>Table11[[#This Row],['#Planted]]*Table11[[#This Row],[Canada Allocation2017 %]]</f>
        <v>0</v>
      </c>
      <c r="J348" s="16">
        <f>Table11[[#This Row],[Contract Amendment]]*Table11[[#This Row],[Canada Allocation2017 %]]</f>
        <v>0</v>
      </c>
      <c r="K348" s="16">
        <f>Table11[[#This Row],['#Trees as of 12/31/23]]*Table11[[#This Row],[Canada Allocation2017 %]]</f>
        <v>0</v>
      </c>
      <c r="L348" s="16">
        <f>Table11[[#This Row],['#Replace 24]]*Table11[[#This Row],[Canada Allocation2017 %]]</f>
        <v>0</v>
      </c>
      <c r="M348" s="16"/>
      <c r="N348" s="16">
        <f>(Table11[[#This Row],[2024 '#Trees Inventory + Estimate]]*Table11[[#This Row],[Canada Allocation2017 %]])-SUM(Table3789[[#This Row],['# Trees as of 12/31/23]:[New Trees/Planted in 2024]])</f>
        <v>0</v>
      </c>
      <c r="O348" s="32">
        <f>SUM(Table3789[[#This Row],['# Trees as of 12/31/23]:[2024 Tree Losses]])</f>
        <v>0</v>
      </c>
      <c r="P348" s="32">
        <f>SUM(Table3789[[#This Row],[Total Trees as of 12/31/24]]-Table3789[[#This Row],['# Trees as of 12/31/23]])</f>
        <v>0</v>
      </c>
      <c r="Q348" s="16">
        <f>Table11[[#This Row],['#Total Replacements]]*Table11[[#This Row],[Canada Allocation2017 %]]</f>
        <v>0</v>
      </c>
      <c r="R348" s="32">
        <f>IF(Table3789[[#This Row],['#Survival based on Inventory]]=0,Table3789['#Survival based on Last Year Estimate],Table3789['#Survival based on Inventory])</f>
        <v>0</v>
      </c>
      <c r="S348" s="16">
        <f>Table11[[#This Row],['#Planted]]*Table11[[#This Row],[Canada Allocation2017 %]]*Table11[[#This Row],[2024 Inventory Survival%-master]]</f>
        <v>0</v>
      </c>
      <c r="T348" s="16">
        <f>Table11[[#This Row],['#Planted]]*Table11[[#This Row],[Canada Allocation2017 %]]*Table11[[#This Row],[2024 Estimated Survival%]]</f>
        <v>0</v>
      </c>
      <c r="U348" s="7">
        <f>Table11[[#This Row],[ETP Year]]</f>
        <v>2022</v>
      </c>
      <c r="V348" s="7">
        <f>Table11[[#This Row],[Planting Year]]</f>
        <v>2023</v>
      </c>
      <c r="W348" s="8">
        <f>Table11[[#This Row],[Survival% as of 12/31/23]]</f>
        <v>1</v>
      </c>
      <c r="X348">
        <f>Table11[[#This Row],[ETP'#s]]</f>
        <v>1</v>
      </c>
    </row>
    <row r="349" spans="1:24" hidden="1" x14ac:dyDescent="0.25">
      <c r="A349">
        <f>Table11[[#This Row],[Farmer'#]]</f>
        <v>40035</v>
      </c>
      <c r="B349" t="str">
        <f>Table11[[#This Row],[Representative]]</f>
        <v>Tito Soria Pérez</v>
      </c>
      <c r="C349" t="str">
        <f>Table11[[#This Row],[Contract Name]]</f>
        <v>Tito Soria Pérez</v>
      </c>
      <c r="D349" t="str">
        <f>Table11[[#This Row],[Status]]</f>
        <v>Active</v>
      </c>
      <c r="E349" t="str">
        <f>Table11[[#This Row],[Contract Code]]</f>
        <v>MX0051</v>
      </c>
      <c r="F349">
        <f>Table11[[#This Row],['#TreesContract]]</f>
        <v>11000</v>
      </c>
      <c r="G349">
        <f>Table11[[#This Row],['#Planted]]</f>
        <v>11000</v>
      </c>
      <c r="H349" s="16">
        <f>Table11[[#This Row],['#TreesContract]]*Table11[[#This Row],[Canada Allocation2017 %]]</f>
        <v>0</v>
      </c>
      <c r="I349" s="16">
        <f>Table11[[#This Row],['#Planted]]*Table11[[#This Row],[Canada Allocation2017 %]]</f>
        <v>0</v>
      </c>
      <c r="J349" s="16">
        <f>Table11[[#This Row],[Contract Amendment]]*Table11[[#This Row],[Canada Allocation2017 %]]</f>
        <v>0</v>
      </c>
      <c r="K349" s="16">
        <f>Table11[[#This Row],['#Trees as of 12/31/23]]*Table11[[#This Row],[Canada Allocation2017 %]]</f>
        <v>0</v>
      </c>
      <c r="L349" s="16">
        <f>Table11[[#This Row],['#Replace 24]]*Table11[[#This Row],[Canada Allocation2017 %]]</f>
        <v>0</v>
      </c>
      <c r="M349" s="16"/>
      <c r="N349" s="16">
        <f>(Table11[[#This Row],[2024 '#Trees Inventory + Estimate]]*Table11[[#This Row],[Canada Allocation2017 %]])-SUM(Table3789[[#This Row],['# Trees as of 12/31/23]:[New Trees/Planted in 2024]])</f>
        <v>0</v>
      </c>
      <c r="O349" s="32">
        <f>SUM(Table3789[[#This Row],['# Trees as of 12/31/23]:[2024 Tree Losses]])</f>
        <v>0</v>
      </c>
      <c r="P349" s="32">
        <f>SUM(Table3789[[#This Row],[Total Trees as of 12/31/24]]-Table3789[[#This Row],['# Trees as of 12/31/23]])</f>
        <v>0</v>
      </c>
      <c r="Q349" s="16">
        <f>Table11[[#This Row],['#Total Replacements]]*Table11[[#This Row],[Canada Allocation2017 %]]</f>
        <v>0</v>
      </c>
      <c r="R349" s="32">
        <f>IF(Table3789[[#This Row],['#Survival based on Inventory]]=0,Table3789['#Survival based on Last Year Estimate],Table3789['#Survival based on Inventory])</f>
        <v>0</v>
      </c>
      <c r="S349" s="16">
        <f>Table11[[#This Row],['#Planted]]*Table11[[#This Row],[Canada Allocation2017 %]]*Table11[[#This Row],[2024 Inventory Survival%-master]]</f>
        <v>0</v>
      </c>
      <c r="T349" s="16">
        <f>Table11[[#This Row],['#Planted]]*Table11[[#This Row],[Canada Allocation2017 %]]*Table11[[#This Row],[2024 Estimated Survival%]]</f>
        <v>0</v>
      </c>
      <c r="U349" s="7">
        <f>Table11[[#This Row],[ETP Year]]</f>
        <v>2022</v>
      </c>
      <c r="V349" s="7">
        <f>Table11[[#This Row],[Planting Year]]</f>
        <v>2023</v>
      </c>
      <c r="W349" s="8">
        <f>Table11[[#This Row],[Survival% as of 12/31/23]]</f>
        <v>1</v>
      </c>
      <c r="X349">
        <f>Table11[[#This Row],[ETP'#s]]</f>
        <v>1</v>
      </c>
    </row>
    <row r="350" spans="1:24" hidden="1" x14ac:dyDescent="0.25">
      <c r="A350">
        <f>Table11[[#This Row],[Farmer'#]]</f>
        <v>40037</v>
      </c>
      <c r="B350" t="str">
        <f>Table11[[#This Row],[Representative]]</f>
        <v>Abraham Arreola Salto</v>
      </c>
      <c r="C350" t="str">
        <f>Table11[[#This Row],[Contract Name]]</f>
        <v>Abraham Arreola Salto</v>
      </c>
      <c r="D350" t="str">
        <f>Table11[[#This Row],[Status]]</f>
        <v>Active</v>
      </c>
      <c r="E350" t="str">
        <f>Table11[[#This Row],[Contract Code]]</f>
        <v>MX0038</v>
      </c>
      <c r="F350">
        <f>Table11[[#This Row],['#TreesContract]]</f>
        <v>2750</v>
      </c>
      <c r="G350">
        <f>Table11[[#This Row],['#Planted]]</f>
        <v>2750</v>
      </c>
      <c r="H350" s="16">
        <f>Table11[[#This Row],['#TreesContract]]*Table11[[#This Row],[Canada Allocation2017 %]]</f>
        <v>0</v>
      </c>
      <c r="I350" s="16">
        <f>Table11[[#This Row],['#Planted]]*Table11[[#This Row],[Canada Allocation2017 %]]</f>
        <v>0</v>
      </c>
      <c r="J350" s="16">
        <f>Table11[[#This Row],[Contract Amendment]]*Table11[[#This Row],[Canada Allocation2017 %]]</f>
        <v>0</v>
      </c>
      <c r="K350" s="16">
        <f>Table11[[#This Row],['#Trees as of 12/31/23]]*Table11[[#This Row],[Canada Allocation2017 %]]</f>
        <v>0</v>
      </c>
      <c r="L350" s="16">
        <f>Table11[[#This Row],['#Replace 24]]*Table11[[#This Row],[Canada Allocation2017 %]]</f>
        <v>0</v>
      </c>
      <c r="M350" s="16"/>
      <c r="N350" s="16">
        <f>(Table11[[#This Row],[2024 '#Trees Inventory + Estimate]]*Table11[[#This Row],[Canada Allocation2017 %]])-SUM(Table3789[[#This Row],['# Trees as of 12/31/23]:[New Trees/Planted in 2024]])</f>
        <v>0</v>
      </c>
      <c r="O350" s="32">
        <f>SUM(Table3789[[#This Row],['# Trees as of 12/31/23]:[2024 Tree Losses]])</f>
        <v>0</v>
      </c>
      <c r="P350" s="32">
        <f>SUM(Table3789[[#This Row],[Total Trees as of 12/31/24]]-Table3789[[#This Row],['# Trees as of 12/31/23]])</f>
        <v>0</v>
      </c>
      <c r="Q350" s="16">
        <f>Table11[[#This Row],['#Total Replacements]]*Table11[[#This Row],[Canada Allocation2017 %]]</f>
        <v>0</v>
      </c>
      <c r="R350" s="32">
        <f>IF(Table3789[[#This Row],['#Survival based on Inventory]]=0,Table3789['#Survival based on Last Year Estimate],Table3789['#Survival based on Inventory])</f>
        <v>0</v>
      </c>
      <c r="S350" s="16">
        <f>Table11[[#This Row],['#Planted]]*Table11[[#This Row],[Canada Allocation2017 %]]*Table11[[#This Row],[2024 Inventory Survival%-master]]</f>
        <v>0</v>
      </c>
      <c r="T350" s="16">
        <f>Table11[[#This Row],['#Planted]]*Table11[[#This Row],[Canada Allocation2017 %]]*Table11[[#This Row],[2024 Estimated Survival%]]</f>
        <v>0</v>
      </c>
      <c r="U350" s="7">
        <f>Table11[[#This Row],[ETP Year]]</f>
        <v>2021</v>
      </c>
      <c r="V350" s="7">
        <f>Table11[[#This Row],[Planting Year]]</f>
        <v>2023</v>
      </c>
      <c r="W350" s="8">
        <f>Table11[[#This Row],[Survival% as of 12/31/23]]</f>
        <v>1</v>
      </c>
      <c r="X350">
        <f>Table11[[#This Row],[ETP'#s]]</f>
        <v>1</v>
      </c>
    </row>
    <row r="351" spans="1:24" hidden="1" x14ac:dyDescent="0.25">
      <c r="A351">
        <f>Table11[[#This Row],[Farmer'#]]</f>
        <v>40038</v>
      </c>
      <c r="B351" t="str">
        <f>Table11[[#This Row],[Representative]]</f>
        <v>Agustín Ayala Torres</v>
      </c>
      <c r="C351" t="str">
        <f>Table11[[#This Row],[Contract Name]]</f>
        <v>Agustín Ayala Torres</v>
      </c>
      <c r="D351" t="str">
        <f>Table11[[#This Row],[Status]]</f>
        <v>Active</v>
      </c>
      <c r="E351" t="str">
        <f>Table11[[#This Row],[Contract Code]]</f>
        <v>MX0039</v>
      </c>
      <c r="F351">
        <f>Table11[[#This Row],['#TreesContract]]</f>
        <v>3542</v>
      </c>
      <c r="G351">
        <f>Table11[[#This Row],['#Planted]]</f>
        <v>2800</v>
      </c>
      <c r="H351" s="16">
        <f>Table11[[#This Row],['#TreesContract]]*Table11[[#This Row],[Canada Allocation2017 %]]</f>
        <v>0</v>
      </c>
      <c r="I351" s="16">
        <f>Table11[[#This Row],['#Planted]]*Table11[[#This Row],[Canada Allocation2017 %]]</f>
        <v>0</v>
      </c>
      <c r="J351" s="16">
        <f>Table11[[#This Row],[Contract Amendment]]*Table11[[#This Row],[Canada Allocation2017 %]]</f>
        <v>0</v>
      </c>
      <c r="K351" s="16">
        <f>Table11[[#This Row],['#Trees as of 12/31/23]]*Table11[[#This Row],[Canada Allocation2017 %]]</f>
        <v>0</v>
      </c>
      <c r="L351" s="16">
        <f>Table11[[#This Row],['#Replace 24]]*Table11[[#This Row],[Canada Allocation2017 %]]</f>
        <v>0</v>
      </c>
      <c r="M351" s="16"/>
      <c r="N351" s="16">
        <f>(Table11[[#This Row],[2024 '#Trees Inventory + Estimate]]*Table11[[#This Row],[Canada Allocation2017 %]])-SUM(Table3789[[#This Row],['# Trees as of 12/31/23]:[New Trees/Planted in 2024]])</f>
        <v>0</v>
      </c>
      <c r="O351" s="32">
        <f>SUM(Table3789[[#This Row],['# Trees as of 12/31/23]:[2024 Tree Losses]])</f>
        <v>0</v>
      </c>
      <c r="P351" s="32">
        <f>SUM(Table3789[[#This Row],[Total Trees as of 12/31/24]]-Table3789[[#This Row],['# Trees as of 12/31/23]])</f>
        <v>0</v>
      </c>
      <c r="Q351" s="16">
        <f>Table11[[#This Row],['#Total Replacements]]*Table11[[#This Row],[Canada Allocation2017 %]]</f>
        <v>0</v>
      </c>
      <c r="R351" s="32">
        <f>IF(Table3789[[#This Row],['#Survival based on Inventory]]=0,Table3789['#Survival based on Last Year Estimate],Table3789['#Survival based on Inventory])</f>
        <v>0</v>
      </c>
      <c r="S351" s="16">
        <f>Table11[[#This Row],['#Planted]]*Table11[[#This Row],[Canada Allocation2017 %]]*Table11[[#This Row],[2024 Inventory Survival%-master]]</f>
        <v>0</v>
      </c>
      <c r="T351" s="16">
        <f>Table11[[#This Row],['#Planted]]*Table11[[#This Row],[Canada Allocation2017 %]]*Table11[[#This Row],[2024 Estimated Survival%]]</f>
        <v>0</v>
      </c>
      <c r="U351" s="7">
        <f>Table11[[#This Row],[ETP Year]]</f>
        <v>2022</v>
      </c>
      <c r="V351" s="7">
        <f>Table11[[#This Row],[Planting Year]]</f>
        <v>2023</v>
      </c>
      <c r="W351" s="8">
        <f>Table11[[#This Row],[Survival% as of 12/31/23]]</f>
        <v>1</v>
      </c>
      <c r="X351">
        <f>Table11[[#This Row],[ETP'#s]]</f>
        <v>1</v>
      </c>
    </row>
    <row r="352" spans="1:24" hidden="1" x14ac:dyDescent="0.25">
      <c r="A352">
        <f>Table11[[#This Row],[Farmer'#]]</f>
        <v>40039</v>
      </c>
      <c r="B352" t="str">
        <f>Table11[[#This Row],[Representative]]</f>
        <v>Angela López Cruz</v>
      </c>
      <c r="C352" t="str">
        <f>Table11[[#This Row],[Contract Name]]</f>
        <v>Angela López Cruz</v>
      </c>
      <c r="D352" t="str">
        <f>Table11[[#This Row],[Status]]</f>
        <v>Active</v>
      </c>
      <c r="E352" t="str">
        <f>Table11[[#This Row],[Contract Code]]</f>
        <v>MX0040</v>
      </c>
      <c r="F352">
        <f>Table11[[#This Row],['#TreesContract]]</f>
        <v>2750</v>
      </c>
      <c r="G352">
        <f>Table11[[#This Row],['#Planted]]</f>
        <v>2750</v>
      </c>
      <c r="H352" s="16">
        <f>Table11[[#This Row],['#TreesContract]]*Table11[[#This Row],[Canada Allocation2017 %]]</f>
        <v>0</v>
      </c>
      <c r="I352" s="16">
        <f>Table11[[#This Row],['#Planted]]*Table11[[#This Row],[Canada Allocation2017 %]]</f>
        <v>0</v>
      </c>
      <c r="J352" s="16">
        <f>Table11[[#This Row],[Contract Amendment]]*Table11[[#This Row],[Canada Allocation2017 %]]</f>
        <v>0</v>
      </c>
      <c r="K352" s="16">
        <f>Table11[[#This Row],['#Trees as of 12/31/23]]*Table11[[#This Row],[Canada Allocation2017 %]]</f>
        <v>0</v>
      </c>
      <c r="L352" s="16">
        <f>Table11[[#This Row],['#Replace 24]]*Table11[[#This Row],[Canada Allocation2017 %]]</f>
        <v>0</v>
      </c>
      <c r="M352" s="16"/>
      <c r="N352" s="16">
        <f>(Table11[[#This Row],[2024 '#Trees Inventory + Estimate]]*Table11[[#This Row],[Canada Allocation2017 %]])-SUM(Table3789[[#This Row],['# Trees as of 12/31/23]:[New Trees/Planted in 2024]])</f>
        <v>0</v>
      </c>
      <c r="O352" s="32">
        <f>SUM(Table3789[[#This Row],['# Trees as of 12/31/23]:[2024 Tree Losses]])</f>
        <v>0</v>
      </c>
      <c r="P352" s="32">
        <f>SUM(Table3789[[#This Row],[Total Trees as of 12/31/24]]-Table3789[[#This Row],['# Trees as of 12/31/23]])</f>
        <v>0</v>
      </c>
      <c r="Q352" s="16">
        <f>Table11[[#This Row],['#Total Replacements]]*Table11[[#This Row],[Canada Allocation2017 %]]</f>
        <v>0</v>
      </c>
      <c r="R352" s="32">
        <f>IF(Table3789[[#This Row],['#Survival based on Inventory]]=0,Table3789['#Survival based on Last Year Estimate],Table3789['#Survival based on Inventory])</f>
        <v>0</v>
      </c>
      <c r="S352" s="16">
        <f>Table11[[#This Row],['#Planted]]*Table11[[#This Row],[Canada Allocation2017 %]]*Table11[[#This Row],[2024 Inventory Survival%-master]]</f>
        <v>0</v>
      </c>
      <c r="T352" s="16">
        <f>Table11[[#This Row],['#Planted]]*Table11[[#This Row],[Canada Allocation2017 %]]*Table11[[#This Row],[2024 Estimated Survival%]]</f>
        <v>0</v>
      </c>
      <c r="U352" s="7">
        <f>Table11[[#This Row],[ETP Year]]</f>
        <v>2021</v>
      </c>
      <c r="V352" s="7">
        <f>Table11[[#This Row],[Planting Year]]</f>
        <v>2023</v>
      </c>
      <c r="W352" s="8">
        <f>Table11[[#This Row],[Survival% as of 12/31/23]]</f>
        <v>1</v>
      </c>
      <c r="X352">
        <f>Table11[[#This Row],[ETP'#s]]</f>
        <v>1</v>
      </c>
    </row>
    <row r="353" spans="1:24" hidden="1" x14ac:dyDescent="0.25">
      <c r="A353">
        <f>Table11[[#This Row],[Farmer'#]]</f>
        <v>40040</v>
      </c>
      <c r="B353" t="str">
        <f>Table11[[#This Row],[Representative]]</f>
        <v>Aquiles Augusto Del Río Radilla</v>
      </c>
      <c r="C353" t="str">
        <f>Table11[[#This Row],[Contract Name]]</f>
        <v>Aquiles Augusto Del Río Radilla</v>
      </c>
      <c r="D353" t="str">
        <f>Table11[[#This Row],[Status]]</f>
        <v>Out of Program</v>
      </c>
      <c r="E353" t="str">
        <f>Table11[[#This Row],[Contract Code]]</f>
        <v>MX0041</v>
      </c>
      <c r="F353">
        <f>Table11[[#This Row],['#TreesContract]]</f>
        <v>2750</v>
      </c>
      <c r="G353">
        <f>Table11[[#This Row],['#Planted]]</f>
        <v>420</v>
      </c>
      <c r="H353" s="16">
        <f>Table11[[#This Row],['#TreesContract]]*Table11[[#This Row],[Canada Allocation2017 %]]</f>
        <v>0</v>
      </c>
      <c r="I353" s="16">
        <f>Table11[[#This Row],['#Planted]]*Table11[[#This Row],[Canada Allocation2017 %]]</f>
        <v>0</v>
      </c>
      <c r="J353" s="16">
        <f>Table11[[#This Row],[Contract Amendment]]*Table11[[#This Row],[Canada Allocation2017 %]]</f>
        <v>0</v>
      </c>
      <c r="K353" s="16">
        <f>Table11[[#This Row],['#Trees as of 12/31/23]]*Table11[[#This Row],[Canada Allocation2017 %]]</f>
        <v>0</v>
      </c>
      <c r="L353" s="16">
        <f>Table11[[#This Row],['#Replace 24]]*Table11[[#This Row],[Canada Allocation2017 %]]</f>
        <v>0</v>
      </c>
      <c r="M353" s="16"/>
      <c r="N353" s="16">
        <f>(Table11[[#This Row],[2024 '#Trees Inventory + Estimate]]*Table11[[#This Row],[Canada Allocation2017 %]])-SUM(Table3789[[#This Row],['# Trees as of 12/31/23]:[New Trees/Planted in 2024]])</f>
        <v>0</v>
      </c>
      <c r="O353" s="32">
        <f>SUM(Table3789[[#This Row],['# Trees as of 12/31/23]:[2024 Tree Losses]])</f>
        <v>0</v>
      </c>
      <c r="P353" s="32">
        <f>SUM(Table3789[[#This Row],[Total Trees as of 12/31/24]]-Table3789[[#This Row],['# Trees as of 12/31/23]])</f>
        <v>0</v>
      </c>
      <c r="Q353" s="16">
        <f>Table11[[#This Row],['#Total Replacements]]*Table11[[#This Row],[Canada Allocation2017 %]]</f>
        <v>0</v>
      </c>
      <c r="R353" s="32">
        <f>IF(Table3789[[#This Row],['#Survival based on Inventory]]=0,Table3789['#Survival based on Last Year Estimate],Table3789['#Survival based on Inventory])</f>
        <v>0</v>
      </c>
      <c r="S353" s="16">
        <f>Table11[[#This Row],['#Planted]]*Table11[[#This Row],[Canada Allocation2017 %]]*Table11[[#This Row],[2024 Inventory Survival%-master]]</f>
        <v>0</v>
      </c>
      <c r="T353" s="16">
        <f>Table11[[#This Row],['#Planted]]*Table11[[#This Row],[Canada Allocation2017 %]]*Table11[[#This Row],[2024 Estimated Survival%]]</f>
        <v>0</v>
      </c>
      <c r="U353" s="7">
        <f>Table11[[#This Row],[ETP Year]]</f>
        <v>2022</v>
      </c>
      <c r="V353" s="7">
        <f>Table11[[#This Row],[Planting Year]]</f>
        <v>2023</v>
      </c>
      <c r="W353" s="8">
        <f>Table11[[#This Row],[Survival% as of 12/31/23]]</f>
        <v>0</v>
      </c>
      <c r="X353">
        <f>Table11[[#This Row],[ETP'#s]]</f>
        <v>0</v>
      </c>
    </row>
    <row r="354" spans="1:24" hidden="1" x14ac:dyDescent="0.25">
      <c r="A354">
        <f>Table11[[#This Row],[Farmer'#]]</f>
        <v>40041</v>
      </c>
      <c r="B354" t="str">
        <f>Table11[[#This Row],[Representative]]</f>
        <v>Eduardo Romero Aguilar</v>
      </c>
      <c r="C354" t="str">
        <f>Table11[[#This Row],[Contract Name]]</f>
        <v>Eduardo Romero Aguilar</v>
      </c>
      <c r="D354" t="str">
        <f>Table11[[#This Row],[Status]]</f>
        <v>Active</v>
      </c>
      <c r="E354" t="str">
        <f>Table11[[#This Row],[Contract Code]]</f>
        <v>MX0044</v>
      </c>
      <c r="F354">
        <f>Table11[[#This Row],['#TreesContract]]</f>
        <v>2750</v>
      </c>
      <c r="G354">
        <f>Table11[[#This Row],['#Planted]]</f>
        <v>2750</v>
      </c>
      <c r="H354" s="16">
        <f>Table11[[#This Row],['#TreesContract]]*Table11[[#This Row],[Canada Allocation2017 %]]</f>
        <v>0</v>
      </c>
      <c r="I354" s="16">
        <f>Table11[[#This Row],['#Planted]]*Table11[[#This Row],[Canada Allocation2017 %]]</f>
        <v>0</v>
      </c>
      <c r="J354" s="16">
        <f>Table11[[#This Row],[Contract Amendment]]*Table11[[#This Row],[Canada Allocation2017 %]]</f>
        <v>0</v>
      </c>
      <c r="K354" s="16">
        <f>Table11[[#This Row],['#Trees as of 12/31/23]]*Table11[[#This Row],[Canada Allocation2017 %]]</f>
        <v>0</v>
      </c>
      <c r="L354" s="16">
        <f>Table11[[#This Row],['#Replace 24]]*Table11[[#This Row],[Canada Allocation2017 %]]</f>
        <v>0</v>
      </c>
      <c r="M354" s="16"/>
      <c r="N354" s="16">
        <f>(Table11[[#This Row],[2024 '#Trees Inventory + Estimate]]*Table11[[#This Row],[Canada Allocation2017 %]])-SUM(Table3789[[#This Row],['# Trees as of 12/31/23]:[New Trees/Planted in 2024]])</f>
        <v>0</v>
      </c>
      <c r="O354" s="33">
        <f>SUM(Table3789[[#This Row],['# Trees as of 12/31/23]:[2024 Tree Losses]])</f>
        <v>0</v>
      </c>
      <c r="P354" s="33">
        <f>SUM(Table3789[[#This Row],[Total Trees as of 12/31/24]]-Table3789[[#This Row],['# Trees as of 12/31/23]])</f>
        <v>0</v>
      </c>
      <c r="Q354" s="16">
        <f>Table11[[#This Row],['#Total Replacements]]*Table11[[#This Row],[Canada Allocation2017 %]]</f>
        <v>0</v>
      </c>
      <c r="R354" s="33">
        <f>IF(Table3789[[#This Row],['#Survival based on Inventory]]=0,Table3789['#Survival based on Last Year Estimate],Table3789['#Survival based on Inventory])</f>
        <v>0</v>
      </c>
      <c r="S354" s="16">
        <f>Table11[[#This Row],['#Planted]]*Table11[[#This Row],[Canada Allocation2017 %]]*Table11[[#This Row],[2024 Inventory Survival%-master]]</f>
        <v>0</v>
      </c>
      <c r="T354" s="16">
        <f>Table11[[#This Row],['#Planted]]*Table11[[#This Row],[Canada Allocation2017 %]]*Table11[[#This Row],[2024 Estimated Survival%]]</f>
        <v>0</v>
      </c>
      <c r="U354" s="7">
        <f>Table11[[#This Row],[ETP Year]]</f>
        <v>2021</v>
      </c>
      <c r="V354" s="7">
        <f>Table11[[#This Row],[Planting Year]]</f>
        <v>2023</v>
      </c>
      <c r="W354" s="18">
        <f>Table11[[#This Row],[Survival% as of 12/31/23]]</f>
        <v>1</v>
      </c>
      <c r="X354">
        <f>Table11[[#This Row],[ETP'#s]]</f>
        <v>1</v>
      </c>
    </row>
    <row r="355" spans="1:24" hidden="1" x14ac:dyDescent="0.25">
      <c r="A355">
        <f>Table11[[#This Row],[Farmer'#]]</f>
        <v>40042</v>
      </c>
      <c r="B355" t="str">
        <f>Table11[[#This Row],[Representative]]</f>
        <v>Juan Ramón Aguilar Rodríguez</v>
      </c>
      <c r="C355" t="str">
        <f>Table11[[#This Row],[Contract Name]]</f>
        <v>Juan Ramón Aguilar Rodríguez</v>
      </c>
      <c r="D355" t="str">
        <f>Table11[[#This Row],[Status]]</f>
        <v>Out of Program</v>
      </c>
      <c r="E355" t="str">
        <f>Table11[[#This Row],[Contract Code]]</f>
        <v>MX0045</v>
      </c>
      <c r="F355">
        <f>Table11[[#This Row],['#TreesContract]]</f>
        <v>550</v>
      </c>
      <c r="G355">
        <f>Table11[[#This Row],['#Planted]]</f>
        <v>200</v>
      </c>
      <c r="H355" s="16">
        <f>Table11[[#This Row],['#TreesContract]]*Table11[[#This Row],[Canada Allocation2017 %]]</f>
        <v>0</v>
      </c>
      <c r="I355" s="16">
        <f>Table11[[#This Row],['#Planted]]*Table11[[#This Row],[Canada Allocation2017 %]]</f>
        <v>0</v>
      </c>
      <c r="J355" s="16">
        <f>Table11[[#This Row],[Contract Amendment]]*Table11[[#This Row],[Canada Allocation2017 %]]</f>
        <v>0</v>
      </c>
      <c r="K355" s="16">
        <f>Table11[[#This Row],['#Trees as of 12/31/23]]*Table11[[#This Row],[Canada Allocation2017 %]]</f>
        <v>0</v>
      </c>
      <c r="L355" s="16">
        <f>Table11[[#This Row],['#Replace 24]]*Table11[[#This Row],[Canada Allocation2017 %]]</f>
        <v>0</v>
      </c>
      <c r="M355" s="16"/>
      <c r="N355" s="16">
        <f>(Table11[[#This Row],[2024 '#Trees Inventory + Estimate]]*Table11[[#This Row],[Canada Allocation2017 %]])-SUM(Table3789[[#This Row],['# Trees as of 12/31/23]:[New Trees/Planted in 2024]])</f>
        <v>0</v>
      </c>
      <c r="O355" s="16">
        <f>SUM(Table3789[[#This Row],['# Trees as of 12/31/23]:[2024 Tree Losses]])</f>
        <v>0</v>
      </c>
      <c r="P355" s="16">
        <f>SUM(Table3789[[#This Row],[Total Trees as of 12/31/24]]-Table3789[[#This Row],['# Trees as of 12/31/23]])</f>
        <v>0</v>
      </c>
      <c r="Q355" s="16">
        <f>Table11[[#This Row],['#Total Replacements]]*Table11[[#This Row],[Canada Allocation2017 %]]</f>
        <v>0</v>
      </c>
      <c r="R355" s="16">
        <f>IF(Table3789[[#This Row],['#Survival based on Inventory]]=0,Table3789['#Survival based on Last Year Estimate],Table3789['#Survival based on Inventory])</f>
        <v>0</v>
      </c>
      <c r="S355" s="16">
        <f>Table11[[#This Row],['#Planted]]*Table11[[#This Row],[Canada Allocation2017 %]]*Table11[[#This Row],[2024 Inventory Survival%-master]]</f>
        <v>0</v>
      </c>
      <c r="T355" s="16">
        <f>Table11[[#This Row],['#Planted]]*Table11[[#This Row],[Canada Allocation2017 %]]*Table11[[#This Row],[2024 Estimated Survival%]]</f>
        <v>0</v>
      </c>
      <c r="U355" s="7">
        <f>Table11[[#This Row],[ETP Year]]</f>
        <v>2022</v>
      </c>
      <c r="V355" s="7">
        <f>Table11[[#This Row],[Planting Year]]</f>
        <v>2023</v>
      </c>
      <c r="W355">
        <f>Table11[[#This Row],[Survival% as of 12/31/23]]</f>
        <v>0</v>
      </c>
      <c r="X355">
        <f>Table11[[#This Row],[ETP'#s]]</f>
        <v>0</v>
      </c>
    </row>
    <row r="356" spans="1:24" hidden="1" x14ac:dyDescent="0.25">
      <c r="A356">
        <f>Table11[[#This Row],[Farmer'#]]</f>
        <v>40043</v>
      </c>
      <c r="B356" t="str">
        <f>Table11[[#This Row],[Representative]]</f>
        <v>Lorenzo Rodríguez Osorio</v>
      </c>
      <c r="C356" t="str">
        <f>Table11[[#This Row],[Contract Name]]</f>
        <v>Lorenzo Rodríguez Osorio</v>
      </c>
      <c r="D356" t="str">
        <f>Table11[[#This Row],[Status]]</f>
        <v>Active</v>
      </c>
      <c r="E356" t="str">
        <f>Table11[[#This Row],[Contract Code]]</f>
        <v>MX0046</v>
      </c>
      <c r="F356">
        <f>Table11[[#This Row],['#TreesContract]]</f>
        <v>1100</v>
      </c>
      <c r="G356">
        <f>Table11[[#This Row],['#Planted]]</f>
        <v>1100</v>
      </c>
      <c r="H356" s="16">
        <f>Table11[[#This Row],['#TreesContract]]*Table11[[#This Row],[Canada Allocation2017 %]]</f>
        <v>0</v>
      </c>
      <c r="I356" s="16">
        <f>Table11[[#This Row],['#Planted]]*Table11[[#This Row],[Canada Allocation2017 %]]</f>
        <v>0</v>
      </c>
      <c r="J356" s="16">
        <f>Table11[[#This Row],[Contract Amendment]]*Table11[[#This Row],[Canada Allocation2017 %]]</f>
        <v>0</v>
      </c>
      <c r="K356" s="16">
        <f>Table11[[#This Row],['#Trees as of 12/31/23]]*Table11[[#This Row],[Canada Allocation2017 %]]</f>
        <v>0</v>
      </c>
      <c r="L356" s="16">
        <f>Table11[[#This Row],['#Replace 24]]*Table11[[#This Row],[Canada Allocation2017 %]]</f>
        <v>0</v>
      </c>
      <c r="M356" s="16"/>
      <c r="N356" s="16">
        <f>(Table11[[#This Row],[2024 '#Trees Inventory + Estimate]]*Table11[[#This Row],[Canada Allocation2017 %]])-SUM(Table3789[[#This Row],['# Trees as of 12/31/23]:[New Trees/Planted in 2024]])</f>
        <v>0</v>
      </c>
      <c r="O356" s="16">
        <f>SUM(Table3789[[#This Row],['# Trees as of 12/31/23]:[2024 Tree Losses]])</f>
        <v>0</v>
      </c>
      <c r="P356" s="16">
        <f>SUM(Table3789[[#This Row],[Total Trees as of 12/31/24]]-Table3789[[#This Row],['# Trees as of 12/31/23]])</f>
        <v>0</v>
      </c>
      <c r="Q356" s="16">
        <f>Table11[[#This Row],['#Total Replacements]]*Table11[[#This Row],[Canada Allocation2017 %]]</f>
        <v>0</v>
      </c>
      <c r="R356" s="16">
        <f>IF(Table3789[[#This Row],['#Survival based on Inventory]]=0,Table3789['#Survival based on Last Year Estimate],Table3789['#Survival based on Inventory])</f>
        <v>0</v>
      </c>
      <c r="S356" s="16">
        <f>Table11[[#This Row],['#Planted]]*Table11[[#This Row],[Canada Allocation2017 %]]*Table11[[#This Row],[2024 Inventory Survival%-master]]</f>
        <v>0</v>
      </c>
      <c r="T356" s="16">
        <f>Table11[[#This Row],['#Planted]]*Table11[[#This Row],[Canada Allocation2017 %]]*Table11[[#This Row],[2024 Estimated Survival%]]</f>
        <v>0</v>
      </c>
      <c r="U356" s="7">
        <f>Table11[[#This Row],[ETP Year]]</f>
        <v>2021</v>
      </c>
      <c r="V356" s="7">
        <f>Table11[[#This Row],[Planting Year]]</f>
        <v>2023</v>
      </c>
      <c r="W356">
        <f>Table11[[#This Row],[Survival% as of 12/31/23]]</f>
        <v>1</v>
      </c>
      <c r="X356">
        <f>Table11[[#This Row],[ETP'#s]]</f>
        <v>1</v>
      </c>
    </row>
    <row r="357" spans="1:24" hidden="1" x14ac:dyDescent="0.25">
      <c r="A357">
        <f>Table11[[#This Row],[Farmer'#]]</f>
        <v>40044</v>
      </c>
      <c r="B357" t="str">
        <f>Table11[[#This Row],[Representative]]</f>
        <v>Moisés Jacinto Felipe</v>
      </c>
      <c r="C357" t="str">
        <f>Table11[[#This Row],[Contract Name]]</f>
        <v>Moisés Jacinto Felipe</v>
      </c>
      <c r="D357" t="str">
        <f>Table11[[#This Row],[Status]]</f>
        <v>Active</v>
      </c>
      <c r="E357" t="str">
        <f>Table11[[#This Row],[Contract Code]]</f>
        <v>MX0047</v>
      </c>
      <c r="F357">
        <f>Table11[[#This Row],['#TreesContract]]</f>
        <v>4400</v>
      </c>
      <c r="G357">
        <f>Table11[[#This Row],['#Planted]]</f>
        <v>2650</v>
      </c>
      <c r="H357" s="16">
        <f>Table11[[#This Row],['#TreesContract]]*Table11[[#This Row],[Canada Allocation2017 %]]</f>
        <v>0</v>
      </c>
      <c r="I357" s="16">
        <f>Table11[[#This Row],['#Planted]]*Table11[[#This Row],[Canada Allocation2017 %]]</f>
        <v>0</v>
      </c>
      <c r="J357" s="16">
        <f>Table11[[#This Row],[Contract Amendment]]*Table11[[#This Row],[Canada Allocation2017 %]]</f>
        <v>0</v>
      </c>
      <c r="K357" s="16">
        <f>Table11[[#This Row],['#Trees as of 12/31/23]]*Table11[[#This Row],[Canada Allocation2017 %]]</f>
        <v>0</v>
      </c>
      <c r="L357" s="16">
        <f>Table11[[#This Row],['#Replace 24]]*Table11[[#This Row],[Canada Allocation2017 %]]</f>
        <v>0</v>
      </c>
      <c r="M357" s="16"/>
      <c r="N357" s="16">
        <f>(Table11[[#This Row],[2024 '#Trees Inventory + Estimate]]*Table11[[#This Row],[Canada Allocation2017 %]])-SUM(Table3789[[#This Row],['# Trees as of 12/31/23]:[New Trees/Planted in 2024]])</f>
        <v>0</v>
      </c>
      <c r="O357" s="16">
        <f>SUM(Table3789[[#This Row],['# Trees as of 12/31/23]:[2024 Tree Losses]])</f>
        <v>0</v>
      </c>
      <c r="P357" s="16">
        <f>SUM(Table3789[[#This Row],[Total Trees as of 12/31/24]]-Table3789[[#This Row],['# Trees as of 12/31/23]])</f>
        <v>0</v>
      </c>
      <c r="Q357" s="16">
        <f>Table11[[#This Row],['#Total Replacements]]*Table11[[#This Row],[Canada Allocation2017 %]]</f>
        <v>0</v>
      </c>
      <c r="R357" s="16">
        <f>IF(Table3789[[#This Row],['#Survival based on Inventory]]=0,Table3789['#Survival based on Last Year Estimate],Table3789['#Survival based on Inventory])</f>
        <v>0</v>
      </c>
      <c r="S357" s="16">
        <f>Table11[[#This Row],['#Planted]]*Table11[[#This Row],[Canada Allocation2017 %]]*Table11[[#This Row],[2024 Inventory Survival%-master]]</f>
        <v>0</v>
      </c>
      <c r="T357" s="16">
        <f>Table11[[#This Row],['#Planted]]*Table11[[#This Row],[Canada Allocation2017 %]]*Table11[[#This Row],[2024 Estimated Survival%]]</f>
        <v>0</v>
      </c>
      <c r="U357" s="7">
        <f>Table11[[#This Row],[ETP Year]]</f>
        <v>2022</v>
      </c>
      <c r="V357" s="7">
        <f>Table11[[#This Row],[Planting Year]]</f>
        <v>2023</v>
      </c>
      <c r="W357">
        <f>Table11[[#This Row],[Survival% as of 12/31/23]]</f>
        <v>1</v>
      </c>
      <c r="X357">
        <f>Table11[[#This Row],[ETP'#s]]</f>
        <v>1</v>
      </c>
    </row>
    <row r="358" spans="1:24" hidden="1" x14ac:dyDescent="0.25">
      <c r="A358">
        <f>Table11[[#This Row],[Farmer'#]]</f>
        <v>40045</v>
      </c>
      <c r="B358" t="str">
        <f>Table11[[#This Row],[Representative]]</f>
        <v>Roberta Felipe Cruz</v>
      </c>
      <c r="C358" t="str">
        <f>Table11[[#This Row],[Contract Name]]</f>
        <v>Roberta Felipe Cruz</v>
      </c>
      <c r="D358" t="str">
        <f>Table11[[#This Row],[Status]]</f>
        <v>Active</v>
      </c>
      <c r="E358" t="str">
        <f>Table11[[#This Row],[Contract Code]]</f>
        <v>MX0049</v>
      </c>
      <c r="F358">
        <f>Table11[[#This Row],['#TreesContract]]</f>
        <v>2750</v>
      </c>
      <c r="G358">
        <f>Table11[[#This Row],['#Planted]]</f>
        <v>1650</v>
      </c>
      <c r="H358" s="16">
        <f>Table11[[#This Row],['#TreesContract]]*Table11[[#This Row],[Canada Allocation2017 %]]</f>
        <v>0</v>
      </c>
      <c r="I358" s="16">
        <f>Table11[[#This Row],['#Planted]]*Table11[[#This Row],[Canada Allocation2017 %]]</f>
        <v>0</v>
      </c>
      <c r="J358" s="16">
        <f>Table11[[#This Row],[Contract Amendment]]*Table11[[#This Row],[Canada Allocation2017 %]]</f>
        <v>0</v>
      </c>
      <c r="K358" s="16">
        <f>Table11[[#This Row],['#Trees as of 12/31/23]]*Table11[[#This Row],[Canada Allocation2017 %]]</f>
        <v>0</v>
      </c>
      <c r="L358" s="16">
        <f>Table11[[#This Row],['#Replace 24]]*Table11[[#This Row],[Canada Allocation2017 %]]</f>
        <v>0</v>
      </c>
      <c r="M358" s="16"/>
      <c r="N358" s="16">
        <f>(Table11[[#This Row],[2024 '#Trees Inventory + Estimate]]*Table11[[#This Row],[Canada Allocation2017 %]])-SUM(Table3789[[#This Row],['# Trees as of 12/31/23]:[New Trees/Planted in 2024]])</f>
        <v>0</v>
      </c>
      <c r="O358" s="16">
        <f>SUM(Table3789[[#This Row],['# Trees as of 12/31/23]:[2024 Tree Losses]])</f>
        <v>0</v>
      </c>
      <c r="P358" s="16">
        <f>SUM(Table3789[[#This Row],[Total Trees as of 12/31/24]]-Table3789[[#This Row],['# Trees as of 12/31/23]])</f>
        <v>0</v>
      </c>
      <c r="Q358" s="16">
        <f>Table11[[#This Row],['#Total Replacements]]*Table11[[#This Row],[Canada Allocation2017 %]]</f>
        <v>0</v>
      </c>
      <c r="R358" s="16">
        <f>IF(Table3789[[#This Row],['#Survival based on Inventory]]=0,Table3789['#Survival based on Last Year Estimate],Table3789['#Survival based on Inventory])</f>
        <v>0</v>
      </c>
      <c r="S358" s="16">
        <f>Table11[[#This Row],['#Planted]]*Table11[[#This Row],[Canada Allocation2017 %]]*Table11[[#This Row],[2024 Inventory Survival%-master]]</f>
        <v>0</v>
      </c>
      <c r="T358" s="16">
        <f>Table11[[#This Row],['#Planted]]*Table11[[#This Row],[Canada Allocation2017 %]]*Table11[[#This Row],[2024 Estimated Survival%]]</f>
        <v>0</v>
      </c>
      <c r="U358" s="7">
        <f>Table11[[#This Row],[ETP Year]]</f>
        <v>2022</v>
      </c>
      <c r="V358" s="7">
        <f>Table11[[#This Row],[Planting Year]]</f>
        <v>2023</v>
      </c>
      <c r="W358">
        <f>Table11[[#This Row],[Survival% as of 12/31/23]]</f>
        <v>1</v>
      </c>
      <c r="X358">
        <f>Table11[[#This Row],[ETP'#s]]</f>
        <v>1</v>
      </c>
    </row>
    <row r="359" spans="1:24" hidden="1" x14ac:dyDescent="0.25">
      <c r="A359">
        <f>Table11[[#This Row],[Farmer'#]]</f>
        <v>40046</v>
      </c>
      <c r="B359" t="str">
        <f>Table11[[#This Row],[Representative]]</f>
        <v>Sofía Bautista Bustos</v>
      </c>
      <c r="C359" t="str">
        <f>Table11[[#This Row],[Contract Name]]</f>
        <v>Sofía Bautista Bustos</v>
      </c>
      <c r="D359" t="str">
        <f>Table11[[#This Row],[Status]]</f>
        <v>Active</v>
      </c>
      <c r="E359" t="str">
        <f>Table11[[#This Row],[Contract Code]]</f>
        <v>MX0050</v>
      </c>
      <c r="F359">
        <f>Table11[[#This Row],['#TreesContract]]</f>
        <v>2750</v>
      </c>
      <c r="G359">
        <f>Table11[[#This Row],['#Planted]]</f>
        <v>2750</v>
      </c>
      <c r="H359" s="16">
        <f>Table11[[#This Row],['#TreesContract]]*Table11[[#This Row],[Canada Allocation2017 %]]</f>
        <v>0</v>
      </c>
      <c r="I359" s="16">
        <f>Table11[[#This Row],['#Planted]]*Table11[[#This Row],[Canada Allocation2017 %]]</f>
        <v>0</v>
      </c>
      <c r="J359" s="16">
        <f>Table11[[#This Row],[Contract Amendment]]*Table11[[#This Row],[Canada Allocation2017 %]]</f>
        <v>0</v>
      </c>
      <c r="K359" s="16">
        <f>Table11[[#This Row],['#Trees as of 12/31/23]]*Table11[[#This Row],[Canada Allocation2017 %]]</f>
        <v>0</v>
      </c>
      <c r="L359" s="16">
        <f>Table11[[#This Row],['#Replace 24]]*Table11[[#This Row],[Canada Allocation2017 %]]</f>
        <v>0</v>
      </c>
      <c r="M359" s="16"/>
      <c r="N359" s="16">
        <f>(Table11[[#This Row],[2024 '#Trees Inventory + Estimate]]*Table11[[#This Row],[Canada Allocation2017 %]])-SUM(Table3789[[#This Row],['# Trees as of 12/31/23]:[New Trees/Planted in 2024]])</f>
        <v>0</v>
      </c>
      <c r="O359" s="16">
        <f>SUM(Table3789[[#This Row],['# Trees as of 12/31/23]:[2024 Tree Losses]])</f>
        <v>0</v>
      </c>
      <c r="P359" s="16">
        <f>SUM(Table3789[[#This Row],[Total Trees as of 12/31/24]]-Table3789[[#This Row],['# Trees as of 12/31/23]])</f>
        <v>0</v>
      </c>
      <c r="Q359" s="16">
        <f>Table11[[#This Row],['#Total Replacements]]*Table11[[#This Row],[Canada Allocation2017 %]]</f>
        <v>0</v>
      </c>
      <c r="R359" s="16">
        <f>IF(Table3789[[#This Row],['#Survival based on Inventory]]=0,Table3789['#Survival based on Last Year Estimate],Table3789['#Survival based on Inventory])</f>
        <v>0</v>
      </c>
      <c r="S359" s="16">
        <f>Table11[[#This Row],['#Planted]]*Table11[[#This Row],[Canada Allocation2017 %]]*Table11[[#This Row],[2024 Inventory Survival%-master]]</f>
        <v>0</v>
      </c>
      <c r="T359" s="16">
        <f>Table11[[#This Row],['#Planted]]*Table11[[#This Row],[Canada Allocation2017 %]]*Table11[[#This Row],[2024 Estimated Survival%]]</f>
        <v>0</v>
      </c>
      <c r="U359" s="7">
        <f>Table11[[#This Row],[ETP Year]]</f>
        <v>2021</v>
      </c>
      <c r="V359" s="7">
        <f>Table11[[#This Row],[Planting Year]]</f>
        <v>2023</v>
      </c>
      <c r="W359">
        <f>Table11[[#This Row],[Survival% as of 12/31/23]]</f>
        <v>1</v>
      </c>
      <c r="X359">
        <f>Table11[[#This Row],[ETP'#s]]</f>
        <v>1</v>
      </c>
    </row>
    <row r="360" spans="1:24" hidden="1" x14ac:dyDescent="0.25">
      <c r="A360">
        <f>Table11[[#This Row],[Farmer'#]]</f>
        <v>40047</v>
      </c>
      <c r="B360" t="str">
        <f>Table11[[#This Row],[Representative]]</f>
        <v>Victorico Ortega Cohetero</v>
      </c>
      <c r="C360" t="str">
        <f>Table11[[#This Row],[Contract Name]]</f>
        <v>Victorico Ortega Cohetero</v>
      </c>
      <c r="D360" t="str">
        <f>Table11[[#This Row],[Status]]</f>
        <v>Active</v>
      </c>
      <c r="E360" t="str">
        <f>Table11[[#This Row],[Contract Code]]</f>
        <v>MX0052</v>
      </c>
      <c r="F360">
        <f>Table11[[#This Row],['#TreesContract]]</f>
        <v>2750</v>
      </c>
      <c r="G360">
        <f>Table11[[#This Row],['#Planted]]</f>
        <v>2750</v>
      </c>
      <c r="H360" s="16">
        <f>Table11[[#This Row],['#TreesContract]]*Table11[[#This Row],[Canada Allocation2017 %]]</f>
        <v>0</v>
      </c>
      <c r="I360" s="16">
        <f>Table11[[#This Row],['#Planted]]*Table11[[#This Row],[Canada Allocation2017 %]]</f>
        <v>0</v>
      </c>
      <c r="J360" s="16">
        <f>Table11[[#This Row],[Contract Amendment]]*Table11[[#This Row],[Canada Allocation2017 %]]</f>
        <v>0</v>
      </c>
      <c r="K360" s="16">
        <f>Table11[[#This Row],['#Trees as of 12/31/23]]*Table11[[#This Row],[Canada Allocation2017 %]]</f>
        <v>0</v>
      </c>
      <c r="L360" s="16">
        <f>Table11[[#This Row],['#Replace 24]]*Table11[[#This Row],[Canada Allocation2017 %]]</f>
        <v>0</v>
      </c>
      <c r="M360" s="16"/>
      <c r="N360" s="16">
        <f>(Table11[[#This Row],[2024 '#Trees Inventory + Estimate]]*Table11[[#This Row],[Canada Allocation2017 %]])-SUM(Table3789[[#This Row],['# Trees as of 12/31/23]:[New Trees/Planted in 2024]])</f>
        <v>0</v>
      </c>
      <c r="O360" s="16">
        <f>SUM(Table3789[[#This Row],['# Trees as of 12/31/23]:[2024 Tree Losses]])</f>
        <v>0</v>
      </c>
      <c r="P360" s="16">
        <f>SUM(Table3789[[#This Row],[Total Trees as of 12/31/24]]-Table3789[[#This Row],['# Trees as of 12/31/23]])</f>
        <v>0</v>
      </c>
      <c r="Q360" s="16">
        <f>Table11[[#This Row],['#Total Replacements]]*Table11[[#This Row],[Canada Allocation2017 %]]</f>
        <v>0</v>
      </c>
      <c r="R360" s="16">
        <f>IF(Table3789[[#This Row],['#Survival based on Inventory]]=0,Table3789['#Survival based on Last Year Estimate],Table3789['#Survival based on Inventory])</f>
        <v>0</v>
      </c>
      <c r="S360" s="16">
        <f>Table11[[#This Row],['#Planted]]*Table11[[#This Row],[Canada Allocation2017 %]]*Table11[[#This Row],[2024 Inventory Survival%-master]]</f>
        <v>0</v>
      </c>
      <c r="T360" s="16">
        <f>Table11[[#This Row],['#Planted]]*Table11[[#This Row],[Canada Allocation2017 %]]*Table11[[#This Row],[2024 Estimated Survival%]]</f>
        <v>0</v>
      </c>
      <c r="U360" s="7">
        <f>Table11[[#This Row],[ETP Year]]</f>
        <v>2021</v>
      </c>
      <c r="V360" s="7">
        <f>Table11[[#This Row],[Planting Year]]</f>
        <v>2023</v>
      </c>
      <c r="W360">
        <f>Table11[[#This Row],[Survival% as of 12/31/23]]</f>
        <v>1</v>
      </c>
      <c r="X360">
        <f>Table11[[#This Row],[ETP'#s]]</f>
        <v>1</v>
      </c>
    </row>
    <row r="361" spans="1:24" x14ac:dyDescent="0.25">
      <c r="B361">
        <f>SUBTOTAL(109,Table3789[Representative])</f>
        <v>0</v>
      </c>
      <c r="C361">
        <f>SUBTOTAL(109,Table3789[Contract Name])</f>
        <v>0</v>
      </c>
      <c r="D361">
        <f>SUBTOTAL(109,Table3789[Status])</f>
        <v>0</v>
      </c>
      <c r="E361">
        <f>SUBTOTAL(109,Table3789[Contract'#])</f>
        <v>0</v>
      </c>
      <c r="F361">
        <f>SUBTOTAL(109,Table3789['#TreesContract])</f>
        <v>29386</v>
      </c>
      <c r="G361">
        <f>SUBTOTAL(109,Table3789['#Planted])</f>
        <v>29386</v>
      </c>
      <c r="H361" s="39">
        <f>SUBTOTAL(109,Table3789['# Trees Allocated to US Series])</f>
        <v>0</v>
      </c>
      <c r="I361" s="39">
        <f>SUBTOTAL(109,Table3789['# Planted for Allocated Portion])</f>
        <v>0</v>
      </c>
      <c r="J361" s="16">
        <f>SUBTOTAL(109,Table3789[Amendment])</f>
        <v>0</v>
      </c>
      <c r="K361" s="16">
        <f>SUBTOTAL(109,Table3789['# Trees as of 12/31/23])</f>
        <v>0</v>
      </c>
      <c r="L361" s="16">
        <f>SUBTOTAL(109,Table3789['# Replaced in 2024])</f>
        <v>0</v>
      </c>
      <c r="M361" s="16">
        <f>SUBTOTAL(109,Table3789[New Trees/Planted in 2024])</f>
        <v>0</v>
      </c>
      <c r="N361" s="16">
        <f>SUBTOTAL(109,Table3789[2024 Tree Losses])</f>
        <v>0</v>
      </c>
      <c r="O361" s="39">
        <f>SUBTOTAL(109,Table3789[Total Trees as of 12/31/24])</f>
        <v>0</v>
      </c>
      <c r="P361" s="16">
        <f>SUBTOTAL(109,Table3789[Tree Change as of 12/31/24])</f>
        <v>0</v>
      </c>
      <c r="Q361" s="16">
        <f>SUBTOTAL(109,Table3789['#Total Replaced All Years])</f>
        <v>0</v>
      </c>
      <c r="R361" s="16">
        <f>SUBTOTAL(109,Table3789[Inventory/Smart Sheet count])</f>
        <v>0</v>
      </c>
      <c r="S361" s="16">
        <f>SUBTOTAL(109,Table3789['#Survival based on Inventory])</f>
        <v>0</v>
      </c>
      <c r="T361" s="16">
        <f>SUBTOTAL(109,Table3789['#Survival based on Last Year Estimate])</f>
        <v>0</v>
      </c>
    </row>
  </sheetData>
  <protectedRanges>
    <protectedRange sqref="A1:G1 Q1:W1" name="Range1_1"/>
    <protectedRange sqref="H1:P1" name="Range1_8"/>
  </protectedRanges>
  <conditionalFormatting sqref="F1 H1:I1">
    <cfRule type="aboveAverage" dxfId="1" priority="1"/>
    <cfRule type="aboveAverage" dxfId="0" priority="2"/>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04030-53C9-4B4C-8B37-D71300B9A3E6}">
  <dimension ref="A1:AM5"/>
  <sheetViews>
    <sheetView workbookViewId="0"/>
  </sheetViews>
  <sheetFormatPr defaultRowHeight="15" x14ac:dyDescent="0.25"/>
  <cols>
    <col min="1" max="1" width="15.7109375" bestFit="1" customWidth="1"/>
    <col min="2" max="2" width="10.85546875" bestFit="1" customWidth="1"/>
    <col min="3" max="3" width="15" bestFit="1" customWidth="1"/>
    <col min="4" max="4" width="22.140625" bestFit="1" customWidth="1"/>
    <col min="5" max="5" width="16.7109375" bestFit="1" customWidth="1"/>
    <col min="6" max="6" width="10.5703125" bestFit="1" customWidth="1"/>
    <col min="7" max="7" width="20.85546875" bestFit="1" customWidth="1"/>
    <col min="8" max="8" width="13" bestFit="1" customWidth="1"/>
    <col min="10" max="10" width="28.42578125" bestFit="1" customWidth="1"/>
    <col min="11" max="12" width="44.7109375" bestFit="1" customWidth="1"/>
    <col min="13" max="13" width="9.28515625" bestFit="1" customWidth="1"/>
    <col min="14" max="14" width="23.140625" bestFit="1" customWidth="1"/>
    <col min="15" max="15" width="22.42578125" bestFit="1" customWidth="1"/>
    <col min="16" max="16" width="25.7109375" bestFit="1" customWidth="1"/>
    <col min="17" max="17" width="10.28515625" bestFit="1" customWidth="1"/>
    <col min="18" max="18" width="16.7109375" bestFit="1" customWidth="1"/>
    <col min="19" max="19" width="11" bestFit="1" customWidth="1"/>
    <col min="20" max="20" width="20.28515625" bestFit="1" customWidth="1"/>
    <col min="21" max="21" width="22.42578125" bestFit="1" customWidth="1"/>
    <col min="22" max="22" width="18.42578125" bestFit="1" customWidth="1"/>
    <col min="23" max="23" width="32.5703125" bestFit="1" customWidth="1"/>
    <col min="24" max="24" width="29.5703125" bestFit="1" customWidth="1"/>
    <col min="25" max="25" width="21.28515625" bestFit="1" customWidth="1"/>
    <col min="26" max="26" width="26.42578125" bestFit="1" customWidth="1"/>
    <col min="27" max="27" width="25.7109375" bestFit="1" customWidth="1"/>
    <col min="28" max="28" width="26.28515625" bestFit="1" customWidth="1"/>
    <col min="30" max="30" width="25.28515625" bestFit="1" customWidth="1"/>
    <col min="31" max="31" width="22.5703125" bestFit="1" customWidth="1"/>
    <col min="32" max="32" width="29.42578125" bestFit="1" customWidth="1"/>
    <col min="33" max="33" width="32.5703125" bestFit="1" customWidth="1"/>
    <col min="34" max="34" width="26" bestFit="1" customWidth="1"/>
    <col min="35" max="35" width="35.5703125" bestFit="1" customWidth="1"/>
    <col min="36" max="36" width="32.85546875" bestFit="1" customWidth="1"/>
    <col min="37" max="38" width="40.5703125" bestFit="1" customWidth="1"/>
    <col min="39" max="39" width="45.42578125" bestFit="1" customWidth="1"/>
  </cols>
  <sheetData>
    <row r="1" spans="1:39" x14ac:dyDescent="0.25">
      <c r="A1" s="65" t="s">
        <v>2450</v>
      </c>
    </row>
    <row r="3" spans="1:39" ht="30" x14ac:dyDescent="0.25">
      <c r="A3" t="s">
        <v>72</v>
      </c>
      <c r="B3" t="s">
        <v>73</v>
      </c>
      <c r="C3" t="s">
        <v>66</v>
      </c>
      <c r="D3" s="132" t="s">
        <v>74</v>
      </c>
      <c r="E3" t="s">
        <v>75</v>
      </c>
      <c r="F3" t="s">
        <v>76</v>
      </c>
      <c r="G3" t="s">
        <v>77</v>
      </c>
      <c r="H3" t="s">
        <v>78</v>
      </c>
      <c r="I3" t="s">
        <v>79</v>
      </c>
      <c r="J3" t="s">
        <v>80</v>
      </c>
      <c r="K3" t="s">
        <v>81</v>
      </c>
      <c r="L3" t="s">
        <v>82</v>
      </c>
      <c r="M3" t="s">
        <v>83</v>
      </c>
      <c r="N3" t="s">
        <v>84</v>
      </c>
      <c r="O3" t="s">
        <v>2451</v>
      </c>
      <c r="P3" t="s">
        <v>2452</v>
      </c>
      <c r="Q3" t="s">
        <v>2453</v>
      </c>
      <c r="R3" t="s">
        <v>90</v>
      </c>
      <c r="S3" t="s">
        <v>91</v>
      </c>
      <c r="T3" t="s">
        <v>92</v>
      </c>
      <c r="U3" t="s">
        <v>93</v>
      </c>
      <c r="V3" t="s">
        <v>94</v>
      </c>
      <c r="W3" t="s">
        <v>95</v>
      </c>
      <c r="X3" t="s">
        <v>96</v>
      </c>
      <c r="Y3" t="s">
        <v>97</v>
      </c>
      <c r="Z3" t="s">
        <v>98</v>
      </c>
      <c r="AA3" t="s">
        <v>99</v>
      </c>
      <c r="AB3" t="s">
        <v>100</v>
      </c>
      <c r="AC3" t="s">
        <v>2454</v>
      </c>
      <c r="AD3" t="s">
        <v>102</v>
      </c>
      <c r="AE3" t="s">
        <v>103</v>
      </c>
      <c r="AF3" t="s">
        <v>105</v>
      </c>
      <c r="AG3" t="s">
        <v>106</v>
      </c>
      <c r="AH3" t="s">
        <v>107</v>
      </c>
      <c r="AI3" t="s">
        <v>108</v>
      </c>
      <c r="AJ3" t="s">
        <v>109</v>
      </c>
      <c r="AK3" t="s">
        <v>110</v>
      </c>
      <c r="AL3" t="s">
        <v>111</v>
      </c>
      <c r="AM3" t="s">
        <v>112</v>
      </c>
    </row>
    <row r="4" spans="1:39" x14ac:dyDescent="0.25">
      <c r="A4" t="s">
        <v>1993</v>
      </c>
      <c r="B4">
        <v>2024</v>
      </c>
      <c r="C4">
        <v>2024</v>
      </c>
      <c r="D4">
        <v>2033</v>
      </c>
      <c r="E4" t="s">
        <v>1477</v>
      </c>
      <c r="F4">
        <v>10104</v>
      </c>
      <c r="G4" t="s">
        <v>1994</v>
      </c>
      <c r="H4" t="s">
        <v>1479</v>
      </c>
      <c r="I4" t="s">
        <v>155</v>
      </c>
      <c r="J4" t="s">
        <v>1480</v>
      </c>
      <c r="K4" t="s">
        <v>1995</v>
      </c>
      <c r="L4" t="s">
        <v>1996</v>
      </c>
      <c r="M4" t="s">
        <v>150</v>
      </c>
      <c r="N4" t="s">
        <v>1997</v>
      </c>
      <c r="P4">
        <v>20</v>
      </c>
      <c r="R4">
        <v>2200</v>
      </c>
      <c r="S4">
        <v>2200</v>
      </c>
      <c r="T4" t="s">
        <v>2455</v>
      </c>
      <c r="V4">
        <v>1</v>
      </c>
      <c r="W4">
        <v>2200</v>
      </c>
      <c r="X4">
        <v>2200</v>
      </c>
      <c r="AC4">
        <v>0</v>
      </c>
      <c r="AF4">
        <v>2200</v>
      </c>
      <c r="AG4">
        <v>1</v>
      </c>
      <c r="AH4">
        <v>1</v>
      </c>
      <c r="AI4">
        <v>1</v>
      </c>
      <c r="AJ4">
        <v>2200</v>
      </c>
      <c r="AK4">
        <v>2200</v>
      </c>
      <c r="AL4">
        <v>0</v>
      </c>
      <c r="AM4">
        <v>0</v>
      </c>
    </row>
    <row r="5" spans="1:39" ht="30" x14ac:dyDescent="0.25">
      <c r="A5" t="s">
        <v>1999</v>
      </c>
      <c r="B5">
        <v>2024</v>
      </c>
      <c r="C5">
        <v>2024</v>
      </c>
      <c r="D5">
        <v>2033</v>
      </c>
      <c r="E5" t="s">
        <v>1721</v>
      </c>
      <c r="F5">
        <v>10115</v>
      </c>
      <c r="G5" s="132" t="s">
        <v>2000</v>
      </c>
      <c r="H5" t="s">
        <v>2001</v>
      </c>
      <c r="I5" t="s">
        <v>155</v>
      </c>
      <c r="J5" t="s">
        <v>2002</v>
      </c>
      <c r="K5" s="132" t="s">
        <v>1724</v>
      </c>
      <c r="L5" t="s">
        <v>1724</v>
      </c>
      <c r="M5" t="s">
        <v>150</v>
      </c>
      <c r="N5" t="s">
        <v>1725</v>
      </c>
      <c r="P5">
        <v>10</v>
      </c>
      <c r="R5">
        <v>1100</v>
      </c>
      <c r="S5">
        <v>1100</v>
      </c>
      <c r="T5" t="s">
        <v>2455</v>
      </c>
      <c r="V5">
        <v>1</v>
      </c>
      <c r="W5">
        <v>1100</v>
      </c>
      <c r="X5">
        <v>1100</v>
      </c>
      <c r="AC5">
        <v>0</v>
      </c>
      <c r="AF5">
        <v>1100</v>
      </c>
      <c r="AG5">
        <v>1</v>
      </c>
      <c r="AH5">
        <v>1</v>
      </c>
      <c r="AI5">
        <v>1</v>
      </c>
      <c r="AJ5">
        <v>1100</v>
      </c>
      <c r="AK5">
        <v>1100</v>
      </c>
      <c r="AL5">
        <v>0</v>
      </c>
      <c r="AM5">
        <v>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2EBB8-38EB-4D72-A0E4-D754C7CC19EA}">
  <dimension ref="A2:AP92"/>
  <sheetViews>
    <sheetView topLeftCell="P31" zoomScale="115" zoomScaleNormal="115" workbookViewId="0">
      <selection activeCell="N28" sqref="N28"/>
    </sheetView>
  </sheetViews>
  <sheetFormatPr defaultColWidth="12.28515625" defaultRowHeight="15" x14ac:dyDescent="0.25"/>
  <cols>
    <col min="1" max="2" width="5.140625" bestFit="1" customWidth="1"/>
    <col min="3" max="3" width="20.28515625" bestFit="1" customWidth="1"/>
    <col min="4" max="4" width="12.28515625" style="319"/>
    <col min="5" max="5" width="13.7109375" style="319" bestFit="1" customWidth="1"/>
    <col min="6" max="6" width="12.28515625" style="319"/>
    <col min="7" max="7" width="12" style="324" bestFit="1" customWidth="1"/>
    <col min="9" max="9" width="23.7109375" bestFit="1" customWidth="1"/>
    <col min="10" max="10" width="7.85546875" bestFit="1" customWidth="1"/>
    <col min="11" max="11" width="15.85546875" bestFit="1" customWidth="1"/>
    <col min="17" max="17" width="45" bestFit="1" customWidth="1"/>
    <col min="18" max="18" width="11.7109375" bestFit="1" customWidth="1"/>
    <col min="19" max="19" width="7.5703125" bestFit="1" customWidth="1"/>
    <col min="20" max="20" width="5.140625" bestFit="1" customWidth="1"/>
    <col min="21" max="21" width="7.5703125" bestFit="1" customWidth="1"/>
    <col min="22" max="24" width="7.42578125" bestFit="1" customWidth="1"/>
    <col min="25" max="25" width="6.28515625" bestFit="1" customWidth="1"/>
    <col min="26" max="26" width="12" bestFit="1" customWidth="1"/>
    <col min="27" max="27" width="7.140625" bestFit="1" customWidth="1"/>
    <col min="28" max="28" width="7.5703125" bestFit="1" customWidth="1"/>
    <col min="29" max="29" width="11.42578125" bestFit="1" customWidth="1"/>
    <col min="30" max="30" width="30.7109375" bestFit="1" customWidth="1"/>
    <col min="31" max="31" width="11.7109375" bestFit="1" customWidth="1"/>
    <col min="32" max="32" width="9" bestFit="1" customWidth="1"/>
    <col min="33" max="33" width="6.28515625" bestFit="1" customWidth="1"/>
    <col min="34" max="38" width="5.140625" bestFit="1" customWidth="1"/>
    <col min="39" max="39" width="12" bestFit="1" customWidth="1"/>
    <col min="40" max="40" width="7.140625" bestFit="1" customWidth="1"/>
    <col min="41" max="41" width="5.140625" bestFit="1" customWidth="1"/>
    <col min="42" max="42" width="11.42578125" bestFit="1" customWidth="1"/>
  </cols>
  <sheetData>
    <row r="2" spans="1:42" x14ac:dyDescent="0.25">
      <c r="E2" s="323" t="s">
        <v>160</v>
      </c>
      <c r="Q2" s="65"/>
    </row>
    <row r="3" spans="1:42" x14ac:dyDescent="0.25">
      <c r="E3" s="323" t="s">
        <v>147</v>
      </c>
      <c r="Q3" s="96" t="s">
        <v>2456</v>
      </c>
      <c r="R3" s="96" t="s">
        <v>73</v>
      </c>
      <c r="AD3" s="96" t="s">
        <v>2457</v>
      </c>
      <c r="AE3" s="96" t="s">
        <v>73</v>
      </c>
    </row>
    <row r="4" spans="1:42" x14ac:dyDescent="0.25">
      <c r="B4" s="65">
        <v>2015</v>
      </c>
      <c r="C4" s="132" t="s">
        <v>2458</v>
      </c>
      <c r="Q4" s="96" t="s">
        <v>83</v>
      </c>
      <c r="R4">
        <v>2015</v>
      </c>
      <c r="S4">
        <v>2016</v>
      </c>
      <c r="T4">
        <v>2017</v>
      </c>
      <c r="U4">
        <v>2018</v>
      </c>
      <c r="V4">
        <v>2020</v>
      </c>
      <c r="W4">
        <v>2021</v>
      </c>
      <c r="X4">
        <v>2022</v>
      </c>
      <c r="Y4">
        <v>2023</v>
      </c>
      <c r="Z4" t="s">
        <v>1217</v>
      </c>
      <c r="AA4" t="s">
        <v>2459</v>
      </c>
      <c r="AB4">
        <v>2024</v>
      </c>
      <c r="AC4" t="s">
        <v>2460</v>
      </c>
      <c r="AD4" s="96" t="s">
        <v>83</v>
      </c>
      <c r="AE4">
        <v>2015</v>
      </c>
      <c r="AF4">
        <v>2016</v>
      </c>
      <c r="AG4">
        <v>2017</v>
      </c>
      <c r="AH4">
        <v>2018</v>
      </c>
      <c r="AI4">
        <v>2020</v>
      </c>
      <c r="AJ4">
        <v>2021</v>
      </c>
      <c r="AK4">
        <v>2022</v>
      </c>
      <c r="AL4">
        <v>2023</v>
      </c>
      <c r="AM4" t="s">
        <v>1217</v>
      </c>
      <c r="AN4" t="s">
        <v>2459</v>
      </c>
      <c r="AO4">
        <v>2024</v>
      </c>
      <c r="AP4" t="s">
        <v>2460</v>
      </c>
    </row>
    <row r="5" spans="1:42" ht="30" x14ac:dyDescent="0.25">
      <c r="A5" s="7"/>
      <c r="B5" s="7"/>
      <c r="C5" s="320"/>
      <c r="D5" s="321" t="s">
        <v>2461</v>
      </c>
      <c r="E5" s="321" t="s">
        <v>2462</v>
      </c>
      <c r="F5" s="321" t="s">
        <v>2463</v>
      </c>
      <c r="G5" s="325" t="s">
        <v>2464</v>
      </c>
      <c r="Q5" t="s">
        <v>213</v>
      </c>
      <c r="R5">
        <v>7925</v>
      </c>
      <c r="S5" s="16">
        <v>22375</v>
      </c>
      <c r="T5" s="16"/>
      <c r="U5" s="16">
        <v>8202.6</v>
      </c>
      <c r="AC5" s="16">
        <v>38502.6</v>
      </c>
      <c r="AD5" t="s">
        <v>213</v>
      </c>
      <c r="AF5">
        <v>6877</v>
      </c>
      <c r="AP5">
        <v>6877</v>
      </c>
    </row>
    <row r="6" spans="1:42" x14ac:dyDescent="0.25">
      <c r="A6">
        <f>B4</f>
        <v>2015</v>
      </c>
      <c r="C6" s="322" t="s">
        <v>213</v>
      </c>
      <c r="D6" s="321">
        <f>COUNTIFS(Table11[Region],$C6,Table11[ETP Year],$A6)</f>
        <v>12</v>
      </c>
      <c r="E6" s="321">
        <f>COUNTIFS(Table11[Region],$C6,Table11[ETP Year],$A6,Table11[Status],E$2)</f>
        <v>12</v>
      </c>
      <c r="F6" s="321">
        <f>D6-E6</f>
        <v>0</v>
      </c>
      <c r="G6" s="325">
        <f>IFERROR(SUMIFS(Table11['#Trees as of 2024/estimate-Can allocation],Table11[Region],$C6,Table11[ETP Year],$A6)/SUMIFS(Table11[Canada Allocation-tree '#''s],Table11[Region],$C6,Table11[ETP Year],$A6),"N/A")</f>
        <v>0</v>
      </c>
      <c r="Q6" t="s">
        <v>574</v>
      </c>
      <c r="S6" s="16"/>
      <c r="T6" s="16"/>
      <c r="U6" s="16">
        <v>8246.16</v>
      </c>
      <c r="AC6" s="16">
        <v>8246.16</v>
      </c>
      <c r="AD6" t="s">
        <v>574</v>
      </c>
    </row>
    <row r="7" spans="1:42" x14ac:dyDescent="0.25">
      <c r="A7">
        <f>A6</f>
        <v>2015</v>
      </c>
      <c r="C7" s="322" t="s">
        <v>574</v>
      </c>
      <c r="D7" s="321">
        <f>COUNTIFS(Table11[Region],$C7,Table11[ETP Year],$A7)</f>
        <v>0</v>
      </c>
      <c r="E7" s="321">
        <f>COUNTIFS(Table11[Region],$C7,Table11[ETP Year],$A7,Table11[Status],E$2)</f>
        <v>0</v>
      </c>
      <c r="F7" s="321">
        <f t="shared" ref="F7:F10" si="0">D7-E7</f>
        <v>0</v>
      </c>
      <c r="G7" s="325" t="str">
        <f>IFERROR(SUMIFS(Table11['#Trees as of 2024/estimate-Can allocation],Table11[Region],$C7,Table11[ETP Year],$A7)/SUMIFS(Table11[Canada Allocation-tree '#''s],Table11[Region],$C7,Table11[ETP Year],$A7),"N/A")</f>
        <v>N/A</v>
      </c>
      <c r="Q7" t="s">
        <v>621</v>
      </c>
      <c r="S7" s="16"/>
      <c r="T7" s="16"/>
      <c r="U7" s="16">
        <v>8964</v>
      </c>
      <c r="AC7" s="16">
        <v>8964</v>
      </c>
      <c r="AD7" t="s">
        <v>621</v>
      </c>
    </row>
    <row r="8" spans="1:42" x14ac:dyDescent="0.25">
      <c r="A8">
        <f t="shared" ref="A8:A10" si="1">A7</f>
        <v>2015</v>
      </c>
      <c r="C8" s="322" t="s">
        <v>621</v>
      </c>
      <c r="D8" s="321">
        <f>COUNTIFS(Table11[Region],$C8,Table11[ETP Year],$A8)</f>
        <v>0</v>
      </c>
      <c r="E8" s="321">
        <f>COUNTIFS(Table11[Region],$C8,Table11[ETP Year],$A8,Table11[Status],E$2)</f>
        <v>0</v>
      </c>
      <c r="F8" s="321">
        <f t="shared" si="0"/>
        <v>0</v>
      </c>
      <c r="G8" s="325" t="str">
        <f>IFERROR(SUMIFS(Table11['#Trees as of 2024/estimate-Can allocation],Table11[Region],$C8,Table11[ETP Year],$A8)/SUMIFS(Table11[Canada Allocation-tree '#''s],Table11[Region],$C8,Table11[ETP Year],$A8),"N/A")</f>
        <v>N/A</v>
      </c>
      <c r="Q8" t="s">
        <v>150</v>
      </c>
      <c r="R8">
        <v>17705</v>
      </c>
      <c r="S8" s="16">
        <v>13462.39</v>
      </c>
      <c r="T8" s="16"/>
      <c r="U8" s="16">
        <v>9730.7999999999993</v>
      </c>
      <c r="AC8" s="16">
        <v>40898.19</v>
      </c>
      <c r="AD8" t="s">
        <v>150</v>
      </c>
      <c r="AF8">
        <v>8337.9600000000009</v>
      </c>
      <c r="AG8">
        <v>15620</v>
      </c>
      <c r="AP8">
        <v>23957.96</v>
      </c>
    </row>
    <row r="9" spans="1:42" x14ac:dyDescent="0.25">
      <c r="A9">
        <f t="shared" si="1"/>
        <v>2015</v>
      </c>
      <c r="C9" s="322" t="s">
        <v>150</v>
      </c>
      <c r="D9" s="321">
        <f>COUNTIFS(Table11[Region],$C9,Table11[ETP Year],$A9)</f>
        <v>13</v>
      </c>
      <c r="E9" s="321">
        <f>COUNTIFS(Table11[Region],$C9,Table11[ETP Year],$A9,Table11[Status],E$2)</f>
        <v>6</v>
      </c>
      <c r="F9" s="321">
        <f t="shared" si="0"/>
        <v>7</v>
      </c>
      <c r="G9" s="325">
        <f>IFERROR(SUMIFS(Table11['#Trees as of 2024/estimate-Can allocation],Table11[Region],$C9,Table11[ETP Year],$A9)/SUMIFS(Table11[Canada Allocation-tree '#''s],Table11[Region],$C9,Table11[ETP Year],$A9),"N/A")</f>
        <v>0.2939844740077539</v>
      </c>
      <c r="Q9" t="s">
        <v>2460</v>
      </c>
      <c r="R9">
        <v>25630</v>
      </c>
      <c r="S9" s="16">
        <v>35837.39</v>
      </c>
      <c r="T9" s="16"/>
      <c r="U9" s="16">
        <v>35143.56</v>
      </c>
      <c r="AC9" s="16">
        <v>96610.95</v>
      </c>
      <c r="AD9" t="s">
        <v>2460</v>
      </c>
      <c r="AF9">
        <v>15214.960000000001</v>
      </c>
      <c r="AG9">
        <v>15620</v>
      </c>
      <c r="AP9">
        <v>30834.959999999999</v>
      </c>
    </row>
    <row r="10" spans="1:42" x14ac:dyDescent="0.25">
      <c r="A10" s="65">
        <f t="shared" si="1"/>
        <v>2015</v>
      </c>
      <c r="B10" s="65"/>
      <c r="C10" s="326" t="s">
        <v>2465</v>
      </c>
      <c r="D10" s="327">
        <f>COUNTIFS(Table11[ETP Year],$A10)</f>
        <v>25</v>
      </c>
      <c r="E10" s="327">
        <f>COUNTIFS(Table11[ETP Year],$A10,Table11[Status],E$2)</f>
        <v>18</v>
      </c>
      <c r="F10" s="327">
        <f t="shared" si="0"/>
        <v>7</v>
      </c>
      <c r="G10" s="328">
        <f>SUMIFS(Table11['#Trees as of 2024/estimate-Can allocation],Table11[ETP Year],$A10)/SUMIFS(Table11[Canada Allocation-tree '#''s],Table11[ETP Year],$A10)</f>
        <v>0.20308213469790415</v>
      </c>
    </row>
    <row r="11" spans="1:42" x14ac:dyDescent="0.25">
      <c r="E11" s="323"/>
    </row>
    <row r="12" spans="1:42" x14ac:dyDescent="0.25">
      <c r="E12" s="323"/>
    </row>
    <row r="13" spans="1:42" x14ac:dyDescent="0.25">
      <c r="B13" s="65">
        <v>2016</v>
      </c>
      <c r="C13" s="132" t="s">
        <v>2458</v>
      </c>
      <c r="Q13" s="65" t="s">
        <v>2466</v>
      </c>
    </row>
    <row r="14" spans="1:42" s="7" customFormat="1" ht="30" x14ac:dyDescent="0.25">
      <c r="C14" s="320"/>
      <c r="D14" s="321" t="s">
        <v>2461</v>
      </c>
      <c r="E14" s="321" t="s">
        <v>2462</v>
      </c>
      <c r="F14" s="321" t="s">
        <v>2463</v>
      </c>
      <c r="G14" s="325" t="s">
        <v>2464</v>
      </c>
      <c r="I14"/>
      <c r="J14"/>
      <c r="K14"/>
      <c r="Q14" s="96" t="s">
        <v>2467</v>
      </c>
      <c r="R14" s="96" t="s">
        <v>73</v>
      </c>
      <c r="S14"/>
      <c r="T14"/>
      <c r="U14"/>
      <c r="V14"/>
      <c r="W14"/>
      <c r="X14"/>
      <c r="Y14"/>
      <c r="Z14"/>
      <c r="AA14"/>
      <c r="AB14"/>
      <c r="AC14"/>
      <c r="AD14"/>
      <c r="AE14"/>
      <c r="AF14"/>
      <c r="AG14"/>
      <c r="AH14"/>
      <c r="AI14"/>
    </row>
    <row r="15" spans="1:42" x14ac:dyDescent="0.25">
      <c r="A15">
        <f>B13</f>
        <v>2016</v>
      </c>
      <c r="C15" s="322" t="s">
        <v>213</v>
      </c>
      <c r="D15" s="321">
        <f>COUNTIFS(Table11[Region],$C15,Table11[ETP Year],$A15)</f>
        <v>27</v>
      </c>
      <c r="E15" s="321">
        <f>COUNTIFS(Table11[Region],$C15,Table11[ETP Year],$A15,Table11[Status],E$2)</f>
        <v>23</v>
      </c>
      <c r="F15" s="321">
        <f>D15-E15</f>
        <v>4</v>
      </c>
      <c r="G15" s="325">
        <f>IFERROR(SUMIFS(Table11['#Trees as of 2024/estimate-Can allocation],Table11[Region],$C15,Table11[ETP Year],$A15)/SUMIFS(Table11[Canada Allocation-tree '#''s],Table11[Region],$C15,Table11[ETP Year],$A15),"N/A")</f>
        <v>5.9523575418994411E-2</v>
      </c>
      <c r="Q15" s="96" t="s">
        <v>83</v>
      </c>
      <c r="R15">
        <v>2015</v>
      </c>
      <c r="S15">
        <v>2016</v>
      </c>
      <c r="T15">
        <v>2017</v>
      </c>
      <c r="U15">
        <v>2018</v>
      </c>
      <c r="V15">
        <v>2020</v>
      </c>
      <c r="W15">
        <v>2021</v>
      </c>
      <c r="X15">
        <v>2022</v>
      </c>
      <c r="Y15">
        <v>2023</v>
      </c>
      <c r="Z15" t="s">
        <v>1217</v>
      </c>
      <c r="AA15" t="s">
        <v>2459</v>
      </c>
      <c r="AB15">
        <v>2024</v>
      </c>
      <c r="AC15" t="s">
        <v>2460</v>
      </c>
    </row>
    <row r="16" spans="1:42" x14ac:dyDescent="0.25">
      <c r="A16">
        <f>A15</f>
        <v>2016</v>
      </c>
      <c r="C16" s="322" t="s">
        <v>574</v>
      </c>
      <c r="D16" s="321">
        <f>COUNTIFS(Table11[Region],$C16,Table11[ETP Year],$A16)</f>
        <v>0</v>
      </c>
      <c r="E16" s="321">
        <f>COUNTIFS(Table11[Region],$C16,Table11[ETP Year],$A16,Table11[Status],E$2)</f>
        <v>0</v>
      </c>
      <c r="F16" s="321">
        <f t="shared" ref="F16:F19" si="2">D16-E16</f>
        <v>0</v>
      </c>
      <c r="G16" s="325" t="str">
        <f>IFERROR(SUMIFS(Table11['#Trees as of 2024/estimate-Can allocation],Table11[Region],$C16,Table11[ETP Year],$A16)/SUMIFS(Table11[Canada Allocation-tree '#''s],Table11[Region],$C16,Table11[ETP Year],$A16),"N/A")</f>
        <v>N/A</v>
      </c>
      <c r="Q16" s="322" t="s">
        <v>213</v>
      </c>
      <c r="R16" s="322">
        <v>0</v>
      </c>
      <c r="S16" s="393">
        <v>1331.84</v>
      </c>
      <c r="T16" s="322"/>
      <c r="U16" s="393">
        <v>2591.5220696603642</v>
      </c>
      <c r="V16" s="322">
        <v>0</v>
      </c>
      <c r="W16" s="322">
        <v>0</v>
      </c>
      <c r="X16" s="322">
        <v>0</v>
      </c>
      <c r="Y16" s="322">
        <v>0</v>
      </c>
      <c r="Z16" s="322"/>
      <c r="AA16" s="322"/>
      <c r="AB16" s="322"/>
      <c r="AC16" s="393">
        <v>3923.3620696603639</v>
      </c>
    </row>
    <row r="17" spans="1:41" x14ac:dyDescent="0.25">
      <c r="A17">
        <f t="shared" ref="A17:A19" si="3">A16</f>
        <v>2016</v>
      </c>
      <c r="C17" s="322" t="s">
        <v>621</v>
      </c>
      <c r="D17" s="321">
        <f>COUNTIFS(Table11[Region],$C17,Table11[ETP Year],$A17)</f>
        <v>0</v>
      </c>
      <c r="E17" s="321">
        <f>COUNTIFS(Table11[Region],$C17,Table11[ETP Year],$A17,Table11[Status],E$2)</f>
        <v>0</v>
      </c>
      <c r="F17" s="321">
        <f t="shared" si="2"/>
        <v>0</v>
      </c>
      <c r="G17" s="325" t="str">
        <f>IFERROR(SUMIFS(Table11['#Trees as of 2024/estimate-Can allocation],Table11[Region],$C17,Table11[ETP Year],$A17)/SUMIFS(Table11[Canada Allocation-tree '#''s],Table11[Region],$C17,Table11[ETP Year],$A17),"N/A")</f>
        <v>N/A</v>
      </c>
      <c r="Q17" s="322" t="s">
        <v>574</v>
      </c>
      <c r="R17" s="322"/>
      <c r="S17" s="393"/>
      <c r="T17" s="322"/>
      <c r="U17" s="393">
        <v>3296.854618682924</v>
      </c>
      <c r="V17" s="322">
        <v>0</v>
      </c>
      <c r="W17" s="322">
        <v>0</v>
      </c>
      <c r="X17" s="322">
        <v>0</v>
      </c>
      <c r="Y17" s="322"/>
      <c r="Z17" s="322"/>
      <c r="AA17" s="322"/>
      <c r="AB17" s="322"/>
      <c r="AC17" s="393">
        <v>3296.854618682924</v>
      </c>
    </row>
    <row r="18" spans="1:41" x14ac:dyDescent="0.25">
      <c r="A18">
        <f t="shared" si="3"/>
        <v>2016</v>
      </c>
      <c r="C18" s="322" t="s">
        <v>150</v>
      </c>
      <c r="D18" s="321">
        <f>COUNTIFS(Table11[Region],$C18,Table11[ETP Year],$A18)</f>
        <v>18</v>
      </c>
      <c r="E18" s="321">
        <f>COUNTIFS(Table11[Region],$C18,Table11[ETP Year],$A18,Table11[Status],E$2)</f>
        <v>8</v>
      </c>
      <c r="F18" s="321">
        <f t="shared" si="2"/>
        <v>10</v>
      </c>
      <c r="G18" s="325">
        <f>IFERROR(SUMIFS(Table11['#Trees as of 2024/estimate-Can allocation],Table11[Region],$C18,Table11[ETP Year],$A18)/SUMIFS(Table11[Canada Allocation-tree '#''s],Table11[Region],$C18,Table11[ETP Year],$A18),"N/A")</f>
        <v>0.31682234388323621</v>
      </c>
      <c r="Q18" s="322" t="s">
        <v>621</v>
      </c>
      <c r="R18" s="322"/>
      <c r="S18" s="393"/>
      <c r="T18" s="322"/>
      <c r="U18" s="393">
        <v>2937.6</v>
      </c>
      <c r="V18" s="322">
        <v>0</v>
      </c>
      <c r="W18" s="322">
        <v>0</v>
      </c>
      <c r="X18" s="322">
        <v>0</v>
      </c>
      <c r="Y18" s="322"/>
      <c r="Z18" s="322">
        <v>0</v>
      </c>
      <c r="AA18" s="322">
        <v>0</v>
      </c>
      <c r="AB18" s="322"/>
      <c r="AC18" s="393">
        <v>2937.6</v>
      </c>
    </row>
    <row r="19" spans="1:41" s="65" customFormat="1" x14ac:dyDescent="0.25">
      <c r="A19" s="65">
        <f t="shared" si="3"/>
        <v>2016</v>
      </c>
      <c r="C19" s="326" t="s">
        <v>2465</v>
      </c>
      <c r="D19" s="327">
        <f>COUNTIFS(Table11[ETP Year],$A19)</f>
        <v>45</v>
      </c>
      <c r="E19" s="327">
        <f>COUNTIFS(Table11[ETP Year],$A19,Table11[Status],E$2)</f>
        <v>31</v>
      </c>
      <c r="F19" s="327">
        <f t="shared" si="2"/>
        <v>14</v>
      </c>
      <c r="G19" s="328">
        <f>SUMIFS(Table11['#Trees as of 2024/estimate-Can allocation],Table11[ETP Year],$A19)/SUMIFS(Table11[Canada Allocation-tree '#''s],Table11[ETP Year],$A19)</f>
        <v>0.15617839229001443</v>
      </c>
      <c r="I19"/>
      <c r="J19"/>
      <c r="K19"/>
      <c r="Q19" s="322" t="s">
        <v>150</v>
      </c>
      <c r="R19" s="393">
        <v>5204.9951123072833</v>
      </c>
      <c r="S19" s="393">
        <v>4265.1859540702408</v>
      </c>
      <c r="T19" s="322">
        <v>0</v>
      </c>
      <c r="U19" s="393">
        <v>4796.4017464799972</v>
      </c>
      <c r="V19" s="322">
        <v>0</v>
      </c>
      <c r="W19" s="322">
        <v>0</v>
      </c>
      <c r="X19" s="322">
        <v>0</v>
      </c>
      <c r="Y19" s="322">
        <v>0</v>
      </c>
      <c r="Z19" s="322"/>
      <c r="AA19" s="322"/>
      <c r="AB19" s="322">
        <v>0</v>
      </c>
      <c r="AC19" s="393">
        <v>14266.582812857523</v>
      </c>
      <c r="AD19"/>
      <c r="AE19"/>
      <c r="AF19"/>
      <c r="AG19"/>
      <c r="AH19"/>
      <c r="AI19"/>
      <c r="AJ19"/>
      <c r="AK19"/>
      <c r="AL19"/>
      <c r="AM19"/>
      <c r="AN19"/>
      <c r="AO19"/>
    </row>
    <row r="20" spans="1:41" x14ac:dyDescent="0.25">
      <c r="C20" s="65" t="s">
        <v>2468</v>
      </c>
      <c r="D20" s="398">
        <v>427625</v>
      </c>
      <c r="E20" s="65" t="s">
        <v>2469</v>
      </c>
      <c r="Q20" s="322" t="s">
        <v>2460</v>
      </c>
      <c r="R20" s="393">
        <v>5204.9951123072833</v>
      </c>
      <c r="S20" s="393">
        <v>5597.0259540702409</v>
      </c>
      <c r="T20" s="322">
        <v>0</v>
      </c>
      <c r="U20" s="393">
        <v>13622.378434823284</v>
      </c>
      <c r="V20" s="322">
        <v>0</v>
      </c>
      <c r="W20" s="322">
        <v>0</v>
      </c>
      <c r="X20" s="322">
        <v>0</v>
      </c>
      <c r="Y20" s="322">
        <v>0</v>
      </c>
      <c r="Z20" s="322">
        <v>0</v>
      </c>
      <c r="AA20" s="322">
        <v>0</v>
      </c>
      <c r="AB20" s="322">
        <v>0</v>
      </c>
      <c r="AC20" s="393">
        <v>24424.399501200809</v>
      </c>
    </row>
    <row r="21" spans="1:41" x14ac:dyDescent="0.25">
      <c r="I21" s="65" t="s">
        <v>2468</v>
      </c>
      <c r="J21" s="398">
        <v>427625</v>
      </c>
      <c r="K21" s="65" t="s">
        <v>2469</v>
      </c>
      <c r="L21" s="65"/>
    </row>
    <row r="22" spans="1:41" x14ac:dyDescent="0.25">
      <c r="B22" s="65">
        <v>2017</v>
      </c>
      <c r="C22" s="132" t="s">
        <v>2458</v>
      </c>
      <c r="Q22" s="322" t="s">
        <v>2260</v>
      </c>
      <c r="R22" s="391" t="e">
        <f>R21/R10</f>
        <v>#DIV/0!</v>
      </c>
      <c r="S22" s="391" t="e">
        <f>S21/S10</f>
        <v>#DIV/0!</v>
      </c>
      <c r="T22" s="322"/>
      <c r="U22" s="391" t="e">
        <f>U21/U10</f>
        <v>#DIV/0!</v>
      </c>
      <c r="AB22" s="8" t="e">
        <f>AB21/AB10</f>
        <v>#DIV/0!</v>
      </c>
    </row>
    <row r="23" spans="1:41" ht="24.75" customHeight="1" x14ac:dyDescent="0.25">
      <c r="C23" s="320"/>
      <c r="D23" s="321" t="s">
        <v>2461</v>
      </c>
      <c r="E23" s="321" t="s">
        <v>2462</v>
      </c>
      <c r="F23" s="321" t="s">
        <v>2463</v>
      </c>
      <c r="G23" s="325" t="s">
        <v>2464</v>
      </c>
      <c r="Q23" s="322" t="s">
        <v>213</v>
      </c>
      <c r="R23" s="391">
        <f>R16/R5</f>
        <v>0</v>
      </c>
      <c r="S23" s="391">
        <f>S16/S5</f>
        <v>5.9523575418994411E-2</v>
      </c>
      <c r="T23" s="322"/>
      <c r="U23" s="391">
        <f>U16/U5</f>
        <v>0.31593910097534489</v>
      </c>
    </row>
    <row r="24" spans="1:41" ht="15" customHeight="1" x14ac:dyDescent="0.25">
      <c r="A24">
        <f>B22</f>
        <v>2017</v>
      </c>
      <c r="C24" s="322" t="s">
        <v>213</v>
      </c>
      <c r="D24" s="329">
        <f>COUNTIFS(Table11[Region],$C24,Table11[Can trees/Allocation 2017],"&gt;0")</f>
        <v>12</v>
      </c>
      <c r="E24" s="329">
        <f>COUNTIFS(Table11[Region],$C24,Table11[Can trees/Allocation 2017],"&gt;0",Table11[Status],E$2)</f>
        <v>9</v>
      </c>
      <c r="F24" s="329">
        <f>D24-E24</f>
        <v>3</v>
      </c>
      <c r="G24" s="330">
        <f>IFERROR(SUMIFS(Table11['#Trees as of 2024/estimate-Can allocation 2017],Table11[Region],$C24)/SUMIFS(Table11[Can trees/Allocation 2017],Table11[Region],$C24),"N/A")</f>
        <v>0.16306529009742621</v>
      </c>
      <c r="I24" t="s">
        <v>2470</v>
      </c>
      <c r="Q24" s="322" t="s">
        <v>574</v>
      </c>
      <c r="R24" s="397"/>
      <c r="S24" s="397"/>
      <c r="T24" s="322"/>
      <c r="U24" s="391">
        <f>U17/U6</f>
        <v>0.39980483263518096</v>
      </c>
      <c r="AD24" s="8"/>
    </row>
    <row r="25" spans="1:41" ht="15" customHeight="1" x14ac:dyDescent="0.25">
      <c r="A25">
        <f>A24</f>
        <v>2017</v>
      </c>
      <c r="C25" s="322" t="s">
        <v>574</v>
      </c>
      <c r="D25" s="329">
        <f>COUNTIFS(Table11[Region],$C25,Table11[Can trees/Allocation 2017],"&gt;0")</f>
        <v>0</v>
      </c>
      <c r="E25" s="329">
        <f>COUNTIFS(Table11[Region],$C25,Table11[Can trees/Allocation 2017],"&gt;0",Table11[Status],E$2)</f>
        <v>0</v>
      </c>
      <c r="F25" s="329">
        <f>COUNTIFS(Table11[Region],$C25,Table11[Can trees/Allocation 2017],"&gt;0")</f>
        <v>0</v>
      </c>
      <c r="G25" s="330" t="str">
        <f>IFERROR(SUMIFS(Table11['#Trees as of 2024/estimate-Can allocation 2017],Table11[Region],$C25)/SUMIFS(Table11[Can trees/Allocation 2017],Table11[Region],$C25),"N/A")</f>
        <v>N/A</v>
      </c>
      <c r="Q25" s="322" t="s">
        <v>621</v>
      </c>
      <c r="R25" s="397"/>
      <c r="S25" s="397"/>
      <c r="T25" s="322"/>
      <c r="U25" s="391">
        <f>U18/U7</f>
        <v>0.32771084337349399</v>
      </c>
      <c r="AD25" s="8"/>
    </row>
    <row r="26" spans="1:41" x14ac:dyDescent="0.25">
      <c r="A26">
        <f t="shared" ref="A26:A28" si="4">A25</f>
        <v>2017</v>
      </c>
      <c r="C26" s="322" t="s">
        <v>621</v>
      </c>
      <c r="D26" s="329">
        <f>COUNTIFS(Table11[Region],$C26,Table11[Can trees/Allocation 2017],"&gt;0")</f>
        <v>0</v>
      </c>
      <c r="E26" s="329">
        <f>COUNTIFS(Table11[Region],$C26,Table11[Can trees/Allocation 2017],"&gt;0",Table11[Status],E$2)</f>
        <v>0</v>
      </c>
      <c r="F26" s="329">
        <f>COUNTIFS(Table11[Region],$C26,Table11[Can trees/Allocation 2017],"&gt;0")</f>
        <v>0</v>
      </c>
      <c r="G26" s="330" t="str">
        <f>IFERROR(SUMIFS(Table11['#Trees as of 2024/estimate-Can allocation 2017],Table11[Region],$C26)/SUMIFS(Table11[Can trees/Allocation 2017],Table11[Region],$C26),"N/A")</f>
        <v>N/A</v>
      </c>
      <c r="Q26" s="322" t="s">
        <v>150</v>
      </c>
      <c r="R26" s="391">
        <f>R19/R8</f>
        <v>0.2939844740077539</v>
      </c>
      <c r="S26" s="391">
        <f>S19/S8</f>
        <v>0.31682234388323627</v>
      </c>
      <c r="T26" s="322"/>
      <c r="U26" s="391">
        <f>U19/U8</f>
        <v>0.49290929281045726</v>
      </c>
      <c r="AD26" s="8"/>
    </row>
    <row r="27" spans="1:41" x14ac:dyDescent="0.25">
      <c r="A27">
        <f t="shared" si="4"/>
        <v>2017</v>
      </c>
      <c r="C27" s="322" t="s">
        <v>150</v>
      </c>
      <c r="D27" s="329">
        <f>COUNTIFS(Table11[Region],$C27,Table11[Can trees/Allocation 2017],"&gt;0")</f>
        <v>12</v>
      </c>
      <c r="E27" s="329">
        <f>COUNTIFS(Table11[Region],$C27,Table11[Can trees/Allocation 2017],"&gt;0",Table11[Status],E$2)</f>
        <v>2</v>
      </c>
      <c r="F27" s="329">
        <f>D27-E27</f>
        <v>10</v>
      </c>
      <c r="G27" s="330">
        <f>IFERROR(SUMIFS(Table11['#Trees as of 2024/estimate-Can allocation 2017],Table11[Region],$C27)/SUMIFS(Table11[Can trees/Allocation 2017],Table11[Region],$C27),"N/A")</f>
        <v>0.48628775603091595</v>
      </c>
      <c r="I27" s="65" t="s">
        <v>2471</v>
      </c>
      <c r="J27" s="65"/>
      <c r="K27" s="65" t="s">
        <v>2472</v>
      </c>
      <c r="L27" s="65"/>
      <c r="AD27" s="8"/>
    </row>
    <row r="28" spans="1:41" s="65" customFormat="1" ht="15" customHeight="1" x14ac:dyDescent="0.25">
      <c r="A28" s="65">
        <f t="shared" si="4"/>
        <v>2017</v>
      </c>
      <c r="C28" s="326" t="s">
        <v>2465</v>
      </c>
      <c r="D28" s="331">
        <f>COUNTIFS(Table11[Can trees/Allocation 2017],"&gt;0")</f>
        <v>24</v>
      </c>
      <c r="E28" s="331">
        <f>COUNTIFS(Table11[Can trees/Allocation 2017],"&gt;0",Table11[Status],E$2)</f>
        <v>11</v>
      </c>
      <c r="F28" s="331">
        <f>D28-E28</f>
        <v>13</v>
      </c>
      <c r="G28" s="332">
        <f>SUM(Table11['#Trees as of 2024/estimate-Can allocation 2017])/SUM(Table11[Can trees/Allocation 2017])</f>
        <v>0.41420071916676543</v>
      </c>
      <c r="Q28"/>
      <c r="R28"/>
      <c r="S28"/>
    </row>
    <row r="29" spans="1:41" x14ac:dyDescent="0.25">
      <c r="C29" s="65" t="s">
        <v>2471</v>
      </c>
      <c r="D29" s="65"/>
      <c r="E29" s="65" t="s">
        <v>2472</v>
      </c>
    </row>
    <row r="31" spans="1:41" x14ac:dyDescent="0.25">
      <c r="B31" s="65">
        <v>2018</v>
      </c>
      <c r="C31" s="132" t="s">
        <v>2458</v>
      </c>
      <c r="Q31" s="65" t="s">
        <v>2473</v>
      </c>
    </row>
    <row r="32" spans="1:41" ht="30" x14ac:dyDescent="0.25">
      <c r="C32" s="320"/>
      <c r="D32" s="321" t="s">
        <v>2461</v>
      </c>
      <c r="E32" s="321" t="s">
        <v>2462</v>
      </c>
      <c r="F32" s="321" t="s">
        <v>2463</v>
      </c>
      <c r="G32" s="325" t="s">
        <v>2464</v>
      </c>
      <c r="Q32" s="96" t="s">
        <v>2474</v>
      </c>
      <c r="R32" s="96" t="s">
        <v>73</v>
      </c>
    </row>
    <row r="33" spans="1:29" x14ac:dyDescent="0.25">
      <c r="A33">
        <f>B31</f>
        <v>2018</v>
      </c>
      <c r="C33" s="322" t="s">
        <v>213</v>
      </c>
      <c r="D33" s="321">
        <f>COUNTIFS(Table11[Region],$C33,Table11[ETP Year],$A33,Table11[Canada Allocation-tree '#''s],"&lt;&gt;")</f>
        <v>12</v>
      </c>
      <c r="E33" s="321">
        <f>COUNTIFS(Table11[Region],$C33,Table11[ETP Year],$A33,Table11[Status],E$2)</f>
        <v>6</v>
      </c>
      <c r="F33" s="321">
        <f>D33-E33</f>
        <v>6</v>
      </c>
      <c r="G33" s="325">
        <f>IFERROR(SUMIFS(Table11['#Trees as of 2024/estimate-Can allocation],Table11[Region],$C33,Table11[ETP Year],$A33)/SUMIFS(Table11[Canada Allocation-tree '#''s],Table11[Region],$C33,Table11[ETP Year],$A33),"N/A")</f>
        <v>0.31593910097534489</v>
      </c>
      <c r="Q33" s="96" t="s">
        <v>83</v>
      </c>
      <c r="R33">
        <v>2015</v>
      </c>
      <c r="S33">
        <v>2016</v>
      </c>
      <c r="T33">
        <v>2017</v>
      </c>
      <c r="U33">
        <v>2018</v>
      </c>
      <c r="V33">
        <v>2020</v>
      </c>
      <c r="W33">
        <v>2021</v>
      </c>
      <c r="X33">
        <v>2022</v>
      </c>
      <c r="Y33">
        <v>2023</v>
      </c>
      <c r="Z33" t="s">
        <v>1217</v>
      </c>
      <c r="AA33" t="s">
        <v>2459</v>
      </c>
      <c r="AB33">
        <v>2024</v>
      </c>
      <c r="AC33" t="s">
        <v>2460</v>
      </c>
    </row>
    <row r="34" spans="1:29" x14ac:dyDescent="0.25">
      <c r="A34">
        <f>A33</f>
        <v>2018</v>
      </c>
      <c r="C34" s="322" t="s">
        <v>574</v>
      </c>
      <c r="D34" s="321">
        <f>COUNTIFS(Table11[Region],$C34,Table11[ETP Year],$A34,Table11[Canada Allocation-tree '#''s],"&lt;&gt;")</f>
        <v>10</v>
      </c>
      <c r="E34" s="321">
        <f>COUNTIFS(Table11[Region],$C34,Table11[ETP Year],$A34,Table11[Status],E$2)</f>
        <v>6</v>
      </c>
      <c r="F34" s="321">
        <f t="shared" ref="F34:F37" si="5">D34-E34</f>
        <v>4</v>
      </c>
      <c r="G34" s="325">
        <f>IFERROR(SUMIFS(Table11['#Trees as of 2024/estimate-Can allocation],Table11[Region],$C34,Table11[ETP Year],$A34)/SUMIFS(Table11[Canada Allocation-tree '#''s],Table11[Region],$C34,Table11[ETP Year],$A34),"N/A")</f>
        <v>0.39980483263518096</v>
      </c>
      <c r="Q34" t="s">
        <v>213</v>
      </c>
      <c r="R34" s="322">
        <v>0</v>
      </c>
      <c r="S34" s="393">
        <v>437.36</v>
      </c>
      <c r="T34" s="393"/>
      <c r="U34" s="393">
        <v>4607.1503460628692</v>
      </c>
      <c r="V34" s="393">
        <v>40733.300000000003</v>
      </c>
      <c r="W34" s="393">
        <v>18266.841728395062</v>
      </c>
      <c r="X34" s="393">
        <v>9806</v>
      </c>
      <c r="Y34" s="393">
        <v>3800</v>
      </c>
      <c r="Z34" s="393"/>
      <c r="AA34" s="393"/>
      <c r="AB34" s="322"/>
      <c r="AC34" s="393">
        <v>77650.652074457932</v>
      </c>
    </row>
    <row r="35" spans="1:29" x14ac:dyDescent="0.25">
      <c r="A35">
        <f t="shared" ref="A35:A37" si="6">A34</f>
        <v>2018</v>
      </c>
      <c r="C35" s="322" t="s">
        <v>621</v>
      </c>
      <c r="D35" s="321">
        <f>COUNTIFS(Table11[Region],$C35,Table11[ETP Year],$A35,Table11[Canada Allocation-tree '#''s],"&lt;&gt;")</f>
        <v>6</v>
      </c>
      <c r="E35" s="321">
        <f>COUNTIFS(Table11[Region],$C35,Table11[ETP Year],$A35,Table11[Status],E$2)</f>
        <v>4</v>
      </c>
      <c r="F35" s="321">
        <f t="shared" si="5"/>
        <v>2</v>
      </c>
      <c r="G35" s="325">
        <f>IFERROR(SUMIFS(Table11['#Trees as of 2024/estimate-Can allocation],Table11[Region],$C35,Table11[ETP Year],$A35)/SUMIFS(Table11[Canada Allocation-tree '#''s],Table11[Region],$C35,Table11[ETP Year],$A35),"N/A")</f>
        <v>0.32771084337349399</v>
      </c>
      <c r="Q35" t="s">
        <v>574</v>
      </c>
      <c r="R35" s="322"/>
      <c r="S35" s="393"/>
      <c r="T35" s="393"/>
      <c r="U35" s="393">
        <v>5861.0748776585324</v>
      </c>
      <c r="V35" s="393">
        <v>31939.870977241248</v>
      </c>
      <c r="W35" s="393">
        <v>37897.127630727839</v>
      </c>
      <c r="X35" s="393">
        <v>11469</v>
      </c>
      <c r="Y35" s="393"/>
      <c r="Z35" s="393"/>
      <c r="AA35" s="393"/>
      <c r="AB35" s="322"/>
      <c r="AC35" s="393">
        <v>87167.073485627625</v>
      </c>
    </row>
    <row r="36" spans="1:29" x14ac:dyDescent="0.25">
      <c r="A36">
        <f t="shared" si="6"/>
        <v>2018</v>
      </c>
      <c r="C36" s="322" t="s">
        <v>150</v>
      </c>
      <c r="D36" s="321">
        <f>COUNTIFS(Table11[Region],$C36,Table11[ETP Year],$A36,Table11[Canada Allocation-tree '#''s],"&lt;&gt;")</f>
        <v>19</v>
      </c>
      <c r="E36" s="321">
        <f>COUNTIFS(Table11[Region],$C36,Table11[ETP Year],$A36,Table11[Status],E$2)</f>
        <v>6</v>
      </c>
      <c r="F36" s="321">
        <f t="shared" si="5"/>
        <v>13</v>
      </c>
      <c r="G36" s="325">
        <f>IFERROR(SUMIFS(Table11['#Trees as of 2024/estimate-Can allocation],Table11[Region],$C36,Table11[ETP Year],$A36)/SUMIFS(Table11[Canada Allocation-tree '#''s],Table11[Region],$C36,Table11[ETP Year],$A36),"N/A")</f>
        <v>0.49290929281045726</v>
      </c>
      <c r="Q36" t="s">
        <v>621</v>
      </c>
      <c r="R36" s="322"/>
      <c r="S36" s="393"/>
      <c r="T36" s="393"/>
      <c r="U36" s="393">
        <v>5222.4000000000005</v>
      </c>
      <c r="V36" s="393">
        <v>6061</v>
      </c>
      <c r="W36" s="393">
        <v>50824.227774082407</v>
      </c>
      <c r="X36" s="393">
        <v>48350</v>
      </c>
      <c r="Y36" s="403">
        <v>18870</v>
      </c>
      <c r="Z36" s="393">
        <v>4080.0000000000005</v>
      </c>
      <c r="AA36" s="393">
        <v>5290</v>
      </c>
      <c r="AB36" s="322"/>
      <c r="AC36" s="393">
        <v>138697.62777408242</v>
      </c>
    </row>
    <row r="37" spans="1:29" s="65" customFormat="1" x14ac:dyDescent="0.25">
      <c r="A37" s="65">
        <f t="shared" si="6"/>
        <v>2018</v>
      </c>
      <c r="C37" s="326" t="s">
        <v>2465</v>
      </c>
      <c r="D37" s="327">
        <f>COUNTIFS(Table11[ETP Year],$A37,Table11[Canada Allocation-tree '#''s],"&lt;&gt;")</f>
        <v>47</v>
      </c>
      <c r="E37" s="327">
        <f>COUNTIFS(Table11[ETP Year],$A37,Table11[Status],E$2)</f>
        <v>22</v>
      </c>
      <c r="F37" s="327">
        <f t="shared" si="5"/>
        <v>25</v>
      </c>
      <c r="G37" s="328">
        <f>SUMIFS(Table11['#Trees as of 2024/estimate-Can allocation],Table11[ETP Year],$A37)/SUMIFS(Table11[Canada Allocation-tree '#''s],Table11[ETP Year],$A37)</f>
        <v>0.38762090223139856</v>
      </c>
      <c r="Q37" t="s">
        <v>150</v>
      </c>
      <c r="R37" s="322">
        <v>0</v>
      </c>
      <c r="S37" s="393">
        <v>903.16067728580379</v>
      </c>
      <c r="T37" s="393">
        <v>0</v>
      </c>
      <c r="U37" s="393">
        <v>9796.9389991696589</v>
      </c>
      <c r="V37" s="393">
        <v>58669.866916477826</v>
      </c>
      <c r="W37" s="393">
        <v>40911.811101928375</v>
      </c>
      <c r="X37" s="393">
        <v>11941</v>
      </c>
      <c r="Y37" s="393">
        <v>6380</v>
      </c>
      <c r="Z37" s="393"/>
      <c r="AA37" s="393"/>
      <c r="AB37" s="322">
        <v>3300</v>
      </c>
      <c r="AC37" s="393">
        <v>131902.77769486167</v>
      </c>
    </row>
    <row r="38" spans="1:29" x14ac:dyDescent="0.25">
      <c r="C38" s="65" t="s">
        <v>2475</v>
      </c>
      <c r="D38" s="65"/>
      <c r="E38" s="65" t="s">
        <v>2476</v>
      </c>
      <c r="I38" s="65" t="s">
        <v>2475</v>
      </c>
      <c r="J38" s="65"/>
      <c r="K38" s="65" t="s">
        <v>2476</v>
      </c>
      <c r="L38" s="65"/>
      <c r="Q38" t="s">
        <v>2460</v>
      </c>
      <c r="R38">
        <v>0</v>
      </c>
      <c r="S38" s="393">
        <v>1340.5206772858037</v>
      </c>
      <c r="T38" s="393">
        <v>0</v>
      </c>
      <c r="U38" s="393">
        <v>25487.564222891062</v>
      </c>
      <c r="V38" s="393">
        <v>137404.03789371907</v>
      </c>
      <c r="W38" s="393">
        <v>147900.00823513369</v>
      </c>
      <c r="X38" s="393">
        <v>81566</v>
      </c>
      <c r="Y38" s="393">
        <v>29050</v>
      </c>
      <c r="Z38" s="393">
        <v>4080.0000000000005</v>
      </c>
      <c r="AA38" s="393">
        <v>5290</v>
      </c>
      <c r="AB38">
        <v>3300</v>
      </c>
      <c r="AC38" s="393">
        <v>435418.13102902961</v>
      </c>
    </row>
    <row r="40" spans="1:29" x14ac:dyDescent="0.25">
      <c r="B40" s="65">
        <v>2016</v>
      </c>
      <c r="C40" s="132" t="s">
        <v>2477</v>
      </c>
    </row>
    <row r="41" spans="1:29" ht="30" x14ac:dyDescent="0.25">
      <c r="C41" s="320"/>
      <c r="D41" s="321" t="s">
        <v>2461</v>
      </c>
      <c r="E41" s="321" t="s">
        <v>2462</v>
      </c>
      <c r="F41" s="321" t="s">
        <v>2463</v>
      </c>
      <c r="G41" s="325" t="s">
        <v>2464</v>
      </c>
      <c r="Q41" s="65" t="s">
        <v>2478</v>
      </c>
      <c r="T41" s="7"/>
      <c r="U41" s="7"/>
      <c r="V41" s="7"/>
      <c r="W41" s="7"/>
      <c r="X41" s="7"/>
      <c r="Y41" s="7"/>
      <c r="Z41" s="7"/>
      <c r="AA41" s="7"/>
      <c r="AB41" s="7"/>
      <c r="AC41" s="7"/>
    </row>
    <row r="42" spans="1:29" ht="21" customHeight="1" x14ac:dyDescent="0.25">
      <c r="A42">
        <f>B40</f>
        <v>2016</v>
      </c>
      <c r="C42" s="322" t="s">
        <v>213</v>
      </c>
      <c r="D42" s="321">
        <f>COUNTIFS(Table11[Region],$C42,Table11[ETP Year],$A42,Table11[USA trees/Allocation/Contracted],"&lt;&gt;")</f>
        <v>27</v>
      </c>
      <c r="E42" s="321">
        <f>COUNTIFS(Table11[Region],$C42,Table11[ETP Year],$A42,Table11[Status],E$2)</f>
        <v>23</v>
      </c>
      <c r="F42" s="321">
        <f>D42-E42</f>
        <v>4</v>
      </c>
      <c r="G42" s="325">
        <f>IFERROR(SUMIFS(Table11['#Trees as of 2024/estimate -US allocation ],Table11[Region],$C42,Table11[ETP Year],$A42)/SUMIFS(Table11[USA trees/Allocation/Planted],Table11[Region],$C42,Table11[ETP Year],$A42),"N/A")</f>
        <v>6.0939111049184896E-2</v>
      </c>
      <c r="Q42" s="96" t="s">
        <v>2479</v>
      </c>
      <c r="R42" s="96" t="s">
        <v>73</v>
      </c>
    </row>
    <row r="43" spans="1:29" x14ac:dyDescent="0.25">
      <c r="A43">
        <f>A42</f>
        <v>2016</v>
      </c>
      <c r="C43" s="322" t="s">
        <v>574</v>
      </c>
      <c r="D43" s="321">
        <f>COUNTIFS(Table11[Region],$C43,Table11[ETP Year],$A43,Table11[USA trees/Allocation/Contracted],"&lt;&gt;")</f>
        <v>0</v>
      </c>
      <c r="E43" s="321">
        <f>COUNTIFS(Table11[Region],$C43,Table11[ETP Year],$A43,Table11[Status],E$2)</f>
        <v>0</v>
      </c>
      <c r="F43" s="321">
        <f t="shared" ref="F43:F46" si="7">D43-E43</f>
        <v>0</v>
      </c>
      <c r="G43" s="325" t="str">
        <f>IFERROR(SUMIFS(Table11['#Trees as of 2024/estimate -US allocation ],Table11[Region],$C43,Table11[ETP Year],$A43)/SUMIFS(Table11[USA trees/Allocation/Planted],Table11[Region],$C43,Table11[ETP Year],$A43),"N/A")</f>
        <v>N/A</v>
      </c>
      <c r="Q43" s="96" t="s">
        <v>83</v>
      </c>
      <c r="R43">
        <v>2015</v>
      </c>
      <c r="S43">
        <v>2016</v>
      </c>
      <c r="T43">
        <v>2017</v>
      </c>
      <c r="U43">
        <v>2018</v>
      </c>
      <c r="V43">
        <v>2020</v>
      </c>
      <c r="W43">
        <v>2021</v>
      </c>
      <c r="X43">
        <v>2022</v>
      </c>
      <c r="Y43">
        <v>2023</v>
      </c>
      <c r="Z43" t="s">
        <v>1217</v>
      </c>
      <c r="AA43" t="s">
        <v>2459</v>
      </c>
      <c r="AB43">
        <v>2024</v>
      </c>
      <c r="AC43" t="s">
        <v>2460</v>
      </c>
    </row>
    <row r="44" spans="1:29" x14ac:dyDescent="0.25">
      <c r="A44">
        <f t="shared" ref="A44:A46" si="8">A43</f>
        <v>2016</v>
      </c>
      <c r="C44" s="322" t="s">
        <v>621</v>
      </c>
      <c r="D44" s="321">
        <f>COUNTIFS(Table11[Region],$C44,Table11[ETP Year],$A44,Table11[USA trees/Allocation/Contracted],"&lt;&gt;")</f>
        <v>0</v>
      </c>
      <c r="E44" s="321">
        <f>COUNTIFS(Table11[Region],$C44,Table11[ETP Year],$A44,Table11[Status],E$2)</f>
        <v>0</v>
      </c>
      <c r="F44" s="321">
        <f t="shared" si="7"/>
        <v>0</v>
      </c>
      <c r="G44" s="325" t="str">
        <f>IFERROR(SUMIFS(Table11['#Trees as of 2024/estimate -US allocation ],Table11[Region],$C44,Table11[ETP Year],$A44)/SUMIFS(Table11[USA trees/Allocation/Planted],Table11[Region],$C44,Table11[ETP Year],$A44),"N/A")</f>
        <v>N/A</v>
      </c>
      <c r="Q44" t="s">
        <v>213</v>
      </c>
      <c r="R44" s="322"/>
      <c r="S44" s="322">
        <v>7177</v>
      </c>
      <c r="T44" s="322"/>
      <c r="U44" s="393">
        <v>14582.4</v>
      </c>
      <c r="V44" s="322">
        <v>64850</v>
      </c>
      <c r="W44" s="322">
        <v>22355</v>
      </c>
      <c r="X44" s="322">
        <v>10000</v>
      </c>
      <c r="Y44" s="322">
        <v>3800</v>
      </c>
      <c r="Z44" s="322"/>
      <c r="AA44" s="322"/>
      <c r="AB44" s="322"/>
      <c r="AC44" s="393">
        <v>122764.4</v>
      </c>
    </row>
    <row r="45" spans="1:29" x14ac:dyDescent="0.25">
      <c r="A45">
        <f t="shared" si="8"/>
        <v>2016</v>
      </c>
      <c r="C45" s="322" t="s">
        <v>150</v>
      </c>
      <c r="D45" s="321">
        <f>COUNTIFS(Table11[Region],$C45,Table11[ETP Year],$A45,Table11[USA trees/Allocation/Contracted],"&lt;&gt;")</f>
        <v>17</v>
      </c>
      <c r="E45" s="321">
        <f>COUNTIFS(Table11[Region],$C45,Table11[ETP Year],$A45,Table11[Status],E$2)</f>
        <v>8</v>
      </c>
      <c r="F45" s="321">
        <f t="shared" si="7"/>
        <v>9</v>
      </c>
      <c r="G45" s="325">
        <f>IFERROR(SUMIFS(Table11['#Trees as of 2024/estimate -US allocation ],Table11[Region],$C45,Table11[ETP Year],$A45)/SUMIFS(Table11[USA trees/Allocation/Planted],Table11[Region],$C45,Table11[ETP Year],$A45),"N/A")</f>
        <v>0.24482747116947079</v>
      </c>
      <c r="I45" s="65" t="s">
        <v>2480</v>
      </c>
      <c r="J45" s="65"/>
      <c r="K45" s="65" t="s">
        <v>2481</v>
      </c>
      <c r="L45" s="65"/>
      <c r="M45" s="65"/>
      <c r="Q45" t="s">
        <v>574</v>
      </c>
      <c r="R45" s="322"/>
      <c r="S45" s="322"/>
      <c r="T45" s="322"/>
      <c r="U45" s="393">
        <v>14660</v>
      </c>
      <c r="V45" s="322">
        <v>58509</v>
      </c>
      <c r="W45" s="322">
        <v>57691</v>
      </c>
      <c r="X45" s="322">
        <v>12060</v>
      </c>
      <c r="Y45" s="322"/>
      <c r="Z45" s="322"/>
      <c r="AA45" s="322"/>
      <c r="AB45" s="322"/>
      <c r="AC45" s="393">
        <v>142920</v>
      </c>
    </row>
    <row r="46" spans="1:29" s="65" customFormat="1" ht="16.5" customHeight="1" x14ac:dyDescent="0.25">
      <c r="A46" s="65">
        <f t="shared" si="8"/>
        <v>2016</v>
      </c>
      <c r="C46" s="326" t="s">
        <v>2465</v>
      </c>
      <c r="D46" s="327">
        <f>COUNTIFS(Table11[ETP Year],$A46,Table11[USA trees/Allocation/Contracted],"&lt;&gt;")</f>
        <v>44</v>
      </c>
      <c r="E46" s="327">
        <f>COUNTIFS(Table11[ETP Year],$A46,Table11[Status],E$2)</f>
        <v>31</v>
      </c>
      <c r="F46" s="327">
        <f t="shared" si="7"/>
        <v>13</v>
      </c>
      <c r="G46" s="328">
        <f>SUMIFS(Table11['#Trees as of 2024/estimate -US allocation ],Table11[ETP Year],$A46)/SUMIFS(Table11[USA trees/Allocation/Planted],Table11[ETP Year],$A46)</f>
        <v>0.12336873181386615</v>
      </c>
      <c r="Q46" t="s">
        <v>621</v>
      </c>
      <c r="R46" s="322"/>
      <c r="S46" s="322"/>
      <c r="T46" s="322"/>
      <c r="U46" s="393">
        <v>15936</v>
      </c>
      <c r="V46" s="322">
        <v>31350</v>
      </c>
      <c r="W46" s="322">
        <v>67516</v>
      </c>
      <c r="X46" s="322">
        <v>48970</v>
      </c>
      <c r="Y46" s="322">
        <v>21070</v>
      </c>
      <c r="Z46" s="322">
        <v>46100</v>
      </c>
      <c r="AA46" s="322">
        <v>7786</v>
      </c>
      <c r="AB46" s="322"/>
      <c r="AC46" s="393">
        <v>238728</v>
      </c>
    </row>
    <row r="47" spans="1:29" x14ac:dyDescent="0.25">
      <c r="C47" s="65" t="s">
        <v>2482</v>
      </c>
      <c r="D47" s="77" t="s">
        <v>2483</v>
      </c>
      <c r="E47" s="416">
        <f>S48</f>
        <v>10865.96788</v>
      </c>
      <c r="F47" s="319" t="s">
        <v>2260</v>
      </c>
      <c r="G47" s="417">
        <f>E47*G46</f>
        <v>1340.5206772858037</v>
      </c>
      <c r="Q47" t="s">
        <v>150</v>
      </c>
      <c r="R47" s="322"/>
      <c r="S47" s="393">
        <v>3688.9678800000002</v>
      </c>
      <c r="T47" s="322"/>
      <c r="U47" s="393">
        <v>18619.2</v>
      </c>
      <c r="V47" s="322">
        <v>88314</v>
      </c>
      <c r="W47" s="322">
        <v>54045</v>
      </c>
      <c r="X47" s="322">
        <v>13250</v>
      </c>
      <c r="Y47" s="322">
        <v>6380</v>
      </c>
      <c r="Z47" s="322"/>
      <c r="AA47" s="322"/>
      <c r="AB47" s="322">
        <v>3300</v>
      </c>
      <c r="AC47" s="393">
        <v>187597.16787999999</v>
      </c>
    </row>
    <row r="48" spans="1:29" x14ac:dyDescent="0.25">
      <c r="Q48" t="s">
        <v>2460</v>
      </c>
      <c r="S48" s="393">
        <v>10865.96788</v>
      </c>
      <c r="T48" s="322"/>
      <c r="U48" s="393">
        <v>63797.600000000006</v>
      </c>
      <c r="V48" s="322">
        <v>243023</v>
      </c>
      <c r="W48" s="322">
        <v>201607</v>
      </c>
      <c r="X48" s="322">
        <v>84280</v>
      </c>
      <c r="Y48" s="322">
        <v>31250</v>
      </c>
      <c r="Z48" s="322">
        <v>46100</v>
      </c>
      <c r="AA48" s="322">
        <v>7786</v>
      </c>
      <c r="AB48">
        <v>3300</v>
      </c>
      <c r="AC48" s="393">
        <v>692009.56787999999</v>
      </c>
    </row>
    <row r="49" spans="1:29" x14ac:dyDescent="0.25">
      <c r="B49" s="65">
        <v>2018</v>
      </c>
      <c r="C49" s="132" t="s">
        <v>2477</v>
      </c>
    </row>
    <row r="50" spans="1:29" ht="30" x14ac:dyDescent="0.25">
      <c r="C50" s="320"/>
      <c r="D50" s="321" t="s">
        <v>2461</v>
      </c>
      <c r="E50" s="321" t="s">
        <v>2462</v>
      </c>
      <c r="F50" s="321" t="s">
        <v>2463</v>
      </c>
      <c r="G50" s="325" t="s">
        <v>2464</v>
      </c>
      <c r="Q50" s="390" t="s">
        <v>2260</v>
      </c>
      <c r="R50" s="322"/>
      <c r="S50" s="391">
        <f>S38/S48</f>
        <v>0.12336873181386615</v>
      </c>
      <c r="T50" s="392"/>
      <c r="U50" s="391">
        <f>U38/U48</f>
        <v>0.39950663070226872</v>
      </c>
      <c r="V50" s="391">
        <f>V38/V48</f>
        <v>0.56539520083991668</v>
      </c>
      <c r="W50" s="391">
        <f>W38/W48</f>
        <v>0.73360552081591257</v>
      </c>
      <c r="X50" s="391">
        <f>X38/X48</f>
        <v>0.96779781680113908</v>
      </c>
      <c r="Y50" s="392">
        <f>Y38/Y48</f>
        <v>0.92959999999999998</v>
      </c>
      <c r="Z50" s="392" t="e">
        <f>Z39/Z49</f>
        <v>#DIV/0!</v>
      </c>
      <c r="AA50" s="392"/>
      <c r="AB50" s="392" t="e">
        <f>AB39/AB49</f>
        <v>#DIV/0!</v>
      </c>
      <c r="AC50" s="8"/>
    </row>
    <row r="51" spans="1:29" ht="26.25" customHeight="1" x14ac:dyDescent="0.25">
      <c r="A51">
        <f>B49</f>
        <v>2018</v>
      </c>
      <c r="C51" s="322" t="s">
        <v>213</v>
      </c>
      <c r="D51" s="321">
        <f>COUNTIFS(Table11[Region],$C51,Table11[ETP Year],$A51,Table11[USA trees/Allocation/Contracted],"&lt;&gt;")</f>
        <v>12</v>
      </c>
      <c r="E51" s="321">
        <f>COUNTIFS(Table11[Region],$C51,Table11[ETP Year],$A51,Table11[Status],E$2)</f>
        <v>6</v>
      </c>
      <c r="F51" s="321">
        <f>D51-E51</f>
        <v>6</v>
      </c>
      <c r="G51" s="325">
        <f>IFERROR(SUMIFS(Table11['#Trees as of 2024/estimate -US allocation ],Table11[Region],$C51,Table11[ETP Year],$A51)/SUMIFS(Table11[USA trees/Allocation/Planted],Table11[Region],$C51,Table11[ETP Year],$A51),"N/A")</f>
        <v>0.31593910097534489</v>
      </c>
      <c r="Q51" s="390" t="s">
        <v>213</v>
      </c>
      <c r="R51" s="322"/>
      <c r="S51" s="391">
        <f>S34/S44</f>
        <v>6.0939111049184896E-2</v>
      </c>
      <c r="T51" s="392"/>
      <c r="U51" s="391">
        <f>U34/U44</f>
        <v>0.31593910097534489</v>
      </c>
      <c r="V51" s="391">
        <f>V34/V44</f>
        <v>0.6281156515034696</v>
      </c>
      <c r="W51" s="391">
        <f>W34/W44</f>
        <v>0.81712555260098685</v>
      </c>
      <c r="X51" s="391">
        <f>X34/X44</f>
        <v>0.98060000000000003</v>
      </c>
      <c r="Y51" s="392">
        <f>Y34/Y44</f>
        <v>1</v>
      </c>
      <c r="Z51" s="392"/>
      <c r="AA51" s="392"/>
      <c r="AB51" s="392"/>
      <c r="AC51" s="8"/>
    </row>
    <row r="52" spans="1:29" x14ac:dyDescent="0.25">
      <c r="A52">
        <f>A51</f>
        <v>2018</v>
      </c>
      <c r="C52" s="322" t="s">
        <v>574</v>
      </c>
      <c r="D52" s="321">
        <f>COUNTIFS(Table11[Region],$C52,Table11[ETP Year],$A52,Table11[USA trees/Allocation/Planted],"&lt;&gt;")</f>
        <v>10</v>
      </c>
      <c r="E52" s="321">
        <f>COUNTIFS(Table11[Region],$C52,Table11[ETP Year],$A52,Table11[Status],E$2)</f>
        <v>6</v>
      </c>
      <c r="F52" s="321">
        <f t="shared" ref="F52:F55" si="9">D52-E52</f>
        <v>4</v>
      </c>
      <c r="G52" s="325">
        <f>IFERROR(SUMIFS(Table11['#Trees as of 2024/estimate -US allocation ],Table11[Region],$C52,Table11[ETP Year],$A52)/SUMIFS(Table11[USA trees/Allocation/Planted],Table11[Region],$C52,Table11[ETP Year],$A52),"N/A")</f>
        <v>0.39980046914451106</v>
      </c>
      <c r="Q52" s="390" t="s">
        <v>574</v>
      </c>
      <c r="R52" s="322"/>
      <c r="S52" s="391"/>
      <c r="T52" s="392"/>
      <c r="U52" s="391">
        <f t="shared" ref="U52:X53" si="10">U35/U45</f>
        <v>0.39980046914451106</v>
      </c>
      <c r="V52" s="391">
        <f t="shared" si="10"/>
        <v>0.54589671635545378</v>
      </c>
      <c r="W52" s="391">
        <f t="shared" si="10"/>
        <v>0.65689843529714931</v>
      </c>
      <c r="X52" s="391">
        <f t="shared" si="10"/>
        <v>0.95099502487562193</v>
      </c>
      <c r="Y52" s="392"/>
      <c r="Z52" s="392"/>
      <c r="AA52" s="392"/>
      <c r="AB52" s="392"/>
      <c r="AC52" s="8"/>
    </row>
    <row r="53" spans="1:29" x14ac:dyDescent="0.25">
      <c r="A53">
        <f t="shared" ref="A53:A55" si="11">A52</f>
        <v>2018</v>
      </c>
      <c r="C53" s="322" t="s">
        <v>621</v>
      </c>
      <c r="D53" s="321">
        <f>COUNTIFS(Table11[Region],$C53,Table11[ETP Year],$A53,Table11[USA trees/Allocation/Planted],"&lt;&gt;")</f>
        <v>6</v>
      </c>
      <c r="E53" s="321">
        <f>COUNTIFS(Table11[Region],$C53,Table11[ETP Year],$A53,Table11[Status],E$2)</f>
        <v>4</v>
      </c>
      <c r="F53" s="321">
        <f t="shared" si="9"/>
        <v>2</v>
      </c>
      <c r="G53" s="325">
        <f>IFERROR(SUMIFS(Table11['#Trees as of 2024/estimate -US allocation ],Table11[Region],$C53,Table11[ETP Year],$A53)/SUMIFS(Table11[USA trees/Allocation/Planted],Table11[Region],$C53,Table11[ETP Year],$A53),"N/A")</f>
        <v>0.32771084337349399</v>
      </c>
      <c r="Q53" s="390" t="s">
        <v>621</v>
      </c>
      <c r="R53" s="322"/>
      <c r="S53" s="391"/>
      <c r="T53" s="392"/>
      <c r="U53" s="391">
        <f t="shared" si="10"/>
        <v>0.32771084337349399</v>
      </c>
      <c r="V53" s="391">
        <f t="shared" si="10"/>
        <v>0.19333333333333333</v>
      </c>
      <c r="W53" s="391">
        <f t="shared" si="10"/>
        <v>0.75277308747678184</v>
      </c>
      <c r="X53" s="391">
        <f t="shared" si="10"/>
        <v>0.98733918725750458</v>
      </c>
      <c r="Y53" s="392"/>
      <c r="Z53" s="392"/>
      <c r="AA53" s="392"/>
      <c r="AB53" s="392"/>
      <c r="AC53" s="8"/>
    </row>
    <row r="54" spans="1:29" x14ac:dyDescent="0.25">
      <c r="A54">
        <f t="shared" si="11"/>
        <v>2018</v>
      </c>
      <c r="C54" s="322" t="s">
        <v>150</v>
      </c>
      <c r="D54" s="321">
        <f>COUNTIFS(Table11[Region],$C54,Table11[ETP Year],$A54,Table11[USA trees/Allocation/Planted],"&lt;&gt;")</f>
        <v>20</v>
      </c>
      <c r="E54" s="321">
        <f>COUNTIFS(Table11[Region],$C54,Table11[ETP Year],$A54,Table11[Status],E$2)</f>
        <v>6</v>
      </c>
      <c r="F54" s="321">
        <f t="shared" si="9"/>
        <v>14</v>
      </c>
      <c r="G54" s="325">
        <f>IFERROR(SUMIFS(Table11['#Trees as of 2024/estimate -US allocation ],Table11[Region],$C54,Table11[ETP Year],$A54)/SUMIFS(Table11[USA trees/Allocation/Planted],Table11[Region],$C54,Table11[ETP Year],$A54),"N/A")</f>
        <v>0.52617400313491769</v>
      </c>
      <c r="Q54" s="390" t="s">
        <v>150</v>
      </c>
      <c r="R54" s="322"/>
      <c r="S54" s="391">
        <f>S37/S47</f>
        <v>0.24482747116947079</v>
      </c>
      <c r="T54" s="392"/>
      <c r="U54" s="391">
        <f>U35/U45</f>
        <v>0.39980046914451106</v>
      </c>
      <c r="V54" s="391">
        <f>V37/V47</f>
        <v>0.66433257373098065</v>
      </c>
      <c r="W54" s="391">
        <f>W37/W47</f>
        <v>0.75699530209877652</v>
      </c>
      <c r="X54" s="391">
        <f>X37/X47</f>
        <v>0.90120754716981133</v>
      </c>
      <c r="Y54" s="392">
        <f>Y37/Y47</f>
        <v>1</v>
      </c>
      <c r="Z54" s="392"/>
      <c r="AA54" s="392"/>
      <c r="AB54" s="392">
        <f>AB37/AB47</f>
        <v>1</v>
      </c>
      <c r="AC54" s="8"/>
    </row>
    <row r="55" spans="1:29" s="65" customFormat="1" x14ac:dyDescent="0.25">
      <c r="A55" s="65">
        <f t="shared" si="11"/>
        <v>2018</v>
      </c>
      <c r="C55" s="326" t="s">
        <v>2465</v>
      </c>
      <c r="D55" s="327">
        <f>COUNTIFS(Table11[ETP Year],$A55,Table11[USA trees/Allocation/Planted],"&lt;&gt;")</f>
        <v>48</v>
      </c>
      <c r="E55" s="327">
        <f>COUNTIFS(Table11[ETP Year],$A55,Table11[Status],E$2)</f>
        <v>22</v>
      </c>
      <c r="F55" s="327">
        <f t="shared" si="9"/>
        <v>26</v>
      </c>
      <c r="G55" s="328">
        <f>SUMIFS(Table11['#Trees as of 2024/estimate -US allocation ],Table11[ETP Year],$A55)/SUMIFS(Table11[USA trees/Allocation/Planted],Table11[ETP Year],$A55)</f>
        <v>0.39950663070226866</v>
      </c>
      <c r="Q55"/>
      <c r="R55"/>
      <c r="S55"/>
    </row>
    <row r="56" spans="1:29" x14ac:dyDescent="0.25">
      <c r="C56" s="65" t="s">
        <v>2484</v>
      </c>
      <c r="D56" s="77" t="s">
        <v>2483</v>
      </c>
      <c r="E56" s="416">
        <f>U48</f>
        <v>63797.600000000006</v>
      </c>
      <c r="F56" s="319" t="s">
        <v>2260</v>
      </c>
      <c r="G56" s="417">
        <f>E56*G55</f>
        <v>25487.564222891058</v>
      </c>
      <c r="I56" s="65" t="s">
        <v>2485</v>
      </c>
      <c r="J56" s="65"/>
      <c r="K56" s="65" t="s">
        <v>2486</v>
      </c>
      <c r="L56" s="65"/>
      <c r="M56" s="65"/>
      <c r="Q56" s="326" t="s">
        <v>2487</v>
      </c>
      <c r="R56" s="326"/>
      <c r="S56" s="395">
        <v>10860</v>
      </c>
      <c r="T56" s="326"/>
      <c r="U56" s="326">
        <v>65618</v>
      </c>
      <c r="V56" s="326">
        <v>242965</v>
      </c>
      <c r="W56" s="326">
        <v>183729</v>
      </c>
      <c r="X56" s="395">
        <v>18290</v>
      </c>
    </row>
    <row r="57" spans="1:29" x14ac:dyDescent="0.25">
      <c r="Q57" s="326" t="s">
        <v>2488</v>
      </c>
      <c r="R57" s="326"/>
      <c r="S57" s="395">
        <f>S48-S56</f>
        <v>5.9678800000001502</v>
      </c>
      <c r="T57" s="326"/>
      <c r="U57" s="396">
        <f>U56-U48</f>
        <v>1820.3999999999942</v>
      </c>
      <c r="V57" s="326">
        <f>V56-V48</f>
        <v>-58</v>
      </c>
      <c r="W57" s="326">
        <f>W56-W48</f>
        <v>-17878</v>
      </c>
      <c r="X57" s="395">
        <f>X56-X48</f>
        <v>-65990</v>
      </c>
    </row>
    <row r="58" spans="1:29" x14ac:dyDescent="0.25">
      <c r="B58" s="65">
        <v>2020</v>
      </c>
      <c r="C58" s="132" t="s">
        <v>2477</v>
      </c>
    </row>
    <row r="59" spans="1:29" ht="30" x14ac:dyDescent="0.25">
      <c r="C59" s="320"/>
      <c r="D59" s="321" t="s">
        <v>2461</v>
      </c>
      <c r="E59" s="321" t="s">
        <v>2462</v>
      </c>
      <c r="F59" s="321" t="s">
        <v>2463</v>
      </c>
      <c r="G59" s="325" t="s">
        <v>2464</v>
      </c>
    </row>
    <row r="60" spans="1:29" x14ac:dyDescent="0.25">
      <c r="A60">
        <f>B58</f>
        <v>2020</v>
      </c>
      <c r="C60" s="322" t="s">
        <v>213</v>
      </c>
      <c r="D60" s="321">
        <f>COUNTIFS(Table11[Region],$C60,Table11[ETP Year],$A60,Table11[USA trees/Allocation/Planted],"&lt;&gt;")</f>
        <v>35</v>
      </c>
      <c r="E60" s="321">
        <f>COUNTIFS(Table11[Region],$C60,Table11[ETP Year],$A60,Table11[Status],E$2)</f>
        <v>6</v>
      </c>
      <c r="F60" s="321">
        <f>D60-E60</f>
        <v>29</v>
      </c>
      <c r="G60" s="325">
        <f>IFERROR(SUMIFS(Table11['#Trees as of 2024/estimate -US allocation ],Table11[Region],$C60,Table11[ETP Year],$A60)/SUMIFS(Table11[USA trees/Allocation/Planted],Table11[Region],$C60,Table11[ETP Year],$A60),"N/A")</f>
        <v>0.62589514263685442</v>
      </c>
    </row>
    <row r="61" spans="1:29" x14ac:dyDescent="0.25">
      <c r="A61">
        <f>A60</f>
        <v>2020</v>
      </c>
      <c r="C61" s="322" t="s">
        <v>574</v>
      </c>
      <c r="D61" s="321">
        <f>COUNTIFS(Table11[Region],$C61,Table11[ETP Year],$A61)</f>
        <v>24</v>
      </c>
      <c r="E61" s="321">
        <f>COUNTIFS(Table11[Region],$C61,Table11[ETP Year],$A61,Table11[Status],E$2)</f>
        <v>8</v>
      </c>
      <c r="F61" s="321">
        <f t="shared" ref="F61:F64" si="12">D61-E61</f>
        <v>16</v>
      </c>
      <c r="G61" s="325">
        <f>IFERROR(SUMIFS(Table11['#Trees as of 2024/estimate -US allocation ],Table11[Region],$C61,Table11[ETP Year],$A61)/SUMIFS(Table11[USA trees/Allocation/Planted],Table11[Region],$C61,Table11[ETP Year],$A61),"N/A")</f>
        <v>0.54589671635545378</v>
      </c>
    </row>
    <row r="62" spans="1:29" ht="17.25" customHeight="1" x14ac:dyDescent="0.25">
      <c r="A62">
        <f t="shared" ref="A62:A64" si="13">A61</f>
        <v>2020</v>
      </c>
      <c r="C62" s="322" t="s">
        <v>621</v>
      </c>
      <c r="D62" s="321">
        <v>12</v>
      </c>
      <c r="E62" s="321">
        <v>7</v>
      </c>
      <c r="F62" s="321">
        <f t="shared" si="12"/>
        <v>5</v>
      </c>
      <c r="G62" s="325">
        <v>0.11</v>
      </c>
    </row>
    <row r="63" spans="1:29" ht="31.5" customHeight="1" x14ac:dyDescent="0.25">
      <c r="A63">
        <f t="shared" si="13"/>
        <v>2020</v>
      </c>
      <c r="C63" s="322" t="s">
        <v>150</v>
      </c>
      <c r="D63" s="321">
        <f>COUNTIFS(Table11[Region],$C63,Table11[ETP Year],$A63)</f>
        <v>61</v>
      </c>
      <c r="E63" s="321">
        <f>COUNTIFS(Table11[Region],$C63,Table11[ETP Year],$A63,Table11[Status],E$2)</f>
        <v>8</v>
      </c>
      <c r="F63" s="321">
        <f t="shared" si="12"/>
        <v>53</v>
      </c>
      <c r="G63" s="325">
        <f>IFERROR(SUMIFS(Table11['#Trees as of 2024/estimate -US allocation ],Table11[Region],$C63,Table11[ETP Year],$A63)/SUMIFS(Table11[USA trees/Allocation/Planted],Table11[Region],$C63,Table11[ETP Year],$A63),"N/A")</f>
        <v>0.66433257373098065</v>
      </c>
    </row>
    <row r="64" spans="1:29" s="65" customFormat="1" ht="18.75" customHeight="1" x14ac:dyDescent="0.25">
      <c r="A64" s="65">
        <f t="shared" si="13"/>
        <v>2020</v>
      </c>
      <c r="C64" s="326" t="s">
        <v>2465</v>
      </c>
      <c r="D64" s="327">
        <f>SUM(D60:D63)</f>
        <v>132</v>
      </c>
      <c r="E64" s="327">
        <f>COUNTIFS(Table11[ETP Year],$A64,Table11[Status],E$2)</f>
        <v>25</v>
      </c>
      <c r="F64" s="327">
        <f t="shared" si="12"/>
        <v>107</v>
      </c>
      <c r="G64" s="328">
        <f>SUMIFS(Table11['#Trees as of 2024/estimate -US allocation ],Table11[ETP Year],$A64)/SUMIFS(Table11[USA trees/Allocation/Planted],Table11[ETP Year],$A64)</f>
        <v>0.56480266433102655</v>
      </c>
      <c r="H64" s="148"/>
      <c r="I64" s="65" t="s">
        <v>2489</v>
      </c>
      <c r="K64" s="65" t="s">
        <v>2490</v>
      </c>
    </row>
    <row r="65" spans="1:18" x14ac:dyDescent="0.25">
      <c r="C65" s="400" t="s">
        <v>2491</v>
      </c>
      <c r="D65" s="77" t="s">
        <v>2483</v>
      </c>
      <c r="E65" s="77">
        <f>V48</f>
        <v>243023</v>
      </c>
      <c r="F65" s="319" t="s">
        <v>2260</v>
      </c>
      <c r="G65" s="417">
        <f>E65*G64</f>
        <v>137260.03789371907</v>
      </c>
    </row>
    <row r="67" spans="1:18" x14ac:dyDescent="0.25">
      <c r="B67" s="65">
        <v>2021</v>
      </c>
      <c r="C67" s="132" t="s">
        <v>2477</v>
      </c>
    </row>
    <row r="68" spans="1:18" ht="30" x14ac:dyDescent="0.25">
      <c r="C68" s="320"/>
      <c r="D68" s="321" t="s">
        <v>2461</v>
      </c>
      <c r="E68" s="321" t="s">
        <v>2462</v>
      </c>
      <c r="F68" s="321" t="s">
        <v>2463</v>
      </c>
      <c r="G68" s="325" t="s">
        <v>2464</v>
      </c>
    </row>
    <row r="69" spans="1:18" x14ac:dyDescent="0.25">
      <c r="A69">
        <f>B67</f>
        <v>2021</v>
      </c>
      <c r="C69" s="322" t="s">
        <v>213</v>
      </c>
      <c r="D69" s="321">
        <f>COUNTIFS(Table11[Region],$C69,Table11[ETP Year],$A69)</f>
        <v>16</v>
      </c>
      <c r="E69" s="321">
        <f>COUNTIFS(Table11[Region],$C69,Table11[ETP Year],$A69,Table11[Status],E$2)</f>
        <v>1</v>
      </c>
      <c r="F69" s="321">
        <f>D69-E69</f>
        <v>15</v>
      </c>
      <c r="G69" s="325">
        <f>IFERROR(SUMIFS(Table11['#Trees as of 2024/estimate -US allocation ],Table11[Region],$C69,Table11[ETP Year],$A69)/SUMIFS(Table11[USA trees/Allocation/Planted],Table11[Region],$C69,Table11[ETP Year],$A69),"N/A")</f>
        <v>0.82575896794431058</v>
      </c>
    </row>
    <row r="70" spans="1:18" x14ac:dyDescent="0.25">
      <c r="A70">
        <f>A69</f>
        <v>2021</v>
      </c>
      <c r="C70" s="322" t="s">
        <v>574</v>
      </c>
      <c r="D70" s="321">
        <f>COUNTIFS(Table11[Region],$C70,Table11[ETP Year],$A70)</f>
        <v>10</v>
      </c>
      <c r="E70" s="321">
        <f>COUNTIFS(Table11[Region],$C70,Table11[ETP Year],$A70,Table11[Status],E$2)</f>
        <v>0</v>
      </c>
      <c r="F70" s="321">
        <f t="shared" ref="F70:F73" si="14">D70-E70</f>
        <v>10</v>
      </c>
      <c r="G70" s="325">
        <f>IFERROR(SUMIFS(Table11['#Trees as of 2024/estimate -US allocation ],Table11[Region],$C70,Table11[ETP Year],$A70)/SUMIFS(Table11[USA trees/Allocation/Planted],Table11[Region],$C70,Table11[ETP Year],$A70),"N/A")</f>
        <v>0.65689843529714931</v>
      </c>
    </row>
    <row r="71" spans="1:18" x14ac:dyDescent="0.25">
      <c r="A71">
        <f t="shared" ref="A71:A73" si="15">A70</f>
        <v>2021</v>
      </c>
      <c r="C71" s="322" t="s">
        <v>621</v>
      </c>
      <c r="D71" s="368">
        <f>COUNTIFS(Table11[Region],$C71,Table11[ETP Year],$A71)</f>
        <v>24</v>
      </c>
      <c r="E71" s="321">
        <f>COUNTIFS(Table11[Region],$C71,Table11[ETP Year],$A71,Table11[Status],E$2)</f>
        <v>0</v>
      </c>
      <c r="F71" s="321">
        <f t="shared" si="14"/>
        <v>24</v>
      </c>
      <c r="G71" s="325">
        <f>IFERROR(SUMIFS(Table11['#Trees as of 2024/estimate -US allocation ],Table11[Region],$C71,Table11[ETP Year],$A71)/SUMIFS(Table11[USA trees/Allocation/Planted],Table11[Region],$C71,Table11[ETP Year],$A71),"N/A")</f>
        <v>0.75277308747678184</v>
      </c>
    </row>
    <row r="72" spans="1:18" x14ac:dyDescent="0.25">
      <c r="A72">
        <f t="shared" si="15"/>
        <v>2021</v>
      </c>
      <c r="C72" s="322" t="s">
        <v>150</v>
      </c>
      <c r="D72" s="368">
        <f>COUNTIFS(Table11[Region],$C72,Table11[ETP Year],$A72)</f>
        <v>39</v>
      </c>
      <c r="E72" s="321">
        <f>COUNTIFS(Table11[Region],$C72,Table11[ETP Year],$A72,Table11[Status],E$2)</f>
        <v>2</v>
      </c>
      <c r="F72" s="321">
        <f t="shared" si="14"/>
        <v>37</v>
      </c>
      <c r="G72" s="325">
        <f>IFERROR(SUMIFS(Table11['#Trees as of 2024/estimate -US allocation ],Table11[Region],$C72,Table11[ETP Year],$A72)/SUMIFS(Table11[USA trees/Allocation/Planted],Table11[Region],$C72,Table11[ETP Year],$A72),"N/A")</f>
        <v>0.75699530209877652</v>
      </c>
    </row>
    <row r="73" spans="1:18" s="65" customFormat="1" x14ac:dyDescent="0.25">
      <c r="A73" s="65">
        <f t="shared" si="15"/>
        <v>2021</v>
      </c>
      <c r="C73" s="326" t="s">
        <v>2465</v>
      </c>
      <c r="D73" s="327">
        <f>COUNTIFS(Table11[ETP Year],$A73)</f>
        <v>89</v>
      </c>
      <c r="E73" s="327">
        <f>COUNTIFS(Table11[ETP Year],$A73,Table11[Status],E$2)</f>
        <v>3</v>
      </c>
      <c r="F73" s="327">
        <f t="shared" si="14"/>
        <v>86</v>
      </c>
      <c r="G73" s="394">
        <f>SUMIFS(Table11['#Trees as of 2024/estimate -US allocation ],Table11[ETP Year],$A73)/SUMIFS(Table11[USA trees/Allocation/Planted],Table11[ETP Year],$A73)</f>
        <v>0.73456282884589152</v>
      </c>
    </row>
    <row r="74" spans="1:18" x14ac:dyDescent="0.25">
      <c r="C74" s="65" t="s">
        <v>2492</v>
      </c>
      <c r="D74" s="77" t="s">
        <v>2483</v>
      </c>
      <c r="E74" s="77">
        <f>W48</f>
        <v>201607</v>
      </c>
      <c r="F74" s="319" t="s">
        <v>2260</v>
      </c>
      <c r="G74" s="417">
        <f>E74*G73</f>
        <v>148093.00823513366</v>
      </c>
      <c r="I74" s="65" t="s">
        <v>2493</v>
      </c>
      <c r="J74" s="65"/>
      <c r="K74" s="399" t="s">
        <v>2494</v>
      </c>
    </row>
    <row r="76" spans="1:18" x14ac:dyDescent="0.25">
      <c r="B76" s="65">
        <v>2022</v>
      </c>
      <c r="C76" s="132" t="s">
        <v>2477</v>
      </c>
    </row>
    <row r="77" spans="1:18" ht="30" x14ac:dyDescent="0.25">
      <c r="C77" s="320"/>
      <c r="D77" s="321" t="s">
        <v>2461</v>
      </c>
      <c r="E77" s="321" t="s">
        <v>2462</v>
      </c>
      <c r="F77" s="321" t="s">
        <v>2463</v>
      </c>
      <c r="G77" s="325" t="s">
        <v>2464</v>
      </c>
    </row>
    <row r="78" spans="1:18" x14ac:dyDescent="0.25">
      <c r="A78">
        <f>B76</f>
        <v>2022</v>
      </c>
      <c r="C78" s="322" t="s">
        <v>213</v>
      </c>
      <c r="D78" s="321">
        <f>COUNTIFS(Table11[Region],$C78,Table11[ETP Year],$A78)</f>
        <v>6</v>
      </c>
      <c r="E78" s="321">
        <f>COUNTIFS(Table11[Region],$C78,Table11[ETP Year],$A78,Table11[Status],E$2)</f>
        <v>0</v>
      </c>
      <c r="F78" s="321">
        <f>D78-E78</f>
        <v>6</v>
      </c>
      <c r="G78" s="325">
        <f>IFERROR(SUMIFS(Table11['#Trees as of 2024/estimate -US allocation ],Table11[Region],$C78,Table11[ETP Year],$A78)/SUMIFS(Table11[USA trees/Allocation/Planted],Table11[Region],$C78,Table11[ETP Year],$A78),"N/A")</f>
        <v>0.98060000000000003</v>
      </c>
    </row>
    <row r="79" spans="1:18" x14ac:dyDescent="0.25">
      <c r="A79">
        <f>A78</f>
        <v>2022</v>
      </c>
      <c r="C79" s="322" t="s">
        <v>574</v>
      </c>
      <c r="D79" s="321">
        <f>COUNTIFS(Table11[Region],$C79,Table11[ETP Year],$A79)</f>
        <v>3</v>
      </c>
      <c r="E79" s="321">
        <f>COUNTIFS(Table11[Region],$C79,Table11[ETP Year],$A79,Table11[Status],E$2)</f>
        <v>0</v>
      </c>
      <c r="F79" s="321">
        <f t="shared" ref="F79:F82" si="16">D79-E79</f>
        <v>3</v>
      </c>
      <c r="G79" s="325">
        <f>IFERROR(SUMIFS(Table11['#Trees as of 2024/estimate -US allocation ],Table11[Region],$C79,Table11[ETP Year],$A79)/SUMIFS(Table11[USA trees/Allocation/Planted],Table11[Region],$C79,Table11[ETP Year],$A79),"N/A")</f>
        <v>0.95099502487562193</v>
      </c>
      <c r="R79" s="199"/>
    </row>
    <row r="80" spans="1:18" x14ac:dyDescent="0.25">
      <c r="A80">
        <f t="shared" ref="A80:A82" si="17">A79</f>
        <v>2022</v>
      </c>
      <c r="C80" s="322" t="s">
        <v>621</v>
      </c>
      <c r="D80" s="321">
        <f>COUNTIFS(Table11[Region],$C80,Table11[ETP Year],$A80)</f>
        <v>26</v>
      </c>
      <c r="E80" s="321">
        <f>COUNTIFS(Table11[Region],$C80,Table11[ETP Year],$A80,Table11[Status],E$2)</f>
        <v>2</v>
      </c>
      <c r="F80" s="321">
        <f t="shared" si="16"/>
        <v>24</v>
      </c>
      <c r="G80" s="325">
        <f>IFERROR(SUMIFS(Table11['#Trees as of 2024/estimate -US allocation ],Table11[Region],$C80,Table11[ETP Year],$A80)/SUMIFS(Table11[USA trees/Allocation/Planted],Table11[Region],$C80,Table11[ETP Year],$A80),"N/A")</f>
        <v>0.98733918725750458</v>
      </c>
      <c r="R80" s="199"/>
    </row>
    <row r="81" spans="1:18" x14ac:dyDescent="0.25">
      <c r="A81">
        <f t="shared" si="17"/>
        <v>2022</v>
      </c>
      <c r="C81" s="322" t="s">
        <v>150</v>
      </c>
      <c r="D81" s="321">
        <f>COUNTIFS(Table11[Region],$C81,Table11[ETP Year],$A81)</f>
        <v>6</v>
      </c>
      <c r="E81" s="321">
        <f>COUNTIFS(Table11[Region],$C81,Table11[ETP Year],$A81,Table11[Status],E$2)</f>
        <v>0</v>
      </c>
      <c r="F81" s="321">
        <f t="shared" si="16"/>
        <v>6</v>
      </c>
      <c r="G81" s="325">
        <f>IFERROR(SUMIFS(Table11['#Trees as of 2024/estimate -US allocation ],Table11[Region],$C81,Table11[ETP Year],$A81)/SUMIFS(Table11[USA trees/Allocation/Planted],Table11[Region],$C81,Table11[ETP Year],$A81),"N/A")</f>
        <v>0.90120754716981133</v>
      </c>
      <c r="R81" s="199"/>
    </row>
    <row r="82" spans="1:18" s="65" customFormat="1" x14ac:dyDescent="0.25">
      <c r="A82" s="65">
        <f t="shared" si="17"/>
        <v>2022</v>
      </c>
      <c r="C82" s="326" t="s">
        <v>2465</v>
      </c>
      <c r="D82" s="327">
        <f>COUNTIFS(Table11[ETP Year],$A82)</f>
        <v>41</v>
      </c>
      <c r="E82" s="327">
        <f>COUNTIFS(Table11[ETP Year],$A82,Table11[Status],E$2)</f>
        <v>2</v>
      </c>
      <c r="F82" s="327">
        <f t="shared" si="16"/>
        <v>39</v>
      </c>
      <c r="G82" s="328">
        <f>SUMIFS(Table11['#Trees as of 2024/estimate -US allocation ],Table11[ETP Year],$A82)/SUMIFS(Table11[USA trees/Allocation/Planted],Table11[ETP Year],$A82)</f>
        <v>0.96779781680113908</v>
      </c>
      <c r="I82" s="65" t="s">
        <v>2495</v>
      </c>
      <c r="K82" s="65" t="s">
        <v>2496</v>
      </c>
      <c r="R82" s="342"/>
    </row>
    <row r="83" spans="1:18" x14ac:dyDescent="0.25">
      <c r="C83" s="65" t="s">
        <v>2497</v>
      </c>
      <c r="D83" s="77" t="s">
        <v>2483</v>
      </c>
      <c r="E83" s="77">
        <f>X48</f>
        <v>84280</v>
      </c>
      <c r="F83" s="319" t="s">
        <v>2260</v>
      </c>
      <c r="G83" s="417">
        <f>E83*G82</f>
        <v>81566</v>
      </c>
    </row>
    <row r="85" spans="1:18" x14ac:dyDescent="0.25">
      <c r="B85" s="65">
        <v>2023</v>
      </c>
      <c r="C85" s="132" t="s">
        <v>2477</v>
      </c>
    </row>
    <row r="86" spans="1:18" ht="30" x14ac:dyDescent="0.25">
      <c r="C86" s="320"/>
      <c r="D86" s="321" t="s">
        <v>2461</v>
      </c>
      <c r="E86" s="321" t="s">
        <v>2462</v>
      </c>
      <c r="F86" s="321" t="s">
        <v>2463</v>
      </c>
      <c r="G86" s="325" t="s">
        <v>2464</v>
      </c>
    </row>
    <row r="87" spans="1:18" x14ac:dyDescent="0.25">
      <c r="A87">
        <f>B85</f>
        <v>2023</v>
      </c>
      <c r="C87" s="322" t="s">
        <v>213</v>
      </c>
      <c r="D87" s="321">
        <f>COUNTIFS(Table11[Region],$C87,Table11[ETP Year],$A87)</f>
        <v>3</v>
      </c>
      <c r="E87" s="321">
        <f>COUNTIFS(Table11[Region],$C87,Table11[ETP Year],$A87,Table11[Status],E$2)</f>
        <v>0</v>
      </c>
      <c r="F87" s="321">
        <f>D87-E87</f>
        <v>3</v>
      </c>
      <c r="G87" s="325">
        <f>IFERROR(SUMIFS(Table11['#Trees as of 2024/estimate -US allocation ],Table11[Region],$C87,Table11[ETP Year],$A87)/SUMIFS(Table11[USA trees/Allocation/Planted],Table11[Region],$C87,Table11[ETP Year],$A87),"N/A")</f>
        <v>1</v>
      </c>
    </row>
    <row r="88" spans="1:18" x14ac:dyDescent="0.25">
      <c r="A88">
        <f>A87</f>
        <v>2023</v>
      </c>
      <c r="C88" s="322" t="s">
        <v>574</v>
      </c>
      <c r="D88" s="321">
        <f>COUNTIFS(Table11[Region],$C88,Table11[ETP Year],$A88)</f>
        <v>0</v>
      </c>
      <c r="E88" s="321">
        <f>COUNTIFS(Table11[Region],$C88,Table11[ETP Year],$A88,Table11[Status],E$2)</f>
        <v>0</v>
      </c>
      <c r="F88" s="321">
        <f t="shared" ref="F88:F91" si="18">D88-E88</f>
        <v>0</v>
      </c>
      <c r="G88" s="325" t="str">
        <f>IFERROR(SUMIFS(Table11['#Trees as of 2024/estimate -US allocation ],Table11[Region],$C88,Table11[ETP Year],$A88)/SUMIFS(Table11[USA trees/Allocation/Planted],Table11[Region],$C88,Table11[ETP Year],$A88),"N/A")</f>
        <v>N/A</v>
      </c>
    </row>
    <row r="89" spans="1:18" x14ac:dyDescent="0.25">
      <c r="A89">
        <f t="shared" ref="A89:A91" si="19">A88</f>
        <v>2023</v>
      </c>
      <c r="C89" s="322" t="s">
        <v>621</v>
      </c>
      <c r="D89" s="321">
        <f>COUNTIFS(Table11[Region],$C89,Table11[ETP Year],$A89)</f>
        <v>23</v>
      </c>
      <c r="E89" s="321">
        <f>COUNTIFS(Table11[Region],$C89,Table11[ETP Year],$A89,Table11[Status],E$2)</f>
        <v>0</v>
      </c>
      <c r="F89" s="321">
        <f t="shared" si="18"/>
        <v>23</v>
      </c>
      <c r="G89" s="325">
        <f>IFERROR(SUMIFS(Table11['#Trees as of 2024/estimate -US allocation ],Table11[Region],$C89,Table11[ETP Year],$A89)/SUMIFS(Table11[USA trees/Allocation/Planted],Table11[Region],$C89,Table11[ETP Year],$A89),"N/A")</f>
        <v>0.94257237778832459</v>
      </c>
    </row>
    <row r="90" spans="1:18" x14ac:dyDescent="0.25">
      <c r="A90">
        <f t="shared" si="19"/>
        <v>2023</v>
      </c>
      <c r="C90" s="322" t="s">
        <v>150</v>
      </c>
      <c r="D90" s="321">
        <f>COUNTIFS(Table11[Region],$C90,Table11[ETP Year],$A90)</f>
        <v>5</v>
      </c>
      <c r="E90" s="321">
        <f>COUNTIFS(Table11[Region],$C90,Table11[ETP Year],$A90,Table11[Status],E$2)</f>
        <v>0</v>
      </c>
      <c r="F90" s="321">
        <f t="shared" si="18"/>
        <v>5</v>
      </c>
      <c r="G90" s="325">
        <f>IFERROR(SUMIFS(Table11['#Trees as of 2024/estimate -US allocation ],Table11[Region],$C90,Table11[ETP Year],$A90)/SUMIFS(Table11[USA trees/Allocation/Planted],Table11[Region],$C90,Table11[ETP Year],$A90),"N/A")</f>
        <v>1</v>
      </c>
      <c r="K90" s="65"/>
    </row>
    <row r="91" spans="1:18" s="65" customFormat="1" x14ac:dyDescent="0.25">
      <c r="A91" s="65">
        <f t="shared" si="19"/>
        <v>2023</v>
      </c>
      <c r="C91" s="326" t="s">
        <v>2465</v>
      </c>
      <c r="D91" s="327">
        <f>COUNTIFS(Table11[ETP Year],$A91)</f>
        <v>31</v>
      </c>
      <c r="E91" s="327">
        <f>COUNTIFS(Table11[ETP Year],$A91,Table11[Status],E$2)</f>
        <v>0</v>
      </c>
      <c r="F91" s="327">
        <f t="shared" si="18"/>
        <v>31</v>
      </c>
      <c r="G91" s="325" t="str">
        <f>IFERROR(SUMIFS(Table11['#Trees as of 2024/estimate -US allocation ],Table11[Region],$C91,Table11[ETP Year],$A91)/SUMIFS(Table11[USA trees/Allocation/Planted],Table11[Region],$C91,Table11[ETP Year],$A91),"N/A")</f>
        <v>N/A</v>
      </c>
    </row>
    <row r="92" spans="1:18" x14ac:dyDescent="0.25">
      <c r="C92" s="65" t="s">
        <v>2498</v>
      </c>
      <c r="D92" s="77" t="s">
        <v>2483</v>
      </c>
      <c r="E92" s="77">
        <f>Y48</f>
        <v>31250</v>
      </c>
      <c r="F92" s="319" t="s">
        <v>2260</v>
      </c>
      <c r="G92" s="417" t="e">
        <f>E92*G91</f>
        <v>#VALUE!</v>
      </c>
    </row>
  </sheetData>
  <pageMargins left="0.7" right="0.7" top="0.75" bottom="0.75" header="0.3" footer="0.3"/>
  <drawing r:id="rId6"/>
  <legacyDrawing r:id="rId7"/>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EEE6B-C768-40E5-A1AE-6509C9A5285B}">
  <dimension ref="A1:J9"/>
  <sheetViews>
    <sheetView workbookViewId="0">
      <selection sqref="A1:K11"/>
    </sheetView>
  </sheetViews>
  <sheetFormatPr defaultRowHeight="15" x14ac:dyDescent="0.25"/>
  <cols>
    <col min="1" max="1" width="21.85546875" bestFit="1" customWidth="1"/>
    <col min="2" max="2" width="16.28515625" bestFit="1" customWidth="1"/>
    <col min="3" max="9" width="5" bestFit="1" customWidth="1"/>
    <col min="10" max="10" width="11.28515625" bestFit="1" customWidth="1"/>
    <col min="11" max="11" width="5" bestFit="1" customWidth="1"/>
    <col min="12" max="12" width="11.28515625" bestFit="1" customWidth="1"/>
  </cols>
  <sheetData>
    <row r="1" spans="1:10" x14ac:dyDescent="0.25">
      <c r="A1" s="96" t="s">
        <v>79</v>
      </c>
      <c r="B1" t="s">
        <v>147</v>
      </c>
    </row>
    <row r="3" spans="1:10" x14ac:dyDescent="0.25">
      <c r="A3" s="96" t="s">
        <v>2499</v>
      </c>
      <c r="B3" s="96" t="s">
        <v>2500</v>
      </c>
    </row>
    <row r="4" spans="1:10" x14ac:dyDescent="0.25">
      <c r="A4" s="96" t="s">
        <v>2501</v>
      </c>
      <c r="B4">
        <v>2015</v>
      </c>
      <c r="C4">
        <v>2016</v>
      </c>
      <c r="D4">
        <v>2017</v>
      </c>
      <c r="E4">
        <v>2018</v>
      </c>
      <c r="F4">
        <v>2019</v>
      </c>
      <c r="G4">
        <v>2020</v>
      </c>
      <c r="H4">
        <v>2021</v>
      </c>
      <c r="I4">
        <v>2022</v>
      </c>
      <c r="J4" t="s">
        <v>2460</v>
      </c>
    </row>
    <row r="5" spans="1:10" x14ac:dyDescent="0.25">
      <c r="A5" s="97" t="s">
        <v>213</v>
      </c>
      <c r="D5">
        <v>1</v>
      </c>
      <c r="F5">
        <v>5</v>
      </c>
      <c r="G5">
        <v>9</v>
      </c>
      <c r="H5">
        <v>2</v>
      </c>
      <c r="I5">
        <v>1</v>
      </c>
      <c r="J5">
        <v>18</v>
      </c>
    </row>
    <row r="6" spans="1:10" x14ac:dyDescent="0.25">
      <c r="A6" s="97" t="s">
        <v>574</v>
      </c>
      <c r="F6">
        <v>1</v>
      </c>
      <c r="G6">
        <v>6</v>
      </c>
      <c r="H6">
        <v>2</v>
      </c>
      <c r="J6">
        <v>9</v>
      </c>
    </row>
    <row r="7" spans="1:10" x14ac:dyDescent="0.25">
      <c r="A7" s="97" t="s">
        <v>621</v>
      </c>
      <c r="G7">
        <v>5</v>
      </c>
      <c r="H7">
        <v>4</v>
      </c>
      <c r="J7">
        <v>9</v>
      </c>
    </row>
    <row r="8" spans="1:10" x14ac:dyDescent="0.25">
      <c r="A8" s="97" t="s">
        <v>150</v>
      </c>
      <c r="B8">
        <v>1</v>
      </c>
      <c r="C8">
        <v>2</v>
      </c>
      <c r="E8">
        <v>2</v>
      </c>
      <c r="F8">
        <v>1</v>
      </c>
      <c r="G8">
        <v>2</v>
      </c>
      <c r="H8">
        <v>5</v>
      </c>
      <c r="I8">
        <v>3</v>
      </c>
      <c r="J8">
        <v>16</v>
      </c>
    </row>
    <row r="9" spans="1:10" x14ac:dyDescent="0.25">
      <c r="A9" s="97" t="s">
        <v>2460</v>
      </c>
      <c r="B9">
        <v>1</v>
      </c>
      <c r="C9">
        <v>2</v>
      </c>
      <c r="D9">
        <v>1</v>
      </c>
      <c r="E9">
        <v>2</v>
      </c>
      <c r="F9">
        <v>7</v>
      </c>
      <c r="G9">
        <v>22</v>
      </c>
      <c r="H9">
        <v>13</v>
      </c>
      <c r="I9">
        <v>4</v>
      </c>
      <c r="J9">
        <v>52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3704D-2FB3-4BAE-821E-0AB59EECC802}">
  <dimension ref="A1:R27"/>
  <sheetViews>
    <sheetView zoomScaleNormal="100" workbookViewId="0">
      <pane xSplit="1" ySplit="2" topLeftCell="B3" activePane="bottomRight" state="frozen"/>
      <selection pane="topRight" activeCell="B1" sqref="B1"/>
      <selection pane="bottomLeft" activeCell="A3" sqref="A3"/>
      <selection pane="bottomRight" activeCell="N20" sqref="N20:N23"/>
    </sheetView>
  </sheetViews>
  <sheetFormatPr defaultRowHeight="15" x14ac:dyDescent="0.25"/>
  <cols>
    <col min="1" max="1" width="14.7109375" bestFit="1" customWidth="1"/>
    <col min="2" max="2" width="11.5703125" bestFit="1" customWidth="1"/>
    <col min="3" max="4" width="11" customWidth="1"/>
    <col min="5" max="8" width="15" customWidth="1"/>
    <col min="9" max="10" width="13.28515625" customWidth="1"/>
    <col min="11" max="11" width="11.7109375" customWidth="1"/>
    <col min="12" max="12" width="12.42578125" customWidth="1"/>
    <col min="13" max="14" width="14" style="148" customWidth="1"/>
    <col min="16" max="16" width="13.28515625" bestFit="1" customWidth="1"/>
    <col min="17" max="18" width="13.85546875" bestFit="1" customWidth="1"/>
  </cols>
  <sheetData>
    <row r="1" spans="1:18" x14ac:dyDescent="0.25">
      <c r="E1" t="s">
        <v>150</v>
      </c>
      <c r="F1" t="s">
        <v>213</v>
      </c>
      <c r="G1" t="s">
        <v>574</v>
      </c>
      <c r="H1" t="s">
        <v>621</v>
      </c>
      <c r="Q1" t="s">
        <v>2502</v>
      </c>
      <c r="R1">
        <v>2024</v>
      </c>
    </row>
    <row r="2" spans="1:18" s="77" customFormat="1" ht="30.6" customHeight="1" x14ac:dyDescent="0.25">
      <c r="A2" s="77" t="s">
        <v>2503</v>
      </c>
      <c r="B2" s="77" t="s">
        <v>66</v>
      </c>
      <c r="C2" s="77" t="s">
        <v>2504</v>
      </c>
      <c r="D2" s="77" t="s">
        <v>2505</v>
      </c>
      <c r="E2" s="77" t="s">
        <v>2506</v>
      </c>
      <c r="F2" s="77" t="s">
        <v>2507</v>
      </c>
      <c r="G2" s="77" t="s">
        <v>2508</v>
      </c>
      <c r="H2" s="77" t="s">
        <v>2509</v>
      </c>
      <c r="I2" s="77" t="s">
        <v>2510</v>
      </c>
      <c r="J2" s="77" t="s">
        <v>2511</v>
      </c>
      <c r="K2" s="77" t="s">
        <v>2512</v>
      </c>
      <c r="L2" s="77" t="s">
        <v>137</v>
      </c>
      <c r="M2" s="149" t="s">
        <v>2513</v>
      </c>
      <c r="N2" s="149" t="s">
        <v>2514</v>
      </c>
      <c r="O2" s="77" t="s">
        <v>2515</v>
      </c>
      <c r="P2" s="77" t="s">
        <v>2516</v>
      </c>
      <c r="Q2" s="77" t="s">
        <v>2517</v>
      </c>
      <c r="R2" s="77" t="s">
        <v>2518</v>
      </c>
    </row>
    <row r="3" spans="1:18" x14ac:dyDescent="0.25">
      <c r="A3" s="65">
        <f t="shared" ref="A3:A10" si="0">B3+9</f>
        <v>2025</v>
      </c>
      <c r="B3">
        <v>2016</v>
      </c>
      <c r="C3">
        <f>A3+1</f>
        <v>2026</v>
      </c>
      <c r="D3" s="78">
        <f>SUMIFS(Table11['#Planted],Table11[Planting Year],'Harvest Projection'!$B3)</f>
        <v>25630</v>
      </c>
      <c r="E3" s="78">
        <f>SUMIFS(Table11[2024 '#Trees Inventory + Estimate],Table11[Region],E$1,Table11[Planting Year],$B3)</f>
        <v>6380.7082296397775</v>
      </c>
      <c r="F3" s="78">
        <f>SUMIFS(Table11[2024 '#Trees Inventory + Estimate],Table11[Region],F$1,Table11[Planting Year],$B3)</f>
        <v>0</v>
      </c>
      <c r="G3" s="78">
        <f>SUMIFS(Table11[2024 '#Trees Inventory + Estimate],Table11[Region],G$1,Table11[Planting Year],$B3)</f>
        <v>0</v>
      </c>
      <c r="H3" s="78">
        <f>SUMIFS(Table11[2024 '#Trees Inventory + Estimate],Table11[Region],H$1,Table11[Planting Year],$B3)</f>
        <v>0</v>
      </c>
      <c r="I3" s="484">
        <v>4267</v>
      </c>
      <c r="J3" s="83">
        <v>0.35</v>
      </c>
      <c r="K3" s="79">
        <v>45</v>
      </c>
      <c r="L3" s="78">
        <f>I3*K3*J3</f>
        <v>67205.25</v>
      </c>
      <c r="M3" s="150">
        <f>I3*196</f>
        <v>836332</v>
      </c>
      <c r="N3" s="152">
        <f>L3-M3</f>
        <v>-769126.75</v>
      </c>
      <c r="O3" s="84">
        <v>2</v>
      </c>
      <c r="P3" s="85">
        <f>O3*L3</f>
        <v>134410.5</v>
      </c>
      <c r="Q3" s="85">
        <f>P3*0.25</f>
        <v>33602.625</v>
      </c>
      <c r="R3" s="88">
        <f>Q3/((1+0.1)^(C3-$R$1))</f>
        <v>27770.764462809911</v>
      </c>
    </row>
    <row r="4" spans="1:18" x14ac:dyDescent="0.25">
      <c r="A4" s="65">
        <f t="shared" si="0"/>
        <v>2026</v>
      </c>
      <c r="B4">
        <f>B3+1</f>
        <v>2017</v>
      </c>
      <c r="C4">
        <f t="shared" ref="C4:C10" si="1">A4+1</f>
        <v>2027</v>
      </c>
      <c r="D4" s="78">
        <f>SUMIFS(Table11['#Planted],Table11[Planting Year],'Harvest Projection'!$B4)</f>
        <v>32401</v>
      </c>
      <c r="E4" s="78">
        <f>SUMIFS(Table11[2024 '#Trees Inventory + Estimate],Table11[Region],E$1,Table11[Planting Year],$B4)</f>
        <v>0</v>
      </c>
      <c r="F4" s="78">
        <f>SUMIFS(Table11[2024 '#Trees Inventory + Estimate],Table11[Region],F$1,Table11[Planting Year],$B4)</f>
        <v>870</v>
      </c>
      <c r="G4" s="78">
        <f>SUMIFS(Table11[2024 '#Trees Inventory + Estimate],Table11[Region],G$1,Table11[Planting Year],$B4)</f>
        <v>0</v>
      </c>
      <c r="H4" s="78">
        <f>SUMIFS(Table11[2024 '#Trees Inventory + Estimate],Table11[Region],H$1,Table11[Planting Year],$B4)</f>
        <v>0</v>
      </c>
      <c r="I4" s="78">
        <f t="shared" ref="I4:I10" si="2">SUM(E4:H4)</f>
        <v>870</v>
      </c>
      <c r="J4" s="83">
        <v>0</v>
      </c>
      <c r="K4" s="79">
        <v>0</v>
      </c>
      <c r="L4" s="78">
        <f t="shared" ref="L4:L10" si="3">I4*K4*J4</f>
        <v>0</v>
      </c>
      <c r="M4" s="150">
        <f t="shared" ref="M4:M10" si="4">I4*196</f>
        <v>170520</v>
      </c>
      <c r="N4" s="152">
        <f t="shared" ref="N4:N10" si="5">L4-M4</f>
        <v>-170520</v>
      </c>
      <c r="O4" s="84">
        <v>2</v>
      </c>
      <c r="P4" s="85">
        <f t="shared" ref="P4:P10" si="6">O4*L4</f>
        <v>0</v>
      </c>
      <c r="Q4" s="85">
        <f t="shared" ref="Q4:Q10" si="7">P4*0.25</f>
        <v>0</v>
      </c>
      <c r="R4" s="88">
        <f t="shared" ref="R4:R10" si="8">Q4/((1+0.1)^(C4-$R$1))</f>
        <v>0</v>
      </c>
    </row>
    <row r="5" spans="1:18" x14ac:dyDescent="0.25">
      <c r="A5" s="65">
        <f t="shared" si="0"/>
        <v>2027</v>
      </c>
      <c r="B5">
        <f t="shared" ref="B5:B12" si="9">B4+1</f>
        <v>2018</v>
      </c>
      <c r="C5">
        <f t="shared" si="1"/>
        <v>2028</v>
      </c>
      <c r="D5" s="78">
        <f>SUMIFS(Table11['#Planted],Table11[Planting Year],'Harvest Projection'!$B5)</f>
        <v>27861</v>
      </c>
      <c r="E5" s="78">
        <f>SUMIFS(Table11[2024 '#Trees Inventory + Estimate],Table11[Region],E$1,Table11[Planting Year],$B5)</f>
        <v>9305.8966594159738</v>
      </c>
      <c r="F5" s="78">
        <f>SUMIFS(Table11[2024 '#Trees Inventory + Estimate],Table11[Region],F$1,Table11[Planting Year],$B5)</f>
        <v>2020</v>
      </c>
      <c r="G5" s="78">
        <f>SUMIFS(Table11[2024 '#Trees Inventory + Estimate],Table11[Region],G$1,Table11[Planting Year],$B5)</f>
        <v>0</v>
      </c>
      <c r="H5" s="78">
        <f>SUMIFS(Table11[2024 '#Trees Inventory + Estimate],Table11[Region],H$1,Table11[Planting Year],$B5)</f>
        <v>0</v>
      </c>
      <c r="I5" s="78">
        <f t="shared" si="2"/>
        <v>11325.896659415974</v>
      </c>
      <c r="J5" s="83">
        <v>0.5</v>
      </c>
      <c r="K5" s="79">
        <v>100</v>
      </c>
      <c r="L5" s="78">
        <f t="shared" si="3"/>
        <v>566294.83297079871</v>
      </c>
      <c r="M5" s="150">
        <f t="shared" si="4"/>
        <v>2219875.7452455307</v>
      </c>
      <c r="N5" s="152">
        <f t="shared" si="5"/>
        <v>-1653580.912274732</v>
      </c>
      <c r="O5" s="84">
        <v>3</v>
      </c>
      <c r="P5" s="85">
        <f t="shared" si="6"/>
        <v>1698884.4989123961</v>
      </c>
      <c r="Q5" s="85">
        <f t="shared" si="7"/>
        <v>424721.12472809904</v>
      </c>
      <c r="R5" s="88">
        <f t="shared" si="8"/>
        <v>290090.242967078</v>
      </c>
    </row>
    <row r="6" spans="1:18" x14ac:dyDescent="0.25">
      <c r="A6" s="65">
        <f t="shared" si="0"/>
        <v>2028</v>
      </c>
      <c r="B6">
        <f t="shared" si="9"/>
        <v>2019</v>
      </c>
      <c r="C6">
        <f t="shared" si="1"/>
        <v>2029</v>
      </c>
      <c r="D6" s="78">
        <f>SUMIFS(Table11['#Planted],Table11[Planting Year],'Harvest Projection'!$B6)</f>
        <v>94791</v>
      </c>
      <c r="E6" s="78">
        <f>SUMIFS(Table11[2024 '#Trees Inventory + Estimate],Table11[Region],E$1,Table11[Planting Year],$B6)</f>
        <v>19810.376191486059</v>
      </c>
      <c r="F6" s="78">
        <f>SUMIFS(Table11[2024 '#Trees Inventory + Estimate],Table11[Region],F$1,Table11[Planting Year],$B6)</f>
        <v>7198.6724157232338</v>
      </c>
      <c r="G6" s="78">
        <f>SUMIFS(Table11[2024 '#Trees Inventory + Estimate],Table11[Region],G$1,Table11[Planting Year],$B6)</f>
        <v>9157.9294963414577</v>
      </c>
      <c r="H6" s="78">
        <f>SUMIFS(Table11[2024 '#Trees Inventory + Estimate],Table11[Region],H$1,Table11[Planting Year],$B6)</f>
        <v>0</v>
      </c>
      <c r="I6" s="78">
        <f t="shared" si="2"/>
        <v>36166.978103550748</v>
      </c>
      <c r="J6" s="83">
        <v>0.5</v>
      </c>
      <c r="K6" s="79">
        <v>100</v>
      </c>
      <c r="L6" s="78">
        <f t="shared" si="3"/>
        <v>1808348.9051775374</v>
      </c>
      <c r="M6" s="150">
        <f t="shared" si="4"/>
        <v>7088727.7082959469</v>
      </c>
      <c r="N6" s="152">
        <f t="shared" si="5"/>
        <v>-5280378.8031184096</v>
      </c>
      <c r="O6" s="84">
        <v>3</v>
      </c>
      <c r="P6" s="85">
        <f>O6*L6</f>
        <v>5425046.7155326121</v>
      </c>
      <c r="Q6" s="85">
        <f t="shared" si="7"/>
        <v>1356261.678883153</v>
      </c>
      <c r="R6" s="88">
        <f t="shared" si="8"/>
        <v>842131.7960665581</v>
      </c>
    </row>
    <row r="7" spans="1:18" x14ac:dyDescent="0.25">
      <c r="A7" s="65">
        <f t="shared" si="0"/>
        <v>2029</v>
      </c>
      <c r="B7">
        <f t="shared" si="9"/>
        <v>2020</v>
      </c>
      <c r="C7">
        <f t="shared" si="1"/>
        <v>2030</v>
      </c>
      <c r="D7" s="78">
        <f>SUMIFS(Table11['#Planted],Table11[Planting Year],'Harvest Projection'!$B7)</f>
        <v>261895</v>
      </c>
      <c r="E7" s="78">
        <f>SUMIFS(Table11[2024 '#Trees Inventory + Estimate],Table11[Region],E$1,Table11[Planting Year],$B7)</f>
        <v>41486.25</v>
      </c>
      <c r="F7" s="78">
        <f>SUMIFS(Table11[2024 '#Trees Inventory + Estimate],Table11[Region],F$1,Table11[Planting Year],$B7)</f>
        <v>40589.30000000001</v>
      </c>
      <c r="G7" s="78">
        <f>SUMIFS(Table11[2024 '#Trees Inventory + Estimate],Table11[Region],G$1,Table11[Planting Year],$B7)</f>
        <v>29554.733902330609</v>
      </c>
      <c r="H7" s="78">
        <f>SUMIFS(Table11[2024 '#Trees Inventory + Estimate],Table11[Region],H$1,Table11[Planting Year],$B7)</f>
        <v>17212</v>
      </c>
      <c r="I7" s="78">
        <f t="shared" si="2"/>
        <v>128842.28390233063</v>
      </c>
      <c r="J7" s="83">
        <v>0.6</v>
      </c>
      <c r="K7" s="79">
        <v>100</v>
      </c>
      <c r="L7" s="78">
        <f t="shared" si="3"/>
        <v>7730537.0341398371</v>
      </c>
      <c r="M7" s="150">
        <f t="shared" si="4"/>
        <v>25253087.644856803</v>
      </c>
      <c r="N7" s="152">
        <f t="shared" si="5"/>
        <v>-17522550.610716965</v>
      </c>
      <c r="O7" s="84">
        <v>3</v>
      </c>
      <c r="P7" s="85">
        <f t="shared" si="6"/>
        <v>23191611.10241951</v>
      </c>
      <c r="Q7" s="85">
        <f t="shared" si="7"/>
        <v>5797902.7756048776</v>
      </c>
      <c r="R7" s="88">
        <f t="shared" si="8"/>
        <v>3272764.9658153881</v>
      </c>
    </row>
    <row r="8" spans="1:18" x14ac:dyDescent="0.25">
      <c r="A8" s="65">
        <f t="shared" si="0"/>
        <v>2030</v>
      </c>
      <c r="B8">
        <f t="shared" si="9"/>
        <v>2021</v>
      </c>
      <c r="C8">
        <f t="shared" si="1"/>
        <v>2031</v>
      </c>
      <c r="D8" s="78">
        <f>SUMIFS(Table11['#Planted],Table11[Planting Year],'Harvest Projection'!$B8)</f>
        <v>118570</v>
      </c>
      <c r="E8" s="78">
        <f>SUMIFS(Table11[2024 '#Trees Inventory + Estimate],Table11[Region],E$1,Table11[Planting Year],$B8)</f>
        <v>28298.668018406184</v>
      </c>
      <c r="F8" s="78">
        <f>SUMIFS(Table11[2024 '#Trees Inventory + Estimate],Table11[Region],F$1,Table11[Planting Year],$B8)</f>
        <v>10377.841728395062</v>
      </c>
      <c r="G8" s="78">
        <f>SUMIFS(Table11[2024 '#Trees Inventory + Estimate],Table11[Region],G$1,Table11[Planting Year],$B8)</f>
        <v>23410.406545346872</v>
      </c>
      <c r="H8" s="78">
        <f>SUMIFS(Table11[2024 '#Trees Inventory + Estimate],Table11[Region],H$1,Table11[Planting Year],$B8)</f>
        <v>10353.903774082408</v>
      </c>
      <c r="I8" s="78">
        <f t="shared" si="2"/>
        <v>72440.820066230532</v>
      </c>
      <c r="J8" s="83">
        <v>0.7</v>
      </c>
      <c r="K8" s="79">
        <v>150</v>
      </c>
      <c r="L8" s="78">
        <f t="shared" si="3"/>
        <v>7606286.1069542058</v>
      </c>
      <c r="M8" s="150">
        <f t="shared" si="4"/>
        <v>14198400.732981184</v>
      </c>
      <c r="N8" s="152">
        <f t="shared" si="5"/>
        <v>-6592114.6260269787</v>
      </c>
      <c r="O8" s="84">
        <v>4</v>
      </c>
      <c r="P8" s="85">
        <f t="shared" si="6"/>
        <v>30425144.427816823</v>
      </c>
      <c r="Q8" s="85">
        <f t="shared" si="7"/>
        <v>7606286.1069542058</v>
      </c>
      <c r="R8" s="88">
        <f t="shared" si="8"/>
        <v>3903227.4653689861</v>
      </c>
    </row>
    <row r="9" spans="1:18" x14ac:dyDescent="0.25">
      <c r="A9" s="65">
        <f t="shared" si="0"/>
        <v>2031</v>
      </c>
      <c r="B9">
        <f t="shared" si="9"/>
        <v>2022</v>
      </c>
      <c r="C9">
        <f t="shared" si="1"/>
        <v>2032</v>
      </c>
      <c r="D9" s="78">
        <f>SUMIFS(Table11['#Planted],Table11[Planting Year],'Harvest Projection'!$B9)</f>
        <v>96169</v>
      </c>
      <c r="E9" s="78">
        <f>SUMIFS(Table11[2024 '#Trees Inventory + Estimate],Table11[Region],E$1,Table11[Planting Year],$B9)</f>
        <v>18585.760000000002</v>
      </c>
      <c r="F9" s="78">
        <f>SUMIFS(Table11[2024 '#Trees Inventory + Estimate],Table11[Region],F$1,Table11[Planting Year],$B9)</f>
        <v>2982</v>
      </c>
      <c r="G9" s="78">
        <f>SUMIFS(Table11[2024 '#Trees Inventory + Estimate],Table11[Region],G$1,Table11[Planting Year],$B9)</f>
        <v>23117</v>
      </c>
      <c r="H9" s="78">
        <f>SUMIFS(Table11[2024 '#Trees Inventory + Estimate],Table11[Region],H$1,Table11[Planting Year],$B9)</f>
        <v>26709.324000000001</v>
      </c>
      <c r="I9" s="78">
        <f t="shared" si="2"/>
        <v>71394.084000000003</v>
      </c>
      <c r="J9" s="83">
        <v>0.8</v>
      </c>
      <c r="K9" s="79">
        <v>150</v>
      </c>
      <c r="L9" s="78">
        <f t="shared" si="3"/>
        <v>8567290.0800000001</v>
      </c>
      <c r="M9" s="150">
        <f t="shared" si="4"/>
        <v>13993240.464</v>
      </c>
      <c r="N9" s="152">
        <f t="shared" si="5"/>
        <v>-5425950.3839999996</v>
      </c>
      <c r="O9" s="84">
        <v>4</v>
      </c>
      <c r="P9" s="85">
        <f t="shared" si="6"/>
        <v>34269160.32</v>
      </c>
      <c r="Q9" s="85">
        <f t="shared" si="7"/>
        <v>8567290.0800000001</v>
      </c>
      <c r="R9" s="88">
        <f t="shared" si="8"/>
        <v>3996704.0507176355</v>
      </c>
    </row>
    <row r="10" spans="1:18" x14ac:dyDescent="0.25">
      <c r="A10" s="65">
        <f t="shared" si="0"/>
        <v>2032</v>
      </c>
      <c r="B10">
        <f t="shared" si="9"/>
        <v>2023</v>
      </c>
      <c r="C10">
        <f t="shared" si="1"/>
        <v>2033</v>
      </c>
      <c r="D10" s="78">
        <f>SUMIFS(Table11['#Planted],Table11[Planting Year],'Harvest Projection'!$B10)</f>
        <v>77326</v>
      </c>
      <c r="E10" s="78">
        <f>SUMIFS(Table11[2024 '#Trees Inventory + Estimate],Table11[Region],E$1,Table11[Planting Year],$B10)</f>
        <v>16660</v>
      </c>
      <c r="F10" s="78">
        <f>SUMIFS(Table11[2024 '#Trees Inventory + Estimate],Table11[Region],F$1,Table11[Planting Year],$B10)</f>
        <v>10106</v>
      </c>
      <c r="G10" s="78">
        <f>SUMIFS(Table11[2024 '#Trees Inventory + Estimate],Table11[Region],G$1,Table11[Planting Year],$B10)</f>
        <v>11469</v>
      </c>
      <c r="H10" s="78">
        <f>SUMIFS(Table11[2024 '#Trees Inventory + Estimate],Table11[Region],H$1,Table11[Planting Year],$B10)</f>
        <v>36800</v>
      </c>
      <c r="I10" s="78">
        <f t="shared" si="2"/>
        <v>75035</v>
      </c>
      <c r="J10" s="83">
        <v>0.8</v>
      </c>
      <c r="K10" s="79">
        <v>150</v>
      </c>
      <c r="L10" s="78">
        <f t="shared" si="3"/>
        <v>9004200</v>
      </c>
      <c r="M10" s="150">
        <f t="shared" si="4"/>
        <v>14706860</v>
      </c>
      <c r="N10" s="152">
        <f t="shared" si="5"/>
        <v>-5702660</v>
      </c>
      <c r="O10" s="84">
        <v>4</v>
      </c>
      <c r="P10" s="85">
        <f t="shared" si="6"/>
        <v>36016800</v>
      </c>
      <c r="Q10" s="85">
        <f t="shared" si="7"/>
        <v>9004200</v>
      </c>
      <c r="R10" s="88">
        <f t="shared" si="8"/>
        <v>3818659.7753495262</v>
      </c>
    </row>
    <row r="11" spans="1:18" x14ac:dyDescent="0.25">
      <c r="A11" s="65">
        <f t="shared" ref="A11" si="10">B11+9</f>
        <v>2033</v>
      </c>
      <c r="B11">
        <f t="shared" si="9"/>
        <v>2024</v>
      </c>
      <c r="C11">
        <f t="shared" ref="C11" si="11">A11+1</f>
        <v>2034</v>
      </c>
      <c r="D11" s="78">
        <f>SUMIFS(Table11['#Planted],Table11[Planting Year],'Harvest Projection'!$B11)</f>
        <v>82606</v>
      </c>
      <c r="E11" s="78">
        <f>SUMIFS(Table11[2024 '#Trees Inventory + Estimate],Table11[Region],E$1,Table11[Planting Year],$B11)</f>
        <v>17441</v>
      </c>
      <c r="F11" s="78">
        <f>SUMIFS(Table11[2024 '#Trees Inventory + Estimate],Table11[Region],F$1,Table11[Planting Year],$B11)</f>
        <v>8600</v>
      </c>
      <c r="G11" s="78">
        <f>SUMIFS(Table11[2024 '#Trees Inventory + Estimate],Table11[Region],G$1,Table11[Planting Year],$B11)</f>
        <v>0</v>
      </c>
      <c r="H11" s="78">
        <f>SUMIFS(Table11[2024 '#Trees Inventory + Estimate],Table11[Region],H$1,Table11[Planting Year],$B11)</f>
        <v>54046</v>
      </c>
      <c r="I11" s="78">
        <f t="shared" ref="I11" si="12">SUM(E11:H11)</f>
        <v>80087</v>
      </c>
      <c r="J11" s="83">
        <v>1</v>
      </c>
      <c r="K11" s="79">
        <v>196</v>
      </c>
      <c r="L11" s="78">
        <f t="shared" ref="L11" si="13">I11*K11*J11</f>
        <v>15697052</v>
      </c>
      <c r="M11" s="150">
        <f t="shared" ref="M11" si="14">I11*196</f>
        <v>15697052</v>
      </c>
      <c r="N11" s="152">
        <f t="shared" ref="N11" si="15">L11-M11</f>
        <v>0</v>
      </c>
      <c r="O11" s="84">
        <v>4</v>
      </c>
      <c r="P11" s="85">
        <f t="shared" ref="P11" si="16">O11*L11</f>
        <v>62788208</v>
      </c>
      <c r="Q11" s="85">
        <f t="shared" ref="Q11" si="17">P11*0.25</f>
        <v>15697052</v>
      </c>
      <c r="R11" s="88">
        <f t="shared" ref="R11" si="18">Q11/((1+0.1)^(C11-$R$1))</f>
        <v>6051893.062426406</v>
      </c>
    </row>
    <row r="12" spans="1:18" x14ac:dyDescent="0.25">
      <c r="A12" s="65">
        <f t="shared" ref="A12" si="19">B12+9</f>
        <v>2034</v>
      </c>
      <c r="B12">
        <f t="shared" si="9"/>
        <v>2025</v>
      </c>
      <c r="C12">
        <f t="shared" ref="C12" si="20">A12+1</f>
        <v>2035</v>
      </c>
      <c r="D12" s="78">
        <f>SUMIFS(Table11['#Planted],Table11[Planting Year],'Harvest Projection'!$B12)</f>
        <v>0</v>
      </c>
      <c r="E12" s="78">
        <f>SUMIFS(Table11[2024 '#Trees Inventory + Estimate],Table11[Region],E$1,Table11[Planting Year],$B12)</f>
        <v>0</v>
      </c>
      <c r="F12" s="78">
        <f>SUMIFS(Table11[2024 '#Trees Inventory + Estimate],Table11[Region],F$1,Table11[Planting Year],$B12)</f>
        <v>0</v>
      </c>
      <c r="G12" s="78">
        <f>SUMIFS(Table11[2024 '#Trees Inventory + Estimate],Table11[Region],G$1,Table11[Planting Year],$B12)</f>
        <v>0</v>
      </c>
      <c r="H12" s="78">
        <f>SUMIFS(Table11[2024 '#Trees Inventory + Estimate],Table11[Region],H$1,Table11[Planting Year],$B12)</f>
        <v>0</v>
      </c>
      <c r="I12" s="78">
        <f t="shared" ref="I12" si="21">SUM(E12:H12)</f>
        <v>0</v>
      </c>
      <c r="J12" s="83">
        <v>1</v>
      </c>
      <c r="K12" s="79">
        <v>196</v>
      </c>
      <c r="L12" s="78">
        <f t="shared" ref="L12" si="22">I12*K12*J12</f>
        <v>0</v>
      </c>
      <c r="M12" s="150">
        <f t="shared" ref="M12" si="23">I12*196</f>
        <v>0</v>
      </c>
      <c r="N12" s="152">
        <f t="shared" ref="N12" si="24">L12-M12</f>
        <v>0</v>
      </c>
      <c r="O12" s="84">
        <v>4</v>
      </c>
      <c r="P12" s="85">
        <f t="shared" ref="P12" si="25">O12*L12</f>
        <v>0</v>
      </c>
      <c r="Q12" s="85">
        <f t="shared" ref="Q12" si="26">P12*0.25</f>
        <v>0</v>
      </c>
      <c r="R12" s="88">
        <f t="shared" ref="R12" si="27">Q12/((1+0.1)^(C12-$R$1))</f>
        <v>0</v>
      </c>
    </row>
    <row r="13" spans="1:18" x14ac:dyDescent="0.25">
      <c r="C13" s="65" t="s">
        <v>2519</v>
      </c>
      <c r="D13" s="80">
        <f>SUM(D3:D10)</f>
        <v>734643</v>
      </c>
      <c r="E13" s="80">
        <f>SUM(E3:E10)</f>
        <v>140527.659098948</v>
      </c>
      <c r="F13" s="80">
        <f t="shared" ref="F13:N13" si="28">SUM(F3:F10)</f>
        <v>74143.814144118311</v>
      </c>
      <c r="G13" s="80">
        <f t="shared" si="28"/>
        <v>96709.069944018935</v>
      </c>
      <c r="H13" s="80">
        <f t="shared" si="28"/>
        <v>91075.227774082407</v>
      </c>
      <c r="I13" s="80">
        <f t="shared" si="28"/>
        <v>400342.06273152784</v>
      </c>
      <c r="J13" s="80"/>
      <c r="K13" s="81"/>
      <c r="L13" s="82">
        <f t="shared" si="28"/>
        <v>35350162.209242381</v>
      </c>
      <c r="M13" s="151">
        <f t="shared" si="28"/>
        <v>78467044.29537946</v>
      </c>
      <c r="N13" s="153">
        <f t="shared" si="28"/>
        <v>-43116882.086137086</v>
      </c>
      <c r="P13" s="87">
        <f>SUM(P3:P10)</f>
        <v>131161057.56468135</v>
      </c>
      <c r="Q13" s="87">
        <f>SUM(Q3:Q10)</f>
        <v>32790264.391170338</v>
      </c>
      <c r="R13" s="87">
        <f>SUM(R3:R10)</f>
        <v>16151349.060747981</v>
      </c>
    </row>
    <row r="18" spans="13:14" x14ac:dyDescent="0.25">
      <c r="M18"/>
      <c r="N18"/>
    </row>
    <row r="19" spans="13:14" x14ac:dyDescent="0.25">
      <c r="M19"/>
      <c r="N19"/>
    </row>
    <row r="20" spans="13:14" x14ac:dyDescent="0.25">
      <c r="M20"/>
      <c r="N20"/>
    </row>
    <row r="21" spans="13:14" x14ac:dyDescent="0.25">
      <c r="M21"/>
      <c r="N21"/>
    </row>
    <row r="22" spans="13:14" x14ac:dyDescent="0.25">
      <c r="M22"/>
      <c r="N22"/>
    </row>
    <row r="23" spans="13:14" x14ac:dyDescent="0.25">
      <c r="M23"/>
      <c r="N23"/>
    </row>
    <row r="24" spans="13:14" x14ac:dyDescent="0.25">
      <c r="M24"/>
      <c r="N24"/>
    </row>
    <row r="25" spans="13:14" x14ac:dyDescent="0.25">
      <c r="M25"/>
      <c r="N25"/>
    </row>
    <row r="26" spans="13:14" x14ac:dyDescent="0.25">
      <c r="M26"/>
      <c r="N26"/>
    </row>
    <row r="27" spans="13:14" x14ac:dyDescent="0.25">
      <c r="M27"/>
      <c r="N27"/>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E93A7-3707-460E-9D99-E7E19272482C}">
  <dimension ref="A1:F43"/>
  <sheetViews>
    <sheetView topLeftCell="B1" workbookViewId="0">
      <selection activeCell="C2" sqref="C2"/>
    </sheetView>
  </sheetViews>
  <sheetFormatPr defaultRowHeight="15" x14ac:dyDescent="0.25"/>
  <cols>
    <col min="1" max="1" width="14" bestFit="1" customWidth="1"/>
    <col min="2" max="2" width="21.5703125" style="157" bestFit="1" customWidth="1"/>
    <col min="3" max="3" width="22" style="157" bestFit="1" customWidth="1"/>
    <col min="4" max="4" width="16.42578125" style="157" bestFit="1" customWidth="1"/>
    <col min="5" max="5" width="25.5703125" style="156" bestFit="1" customWidth="1"/>
    <col min="6" max="6" width="32.5703125" style="157" bestFit="1" customWidth="1"/>
    <col min="7" max="7" width="37.140625" bestFit="1" customWidth="1"/>
    <col min="8" max="31" width="4" bestFit="1" customWidth="1"/>
    <col min="32" max="103" width="5" bestFit="1" customWidth="1"/>
    <col min="104" max="112" width="6" bestFit="1" customWidth="1"/>
    <col min="113" max="113" width="7" bestFit="1" customWidth="1"/>
    <col min="114" max="114" width="10.7109375" bestFit="1" customWidth="1"/>
  </cols>
  <sheetData>
    <row r="1" spans="1:6" x14ac:dyDescent="0.25">
      <c r="A1" s="96" t="s">
        <v>2501</v>
      </c>
      <c r="B1" t="s">
        <v>2499</v>
      </c>
      <c r="C1" s="141" t="s">
        <v>2520</v>
      </c>
      <c r="D1" s="141" t="s">
        <v>2521</v>
      </c>
      <c r="E1" s="159" t="s">
        <v>2522</v>
      </c>
      <c r="F1"/>
    </row>
    <row r="2" spans="1:6" x14ac:dyDescent="0.25">
      <c r="A2" s="97">
        <v>2015</v>
      </c>
      <c r="B2">
        <v>1</v>
      </c>
      <c r="C2" s="141">
        <v>2200</v>
      </c>
      <c r="D2" s="141">
        <v>2200</v>
      </c>
      <c r="E2" s="159">
        <v>0</v>
      </c>
      <c r="F2"/>
    </row>
    <row r="3" spans="1:6" x14ac:dyDescent="0.25">
      <c r="A3" s="155" t="s">
        <v>150</v>
      </c>
      <c r="B3">
        <v>1</v>
      </c>
      <c r="C3" s="141">
        <v>2200</v>
      </c>
      <c r="D3" s="141">
        <v>2200</v>
      </c>
      <c r="E3" s="159">
        <v>0</v>
      </c>
      <c r="F3"/>
    </row>
    <row r="4" spans="1:6" x14ac:dyDescent="0.25">
      <c r="A4" s="97">
        <v>2016</v>
      </c>
      <c r="B4">
        <v>25</v>
      </c>
      <c r="C4" s="141">
        <v>25630</v>
      </c>
      <c r="D4" s="141">
        <v>25630</v>
      </c>
      <c r="E4" s="159">
        <v>0</v>
      </c>
      <c r="F4"/>
    </row>
    <row r="5" spans="1:6" x14ac:dyDescent="0.25">
      <c r="A5" s="97">
        <v>2017</v>
      </c>
      <c r="B5">
        <v>21</v>
      </c>
      <c r="C5" s="141">
        <v>32401</v>
      </c>
      <c r="D5" s="141">
        <v>32401</v>
      </c>
      <c r="E5" s="159">
        <v>0</v>
      </c>
      <c r="F5"/>
    </row>
    <row r="6" spans="1:6" x14ac:dyDescent="0.25">
      <c r="A6" s="97">
        <v>2018</v>
      </c>
      <c r="B6">
        <v>24</v>
      </c>
      <c r="C6" s="141">
        <v>27861</v>
      </c>
      <c r="D6" s="141">
        <v>27861</v>
      </c>
      <c r="E6" s="159">
        <v>0</v>
      </c>
      <c r="F6"/>
    </row>
    <row r="7" spans="1:6" x14ac:dyDescent="0.25">
      <c r="A7" s="97">
        <v>2019</v>
      </c>
      <c r="B7">
        <v>44</v>
      </c>
      <c r="C7" s="141">
        <v>95791</v>
      </c>
      <c r="D7" s="141">
        <v>94791</v>
      </c>
      <c r="E7" s="159">
        <v>1000</v>
      </c>
      <c r="F7"/>
    </row>
    <row r="8" spans="1:6" x14ac:dyDescent="0.25">
      <c r="A8" s="97">
        <v>2020</v>
      </c>
      <c r="B8">
        <v>105</v>
      </c>
      <c r="C8" s="141">
        <v>261895</v>
      </c>
      <c r="D8" s="141">
        <v>261895</v>
      </c>
      <c r="E8" s="159">
        <v>0</v>
      </c>
      <c r="F8"/>
    </row>
    <row r="9" spans="1:6" x14ac:dyDescent="0.25">
      <c r="A9" s="97">
        <v>2021</v>
      </c>
      <c r="B9">
        <v>69</v>
      </c>
      <c r="C9" s="141">
        <v>118570</v>
      </c>
      <c r="D9" s="141">
        <v>118570</v>
      </c>
      <c r="E9" s="159">
        <v>0</v>
      </c>
      <c r="F9"/>
    </row>
    <row r="10" spans="1:6" x14ac:dyDescent="0.25">
      <c r="A10" s="97">
        <v>2022</v>
      </c>
      <c r="B10">
        <v>36</v>
      </c>
      <c r="C10" s="141">
        <v>96180</v>
      </c>
      <c r="D10" s="141">
        <v>93589</v>
      </c>
      <c r="E10" s="159">
        <v>2591</v>
      </c>
      <c r="F10"/>
    </row>
    <row r="11" spans="1:6" x14ac:dyDescent="0.25">
      <c r="A11" s="97">
        <v>2023</v>
      </c>
      <c r="B11">
        <v>34</v>
      </c>
      <c r="C11" s="141">
        <v>83598</v>
      </c>
      <c r="D11" s="141">
        <v>67906</v>
      </c>
      <c r="E11" s="159">
        <v>13012</v>
      </c>
      <c r="F11"/>
    </row>
    <row r="12" spans="1:6" x14ac:dyDescent="0.25">
      <c r="A12" s="97">
        <v>2024</v>
      </c>
      <c r="B12">
        <v>17</v>
      </c>
      <c r="C12" s="141">
        <v>93185</v>
      </c>
      <c r="D12" s="141">
        <v>76125</v>
      </c>
      <c r="E12" s="159">
        <v>17070</v>
      </c>
      <c r="F12"/>
    </row>
    <row r="13" spans="1:6" x14ac:dyDescent="0.25">
      <c r="A13" s="97" t="s">
        <v>2459</v>
      </c>
      <c r="B13"/>
      <c r="C13" s="141"/>
      <c r="D13" s="141"/>
      <c r="E13" s="159"/>
      <c r="F13"/>
    </row>
    <row r="14" spans="1:6" x14ac:dyDescent="0.25">
      <c r="A14" s="97" t="s">
        <v>2460</v>
      </c>
      <c r="B14">
        <v>376</v>
      </c>
      <c r="C14" s="141">
        <v>837311</v>
      </c>
      <c r="D14" s="141">
        <v>800968</v>
      </c>
      <c r="E14" s="159">
        <v>33673</v>
      </c>
      <c r="F14"/>
    </row>
    <row r="15" spans="1:6" x14ac:dyDescent="0.25">
      <c r="B15"/>
      <c r="C15"/>
      <c r="D15"/>
      <c r="E15"/>
      <c r="F15"/>
    </row>
    <row r="16" spans="1:6" x14ac:dyDescent="0.25">
      <c r="B16"/>
      <c r="C16"/>
      <c r="D16"/>
      <c r="E16"/>
      <c r="F16"/>
    </row>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1656C-6301-484F-8A3C-6C75D35FC462}">
  <dimension ref="A1:F34"/>
  <sheetViews>
    <sheetView workbookViewId="0">
      <selection activeCell="A30" sqref="A30"/>
    </sheetView>
  </sheetViews>
  <sheetFormatPr defaultRowHeight="15" x14ac:dyDescent="0.25"/>
  <cols>
    <col min="1" max="1" width="14.140625" bestFit="1" customWidth="1"/>
    <col min="2" max="2" width="21.5703125" style="157" bestFit="1" customWidth="1"/>
    <col min="3" max="3" width="22" style="157" bestFit="1" customWidth="1"/>
    <col min="4" max="4" width="16.42578125" style="160" bestFit="1" customWidth="1"/>
    <col min="5" max="5" width="25.5703125" style="157" bestFit="1" customWidth="1"/>
    <col min="6" max="6" width="13.85546875" style="156" bestFit="1" customWidth="1"/>
    <col min="7" max="7" width="37.140625" bestFit="1" customWidth="1"/>
    <col min="8" max="8" width="14.140625" bestFit="1" customWidth="1"/>
  </cols>
  <sheetData>
    <row r="1" spans="1:6" x14ac:dyDescent="0.25">
      <c r="A1" s="96" t="s">
        <v>79</v>
      </c>
      <c r="B1" t="s">
        <v>155</v>
      </c>
      <c r="C1"/>
      <c r="D1"/>
      <c r="E1"/>
      <c r="F1"/>
    </row>
    <row r="2" spans="1:6" x14ac:dyDescent="0.25">
      <c r="B2"/>
      <c r="C2"/>
      <c r="D2"/>
      <c r="E2"/>
      <c r="F2"/>
    </row>
    <row r="3" spans="1:6" x14ac:dyDescent="0.25">
      <c r="A3" s="96" t="s">
        <v>2501</v>
      </c>
      <c r="B3" t="s">
        <v>2499</v>
      </c>
      <c r="C3" s="141" t="s">
        <v>2520</v>
      </c>
      <c r="D3" s="141" t="s">
        <v>2521</v>
      </c>
      <c r="E3" s="159" t="s">
        <v>2522</v>
      </c>
      <c r="F3"/>
    </row>
    <row r="4" spans="1:6" x14ac:dyDescent="0.25">
      <c r="A4" s="97">
        <v>2015</v>
      </c>
      <c r="B4">
        <v>5</v>
      </c>
      <c r="C4" s="141">
        <v>7155</v>
      </c>
      <c r="D4" s="141">
        <v>7155</v>
      </c>
      <c r="E4" s="159">
        <v>0</v>
      </c>
      <c r="F4"/>
    </row>
    <row r="5" spans="1:6" x14ac:dyDescent="0.25">
      <c r="A5" s="155" t="s">
        <v>150</v>
      </c>
      <c r="B5">
        <v>5</v>
      </c>
      <c r="C5" s="141">
        <v>7155</v>
      </c>
      <c r="D5" s="141">
        <v>7155</v>
      </c>
      <c r="E5" s="159">
        <v>0</v>
      </c>
      <c r="F5"/>
    </row>
    <row r="6" spans="1:6" x14ac:dyDescent="0.25">
      <c r="A6" s="97">
        <v>2016</v>
      </c>
      <c r="B6">
        <v>10</v>
      </c>
      <c r="C6" s="141">
        <v>13686</v>
      </c>
      <c r="D6" s="141">
        <v>13686</v>
      </c>
      <c r="E6" s="159">
        <v>0</v>
      </c>
      <c r="F6"/>
    </row>
    <row r="7" spans="1:6" x14ac:dyDescent="0.25">
      <c r="A7" s="155" t="s">
        <v>213</v>
      </c>
      <c r="B7">
        <v>3</v>
      </c>
      <c r="C7" s="141">
        <v>3500</v>
      </c>
      <c r="D7" s="141">
        <v>3500</v>
      </c>
      <c r="E7" s="159">
        <v>0</v>
      </c>
      <c r="F7"/>
    </row>
    <row r="8" spans="1:6" x14ac:dyDescent="0.25">
      <c r="A8" s="155" t="s">
        <v>150</v>
      </c>
      <c r="B8">
        <v>7</v>
      </c>
      <c r="C8" s="141">
        <v>10186</v>
      </c>
      <c r="D8" s="141">
        <v>10186</v>
      </c>
      <c r="E8" s="159">
        <v>0</v>
      </c>
      <c r="F8"/>
    </row>
    <row r="9" spans="1:6" x14ac:dyDescent="0.25">
      <c r="A9" s="97">
        <v>2017</v>
      </c>
      <c r="B9">
        <v>1</v>
      </c>
      <c r="C9" s="141">
        <v>15620</v>
      </c>
      <c r="D9" s="141">
        <v>15620</v>
      </c>
      <c r="E9" s="159">
        <v>0</v>
      </c>
      <c r="F9"/>
    </row>
    <row r="10" spans="1:6" x14ac:dyDescent="0.25">
      <c r="A10" s="155" t="s">
        <v>150</v>
      </c>
      <c r="B10">
        <v>1</v>
      </c>
      <c r="C10" s="141">
        <v>15620</v>
      </c>
      <c r="D10" s="141">
        <v>15620</v>
      </c>
      <c r="E10" s="159">
        <v>0</v>
      </c>
      <c r="F10"/>
    </row>
    <row r="11" spans="1:6" x14ac:dyDescent="0.25">
      <c r="A11" s="97">
        <v>2018</v>
      </c>
      <c r="B11">
        <v>18</v>
      </c>
      <c r="C11" s="141">
        <v>36550</v>
      </c>
      <c r="D11" s="141">
        <v>36550</v>
      </c>
      <c r="E11" s="159">
        <v>0</v>
      </c>
      <c r="F11"/>
    </row>
    <row r="12" spans="1:6" x14ac:dyDescent="0.25">
      <c r="A12" s="155" t="s">
        <v>213</v>
      </c>
      <c r="B12">
        <v>1</v>
      </c>
      <c r="C12" s="141">
        <v>2000</v>
      </c>
      <c r="D12" s="141">
        <v>2000</v>
      </c>
      <c r="E12" s="159">
        <v>0</v>
      </c>
      <c r="F12"/>
    </row>
    <row r="13" spans="1:6" x14ac:dyDescent="0.25">
      <c r="A13" s="155" t="s">
        <v>574</v>
      </c>
      <c r="B13">
        <v>4</v>
      </c>
      <c r="C13" s="141">
        <v>16850</v>
      </c>
      <c r="D13" s="141">
        <v>16850</v>
      </c>
      <c r="E13" s="159">
        <v>0</v>
      </c>
      <c r="F13"/>
    </row>
    <row r="14" spans="1:6" x14ac:dyDescent="0.25">
      <c r="A14" s="155" t="s">
        <v>150</v>
      </c>
      <c r="B14">
        <v>13</v>
      </c>
      <c r="C14" s="141">
        <v>17700</v>
      </c>
      <c r="D14" s="141">
        <v>17700</v>
      </c>
      <c r="E14" s="159">
        <v>0</v>
      </c>
      <c r="F14"/>
    </row>
    <row r="15" spans="1:6" x14ac:dyDescent="0.25">
      <c r="A15" s="97">
        <v>2020</v>
      </c>
      <c r="B15">
        <v>78</v>
      </c>
      <c r="C15" s="141">
        <v>128357</v>
      </c>
      <c r="D15" s="141">
        <v>128357</v>
      </c>
      <c r="E15" s="159">
        <v>0</v>
      </c>
      <c r="F15"/>
    </row>
    <row r="16" spans="1:6" x14ac:dyDescent="0.25">
      <c r="A16" s="155" t="s">
        <v>213</v>
      </c>
      <c r="B16">
        <v>20</v>
      </c>
      <c r="C16" s="141">
        <v>31010</v>
      </c>
      <c r="D16" s="141">
        <v>31010</v>
      </c>
      <c r="E16" s="159">
        <v>0</v>
      </c>
      <c r="F16"/>
    </row>
    <row r="17" spans="1:5" customFormat="1" x14ac:dyDescent="0.25">
      <c r="A17" s="155" t="s">
        <v>574</v>
      </c>
      <c r="B17">
        <v>9</v>
      </c>
      <c r="C17" s="141">
        <v>26693</v>
      </c>
      <c r="D17" s="141">
        <v>26693</v>
      </c>
      <c r="E17" s="159">
        <v>0</v>
      </c>
    </row>
    <row r="18" spans="1:5" customFormat="1" x14ac:dyDescent="0.25">
      <c r="A18" s="155" t="s">
        <v>621</v>
      </c>
      <c r="B18">
        <v>1</v>
      </c>
      <c r="C18" s="141">
        <v>2750</v>
      </c>
      <c r="D18" s="141">
        <v>2750</v>
      </c>
      <c r="E18" s="159">
        <v>0</v>
      </c>
    </row>
    <row r="19" spans="1:5" customFormat="1" x14ac:dyDescent="0.25">
      <c r="A19" s="155" t="s">
        <v>150</v>
      </c>
      <c r="B19">
        <v>48</v>
      </c>
      <c r="C19" s="141">
        <v>67904</v>
      </c>
      <c r="D19" s="141">
        <v>67904</v>
      </c>
      <c r="E19" s="159">
        <v>0</v>
      </c>
    </row>
    <row r="20" spans="1:5" customFormat="1" x14ac:dyDescent="0.25">
      <c r="A20" s="97">
        <v>2021</v>
      </c>
      <c r="B20">
        <v>74</v>
      </c>
      <c r="C20" s="141">
        <v>181426</v>
      </c>
      <c r="D20" s="141">
        <v>178835</v>
      </c>
      <c r="E20" s="159">
        <v>2591</v>
      </c>
    </row>
    <row r="21" spans="1:5" customFormat="1" x14ac:dyDescent="0.25">
      <c r="A21" s="155" t="s">
        <v>213</v>
      </c>
      <c r="B21">
        <v>12</v>
      </c>
      <c r="C21" s="141">
        <v>17705</v>
      </c>
      <c r="D21" s="141">
        <v>17705</v>
      </c>
      <c r="E21" s="159">
        <v>0</v>
      </c>
    </row>
    <row r="22" spans="1:5" customFormat="1" x14ac:dyDescent="0.25">
      <c r="A22" s="155" t="s">
        <v>574</v>
      </c>
      <c r="B22">
        <v>9</v>
      </c>
      <c r="C22" s="141">
        <v>55702</v>
      </c>
      <c r="D22" s="141">
        <v>53111</v>
      </c>
      <c r="E22" s="159">
        <v>2591</v>
      </c>
    </row>
    <row r="23" spans="1:5" customFormat="1" x14ac:dyDescent="0.25">
      <c r="A23" s="155" t="s">
        <v>621</v>
      </c>
      <c r="B23">
        <v>21</v>
      </c>
      <c r="C23" s="141">
        <v>60916</v>
      </c>
      <c r="D23" s="141">
        <v>60916</v>
      </c>
      <c r="E23" s="159">
        <v>0</v>
      </c>
    </row>
    <row r="24" spans="1:5" customFormat="1" x14ac:dyDescent="0.25">
      <c r="A24" s="155" t="s">
        <v>150</v>
      </c>
      <c r="B24">
        <v>32</v>
      </c>
      <c r="C24" s="141">
        <v>47103</v>
      </c>
      <c r="D24" s="141">
        <v>47103</v>
      </c>
      <c r="E24" s="159">
        <v>0</v>
      </c>
    </row>
    <row r="25" spans="1:5" customFormat="1" x14ac:dyDescent="0.25">
      <c r="A25" s="97">
        <v>2022</v>
      </c>
      <c r="B25">
        <v>19</v>
      </c>
      <c r="C25" s="141">
        <v>84307</v>
      </c>
      <c r="D25" s="141">
        <v>64170</v>
      </c>
      <c r="E25" s="159">
        <v>20137</v>
      </c>
    </row>
    <row r="26" spans="1:5" customFormat="1" x14ac:dyDescent="0.25">
      <c r="A26" s="155" t="s">
        <v>213</v>
      </c>
      <c r="B26">
        <v>5</v>
      </c>
      <c r="C26" s="141">
        <v>7600</v>
      </c>
      <c r="D26" s="141">
        <v>7600</v>
      </c>
      <c r="E26" s="159">
        <v>0</v>
      </c>
    </row>
    <row r="27" spans="1:5" customFormat="1" x14ac:dyDescent="0.25">
      <c r="A27" s="155" t="s">
        <v>574</v>
      </c>
      <c r="B27">
        <v>3</v>
      </c>
      <c r="C27" s="141">
        <v>12060</v>
      </c>
      <c r="D27" s="141">
        <v>2640</v>
      </c>
      <c r="E27" s="159">
        <v>9420</v>
      </c>
    </row>
    <row r="28" spans="1:5" customFormat="1" x14ac:dyDescent="0.25">
      <c r="A28" s="155" t="s">
        <v>621</v>
      </c>
      <c r="B28">
        <v>7</v>
      </c>
      <c r="C28" s="141">
        <v>54967</v>
      </c>
      <c r="D28" s="141">
        <v>44250</v>
      </c>
      <c r="E28" s="159">
        <v>10717</v>
      </c>
    </row>
    <row r="29" spans="1:5" customFormat="1" x14ac:dyDescent="0.25">
      <c r="A29" s="155" t="s">
        <v>150</v>
      </c>
      <c r="B29">
        <v>4</v>
      </c>
      <c r="C29" s="141">
        <v>9680</v>
      </c>
      <c r="D29" s="141">
        <v>9680</v>
      </c>
      <c r="E29" s="159">
        <v>0</v>
      </c>
    </row>
    <row r="30" spans="1:5" customFormat="1" x14ac:dyDescent="0.25">
      <c r="A30" s="97">
        <v>2023</v>
      </c>
      <c r="B30">
        <v>13</v>
      </c>
      <c r="C30" s="141">
        <v>55860</v>
      </c>
      <c r="D30" s="141">
        <v>45925</v>
      </c>
      <c r="E30" s="159">
        <v>9945</v>
      </c>
    </row>
    <row r="31" spans="1:5" customFormat="1" x14ac:dyDescent="0.25">
      <c r="A31" s="155" t="s">
        <v>213</v>
      </c>
      <c r="B31">
        <v>4</v>
      </c>
      <c r="C31" s="141">
        <v>6200</v>
      </c>
      <c r="D31" s="141">
        <v>6200</v>
      </c>
      <c r="E31" s="159">
        <v>0</v>
      </c>
    </row>
    <row r="32" spans="1:5" customFormat="1" x14ac:dyDescent="0.25">
      <c r="A32" s="155" t="s">
        <v>621</v>
      </c>
      <c r="C32" s="141">
        <v>36300</v>
      </c>
      <c r="D32" s="141">
        <v>26475</v>
      </c>
      <c r="E32" s="159">
        <v>9835</v>
      </c>
    </row>
    <row r="33" spans="1:5" customFormat="1" x14ac:dyDescent="0.25">
      <c r="A33" s="155" t="s">
        <v>150</v>
      </c>
      <c r="B33">
        <v>9</v>
      </c>
      <c r="C33" s="141">
        <v>13360</v>
      </c>
      <c r="D33" s="141">
        <v>13250</v>
      </c>
      <c r="E33" s="159">
        <v>110</v>
      </c>
    </row>
    <row r="34" spans="1:5" x14ac:dyDescent="0.25">
      <c r="A34" s="97" t="s">
        <v>2460</v>
      </c>
      <c r="B34">
        <v>218</v>
      </c>
      <c r="C34" s="141">
        <v>522961</v>
      </c>
      <c r="D34" s="141">
        <v>490298</v>
      </c>
      <c r="E34" s="159">
        <v>32673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16E0C-A67A-45E6-A1FE-03211A63B595}">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8d541d1-2725-4224-9516-b59f9479c403">
      <Terms xmlns="http://schemas.microsoft.com/office/infopath/2007/PartnerControls"/>
    </lcf76f155ced4ddcb4097134ff3c332f>
    <TaxCatchAll xmlns="4d1d17b2-9aa2-41f1-81df-02da6823d8aa" xsi:nil="true"/>
    <SharedWithUsers xmlns="4d1d17b2-9aa2-41f1-81df-02da6823d8aa">
      <UserInfo>
        <DisplayName>Jessica Vlaco</DisplayName>
        <AccountId>362</AccountId>
        <AccountType/>
      </UserInfo>
      <UserInfo>
        <DisplayName>Curtis Gobbett</DisplayName>
        <AccountId>124</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A4BB3A51E5AD4D4D98B9A4964A218B95" ma:contentTypeVersion="19" ma:contentTypeDescription="Crear nuevo documento." ma:contentTypeScope="" ma:versionID="3adabb603fc7e42d8ef6cb3f94a5419d">
  <xsd:schema xmlns:xsd="http://www.w3.org/2001/XMLSchema" xmlns:xs="http://www.w3.org/2001/XMLSchema" xmlns:p="http://schemas.microsoft.com/office/2006/metadata/properties" xmlns:ns2="b8d541d1-2725-4224-9516-b59f9479c403" xmlns:ns3="4d1d17b2-9aa2-41f1-81df-02da6823d8aa" targetNamespace="http://schemas.microsoft.com/office/2006/metadata/properties" ma:root="true" ma:fieldsID="6c44fd6575fc0a8c1b8815e5b597ab9b" ns2:_="" ns3:_="">
    <xsd:import namespace="b8d541d1-2725-4224-9516-b59f9479c403"/>
    <xsd:import namespace="4d1d17b2-9aa2-41f1-81df-02da6823d8a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ServiceAutoTags" minOccurs="0"/>
                <xsd:element ref="ns2:MediaLengthInSeconds" minOccurs="0"/>
                <xsd:element ref="ns2:MediaServiceGenerationTime" minOccurs="0"/>
                <xsd:element ref="ns2:MediaServiceEventHashCode" minOccurs="0"/>
                <xsd:element ref="ns2:lcf76f155ced4ddcb4097134ff3c332f" minOccurs="0"/>
                <xsd:element ref="ns3:TaxCatchAll" minOccurs="0"/>
                <xsd:element ref="ns2:MediaServiceLocation" minOccurs="0"/>
                <xsd:element ref="ns2:MediaServiceOCR" minOccurs="0"/>
                <xsd:element ref="ns2:MediaServiceObjectDetectorVersions" minOccurs="0"/>
                <xsd:element ref="ns2:MediaServiceSearchPropertie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8d541d1-2725-4224-9516-b59f9479c4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lcf76f155ced4ddcb4097134ff3c332f" ma:index="20" nillable="true" ma:taxonomy="true" ma:internalName="lcf76f155ced4ddcb4097134ff3c332f" ma:taxonomyFieldName="MediaServiceImageTags" ma:displayName="Etiquetas de imagen" ma:readOnly="false" ma:fieldId="{5cf76f15-5ced-4ddc-b409-7134ff3c332f}" ma:taxonomyMulti="true" ma:sspId="a0d79e82-57fe-44a2-bea2-5a4053808636" ma:termSetId="09814cd3-568e-fe90-9814-8d621ff8fb84" ma:anchorId="fba54fb3-c3e1-fe81-a776-ca4b69148c4d" ma:open="true" ma:isKeyword="false">
      <xsd:complexType>
        <xsd:sequence>
          <xsd:element ref="pc:Terms" minOccurs="0" maxOccurs="1"/>
        </xsd:sequence>
      </xsd:complexType>
    </xsd:element>
    <xsd:element name="MediaServiceLocation" ma:index="22" nillable="true" ma:displayName="Location" ma:internalName="MediaServiceLocation" ma:readOnly="true">
      <xsd:simpleType>
        <xsd:restriction base="dms:Text"/>
      </xsd:simpleType>
    </xsd:element>
    <xsd:element name="MediaServiceOCR" ma:index="23" nillable="true" ma:displayName="Extracted Text" ma:internalName="MediaServiceOCR" ma:readOnly="true">
      <xsd:simpleType>
        <xsd:restriction base="dms:Note">
          <xsd:maxLength value="255"/>
        </xsd:restrictio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element name="MediaServiceBillingMetadata" ma:index="26"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d1d17b2-9aa2-41f1-81df-02da6823d8aa"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element name="TaxCatchAll" ma:index="21" nillable="true" ma:displayName="Taxonomy Catch All Column" ma:hidden="true" ma:list="{38d26379-84a6-48e6-b8e1-662732b4aa62}" ma:internalName="TaxCatchAll" ma:showField="CatchAllData" ma:web="4d1d17b2-9aa2-41f1-81df-02da6823d8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C0FE4F5F-9B50-458B-A323-EDDA17B7795A}">
  <ds:schemaRefs>
    <ds:schemaRef ds:uri="http://schemas.microsoft.com/office/2006/metadata/properties"/>
    <ds:schemaRef ds:uri="http://schemas.microsoft.com/office/infopath/2007/PartnerControls"/>
    <ds:schemaRef ds:uri="b8d541d1-2725-4224-9516-b59f9479c403"/>
    <ds:schemaRef ds:uri="4d1d17b2-9aa2-41f1-81df-02da6823d8aa"/>
  </ds:schemaRefs>
</ds:datastoreItem>
</file>

<file path=customXml/itemProps2.xml><?xml version="1.0" encoding="utf-8"?>
<ds:datastoreItem xmlns:ds="http://schemas.openxmlformats.org/officeDocument/2006/customXml" ds:itemID="{B68A57D0-2FFC-4EE7-A8A9-07B77C1AB70D}">
  <ds:schemaRefs>
    <ds:schemaRef ds:uri="http://schemas.microsoft.com/sharepoint/v3/contenttype/forms"/>
  </ds:schemaRefs>
</ds:datastoreItem>
</file>

<file path=customXml/itemProps3.xml><?xml version="1.0" encoding="utf-8"?>
<ds:datastoreItem xmlns:ds="http://schemas.openxmlformats.org/officeDocument/2006/customXml" ds:itemID="{D922AF80-F7A9-408A-831F-9CF551AE8D5D}"/>
</file>

<file path=customXml/itemProps4.xml><?xml version="1.0" encoding="utf-8"?>
<ds:datastoreItem xmlns:ds="http://schemas.openxmlformats.org/officeDocument/2006/customXml" ds:itemID="{DA55277C-4A20-42FC-A1C9-28821FAA0B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Series Summary</vt:lpstr>
      <vt:lpstr>Planting Summary</vt:lpstr>
      <vt:lpstr>Master Data Results</vt:lpstr>
      <vt:lpstr>Monthly update</vt:lpstr>
      <vt:lpstr>Change Log</vt:lpstr>
      <vt:lpstr>Audit USA</vt:lpstr>
      <vt:lpstr>Audit CAN</vt:lpstr>
      <vt:lpstr>Audit CAN2017</vt:lpstr>
      <vt:lpstr>Detail1</vt:lpstr>
      <vt:lpstr>Tree Report Format</vt:lpstr>
      <vt:lpstr>Contract Count PT</vt:lpstr>
      <vt:lpstr>Harvest Projection</vt:lpstr>
      <vt:lpstr>Planting Summary PT</vt:lpstr>
      <vt:lpstr>Series Summary PT</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Nicholas Gobbett</dc:creator>
  <cp:keywords/>
  <dc:description/>
  <cp:lastModifiedBy>Kara Arnold</cp:lastModifiedBy>
  <cp:revision/>
  <dcterms:created xsi:type="dcterms:W3CDTF">2023-02-22T22:26:32Z</dcterms:created>
  <dcterms:modified xsi:type="dcterms:W3CDTF">2025-05-07T19:23:26Z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0x010100A4BB3A51E5AD4D4D98B9A4964A218B95</vt:lpwstr>
  </property>
  <property fmtid="{D5CDD505-2E9C-101B-9397-08002B2CF9AE}" pid="3" name="MediaServiceImageTags">
    <vt:lpwstr/>
  </property>
</Properties>
</file>