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Volumes/common/CTTC ASSESSMENT/G Drive/ot/Research Files/VENDORS/AIRPORT Passenger Traffic/2021/12- December/"/>
    </mc:Choice>
  </mc:AlternateContent>
  <xr:revisionPtr revIDLastSave="0" documentId="13_ncr:1_{AD8FABDC-90E8-E54F-943B-397A5F0AB13D}" xr6:coauthVersionLast="47" xr6:coauthVersionMax="47" xr10:uidLastSave="{00000000-0000-0000-0000-000000000000}"/>
  <bookViews>
    <workbookView xWindow="0" yWindow="460" windowWidth="31780" windowHeight="20680" tabRatio="913" xr2:uid="{00000000-000D-0000-FFFF-FFFF00000000}"/>
  </bookViews>
  <sheets>
    <sheet name="CA Totals" sheetId="14" r:id="rId1"/>
    <sheet name="Los Angeles" sheetId="2" r:id="rId2"/>
    <sheet name="Burbank" sheetId="1" r:id="rId3"/>
    <sheet name="Long Beach" sheetId="3" r:id="rId4"/>
    <sheet name="Ontario" sheetId="5" r:id="rId5"/>
    <sheet name="Orange County" sheetId="10" r:id="rId6"/>
    <sheet name="Oakland" sheetId="4" r:id="rId7"/>
    <sheet name="Sacramento" sheetId="6" r:id="rId8"/>
    <sheet name="San Diego" sheetId="7" r:id="rId9"/>
    <sheet name="San Jose" sheetId="8" r:id="rId10"/>
    <sheet name="San Francisco" sheetId="9" r:id="rId11"/>
    <sheet name="High Low stats" sheetId="12" state="hidden" r:id="rId12"/>
  </sheets>
  <definedNames>
    <definedName name="_xlnm.Print_Area" localSheetId="2">Burbank!$A$1:$Q$21</definedName>
    <definedName name="_xlnm.Print_Area" localSheetId="0">'CA Totals'!$A$1:$S$33</definedName>
    <definedName name="_xlnm.Print_Area" localSheetId="11">'High Low stats'!$A$3:$I$46</definedName>
    <definedName name="_xlnm.Print_Area" localSheetId="3">'Long Beach'!$A$1:$P$21</definedName>
    <definedName name="_xlnm.Print_Area" localSheetId="1">'Los Angeles'!$A$1:$S$21</definedName>
    <definedName name="_xlnm.Print_Area" localSheetId="6">Oakland!$A$1:$Q$21</definedName>
    <definedName name="_xlnm.Print_Area" localSheetId="4">Ontario!$A$1:$S$21</definedName>
    <definedName name="_xlnm.Print_Area" localSheetId="5">'Orange County'!$A$1:$S$21</definedName>
    <definedName name="_xlnm.Print_Area" localSheetId="7">Sacramento!$A$1:$S$21</definedName>
    <definedName name="_xlnm.Print_Area" localSheetId="10">'San Francisco'!$A$1:$S$21</definedName>
    <definedName name="_xlnm.Print_Area" localSheetId="9">'San Jose'!$A$1:$S$21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C18" i="2"/>
  <c r="P18" i="14"/>
  <c r="O18" i="14"/>
  <c r="J18" i="14"/>
  <c r="I18" i="14"/>
  <c r="D18" i="14"/>
  <c r="C18" i="14"/>
  <c r="B17" i="14"/>
  <c r="F17" i="14" s="1"/>
  <c r="E17" i="14"/>
  <c r="L17" i="14"/>
  <c r="K17" i="14"/>
  <c r="R17" i="14"/>
  <c r="Q17" i="14"/>
  <c r="N17" i="14"/>
  <c r="H17" i="14"/>
  <c r="P18" i="9"/>
  <c r="D18" i="9"/>
  <c r="C18" i="9"/>
  <c r="O18" i="9"/>
  <c r="J18" i="9"/>
  <c r="I18" i="9"/>
  <c r="R17" i="9"/>
  <c r="Q17" i="9"/>
  <c r="L17" i="9"/>
  <c r="K17" i="9"/>
  <c r="F17" i="9"/>
  <c r="E17" i="9"/>
  <c r="B17" i="9"/>
  <c r="P18" i="8"/>
  <c r="O18" i="8"/>
  <c r="J18" i="8"/>
  <c r="I18" i="8"/>
  <c r="D18" i="8"/>
  <c r="C18" i="8"/>
  <c r="F17" i="8"/>
  <c r="E17" i="8"/>
  <c r="B17" i="8"/>
  <c r="R17" i="8"/>
  <c r="Q17" i="8"/>
  <c r="N17" i="8"/>
  <c r="L17" i="8"/>
  <c r="K17" i="8"/>
  <c r="H17" i="8"/>
  <c r="H18" i="8" s="1"/>
  <c r="P18" i="7"/>
  <c r="O18" i="7"/>
  <c r="J18" i="7"/>
  <c r="I18" i="7"/>
  <c r="D18" i="7"/>
  <c r="C18" i="7"/>
  <c r="B17" i="7"/>
  <c r="F17" i="7" s="1"/>
  <c r="R17" i="7"/>
  <c r="Q17" i="7"/>
  <c r="L17" i="7"/>
  <c r="K17" i="7"/>
  <c r="P18" i="6"/>
  <c r="O18" i="6"/>
  <c r="J18" i="6"/>
  <c r="I18" i="6"/>
  <c r="D18" i="6"/>
  <c r="C18" i="6"/>
  <c r="E18" i="6"/>
  <c r="B17" i="6"/>
  <c r="E17" i="6" s="1"/>
  <c r="F17" i="6"/>
  <c r="F16" i="6"/>
  <c r="E16" i="6"/>
  <c r="L17" i="6"/>
  <c r="K17" i="6"/>
  <c r="R17" i="6"/>
  <c r="Q17" i="6"/>
  <c r="N17" i="6"/>
  <c r="H17" i="6"/>
  <c r="P18" i="4"/>
  <c r="O18" i="4"/>
  <c r="J18" i="4"/>
  <c r="I18" i="4"/>
  <c r="D18" i="4"/>
  <c r="C18" i="4"/>
  <c r="F17" i="4"/>
  <c r="E17" i="4"/>
  <c r="R17" i="4"/>
  <c r="Q17" i="4"/>
  <c r="R16" i="4"/>
  <c r="Q16" i="4"/>
  <c r="H17" i="4"/>
  <c r="K17" i="4" s="1"/>
  <c r="Q18" i="10"/>
  <c r="P18" i="10"/>
  <c r="O18" i="10"/>
  <c r="J18" i="10"/>
  <c r="I18" i="10"/>
  <c r="D18" i="10"/>
  <c r="C18" i="10"/>
  <c r="F17" i="10"/>
  <c r="E17" i="10"/>
  <c r="L17" i="10"/>
  <c r="K17" i="10"/>
  <c r="H17" i="10"/>
  <c r="R17" i="10"/>
  <c r="P18" i="5"/>
  <c r="O18" i="5"/>
  <c r="J18" i="5"/>
  <c r="I18" i="5"/>
  <c r="D18" i="5"/>
  <c r="C18" i="5"/>
  <c r="F17" i="5"/>
  <c r="E17" i="5"/>
  <c r="R17" i="5"/>
  <c r="Q17" i="5"/>
  <c r="L17" i="5"/>
  <c r="K17" i="5"/>
  <c r="H17" i="5"/>
  <c r="N17" i="5"/>
  <c r="J18" i="3"/>
  <c r="I18" i="3"/>
  <c r="D18" i="3"/>
  <c r="C18" i="3"/>
  <c r="F17" i="3"/>
  <c r="E17" i="3"/>
  <c r="B17" i="3"/>
  <c r="K17" i="3"/>
  <c r="L17" i="3"/>
  <c r="J18" i="1"/>
  <c r="I18" i="1"/>
  <c r="D18" i="1"/>
  <c r="C18" i="1"/>
  <c r="F17" i="1"/>
  <c r="E17" i="1"/>
  <c r="B17" i="1"/>
  <c r="K17" i="1"/>
  <c r="L17" i="1"/>
  <c r="P18" i="2"/>
  <c r="O18" i="2"/>
  <c r="J18" i="2"/>
  <c r="I18" i="2"/>
  <c r="B17" i="2"/>
  <c r="F17" i="2" s="1"/>
  <c r="E17" i="2"/>
  <c r="Q17" i="2"/>
  <c r="R17" i="2"/>
  <c r="K17" i="2"/>
  <c r="L17" i="2"/>
  <c r="B16" i="14"/>
  <c r="E16" i="14" s="1"/>
  <c r="R16" i="14"/>
  <c r="Q16" i="14"/>
  <c r="L16" i="14"/>
  <c r="K16" i="14"/>
  <c r="N16" i="14"/>
  <c r="H16" i="14"/>
  <c r="H14" i="14"/>
  <c r="B18" i="9"/>
  <c r="F16" i="8"/>
  <c r="E16" i="8"/>
  <c r="B16" i="8"/>
  <c r="B15" i="8"/>
  <c r="L16" i="8"/>
  <c r="K16" i="8"/>
  <c r="R16" i="8"/>
  <c r="Q16" i="8"/>
  <c r="N16" i="8"/>
  <c r="H16" i="8"/>
  <c r="B16" i="7"/>
  <c r="E16" i="7" s="1"/>
  <c r="L16" i="7"/>
  <c r="K16" i="7"/>
  <c r="L15" i="7"/>
  <c r="K15" i="7"/>
  <c r="R16" i="7"/>
  <c r="Q16" i="7"/>
  <c r="R15" i="7"/>
  <c r="Q15" i="7"/>
  <c r="B16" i="6"/>
  <c r="R16" i="6"/>
  <c r="Q16" i="6"/>
  <c r="L16" i="6"/>
  <c r="K16" i="6"/>
  <c r="H16" i="6"/>
  <c r="N16" i="6"/>
  <c r="R15" i="4"/>
  <c r="Q15" i="4"/>
  <c r="R14" i="4"/>
  <c r="Q14" i="4"/>
  <c r="L16" i="4"/>
  <c r="K16" i="4"/>
  <c r="H16" i="4"/>
  <c r="E16" i="4"/>
  <c r="F16" i="4"/>
  <c r="H16" i="10"/>
  <c r="L16" i="10" s="1"/>
  <c r="K16" i="10"/>
  <c r="R16" i="10"/>
  <c r="E16" i="10"/>
  <c r="F16" i="10"/>
  <c r="N15" i="5"/>
  <c r="R16" i="5"/>
  <c r="Q16" i="5"/>
  <c r="L16" i="5"/>
  <c r="K16" i="5"/>
  <c r="H16" i="5"/>
  <c r="H15" i="5"/>
  <c r="N16" i="5"/>
  <c r="E16" i="5"/>
  <c r="F16" i="5"/>
  <c r="F16" i="3"/>
  <c r="E16" i="3"/>
  <c r="B16" i="3"/>
  <c r="L16" i="3"/>
  <c r="K16" i="3"/>
  <c r="E16" i="1"/>
  <c r="F16" i="1"/>
  <c r="B16" i="1"/>
  <c r="B18" i="1" s="1"/>
  <c r="K16" i="1"/>
  <c r="L16" i="1"/>
  <c r="R16" i="2"/>
  <c r="Q16" i="2"/>
  <c r="L16" i="2"/>
  <c r="K16" i="2"/>
  <c r="B16" i="2"/>
  <c r="E16" i="2" s="1"/>
  <c r="F16" i="2"/>
  <c r="K16" i="9"/>
  <c r="L16" i="9"/>
  <c r="B16" i="9"/>
  <c r="E16" i="9" s="1"/>
  <c r="Q16" i="9"/>
  <c r="R16" i="9"/>
  <c r="R15" i="14"/>
  <c r="Q15" i="14"/>
  <c r="N15" i="14"/>
  <c r="R15" i="9"/>
  <c r="Q15" i="9"/>
  <c r="L15" i="9"/>
  <c r="K15" i="9"/>
  <c r="F14" i="9"/>
  <c r="E14" i="9"/>
  <c r="E15" i="9"/>
  <c r="B15" i="9"/>
  <c r="F15" i="9" s="1"/>
  <c r="E15" i="8"/>
  <c r="F15" i="8"/>
  <c r="L15" i="8"/>
  <c r="K15" i="8"/>
  <c r="R15" i="8"/>
  <c r="Q15" i="8"/>
  <c r="N15" i="8"/>
  <c r="H15" i="8"/>
  <c r="B15" i="7"/>
  <c r="E15" i="7" s="1"/>
  <c r="F15" i="7"/>
  <c r="H15" i="6"/>
  <c r="L15" i="6"/>
  <c r="K15" i="6"/>
  <c r="R15" i="6"/>
  <c r="Q15" i="6"/>
  <c r="N15" i="6"/>
  <c r="E15" i="6"/>
  <c r="F15" i="6"/>
  <c r="H15" i="4"/>
  <c r="K15" i="4"/>
  <c r="L15" i="4"/>
  <c r="E15" i="4"/>
  <c r="F15" i="4"/>
  <c r="N18" i="10"/>
  <c r="R15" i="10"/>
  <c r="L15" i="10"/>
  <c r="K15" i="10"/>
  <c r="H15" i="10"/>
  <c r="E15" i="10"/>
  <c r="F15" i="10"/>
  <c r="R15" i="5"/>
  <c r="Q15" i="5"/>
  <c r="F15" i="5"/>
  <c r="E15" i="5"/>
  <c r="E15" i="3"/>
  <c r="F15" i="3"/>
  <c r="K15" i="3"/>
  <c r="L15" i="3"/>
  <c r="E15" i="1"/>
  <c r="F15" i="1"/>
  <c r="B18" i="2"/>
  <c r="E18" i="2" s="1"/>
  <c r="L15" i="2"/>
  <c r="B15" i="2"/>
  <c r="E15" i="2" s="1"/>
  <c r="F15" i="2"/>
  <c r="Q15" i="2"/>
  <c r="R15" i="2"/>
  <c r="K15" i="2"/>
  <c r="N18" i="6"/>
  <c r="H18" i="9"/>
  <c r="B14" i="9"/>
  <c r="Q14" i="9"/>
  <c r="R14" i="9"/>
  <c r="K14" i="9"/>
  <c r="L14" i="9"/>
  <c r="N14" i="14"/>
  <c r="Q14" i="14" s="1"/>
  <c r="E18" i="9" l="1"/>
  <c r="E17" i="7"/>
  <c r="L17" i="4"/>
  <c r="F16" i="14"/>
  <c r="F16" i="7"/>
  <c r="F16" i="9"/>
  <c r="R14" i="14"/>
  <c r="B14" i="14"/>
  <c r="K14" i="14"/>
  <c r="L14" i="14"/>
  <c r="F14" i="14" l="1"/>
  <c r="B18" i="14"/>
  <c r="E14" i="14"/>
  <c r="B18" i="8"/>
  <c r="R14" i="8"/>
  <c r="Q14" i="8"/>
  <c r="L14" i="8"/>
  <c r="K14" i="8"/>
  <c r="L12" i="8"/>
  <c r="F14" i="8"/>
  <c r="E14" i="8"/>
  <c r="B14" i="8"/>
  <c r="N14" i="8"/>
  <c r="H14" i="8"/>
  <c r="B14" i="7"/>
  <c r="E14" i="7"/>
  <c r="F14" i="7"/>
  <c r="Q14" i="7"/>
  <c r="R14" i="7"/>
  <c r="K14" i="7"/>
  <c r="L14" i="7"/>
  <c r="F14" i="6"/>
  <c r="E14" i="6"/>
  <c r="L14" i="6"/>
  <c r="K14" i="6"/>
  <c r="R14" i="6"/>
  <c r="Q14" i="6"/>
  <c r="N14" i="6"/>
  <c r="H14" i="6"/>
  <c r="H14" i="10"/>
  <c r="K14" i="10"/>
  <c r="L14" i="10"/>
  <c r="R14" i="10"/>
  <c r="E14" i="10"/>
  <c r="F14" i="10"/>
  <c r="L14" i="5"/>
  <c r="K14" i="5"/>
  <c r="H14" i="5"/>
  <c r="R14" i="5"/>
  <c r="Q14" i="5"/>
  <c r="N14" i="5"/>
  <c r="E14" i="5"/>
  <c r="F14" i="5"/>
  <c r="L14" i="3"/>
  <c r="K14" i="3"/>
  <c r="E14" i="3"/>
  <c r="F14" i="3"/>
  <c r="L14" i="1"/>
  <c r="K14" i="1"/>
  <c r="E14" i="1"/>
  <c r="F14" i="1"/>
  <c r="F14" i="2"/>
  <c r="E14" i="2"/>
  <c r="B14" i="2"/>
  <c r="R14" i="2"/>
  <c r="Q14" i="2"/>
  <c r="K14" i="2"/>
  <c r="L14" i="2"/>
  <c r="Q13" i="4"/>
  <c r="H14" i="4"/>
  <c r="K14" i="4"/>
  <c r="L14" i="4"/>
  <c r="E14" i="4"/>
  <c r="F14" i="4"/>
  <c r="H13" i="4"/>
  <c r="K13" i="4" s="1"/>
  <c r="R13" i="4"/>
  <c r="E13" i="4"/>
  <c r="F13" i="4"/>
  <c r="N13" i="14"/>
  <c r="R13" i="14" s="1"/>
  <c r="H12" i="14"/>
  <c r="H13" i="14"/>
  <c r="B13" i="14" s="1"/>
  <c r="F13" i="14" s="1"/>
  <c r="N12" i="14"/>
  <c r="B13" i="8"/>
  <c r="E13" i="8"/>
  <c r="F13" i="8"/>
  <c r="R13" i="8"/>
  <c r="Q13" i="8"/>
  <c r="N13" i="8"/>
  <c r="L13" i="8"/>
  <c r="K13" i="8"/>
  <c r="H13" i="8"/>
  <c r="B13" i="7"/>
  <c r="C13" i="9"/>
  <c r="E13" i="9"/>
  <c r="B13" i="9"/>
  <c r="F13" i="9" s="1"/>
  <c r="Q13" i="9"/>
  <c r="R13" i="9"/>
  <c r="K13" i="9"/>
  <c r="L13" i="9"/>
  <c r="B13" i="6"/>
  <c r="F13" i="6" s="1"/>
  <c r="R13" i="6"/>
  <c r="Q13" i="6"/>
  <c r="N13" i="6"/>
  <c r="L13" i="6"/>
  <c r="K13" i="6"/>
  <c r="H13" i="6"/>
  <c r="H13" i="10"/>
  <c r="K13" i="10"/>
  <c r="L13" i="10"/>
  <c r="R13" i="10"/>
  <c r="E13" i="10"/>
  <c r="F13" i="10"/>
  <c r="Q13" i="5"/>
  <c r="K13" i="5"/>
  <c r="H13" i="5"/>
  <c r="L13" i="5" s="1"/>
  <c r="N13" i="5"/>
  <c r="R13" i="5"/>
  <c r="E13" i="5"/>
  <c r="F13" i="5"/>
  <c r="B18" i="7"/>
  <c r="H18" i="5"/>
  <c r="K13" i="3"/>
  <c r="L13" i="3"/>
  <c r="F13" i="3"/>
  <c r="E13" i="3"/>
  <c r="H18" i="2"/>
  <c r="K18" i="2" s="1"/>
  <c r="B18" i="3"/>
  <c r="H18" i="3"/>
  <c r="F13" i="1"/>
  <c r="K13" i="1"/>
  <c r="L13" i="1"/>
  <c r="E13" i="1"/>
  <c r="K13" i="2"/>
  <c r="L13" i="2"/>
  <c r="B13" i="2"/>
  <c r="E13" i="2"/>
  <c r="F13" i="2"/>
  <c r="Q13" i="2"/>
  <c r="R13" i="2"/>
  <c r="H18" i="6"/>
  <c r="I12" i="6"/>
  <c r="F12" i="4"/>
  <c r="E12" i="4"/>
  <c r="H12" i="4"/>
  <c r="L12" i="4" s="1"/>
  <c r="R12" i="4"/>
  <c r="Q12" i="4"/>
  <c r="B18" i="4"/>
  <c r="N18" i="2"/>
  <c r="R12" i="14"/>
  <c r="B10" i="14"/>
  <c r="B18" i="10"/>
  <c r="F12" i="10"/>
  <c r="E12" i="10"/>
  <c r="L12" i="10"/>
  <c r="K12" i="10"/>
  <c r="H12" i="10"/>
  <c r="R12" i="10"/>
  <c r="R12" i="9"/>
  <c r="Q12" i="9"/>
  <c r="L12" i="9"/>
  <c r="K12" i="9"/>
  <c r="F12" i="9"/>
  <c r="E12" i="9"/>
  <c r="B12" i="9"/>
  <c r="F12" i="8"/>
  <c r="E12" i="8"/>
  <c r="B12" i="8"/>
  <c r="R12" i="8"/>
  <c r="Q12" i="8"/>
  <c r="K12" i="8"/>
  <c r="N12" i="8"/>
  <c r="H12" i="8"/>
  <c r="L13" i="7"/>
  <c r="K13" i="7"/>
  <c r="F13" i="7"/>
  <c r="E13" i="7"/>
  <c r="R13" i="7"/>
  <c r="Q13" i="7"/>
  <c r="R11" i="7"/>
  <c r="Q11" i="7"/>
  <c r="R12" i="7"/>
  <c r="Q12" i="7"/>
  <c r="F12" i="7"/>
  <c r="E12" i="7"/>
  <c r="B12" i="7"/>
  <c r="L12" i="7"/>
  <c r="K12" i="7"/>
  <c r="R12" i="6"/>
  <c r="Q12" i="6"/>
  <c r="L12" i="6"/>
  <c r="K12" i="6"/>
  <c r="F12" i="6"/>
  <c r="E12" i="6"/>
  <c r="B12" i="6"/>
  <c r="N12" i="6"/>
  <c r="H12" i="6"/>
  <c r="R12" i="5"/>
  <c r="Q12" i="5"/>
  <c r="F12" i="5"/>
  <c r="E12" i="5"/>
  <c r="N12" i="5"/>
  <c r="H12" i="5"/>
  <c r="K12" i="5" s="1"/>
  <c r="L12" i="3"/>
  <c r="K12" i="3"/>
  <c r="F12" i="3"/>
  <c r="E12" i="3"/>
  <c r="L12" i="1"/>
  <c r="K12" i="1"/>
  <c r="F12" i="1"/>
  <c r="E12" i="1"/>
  <c r="R12" i="2"/>
  <c r="Q12" i="2"/>
  <c r="F12" i="2"/>
  <c r="E12" i="2"/>
  <c r="B12" i="2"/>
  <c r="L12" i="2"/>
  <c r="K12" i="2"/>
  <c r="L11" i="14"/>
  <c r="K11" i="14"/>
  <c r="L10" i="14"/>
  <c r="K10" i="14"/>
  <c r="L9" i="14"/>
  <c r="K9" i="14"/>
  <c r="N9" i="14"/>
  <c r="R9" i="14" s="1"/>
  <c r="N10" i="14"/>
  <c r="R10" i="14" s="1"/>
  <c r="N11" i="14"/>
  <c r="Q11" i="14" s="1"/>
  <c r="H9" i="14"/>
  <c r="H10" i="14"/>
  <c r="H11" i="14"/>
  <c r="B11" i="9"/>
  <c r="F11" i="9" s="1"/>
  <c r="E11" i="9"/>
  <c r="Q11" i="9"/>
  <c r="R11" i="9"/>
  <c r="K11" i="9"/>
  <c r="L11" i="9"/>
  <c r="R11" i="8"/>
  <c r="Q11" i="8"/>
  <c r="L11" i="8"/>
  <c r="K11" i="8"/>
  <c r="F11" i="8"/>
  <c r="E11" i="8"/>
  <c r="N11" i="8"/>
  <c r="B11" i="8" s="1"/>
  <c r="H11" i="8"/>
  <c r="F11" i="7"/>
  <c r="E11" i="7"/>
  <c r="K11" i="7"/>
  <c r="L11" i="7"/>
  <c r="H10" i="6"/>
  <c r="F11" i="6"/>
  <c r="E11" i="6"/>
  <c r="B11" i="6"/>
  <c r="B10" i="6"/>
  <c r="E10" i="6" s="1"/>
  <c r="L11" i="6"/>
  <c r="K11" i="6"/>
  <c r="R11" i="6"/>
  <c r="Q11" i="6"/>
  <c r="N11" i="6"/>
  <c r="H11" i="6"/>
  <c r="F9" i="4"/>
  <c r="E9" i="4"/>
  <c r="R9" i="4"/>
  <c r="Q9" i="4"/>
  <c r="F11" i="4"/>
  <c r="E11" i="4"/>
  <c r="F10" i="4"/>
  <c r="E10" i="4"/>
  <c r="L11" i="4"/>
  <c r="K11" i="4"/>
  <c r="L10" i="4"/>
  <c r="K10" i="4"/>
  <c r="R10" i="4"/>
  <c r="R11" i="4"/>
  <c r="H11" i="4"/>
  <c r="H9" i="4"/>
  <c r="L9" i="4" s="1"/>
  <c r="H10" i="4"/>
  <c r="H8" i="4"/>
  <c r="R11" i="10"/>
  <c r="L11" i="10"/>
  <c r="K11" i="10"/>
  <c r="H11" i="10"/>
  <c r="H10" i="10"/>
  <c r="E11" i="10"/>
  <c r="F11" i="10"/>
  <c r="R11" i="5"/>
  <c r="Q11" i="5"/>
  <c r="L11" i="5"/>
  <c r="K11" i="5"/>
  <c r="H11" i="5"/>
  <c r="H10" i="5"/>
  <c r="N11" i="5"/>
  <c r="E11" i="5"/>
  <c r="F11" i="5"/>
  <c r="L11" i="3"/>
  <c r="K11" i="3"/>
  <c r="E11" i="3"/>
  <c r="F11" i="3"/>
  <c r="L10" i="1"/>
  <c r="K10" i="1"/>
  <c r="F10" i="1"/>
  <c r="E10" i="1"/>
  <c r="L11" i="1"/>
  <c r="K11" i="1"/>
  <c r="F11" i="1"/>
  <c r="E11" i="1"/>
  <c r="B11" i="2"/>
  <c r="F11" i="2" s="1"/>
  <c r="R11" i="2"/>
  <c r="Q11" i="2"/>
  <c r="L11" i="2"/>
  <c r="K11" i="2"/>
  <c r="F10" i="9"/>
  <c r="E10" i="9"/>
  <c r="L10" i="9"/>
  <c r="K10" i="9"/>
  <c r="L9" i="9"/>
  <c r="K9" i="9"/>
  <c r="R10" i="9"/>
  <c r="Q10" i="9"/>
  <c r="R9" i="9"/>
  <c r="Q9" i="9"/>
  <c r="B9" i="9"/>
  <c r="F9" i="9" s="1"/>
  <c r="B10" i="9"/>
  <c r="R10" i="8"/>
  <c r="R9" i="8"/>
  <c r="Q9" i="8"/>
  <c r="L10" i="8"/>
  <c r="K10" i="8"/>
  <c r="L9" i="8"/>
  <c r="K9" i="8"/>
  <c r="F10" i="8"/>
  <c r="E10" i="8"/>
  <c r="F9" i="8"/>
  <c r="E9" i="8"/>
  <c r="N9" i="8"/>
  <c r="H9" i="8"/>
  <c r="B9" i="8" s="1"/>
  <c r="B10" i="8"/>
  <c r="B8" i="8"/>
  <c r="N10" i="8"/>
  <c r="H10" i="8"/>
  <c r="R10" i="7"/>
  <c r="R9" i="7"/>
  <c r="Q9" i="7"/>
  <c r="F10" i="7"/>
  <c r="E10" i="7"/>
  <c r="F9" i="7"/>
  <c r="E9" i="7"/>
  <c r="L10" i="7"/>
  <c r="K10" i="7"/>
  <c r="L9" i="7"/>
  <c r="K9" i="7"/>
  <c r="B9" i="7"/>
  <c r="B10" i="7"/>
  <c r="R10" i="6"/>
  <c r="R9" i="6"/>
  <c r="Q9" i="6"/>
  <c r="F10" i="6"/>
  <c r="F9" i="6"/>
  <c r="E9" i="6"/>
  <c r="L10" i="6"/>
  <c r="K10" i="6"/>
  <c r="L9" i="6"/>
  <c r="K9" i="6"/>
  <c r="B9" i="6"/>
  <c r="N10" i="6"/>
  <c r="N9" i="6"/>
  <c r="H9" i="6"/>
  <c r="R10" i="10"/>
  <c r="R9" i="10"/>
  <c r="K10" i="10"/>
  <c r="F10" i="10"/>
  <c r="E10" i="10"/>
  <c r="F9" i="10"/>
  <c r="H9" i="10"/>
  <c r="F10" i="5"/>
  <c r="E10" i="5"/>
  <c r="L10" i="5"/>
  <c r="H8" i="5"/>
  <c r="R10" i="5"/>
  <c r="F9" i="5"/>
  <c r="E9" i="5"/>
  <c r="R9" i="5"/>
  <c r="K10" i="5"/>
  <c r="L9" i="5"/>
  <c r="K9" i="5"/>
  <c r="F10" i="3"/>
  <c r="E10" i="3"/>
  <c r="F9" i="3"/>
  <c r="E9" i="3"/>
  <c r="L10" i="3"/>
  <c r="K10" i="3"/>
  <c r="L9" i="3"/>
  <c r="K9" i="3"/>
  <c r="L9" i="1"/>
  <c r="K9" i="1"/>
  <c r="F9" i="1"/>
  <c r="E9" i="1"/>
  <c r="F10" i="2"/>
  <c r="E10" i="2"/>
  <c r="F9" i="2"/>
  <c r="E9" i="2"/>
  <c r="B10" i="2"/>
  <c r="B9" i="2"/>
  <c r="R10" i="2"/>
  <c r="Q10" i="2"/>
  <c r="R9" i="2"/>
  <c r="Q9" i="2"/>
  <c r="L10" i="2"/>
  <c r="K10" i="2"/>
  <c r="L9" i="2"/>
  <c r="K9" i="2"/>
  <c r="K18" i="3" l="1"/>
  <c r="Q13" i="14"/>
  <c r="K13" i="14"/>
  <c r="L13" i="14"/>
  <c r="L13" i="4"/>
  <c r="E13" i="14"/>
  <c r="E13" i="6"/>
  <c r="K12" i="4"/>
  <c r="K12" i="14"/>
  <c r="L12" i="14"/>
  <c r="Q12" i="14"/>
  <c r="B12" i="14"/>
  <c r="L12" i="5"/>
  <c r="E9" i="9"/>
  <c r="Q9" i="14"/>
  <c r="B9" i="14"/>
  <c r="F9" i="14" s="1"/>
  <c r="B11" i="14"/>
  <c r="F10" i="14"/>
  <c r="Q10" i="14"/>
  <c r="R11" i="14"/>
  <c r="E10" i="14"/>
  <c r="K9" i="4"/>
  <c r="E11" i="2"/>
  <c r="K9" i="10"/>
  <c r="H8" i="10"/>
  <c r="L8" i="10" s="1"/>
  <c r="I8" i="10"/>
  <c r="R8" i="10"/>
  <c r="Q8" i="10"/>
  <c r="F8" i="10"/>
  <c r="E8" i="10"/>
  <c r="R8" i="4"/>
  <c r="Q8" i="4"/>
  <c r="F8" i="4"/>
  <c r="E8" i="4"/>
  <c r="R8" i="9"/>
  <c r="Q8" i="9"/>
  <c r="L8" i="9"/>
  <c r="K8" i="9"/>
  <c r="B8" i="9"/>
  <c r="N8" i="8"/>
  <c r="H8" i="8"/>
  <c r="R8" i="7"/>
  <c r="Q8" i="7"/>
  <c r="L8" i="7"/>
  <c r="K8" i="7"/>
  <c r="B8" i="7"/>
  <c r="H8" i="6"/>
  <c r="B8" i="6" s="1"/>
  <c r="N8" i="6"/>
  <c r="N8" i="14" s="1"/>
  <c r="F8" i="5"/>
  <c r="E8" i="5"/>
  <c r="H8" i="14"/>
  <c r="L8" i="3"/>
  <c r="K8" i="3"/>
  <c r="L8" i="1"/>
  <c r="K8" i="1"/>
  <c r="R8" i="2"/>
  <c r="Q8" i="2"/>
  <c r="K8" i="2"/>
  <c r="L8" i="2"/>
  <c r="B8" i="2"/>
  <c r="E12" i="14" l="1"/>
  <c r="F12" i="14"/>
  <c r="E9" i="14"/>
  <c r="E11" i="14"/>
  <c r="F11" i="14"/>
  <c r="B8" i="14"/>
  <c r="K8" i="10"/>
  <c r="R7" i="10"/>
  <c r="Q7" i="10"/>
  <c r="R6" i="10"/>
  <c r="Q6" i="10"/>
  <c r="L7" i="10"/>
  <c r="L6" i="10"/>
  <c r="F6" i="10"/>
  <c r="E6" i="10"/>
  <c r="E7" i="10"/>
  <c r="F7" i="10"/>
  <c r="R7" i="2"/>
  <c r="Q7" i="2"/>
  <c r="R6" i="2"/>
  <c r="Q6" i="2"/>
  <c r="L7" i="2"/>
  <c r="K7" i="2"/>
  <c r="L6" i="2"/>
  <c r="K6" i="2"/>
  <c r="Q6" i="9" l="1"/>
  <c r="R7" i="9"/>
  <c r="Q7" i="9"/>
  <c r="R6" i="9"/>
  <c r="L7" i="9"/>
  <c r="K7" i="9"/>
  <c r="L6" i="9"/>
  <c r="K6" i="9"/>
  <c r="N18" i="9"/>
  <c r="Q18" i="9" s="1"/>
  <c r="R7" i="7"/>
  <c r="Q7" i="7"/>
  <c r="R6" i="7"/>
  <c r="Q6" i="7"/>
  <c r="L7" i="7"/>
  <c r="K7" i="7"/>
  <c r="L6" i="7"/>
  <c r="K6" i="7"/>
  <c r="N18" i="7"/>
  <c r="Q18" i="7" s="1"/>
  <c r="H18" i="7"/>
  <c r="L18" i="7" s="1"/>
  <c r="R7" i="4"/>
  <c r="Q7" i="4"/>
  <c r="R6" i="4"/>
  <c r="Q6" i="4"/>
  <c r="K6" i="4"/>
  <c r="E7" i="4"/>
  <c r="F7" i="4"/>
  <c r="F6" i="4"/>
  <c r="E6" i="4"/>
  <c r="N18" i="4"/>
  <c r="R18" i="10"/>
  <c r="H18" i="10"/>
  <c r="F18" i="10"/>
  <c r="N18" i="5"/>
  <c r="F7" i="5"/>
  <c r="E7" i="5"/>
  <c r="F6" i="5"/>
  <c r="E6" i="5"/>
  <c r="B18" i="5"/>
  <c r="F18" i="5" s="1"/>
  <c r="L7" i="3"/>
  <c r="K7" i="3"/>
  <c r="L6" i="3"/>
  <c r="K6" i="3"/>
  <c r="L18" i="3"/>
  <c r="K7" i="1"/>
  <c r="K6" i="1"/>
  <c r="L7" i="1"/>
  <c r="L6" i="1"/>
  <c r="R18" i="2"/>
  <c r="N7" i="14"/>
  <c r="B7" i="8"/>
  <c r="N7" i="8"/>
  <c r="H7" i="8"/>
  <c r="B7" i="7"/>
  <c r="H7" i="6"/>
  <c r="B7" i="6" s="1"/>
  <c r="B18" i="6" s="1"/>
  <c r="N7" i="6"/>
  <c r="H7" i="4"/>
  <c r="H6" i="4"/>
  <c r="H18" i="4" s="1"/>
  <c r="I6" i="4"/>
  <c r="R18" i="9" l="1"/>
  <c r="F18" i="4"/>
  <c r="H7" i="14"/>
  <c r="B7" i="14" s="1"/>
  <c r="L18" i="9"/>
  <c r="R18" i="4"/>
  <c r="L18" i="10"/>
  <c r="R18" i="7"/>
  <c r="Q18" i="2"/>
  <c r="L18" i="2"/>
  <c r="K18" i="9"/>
  <c r="K18" i="7"/>
  <c r="Q18" i="4"/>
  <c r="E18" i="4"/>
  <c r="E18" i="10"/>
  <c r="E18" i="5"/>
  <c r="H7" i="5"/>
  <c r="B7" i="2"/>
  <c r="B7" i="9" l="1"/>
  <c r="B6" i="9"/>
  <c r="N6" i="8" l="1"/>
  <c r="H6" i="8"/>
  <c r="I6" i="8"/>
  <c r="B6" i="7"/>
  <c r="H6" i="6"/>
  <c r="N6" i="6"/>
  <c r="N6" i="14" s="1"/>
  <c r="I17" i="6"/>
  <c r="I6" i="6"/>
  <c r="H6" i="5"/>
  <c r="B6" i="2"/>
  <c r="C6" i="2"/>
  <c r="N18" i="14" l="1"/>
  <c r="Q18" i="14" s="1"/>
  <c r="K6" i="6"/>
  <c r="E6" i="2"/>
  <c r="K6" i="8"/>
  <c r="N18" i="8"/>
  <c r="B6" i="8"/>
  <c r="H6" i="14"/>
  <c r="I17" i="4"/>
  <c r="O17" i="8"/>
  <c r="I17" i="8"/>
  <c r="C17" i="8" s="1"/>
  <c r="B6" i="14" l="1"/>
  <c r="C17" i="9"/>
  <c r="C17" i="7"/>
  <c r="O17" i="6"/>
  <c r="C17" i="6" s="1"/>
  <c r="I17" i="5"/>
  <c r="C17" i="2"/>
  <c r="D17" i="2"/>
  <c r="O16" i="8" l="1"/>
  <c r="I16" i="8"/>
  <c r="C16" i="8" s="1"/>
  <c r="O16" i="6"/>
  <c r="I16" i="6"/>
  <c r="C16" i="6" s="1"/>
  <c r="I16" i="4"/>
  <c r="P16" i="5"/>
  <c r="I16" i="5"/>
  <c r="C9" i="1"/>
  <c r="C16" i="2"/>
  <c r="O15" i="8" l="1"/>
  <c r="I15" i="8" s="1"/>
  <c r="O15" i="6"/>
  <c r="I15" i="6" s="1"/>
  <c r="O14" i="6"/>
  <c r="I14" i="6"/>
  <c r="I15" i="5"/>
  <c r="K15" i="5" s="1"/>
  <c r="I15" i="4"/>
  <c r="I14" i="4"/>
  <c r="C15" i="2"/>
  <c r="I13" i="4" l="1"/>
  <c r="O14" i="8"/>
  <c r="I14" i="8" s="1"/>
  <c r="I13" i="8"/>
  <c r="I13" i="6"/>
  <c r="O13" i="6"/>
  <c r="I14" i="5"/>
  <c r="C14" i="2" l="1"/>
  <c r="C13" i="2" l="1"/>
  <c r="O13" i="8" l="1"/>
  <c r="O13" i="14" s="1"/>
  <c r="C13" i="6"/>
  <c r="I12" i="4"/>
  <c r="I13" i="5"/>
  <c r="C13" i="8" l="1"/>
  <c r="O12" i="6"/>
  <c r="C12" i="6" s="1"/>
  <c r="O12" i="8" l="1"/>
  <c r="I12" i="8"/>
  <c r="C12" i="8" s="1"/>
  <c r="I12" i="5"/>
  <c r="I11" i="5"/>
  <c r="C12" i="2" l="1"/>
  <c r="D12" i="2"/>
  <c r="O11" i="8" l="1"/>
  <c r="I11" i="8"/>
  <c r="C11" i="8" s="1"/>
  <c r="C11" i="7" l="1"/>
  <c r="C10" i="7"/>
  <c r="O11" i="6"/>
  <c r="I11" i="6"/>
  <c r="I11" i="14" s="1"/>
  <c r="O7" i="5"/>
  <c r="Q7" i="5" l="1"/>
  <c r="I7" i="5"/>
  <c r="K7" i="5" s="1"/>
  <c r="C11" i="6"/>
  <c r="I10" i="8"/>
  <c r="C10" i="8" s="1"/>
  <c r="C10" i="1" l="1"/>
  <c r="C10" i="6" l="1"/>
  <c r="I10" i="6"/>
  <c r="C9" i="2"/>
  <c r="C10" i="2"/>
  <c r="D10" i="2"/>
  <c r="C9" i="3" l="1"/>
  <c r="C9" i="9" l="1"/>
  <c r="O9" i="8"/>
  <c r="I9" i="8"/>
  <c r="C9" i="8" s="1"/>
  <c r="C9" i="7" l="1"/>
  <c r="C9" i="10"/>
  <c r="E9" i="10" s="1"/>
  <c r="O9" i="6"/>
  <c r="I9" i="6"/>
  <c r="C9" i="6" s="1"/>
  <c r="C9" i="4"/>
  <c r="C9" i="5"/>
  <c r="P6" i="6" l="1"/>
  <c r="J8" i="6"/>
  <c r="L8" i="6" s="1"/>
  <c r="J7" i="6"/>
  <c r="L7" i="6" s="1"/>
  <c r="J6" i="6"/>
  <c r="L18" i="6" l="1"/>
  <c r="L6" i="6"/>
  <c r="R6" i="6"/>
  <c r="C8" i="7"/>
  <c r="E8" i="7" s="1"/>
  <c r="D17" i="3" l="1"/>
  <c r="D16" i="3"/>
  <c r="D15" i="3"/>
  <c r="D14" i="3"/>
  <c r="D13" i="3"/>
  <c r="D12" i="3"/>
  <c r="D11" i="3"/>
  <c r="D10" i="3"/>
  <c r="D9" i="3"/>
  <c r="D8" i="3"/>
  <c r="F8" i="3" s="1"/>
  <c r="D7" i="3"/>
  <c r="F7" i="3" s="1"/>
  <c r="D6" i="3"/>
  <c r="C8" i="3"/>
  <c r="E8" i="3" s="1"/>
  <c r="C7" i="3"/>
  <c r="E7" i="3" s="1"/>
  <c r="C6" i="3"/>
  <c r="F6" i="3" l="1"/>
  <c r="F18" i="3"/>
  <c r="E6" i="3"/>
  <c r="E18" i="3"/>
  <c r="I8" i="8"/>
  <c r="K8" i="8" s="1"/>
  <c r="O8" i="8"/>
  <c r="Q8" i="8" s="1"/>
  <c r="C8" i="8" l="1"/>
  <c r="E8" i="8" s="1"/>
  <c r="I7" i="4"/>
  <c r="I8" i="4"/>
  <c r="K8" i="4" s="1"/>
  <c r="K18" i="4" l="1"/>
  <c r="K7" i="4"/>
  <c r="O7" i="8"/>
  <c r="Q7" i="8" s="1"/>
  <c r="I7" i="8"/>
  <c r="I6" i="10"/>
  <c r="I7" i="10"/>
  <c r="K7" i="10" s="1"/>
  <c r="O8" i="5"/>
  <c r="I8" i="5" l="1"/>
  <c r="K8" i="5" s="1"/>
  <c r="Q8" i="5"/>
  <c r="K6" i="10"/>
  <c r="K18" i="10"/>
  <c r="C7" i="8"/>
  <c r="E7" i="8" s="1"/>
  <c r="K7" i="8"/>
  <c r="K18" i="8"/>
  <c r="C8" i="9"/>
  <c r="E8" i="9" s="1"/>
  <c r="O8" i="6"/>
  <c r="Q8" i="6" s="1"/>
  <c r="I8" i="6"/>
  <c r="K8" i="6" s="1"/>
  <c r="O7" i="6"/>
  <c r="Q7" i="6" s="1"/>
  <c r="I7" i="6"/>
  <c r="O6" i="5"/>
  <c r="K7" i="6" l="1"/>
  <c r="C7" i="6"/>
  <c r="E7" i="6" s="1"/>
  <c r="K18" i="6"/>
  <c r="Q18" i="5"/>
  <c r="Q6" i="5"/>
  <c r="C8" i="6"/>
  <c r="E8" i="6" s="1"/>
  <c r="C7" i="9"/>
  <c r="E7" i="9" s="1"/>
  <c r="C7" i="7"/>
  <c r="E7" i="7" s="1"/>
  <c r="C8" i="1" l="1"/>
  <c r="E8" i="1" s="1"/>
  <c r="C7" i="1"/>
  <c r="E7" i="1" s="1"/>
  <c r="C6" i="1"/>
  <c r="D6" i="1"/>
  <c r="F6" i="1" l="1"/>
  <c r="E6" i="1"/>
  <c r="E18" i="1"/>
  <c r="O6" i="6"/>
  <c r="Q18" i="6" l="1"/>
  <c r="Q6" i="6"/>
  <c r="C6" i="6"/>
  <c r="C6" i="9"/>
  <c r="E6" i="9" l="1"/>
  <c r="E6" i="6"/>
  <c r="O6" i="8"/>
  <c r="C6" i="7"/>
  <c r="I6" i="5"/>
  <c r="P13" i="5"/>
  <c r="P6" i="5"/>
  <c r="J6" i="5" l="1"/>
  <c r="R6" i="5"/>
  <c r="K18" i="5"/>
  <c r="K6" i="5"/>
  <c r="E18" i="7"/>
  <c r="E6" i="7"/>
  <c r="Q18" i="8"/>
  <c r="Q6" i="8"/>
  <c r="C6" i="8"/>
  <c r="I6" i="14"/>
  <c r="D6" i="9"/>
  <c r="D7" i="9"/>
  <c r="F7" i="9" s="1"/>
  <c r="D8" i="9"/>
  <c r="F8" i="9" s="1"/>
  <c r="D9" i="9"/>
  <c r="D10" i="9"/>
  <c r="D11" i="9"/>
  <c r="D12" i="9"/>
  <c r="D13" i="9"/>
  <c r="D14" i="9"/>
  <c r="D15" i="9"/>
  <c r="D16" i="9"/>
  <c r="D17" i="9"/>
  <c r="P6" i="8"/>
  <c r="P7" i="8"/>
  <c r="R7" i="8" s="1"/>
  <c r="P8" i="8"/>
  <c r="R8" i="8" s="1"/>
  <c r="P9" i="8"/>
  <c r="P10" i="8"/>
  <c r="D10" i="8" s="1"/>
  <c r="P11" i="8"/>
  <c r="P12" i="8"/>
  <c r="P13" i="8"/>
  <c r="P14" i="8"/>
  <c r="P14" i="14" s="1"/>
  <c r="P15" i="8"/>
  <c r="P16" i="8"/>
  <c r="P17" i="8"/>
  <c r="J6" i="8"/>
  <c r="J7" i="8"/>
  <c r="J8" i="8"/>
  <c r="L8" i="8" s="1"/>
  <c r="J9" i="8"/>
  <c r="J10" i="8"/>
  <c r="J11" i="8"/>
  <c r="J12" i="8"/>
  <c r="J13" i="8"/>
  <c r="J14" i="8"/>
  <c r="J15" i="8"/>
  <c r="D15" i="8" s="1"/>
  <c r="J16" i="8"/>
  <c r="J17" i="8"/>
  <c r="D8" i="8"/>
  <c r="F8" i="8" s="1"/>
  <c r="D6" i="7"/>
  <c r="D7" i="7"/>
  <c r="F7" i="7" s="1"/>
  <c r="D8" i="7"/>
  <c r="F8" i="7" s="1"/>
  <c r="D9" i="7"/>
  <c r="D10" i="7"/>
  <c r="D11" i="7"/>
  <c r="D12" i="7"/>
  <c r="D13" i="7"/>
  <c r="D14" i="7"/>
  <c r="D15" i="7"/>
  <c r="D16" i="7"/>
  <c r="D17" i="7"/>
  <c r="P7" i="6"/>
  <c r="P8" i="6"/>
  <c r="R8" i="6" s="1"/>
  <c r="P9" i="6"/>
  <c r="P10" i="6"/>
  <c r="P11" i="6"/>
  <c r="P12" i="6"/>
  <c r="P13" i="6"/>
  <c r="J13" i="6" s="1"/>
  <c r="P14" i="6"/>
  <c r="P15" i="6"/>
  <c r="P16" i="6"/>
  <c r="P16" i="14" s="1"/>
  <c r="P17" i="6"/>
  <c r="J9" i="6"/>
  <c r="J10" i="6"/>
  <c r="D10" i="6" s="1"/>
  <c r="J11" i="6"/>
  <c r="D11" i="6" s="1"/>
  <c r="J12" i="6"/>
  <c r="J14" i="6"/>
  <c r="D14" i="6" s="1"/>
  <c r="J15" i="6"/>
  <c r="D15" i="6" s="1"/>
  <c r="J16" i="6"/>
  <c r="D16" i="6" s="1"/>
  <c r="J17" i="6"/>
  <c r="D17" i="6" s="1"/>
  <c r="J6" i="4"/>
  <c r="J7" i="4"/>
  <c r="L7" i="4" s="1"/>
  <c r="J8" i="4"/>
  <c r="L8" i="4" s="1"/>
  <c r="J9" i="4"/>
  <c r="J10" i="4"/>
  <c r="J11" i="4"/>
  <c r="J12" i="4"/>
  <c r="J13" i="4"/>
  <c r="J14" i="4"/>
  <c r="J15" i="4"/>
  <c r="J16" i="4"/>
  <c r="J17" i="4"/>
  <c r="J9" i="10"/>
  <c r="L9" i="10" s="1"/>
  <c r="J10" i="10"/>
  <c r="L10" i="10" s="1"/>
  <c r="J11" i="10"/>
  <c r="J12" i="10"/>
  <c r="J13" i="10"/>
  <c r="J14" i="10"/>
  <c r="J15" i="10"/>
  <c r="J16" i="10"/>
  <c r="J17" i="10"/>
  <c r="P7" i="5"/>
  <c r="R7" i="5" s="1"/>
  <c r="P8" i="5"/>
  <c r="P9" i="5"/>
  <c r="J9" i="5" s="1"/>
  <c r="P10" i="5"/>
  <c r="J10" i="5" s="1"/>
  <c r="P11" i="5"/>
  <c r="J11" i="5" s="1"/>
  <c r="P12" i="5"/>
  <c r="J12" i="5" s="1"/>
  <c r="J13" i="5"/>
  <c r="P14" i="5"/>
  <c r="J14" i="5" s="1"/>
  <c r="P15" i="5"/>
  <c r="J15" i="5" s="1"/>
  <c r="L15" i="5" s="1"/>
  <c r="P17" i="5"/>
  <c r="D7" i="1"/>
  <c r="D8" i="1"/>
  <c r="F8" i="1" s="1"/>
  <c r="D9" i="1"/>
  <c r="D11" i="1"/>
  <c r="D13" i="1"/>
  <c r="D14" i="1"/>
  <c r="D15" i="1"/>
  <c r="D16" i="1"/>
  <c r="D17" i="1"/>
  <c r="D6" i="2"/>
  <c r="D7" i="2"/>
  <c r="F7" i="2" s="1"/>
  <c r="D8" i="2"/>
  <c r="F8" i="2" s="1"/>
  <c r="D9" i="2"/>
  <c r="D11" i="2"/>
  <c r="D13" i="2"/>
  <c r="D14" i="2"/>
  <c r="D15" i="2"/>
  <c r="D16" i="2"/>
  <c r="P15" i="14"/>
  <c r="K6" i="14" l="1"/>
  <c r="E18" i="8"/>
  <c r="E6" i="8"/>
  <c r="P9" i="14"/>
  <c r="D14" i="8"/>
  <c r="F7" i="1"/>
  <c r="F18" i="1"/>
  <c r="R18" i="8"/>
  <c r="R6" i="8"/>
  <c r="P8" i="14"/>
  <c r="R8" i="14" s="1"/>
  <c r="R8" i="5"/>
  <c r="P7" i="14"/>
  <c r="R7" i="14" s="1"/>
  <c r="R7" i="6"/>
  <c r="R18" i="6"/>
  <c r="D9" i="6"/>
  <c r="J7" i="5"/>
  <c r="L7" i="5" s="1"/>
  <c r="D7" i="8"/>
  <c r="F7" i="8" s="1"/>
  <c r="L7" i="8"/>
  <c r="D6" i="8"/>
  <c r="L18" i="8"/>
  <c r="L6" i="8"/>
  <c r="J8" i="5"/>
  <c r="L8" i="5" s="1"/>
  <c r="D17" i="8"/>
  <c r="F18" i="9"/>
  <c r="F6" i="9"/>
  <c r="L6" i="4"/>
  <c r="L18" i="4"/>
  <c r="F18" i="7"/>
  <c r="F6" i="7"/>
  <c r="D16" i="8"/>
  <c r="R18" i="5"/>
  <c r="F18" i="2"/>
  <c r="F6" i="2"/>
  <c r="D8" i="6"/>
  <c r="F8" i="6" s="1"/>
  <c r="L18" i="5"/>
  <c r="L6" i="5"/>
  <c r="P17" i="14"/>
  <c r="J17" i="5"/>
  <c r="P11" i="14"/>
  <c r="D7" i="6"/>
  <c r="F7" i="6" s="1"/>
  <c r="J16" i="5"/>
  <c r="D9" i="8"/>
  <c r="D6" i="6"/>
  <c r="P6" i="14"/>
  <c r="D13" i="8"/>
  <c r="D12" i="8"/>
  <c r="D11" i="8"/>
  <c r="D12" i="6"/>
  <c r="P13" i="14"/>
  <c r="P12" i="14"/>
  <c r="P10" i="14"/>
  <c r="O6" i="14"/>
  <c r="O7" i="14"/>
  <c r="Q7" i="14" s="1"/>
  <c r="O8" i="14"/>
  <c r="Q8" i="14" s="1"/>
  <c r="O9" i="14"/>
  <c r="O10" i="14"/>
  <c r="O11" i="14"/>
  <c r="C11" i="14" s="1"/>
  <c r="O12" i="14"/>
  <c r="O14" i="14"/>
  <c r="O15" i="14"/>
  <c r="O16" i="14"/>
  <c r="O17" i="14"/>
  <c r="I7" i="14"/>
  <c r="K7" i="14" s="1"/>
  <c r="I8" i="14"/>
  <c r="K8" i="14" s="1"/>
  <c r="I9" i="14"/>
  <c r="I10" i="14"/>
  <c r="I12" i="14"/>
  <c r="I13" i="14"/>
  <c r="C13" i="14" s="1"/>
  <c r="I14" i="14"/>
  <c r="I15" i="14"/>
  <c r="I16" i="14"/>
  <c r="I17" i="14"/>
  <c r="R18" i="14" l="1"/>
  <c r="R6" i="14"/>
  <c r="Q6" i="14"/>
  <c r="F18" i="8"/>
  <c r="F6" i="8"/>
  <c r="F6" i="6"/>
  <c r="F18" i="6"/>
  <c r="C17" i="14"/>
  <c r="C6" i="14"/>
  <c r="C15" i="14"/>
  <c r="C14" i="14"/>
  <c r="C16" i="14"/>
  <c r="C9" i="14"/>
  <c r="C12" i="14"/>
  <c r="C10" i="14"/>
  <c r="C8" i="14"/>
  <c r="E8" i="14" s="1"/>
  <c r="C7" i="14"/>
  <c r="E7" i="14" s="1"/>
  <c r="E6" i="14" l="1"/>
  <c r="J7" i="14"/>
  <c r="J8" i="14"/>
  <c r="L8" i="14" s="1"/>
  <c r="J9" i="14"/>
  <c r="D9" i="14" s="1"/>
  <c r="J10" i="14"/>
  <c r="D10" i="14" s="1"/>
  <c r="J11" i="14"/>
  <c r="D11" i="14" s="1"/>
  <c r="J12" i="14"/>
  <c r="D12" i="14" s="1"/>
  <c r="J13" i="14"/>
  <c r="D13" i="14" s="1"/>
  <c r="J14" i="14"/>
  <c r="D14" i="14" s="1"/>
  <c r="J15" i="14"/>
  <c r="D15" i="14" s="1"/>
  <c r="J16" i="14"/>
  <c r="D16" i="14" s="1"/>
  <c r="J17" i="14"/>
  <c r="D17" i="14" s="1"/>
  <c r="C7" i="2"/>
  <c r="C8" i="2"/>
  <c r="E8" i="2" s="1"/>
  <c r="E7" i="2" l="1"/>
  <c r="D7" i="14"/>
  <c r="F7" i="14" s="1"/>
  <c r="L7" i="14"/>
  <c r="D8" i="14"/>
  <c r="F8" i="14" s="1"/>
  <c r="J6" i="14"/>
  <c r="L6" i="14" l="1"/>
  <c r="D6" i="14"/>
  <c r="F6" i="14" l="1"/>
  <c r="H18" i="1"/>
  <c r="K18" i="1" s="1"/>
  <c r="H15" i="14"/>
  <c r="K15" i="14" s="1"/>
  <c r="K15" i="1"/>
  <c r="L15" i="1"/>
  <c r="L18" i="1" l="1"/>
  <c r="L15" i="14"/>
  <c r="B15" i="14"/>
  <c r="H18" i="14"/>
  <c r="E15" i="14" l="1"/>
  <c r="F15" i="14"/>
  <c r="L18" i="14"/>
  <c r="K18" i="14"/>
  <c r="F18" i="14" l="1"/>
  <c r="E18" i="14"/>
</calcChain>
</file>

<file path=xl/sharedStrings.xml><?xml version="1.0" encoding="utf-8"?>
<sst xmlns="http://schemas.openxmlformats.org/spreadsheetml/2006/main" count="296" uniqueCount="57">
  <si>
    <t>Long Beach -LGB</t>
  </si>
  <si>
    <t>Los Angeles - LAX</t>
  </si>
  <si>
    <t>San Francisco- SFO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</si>
  <si>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</si>
  <si>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</si>
  <si>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</si>
  <si>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</si>
  <si>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</si>
  <si>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</si>
  <si>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</si>
  <si>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</si>
  <si>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</si>
  <si>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</si>
  <si>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</si>
  <si>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</si>
  <si>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Domestic</t>
  </si>
  <si>
    <t>International</t>
  </si>
  <si>
    <t>Burbank- Bob Hope</t>
  </si>
  <si>
    <t>Oakland- OAK</t>
  </si>
  <si>
    <t>Ontario-ONT</t>
  </si>
  <si>
    <t>Sacramento-SMF</t>
  </si>
  <si>
    <t>San Diego-SAN</t>
  </si>
  <si>
    <t>San Jose-SJC</t>
  </si>
  <si>
    <t>Orange County Santa Ana/John Wayne- SNA</t>
  </si>
  <si>
    <t>Long Beach-LGB</t>
  </si>
  <si>
    <t>Oakland-OAK</t>
  </si>
  <si>
    <t>San Francisco-SFO</t>
  </si>
  <si>
    <t>Los Angeles-LAX</t>
  </si>
  <si>
    <t>YTD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</si>
  <si>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</si>
  <si>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i/>
        <sz val="14"/>
        <color theme="9" tint="-0.249977111117893"/>
        <rFont val="Calibri"/>
        <family val="2"/>
        <scheme val="minor"/>
      </rPr>
      <t>Highest</t>
    </r>
    <r>
      <rPr>
        <b/>
        <i/>
        <sz val="14"/>
        <color theme="1"/>
        <rFont val="Calibri"/>
        <family val="2"/>
        <scheme val="minor"/>
      </rPr>
      <t xml:space="preserve"> and</t>
    </r>
    <r>
      <rPr>
        <b/>
        <i/>
        <sz val="14"/>
        <color theme="4" tint="-0.249977111117893"/>
        <rFont val="Calibri"/>
        <family val="2"/>
        <scheme val="minor"/>
      </rPr>
      <t xml:space="preserve"> lowest</t>
    </r>
    <r>
      <rPr>
        <b/>
        <i/>
        <sz val="14"/>
        <color theme="1"/>
        <rFont val="Calibri"/>
        <family val="2"/>
        <scheme val="minor"/>
      </rPr>
      <t xml:space="preserve"> travel months in ranking of busiest to slowest airports</t>
    </r>
  </si>
  <si>
    <t>Highest traveled month:</t>
  </si>
  <si>
    <t>Lowest traveled month:</t>
  </si>
  <si>
    <t>(out of 10 airports)</t>
  </si>
  <si>
    <t>Orange County- SNA</t>
  </si>
  <si>
    <t xml:space="preserve">YTD </t>
  </si>
  <si>
    <t>DATA TO BE COMPILED AT A LATER DATE</t>
  </si>
  <si>
    <t>Source: Long Beach Airport</t>
  </si>
  <si>
    <t>Source: LAWA</t>
  </si>
  <si>
    <t>Source: John Wayne Airport</t>
  </si>
  <si>
    <t>Source: Oakland International Airport</t>
  </si>
  <si>
    <t>Source: Mineta San Jose International Airport</t>
  </si>
  <si>
    <t>Source: San Francisco International Airport</t>
  </si>
  <si>
    <t>Source: Sacramento International Airport</t>
  </si>
  <si>
    <t>Source: San Diego International Airport</t>
  </si>
  <si>
    <t>Source: Bob Hope Airport</t>
  </si>
  <si>
    <t>Sources:  Individual airports</t>
  </si>
  <si>
    <t>Totals</t>
  </si>
  <si>
    <t xml:space="preserve"> </t>
  </si>
  <si>
    <t>Note:  Monthly figures may not sum to YTD totals due to data revisions</t>
  </si>
  <si>
    <t xml:space="preserve">  </t>
  </si>
  <si>
    <t>YTD *</t>
  </si>
  <si>
    <t>Note:  Monthly figures may not sum to YTD totals due to data revisions. Added China direct flights in 2018</t>
  </si>
  <si>
    <t>CALIFORNIA TOTALS</t>
  </si>
  <si>
    <t>% Change from 2020</t>
  </si>
  <si>
    <t>% Change from 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</si>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</sst>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9" tint="-0.249977111117893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333333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C60F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3399"/>
      </left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4">
    <xf numFmtId="0" fontId="0" fillId="0" borderId="0"/>
    <xf numFmtId="0" fontId="16" fillId="0" borderId="0"/>
    <xf numFmtId="0" fontId="21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/>
    <xf numFmtId="0" fontId="5" fillId="0" borderId="4" xfId="0" applyFont="1" applyBorder="1" applyAlignment="1"/>
    <xf numFmtId="0" fontId="5" fillId="0" borderId="0" xfId="0" applyFont="1" applyAlignment="1"/>
    <xf numFmtId="0" fontId="0" fillId="4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 applyProtection="1">
      <alignment horizontal="center"/>
    </xf>
    <xf numFmtId="37" fontId="4" fillId="5" borderId="1" xfId="0" applyNumberFormat="1" applyFont="1" applyFill="1" applyBorder="1" applyAlignment="1" applyProtection="1">
      <alignment horizontal="center"/>
    </xf>
    <xf numFmtId="3" fontId="0" fillId="4" borderId="3" xfId="0" applyNumberFormat="1" applyFont="1" applyFill="1" applyBorder="1" applyAlignment="1">
      <alignment horizontal="center" wrapText="1"/>
    </xf>
    <xf numFmtId="3" fontId="0" fillId="5" borderId="3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3" fillId="0" borderId="0" xfId="0" applyFont="1"/>
    <xf numFmtId="16" fontId="0" fillId="4" borderId="1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9" fillId="0" borderId="0" xfId="0" applyFont="1"/>
    <xf numFmtId="0" fontId="10" fillId="0" borderId="0" xfId="0" applyFont="1"/>
    <xf numFmtId="0" fontId="9" fillId="0" borderId="4" xfId="0" applyFont="1" applyBorder="1" applyAlignment="1"/>
    <xf numFmtId="0" fontId="9" fillId="0" borderId="0" xfId="0" applyFont="1" applyAlignment="1"/>
    <xf numFmtId="0" fontId="1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2" fillId="0" borderId="0" xfId="0" applyFont="1" applyBorder="1"/>
    <xf numFmtId="0" fontId="14" fillId="0" borderId="1" xfId="0" applyFont="1" applyBorder="1" applyAlignment="1">
      <alignment horizontal="center"/>
    </xf>
    <xf numFmtId="0" fontId="14" fillId="0" borderId="0" xfId="0" applyFont="1" applyFill="1" applyBorder="1"/>
    <xf numFmtId="0" fontId="2" fillId="0" borderId="1" xfId="0" applyFont="1" applyBorder="1"/>
    <xf numFmtId="3" fontId="14" fillId="0" borderId="0" xfId="0" applyNumberFormat="1" applyFont="1"/>
    <xf numFmtId="164" fontId="14" fillId="0" borderId="1" xfId="0" applyNumberFormat="1" applyFont="1" applyBorder="1"/>
    <xf numFmtId="0" fontId="14" fillId="0" borderId="0" xfId="0" applyFont="1" applyFill="1"/>
    <xf numFmtId="0" fontId="2" fillId="0" borderId="1" xfId="0" applyFont="1" applyFill="1" applyBorder="1"/>
    <xf numFmtId="0" fontId="15" fillId="0" borderId="0" xfId="0" applyFont="1" applyFill="1" applyBorder="1"/>
    <xf numFmtId="0" fontId="2" fillId="3" borderId="1" xfId="0" applyFont="1" applyFill="1" applyBorder="1"/>
    <xf numFmtId="0" fontId="14" fillId="0" borderId="0" xfId="0" applyFont="1" applyAlignment="1">
      <alignment horizontal="center"/>
    </xf>
    <xf numFmtId="3" fontId="0" fillId="0" borderId="0" xfId="0" applyNumberFormat="1" applyFill="1"/>
    <xf numFmtId="0" fontId="14" fillId="3" borderId="0" xfId="0" applyFont="1" applyFill="1"/>
    <xf numFmtId="0" fontId="0" fillId="3" borderId="0" xfId="0" applyFill="1"/>
    <xf numFmtId="3" fontId="0" fillId="0" borderId="0" xfId="0" applyNumberFormat="1" applyAlignment="1">
      <alignment horizontal="center"/>
    </xf>
    <xf numFmtId="0" fontId="2" fillId="7" borderId="1" xfId="0" applyFont="1" applyFill="1" applyBorder="1"/>
    <xf numFmtId="0" fontId="14" fillId="10" borderId="1" xfId="0" applyFont="1" applyFill="1" applyBorder="1" applyAlignment="1">
      <alignment horizontal="center"/>
    </xf>
    <xf numFmtId="0" fontId="14" fillId="10" borderId="1" xfId="0" applyFont="1" applyFill="1" applyBorder="1"/>
    <xf numFmtId="0" fontId="18" fillId="0" borderId="0" xfId="0" applyFont="1" applyBorder="1"/>
    <xf numFmtId="0" fontId="18" fillId="0" borderId="0" xfId="0" applyFont="1" applyFill="1" applyBorder="1"/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164" fontId="14" fillId="12" borderId="1" xfId="0" applyNumberFormat="1" applyFont="1" applyFill="1" applyBorder="1"/>
    <xf numFmtId="0" fontId="21" fillId="0" borderId="0" xfId="2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3" fontId="14" fillId="2" borderId="2" xfId="0" applyNumberFormat="1" applyFont="1" applyFill="1" applyBorder="1"/>
    <xf numFmtId="164" fontId="14" fillId="2" borderId="1" xfId="0" applyNumberFormat="1" applyFont="1" applyFill="1" applyBorder="1"/>
    <xf numFmtId="3" fontId="14" fillId="2" borderId="1" xfId="0" applyNumberFormat="1" applyFont="1" applyFill="1" applyBorder="1"/>
    <xf numFmtId="3" fontId="14" fillId="2" borderId="5" xfId="0" applyNumberFormat="1" applyFont="1" applyFill="1" applyBorder="1"/>
    <xf numFmtId="165" fontId="14" fillId="0" borderId="1" xfId="3" applyNumberFormat="1" applyFont="1" applyBorder="1"/>
    <xf numFmtId="165" fontId="14" fillId="12" borderId="1" xfId="3" applyNumberFormat="1" applyFont="1" applyFill="1" applyBorder="1"/>
    <xf numFmtId="165" fontId="14" fillId="10" borderId="1" xfId="3" applyNumberFormat="1" applyFont="1" applyFill="1" applyBorder="1"/>
    <xf numFmtId="0" fontId="20" fillId="11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4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5" fontId="14" fillId="0" borderId="1" xfId="3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5" fontId="14" fillId="7" borderId="1" xfId="3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3" fillId="0" borderId="1" xfId="0" applyNumberFormat="1" applyFont="1" applyBorder="1"/>
    <xf numFmtId="0" fontId="14" fillId="12" borderId="1" xfId="0" applyFont="1" applyFill="1" applyBorder="1" applyAlignment="1">
      <alignment horizontal="center" vertical="center"/>
    </xf>
    <xf numFmtId="164" fontId="14" fillId="12" borderId="1" xfId="0" applyNumberFormat="1" applyFont="1" applyFill="1" applyBorder="1" applyAlignment="1">
      <alignment horizontal="center" vertical="center"/>
    </xf>
    <xf numFmtId="164" fontId="14" fillId="12" borderId="1" xfId="0" applyNumberFormat="1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4" fillId="10" borderId="1" xfId="0" applyNumberFormat="1" applyFont="1" applyFill="1" applyBorder="1" applyAlignment="1">
      <alignment horizontal="center"/>
    </xf>
    <xf numFmtId="165" fontId="14" fillId="0" borderId="1" xfId="3" applyNumberFormat="1" applyFont="1" applyBorder="1" applyAlignment="1">
      <alignment horizontal="center"/>
    </xf>
    <xf numFmtId="165" fontId="14" fillId="10" borderId="1" xfId="3" applyNumberFormat="1" applyFont="1" applyFill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4" fillId="12" borderId="1" xfId="3" applyNumberFormat="1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165" fontId="14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5" fontId="14" fillId="7" borderId="1" xfId="0" applyNumberFormat="1" applyFont="1" applyFill="1" applyBorder="1" applyAlignment="1">
      <alignment horizontal="center" vertical="center"/>
    </xf>
  </cellXfs>
  <cellStyles count="4">
    <cellStyle name="Comma" xfId="3" builtinId="3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FDF4D3"/>
      <color rgb="FFFDEDA9"/>
      <color rgb="FFF7C60F"/>
      <color rgb="FFF7E131"/>
      <color rgb="FFFFFC00"/>
      <color rgb="FFFFCC66"/>
      <color rgb="FF397DCF"/>
      <color rgb="FFE6AF00"/>
      <color rgb="FFA7FBFF"/>
      <color rgb="FFFBA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26"/>
  <sheetViews>
    <sheetView tabSelected="1" zoomScaleNormal="100" zoomScaleSheetLayoutView="90" workbookViewId="0">
      <selection activeCell="P19" sqref="P19"/>
    </sheetView>
  </sheetViews>
  <sheetFormatPr baseColWidth="10" defaultColWidth="8.83203125" defaultRowHeight="19" x14ac:dyDescent="0.25"/>
  <cols>
    <col min="1" max="1" width="13.83203125" style="33" customWidth="1"/>
    <col min="2" max="2" width="13.83203125" style="87" customWidth="1"/>
    <col min="3" max="3" width="16.5" style="87" bestFit="1" customWidth="1"/>
    <col min="4" max="6" width="13.83203125" style="87" customWidth="1"/>
    <col min="7" max="10" width="13.83203125" style="33" customWidth="1"/>
    <col min="11" max="12" width="13.83203125" style="87" customWidth="1"/>
    <col min="13" max="18" width="13.83203125" style="33" customWidth="1"/>
    <col min="20" max="20" width="9.33203125" customWidth="1"/>
  </cols>
  <sheetData>
    <row r="1" spans="1:56" ht="35" customHeight="1" x14ac:dyDescent="0.2">
      <c r="A1" s="106" t="s">
        <v>53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56" ht="15" x14ac:dyDescent="0.2">
      <c r="A2"/>
      <c r="B2" s="76"/>
      <c r="C2" s="76"/>
      <c r="D2" s="76"/>
      <c r="E2" s="76"/>
      <c r="F2" s="76"/>
      <c r="G2"/>
      <c r="H2"/>
      <c r="I2"/>
      <c r="J2"/>
      <c r="K2" s="76"/>
      <c r="L2" s="76"/>
      <c r="M2"/>
      <c r="N2"/>
      <c r="O2"/>
      <c r="P2"/>
      <c r="Q2"/>
      <c r="R2"/>
    </row>
    <row r="3" spans="1:56" s="76" customFormat="1" ht="34" customHeight="1" x14ac:dyDescent="0.2">
      <c r="A3" s="73"/>
      <c r="B3" s="107" t="s">
        <v>47</v>
      </c>
      <c r="C3" s="108"/>
      <c r="D3" s="108"/>
      <c r="E3" s="108"/>
      <c r="F3" s="109"/>
      <c r="G3" s="74"/>
      <c r="H3" s="110" t="s">
        <v>15</v>
      </c>
      <c r="I3" s="111"/>
      <c r="J3" s="111"/>
      <c r="K3" s="111"/>
      <c r="L3" s="112"/>
      <c r="M3" s="75"/>
      <c r="N3" s="113" t="s">
        <v>16</v>
      </c>
      <c r="O3" s="114"/>
      <c r="P3" s="114"/>
      <c r="Q3" s="114"/>
      <c r="R3" s="115"/>
    </row>
    <row r="4" spans="1:56" s="72" customFormat="1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69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0" t="s">
        <v>54</v>
      </c>
      <c r="R4" s="70" t="s">
        <v>55</v>
      </c>
    </row>
    <row r="5" spans="1:56" ht="25" customHeight="1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92"/>
      <c r="L5" s="92"/>
      <c r="M5" s="37"/>
      <c r="N5" s="51"/>
      <c r="O5" s="51"/>
      <c r="P5" s="52"/>
      <c r="Q5" s="51"/>
      <c r="R5" s="51"/>
    </row>
    <row r="6" spans="1:56" ht="25" customHeight="1" x14ac:dyDescent="0.25">
      <c r="A6" s="38" t="s">
        <v>3</v>
      </c>
      <c r="B6" s="81">
        <f>SUM(H6,N6)</f>
        <v>4263584</v>
      </c>
      <c r="C6" s="81">
        <f>SUM(I6,O6)</f>
        <v>17927298</v>
      </c>
      <c r="D6" s="81">
        <f>SUM(J6,P6)</f>
        <v>17509241</v>
      </c>
      <c r="E6" s="82">
        <f t="shared" ref="E6:E11" si="0">B6/C6-1</f>
        <v>-0.76217364156048506</v>
      </c>
      <c r="F6" s="82">
        <f t="shared" ref="F6:F11" si="1">B6/D6-1</f>
        <v>-0.75649521301351674</v>
      </c>
      <c r="G6" s="100"/>
      <c r="H6" s="97">
        <f>'Los Angeles'!H6+Burbank!H6+'Long Beach'!H6+Ontario!H6+'Orange County'!H6+Oakland!H6+Sacramento!H6+'San Diego'!H6+'San Jose'!H6+'San Francisco'!H6</f>
        <v>3705606</v>
      </c>
      <c r="I6" s="97">
        <f>'Los Angeles'!I6+Burbank!I6+'Long Beach'!I6+Ontario!I6+'Orange County'!I6+Oakland!I6+Sacramento!I6+'San Diego'!I6+'San Jose'!I6+'San Francisco'!I6</f>
        <v>14409007</v>
      </c>
      <c r="J6" s="97">
        <f>'Los Angeles'!J6+Burbank!J6+'Long Beach'!J6+Ontario!J6+'Orange County'!J6+Oakland!J6+Sacramento!J6+'San Diego'!J6+'San Jose'!J6+'San Francisco'!J6</f>
        <v>14014502</v>
      </c>
      <c r="K6" s="82">
        <f t="shared" ref="K6:K11" si="2">H6/I6-1</f>
        <v>-0.74282710807205521</v>
      </c>
      <c r="L6" s="82">
        <f t="shared" ref="L6:L11" si="3">H6/J6-1</f>
        <v>-0.73558775046020186</v>
      </c>
      <c r="M6" s="101"/>
      <c r="N6" s="97">
        <f>'Los Angeles'!N6+Ontario!N6+'Orange County'!N6+Oakland!N6+Sacramento!N6+'San Diego'!N6+'San Jose'!N6+'San Francisco'!N6</f>
        <v>557978</v>
      </c>
      <c r="O6" s="97">
        <f>'Los Angeles'!O6+Ontario!O6+'Orange County'!O6+Oakland!O6+Sacramento!O6+'San Diego'!O6+'San Jose'!O6+'San Francisco'!O6</f>
        <v>3518291</v>
      </c>
      <c r="P6" s="97">
        <f>'Los Angeles'!P6+Ontario!P6+'Orange County'!P6+Oakland!P6+Sacramento!P6+'San Diego'!P6+'San Jose'!P6+'San Francisco'!P6</f>
        <v>3494739</v>
      </c>
      <c r="Q6" s="95">
        <f t="shared" ref="Q6:Q11" si="4">N6/O6-1</f>
        <v>-0.84140652379237535</v>
      </c>
      <c r="R6" s="95">
        <f t="shared" ref="R6:R11" si="5">N6/P6-1</f>
        <v>-0.84033771906857702</v>
      </c>
    </row>
    <row r="7" spans="1:56" ht="25" customHeight="1" x14ac:dyDescent="0.25">
      <c r="A7" s="50" t="s">
        <v>4</v>
      </c>
      <c r="B7" s="83">
        <f>SUM(H7,N7)</f>
        <v>4251879</v>
      </c>
      <c r="C7" s="83">
        <f t="shared" ref="C7:C17" si="6">SUM(I7,O7)</f>
        <v>16150142</v>
      </c>
      <c r="D7" s="83">
        <f t="shared" ref="D7:D16" si="7">SUM(J7,P7)</f>
        <v>16048966</v>
      </c>
      <c r="E7" s="84">
        <f t="shared" si="0"/>
        <v>-0.73672807335068635</v>
      </c>
      <c r="F7" s="84">
        <f t="shared" si="1"/>
        <v>-0.73506835269013593</v>
      </c>
      <c r="G7" s="100"/>
      <c r="H7" s="102">
        <f>'Los Angeles'!H7+Burbank!H7+'Long Beach'!H7+Ontario!H7+'Orange County'!H7+Oakland!H7+Sacramento!H7+'San Diego'!H7+'San Jose'!H7+'San Francisco'!H7</f>
        <v>3890582</v>
      </c>
      <c r="I7" s="102">
        <f>'Los Angeles'!I7+Burbank!I7+'Long Beach'!I7+Ontario!I7+'Orange County'!I7+Oakland!I7+Sacramento!I7+'San Diego'!I7+'San Jose'!I7+'San Francisco'!I7</f>
        <v>13509201</v>
      </c>
      <c r="J7" s="102">
        <f>'Los Angeles'!J7+Burbank!J7+'Long Beach'!J7+Ontario!J7+'Orange County'!J7+Oakland!J7+Sacramento!J7+'San Diego'!J7+'San Jose'!J7+'San Francisco'!J7</f>
        <v>13100720</v>
      </c>
      <c r="K7" s="93">
        <f t="shared" si="2"/>
        <v>-0.71200502531570886</v>
      </c>
      <c r="L7" s="93">
        <f t="shared" si="3"/>
        <v>-0.7030253299055319</v>
      </c>
      <c r="M7" s="100"/>
      <c r="N7" s="98">
        <f>'Los Angeles'!N7+Ontario!N7+'Orange County'!N7+Oakland!N7+Sacramento!N7+'San Diego'!N7+'San Jose'!N7+'San Francisco'!N7</f>
        <v>361297</v>
      </c>
      <c r="O7" s="98">
        <f>'Los Angeles'!O7+Ontario!O7+'Orange County'!O7+Oakland!O7+Sacramento!O7+'San Diego'!O7+'San Jose'!O7+'San Francisco'!O7</f>
        <v>2640941</v>
      </c>
      <c r="P7" s="98">
        <f>'Los Angeles'!P7+Ontario!P7+'Orange County'!P7+Oakland!P7+Sacramento!P7+'San Diego'!P7+'San Jose'!P7+'San Francisco'!P7</f>
        <v>2948246</v>
      </c>
      <c r="Q7" s="96">
        <f t="shared" si="4"/>
        <v>-0.8631938388627387</v>
      </c>
      <c r="R7" s="96">
        <f t="shared" si="5"/>
        <v>-0.87745357748301878</v>
      </c>
      <c r="T7" s="5"/>
      <c r="U7" s="5"/>
    </row>
    <row r="8" spans="1:56" s="6" customFormat="1" ht="25" customHeight="1" x14ac:dyDescent="0.25">
      <c r="A8" s="42" t="s">
        <v>5</v>
      </c>
      <c r="B8" s="81">
        <f>SUM(H8,N8)</f>
        <v>6830848</v>
      </c>
      <c r="C8" s="81">
        <f t="shared" si="6"/>
        <v>8520466</v>
      </c>
      <c r="D8" s="81">
        <f t="shared" si="7"/>
        <v>19545437</v>
      </c>
      <c r="E8" s="82">
        <f t="shared" si="0"/>
        <v>-0.1983011257834959</v>
      </c>
      <c r="F8" s="82">
        <f t="shared" si="1"/>
        <v>-0.65051443976412493</v>
      </c>
      <c r="G8" s="100"/>
      <c r="H8" s="97">
        <f>'Los Angeles'!H8+Burbank!H8+'Long Beach'!H8+Ontario!H8+'Orange County'!H8+Oakland!H8+Sacramento!H8+'San Diego'!H8+'San Jose'!H8+'San Francisco'!H8</f>
        <v>6303117</v>
      </c>
      <c r="I8" s="97">
        <f>'Los Angeles'!I8+Burbank!I8+'Long Beach'!I8+Ontario!I8+'Orange County'!I8+Oakland!I8+Sacramento!I8+'San Diego'!I8+'San Jose'!I8+'San Francisco'!I8</f>
        <v>7052175</v>
      </c>
      <c r="J8" s="97">
        <f>'Los Angeles'!J8+Burbank!J8+'Long Beach'!J8+Ontario!J8+'Orange County'!J8+Oakland!J8+Sacramento!J8+'San Diego'!J8+'San Jose'!J8+'San Francisco'!J8</f>
        <v>16082812</v>
      </c>
      <c r="K8" s="82">
        <f t="shared" si="2"/>
        <v>-0.10621659275329953</v>
      </c>
      <c r="L8" s="82">
        <f t="shared" si="3"/>
        <v>-0.6080836485559864</v>
      </c>
      <c r="M8" s="100"/>
      <c r="N8" s="97">
        <f>'Los Angeles'!N8+Ontario!N8+'Orange County'!N8+Oakland!N8+Sacramento!N8+'San Diego'!N8+'San Jose'!N8+'San Francisco'!N8</f>
        <v>527731</v>
      </c>
      <c r="O8" s="97">
        <f>'Los Angeles'!O8+Ontario!O8+'Orange County'!O8+Oakland!O8+Sacramento!O8+'San Diego'!O8+'San Jose'!O8+'San Francisco'!O8</f>
        <v>1468291</v>
      </c>
      <c r="P8" s="97">
        <f>'Los Angeles'!P8+Ontario!P8+'Orange County'!P8+Oakland!P8+Sacramento!P8+'San Diego'!P8+'San Jose'!P8+'San Francisco'!P8</f>
        <v>3462625</v>
      </c>
      <c r="Q8" s="82">
        <f t="shared" si="4"/>
        <v>-0.64058146511829062</v>
      </c>
      <c r="R8" s="82">
        <f t="shared" si="5"/>
        <v>-0.84759221688747699</v>
      </c>
      <c r="T8" s="46"/>
      <c r="U8" s="46"/>
    </row>
    <row r="9" spans="1:56" ht="25" customHeight="1" x14ac:dyDescent="0.25">
      <c r="A9" s="50" t="s">
        <v>6</v>
      </c>
      <c r="B9" s="83">
        <f t="shared" ref="B9:B12" si="8">SUM(H9,N9)</f>
        <v>8431744</v>
      </c>
      <c r="C9" s="83">
        <f t="shared" si="6"/>
        <v>739133</v>
      </c>
      <c r="D9" s="83">
        <f t="shared" si="7"/>
        <v>19652201</v>
      </c>
      <c r="E9" s="84">
        <f t="shared" si="0"/>
        <v>10.407614055927688</v>
      </c>
      <c r="F9" s="84">
        <f t="shared" si="1"/>
        <v>-0.57095167101130295</v>
      </c>
      <c r="G9" s="100"/>
      <c r="H9" s="102">
        <f>'Los Angeles'!H9+Burbank!H9+'Long Beach'!H9+Ontario!H9+'Orange County'!H9+Oakland!H9+Sacramento!H9+'San Diego'!H9+'San Jose'!H9+'San Francisco'!H9</f>
        <v>7787037</v>
      </c>
      <c r="I9" s="102">
        <f>'Los Angeles'!I9+Burbank!I9+'Long Beach'!I9+Ontario!I9+'Orange County'!I9+Oakland!I9+Sacramento!I9+'San Diego'!I9+'San Jose'!I9+'San Francisco'!I9</f>
        <v>654059</v>
      </c>
      <c r="J9" s="102">
        <f>'Los Angeles'!J9+Burbank!J9+'Long Beach'!J9+Ontario!J9+'Orange County'!J9+Oakland!J9+Sacramento!J9+'San Diego'!J9+'San Jose'!J9+'San Francisco'!J9</f>
        <v>16033953</v>
      </c>
      <c r="K9" s="93">
        <f t="shared" si="2"/>
        <v>10.905710341116016</v>
      </c>
      <c r="L9" s="93">
        <f t="shared" si="3"/>
        <v>-0.51434078670431427</v>
      </c>
      <c r="M9" s="100"/>
      <c r="N9" s="98">
        <f>'Los Angeles'!N9+Ontario!N9+'Orange County'!N9+Oakland!N9+Sacramento!N9+'San Diego'!N9+'San Jose'!N9+'San Francisco'!N9</f>
        <v>644707</v>
      </c>
      <c r="O9" s="98">
        <f>'Los Angeles'!O9+Ontario!O9+'Orange County'!O9+Oakland!O9+Sacramento!O9+'San Diego'!O9+'San Jose'!O9+'San Francisco'!O9</f>
        <v>85074</v>
      </c>
      <c r="P9" s="98">
        <f>'Los Angeles'!P9+Ontario!P9+'Orange County'!P9+Oakland!P9+Sacramento!P9+'San Diego'!P9+'San Jose'!P9+'San Francisco'!P9</f>
        <v>3618248</v>
      </c>
      <c r="Q9" s="96">
        <f t="shared" si="4"/>
        <v>6.5781907515809763</v>
      </c>
      <c r="R9" s="96">
        <f t="shared" si="5"/>
        <v>-0.82181790745134109</v>
      </c>
      <c r="T9" s="5"/>
    </row>
    <row r="10" spans="1:56" ht="25" customHeight="1" x14ac:dyDescent="0.25">
      <c r="A10" s="38" t="s">
        <v>7</v>
      </c>
      <c r="B10" s="81">
        <f>SUM(H10,N10)</f>
        <v>10618628</v>
      </c>
      <c r="C10" s="81">
        <f t="shared" si="6"/>
        <v>1591004</v>
      </c>
      <c r="D10" s="81">
        <f t="shared" si="7"/>
        <v>20696477</v>
      </c>
      <c r="E10" s="82">
        <f t="shared" si="0"/>
        <v>5.674168009634168</v>
      </c>
      <c r="F10" s="82">
        <f t="shared" si="1"/>
        <v>-0.48693548182137469</v>
      </c>
      <c r="G10" s="100"/>
      <c r="H10" s="97">
        <f>'Los Angeles'!H10+Burbank!H10+'Long Beach'!H10+Ontario!H10+'Orange County'!H10+Oakland!H10+Sacramento!H10+'San Diego'!H10+'San Jose'!H10+'San Francisco'!H10</f>
        <v>9738031</v>
      </c>
      <c r="I10" s="97">
        <f>'Los Angeles'!I10+Burbank!I10+'Long Beach'!I10+Ontario!I10+'Orange County'!I10+Oakland!I10+Sacramento!I10+'San Diego'!I10+'San Jose'!I10+'San Francisco'!I10</f>
        <v>1507544</v>
      </c>
      <c r="J10" s="97">
        <f>'Los Angeles'!J10+Burbank!J10+'Long Beach'!J10+Ontario!J10+'Orange County'!J10+Oakland!J10+Sacramento!J10+'San Diego'!J10+'San Jose'!J10+'San Francisco'!J10</f>
        <v>16854310</v>
      </c>
      <c r="K10" s="82">
        <f t="shared" si="2"/>
        <v>5.459533519419665</v>
      </c>
      <c r="L10" s="82">
        <f t="shared" si="3"/>
        <v>-0.42222309901740263</v>
      </c>
      <c r="M10" s="100"/>
      <c r="N10" s="97">
        <f>'Los Angeles'!N10+Ontario!N10+'Orange County'!N10+Oakland!N10+Sacramento!N10+'San Diego'!N10+'San Jose'!N10+'San Francisco'!N10</f>
        <v>880597</v>
      </c>
      <c r="O10" s="97">
        <f>'Los Angeles'!O10+Ontario!O10+'Orange County'!O10+Oakland!O10+Sacramento!O10+'San Diego'!O10+'San Jose'!O10+'San Francisco'!O10</f>
        <v>83460</v>
      </c>
      <c r="P10" s="97">
        <f>'Los Angeles'!P10+Ontario!P10+'Orange County'!P10+Oakland!P10+Sacramento!P10+'San Diego'!P10+'San Jose'!P10+'San Francisco'!P10</f>
        <v>3842167</v>
      </c>
      <c r="Q10" s="82">
        <f t="shared" si="4"/>
        <v>9.551126288042175</v>
      </c>
      <c r="R10" s="82">
        <f t="shared" si="5"/>
        <v>-0.77080720333082864</v>
      </c>
    </row>
    <row r="11" spans="1:56" ht="25" customHeight="1" x14ac:dyDescent="0.25">
      <c r="A11" s="50" t="s">
        <v>8</v>
      </c>
      <c r="B11" s="83">
        <f t="shared" si="8"/>
        <v>12932248</v>
      </c>
      <c r="C11" s="83">
        <f>SUM(I11,O11)</f>
        <v>3198022</v>
      </c>
      <c r="D11" s="83">
        <f t="shared" si="7"/>
        <v>21814825</v>
      </c>
      <c r="E11" s="84">
        <f t="shared" si="0"/>
        <v>3.0438270906203897</v>
      </c>
      <c r="F11" s="84">
        <f t="shared" si="1"/>
        <v>-0.40718075895635197</v>
      </c>
      <c r="G11" s="100"/>
      <c r="H11" s="102">
        <f>'Los Angeles'!H11+Burbank!H11+'Long Beach'!H11+Ontario!H11+'Orange County'!H11+Oakland!H11+Sacramento!H11+'San Diego'!H11+'San Jose'!H11+'San Francisco'!H11</f>
        <v>11773788</v>
      </c>
      <c r="I11" s="102">
        <f>'Los Angeles'!I11+Burbank!I11+'Long Beach'!I11+Ontario!I11+'Orange County'!I11+Oakland!I11+Sacramento!I11+'San Diego'!I11+'San Jose'!I11+'San Francisco'!I11</f>
        <v>3011044</v>
      </c>
      <c r="J11" s="102">
        <f>'Los Angeles'!J11+Burbank!J11+'Long Beach'!J11+Ontario!J11+'Orange County'!J11+Oakland!J11+Sacramento!J11+'San Diego'!J11+'San Jose'!J11+'San Francisco'!J11</f>
        <v>17633938</v>
      </c>
      <c r="K11" s="93">
        <f t="shared" si="2"/>
        <v>2.9102012458137443</v>
      </c>
      <c r="L11" s="93">
        <f t="shared" si="3"/>
        <v>-0.33232225269250693</v>
      </c>
      <c r="M11" s="100"/>
      <c r="N11" s="98">
        <f>'Los Angeles'!N11+Ontario!N11+'Orange County'!N11+Oakland!N11+Sacramento!N11+'San Diego'!N11+'San Jose'!N11+'San Francisco'!N11</f>
        <v>1158460</v>
      </c>
      <c r="O11" s="98">
        <f>'Los Angeles'!O11+Ontario!O11+'Orange County'!O11+Oakland!O11+Sacramento!O11+'San Diego'!O11+'San Jose'!O11+'San Francisco'!O11</f>
        <v>186978</v>
      </c>
      <c r="P11" s="98">
        <f>'Los Angeles'!P11+Ontario!P11+'Orange County'!P11+Oakland!P11+Sacramento!P11+'San Diego'!P11+'San Jose'!P11+'San Francisco'!P11</f>
        <v>4180887</v>
      </c>
      <c r="Q11" s="96">
        <f t="shared" si="4"/>
        <v>5.1957021681695172</v>
      </c>
      <c r="R11" s="96">
        <f t="shared" si="5"/>
        <v>-0.72291525697776571</v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</row>
    <row r="12" spans="1:56" ht="25" customHeight="1" x14ac:dyDescent="0.25">
      <c r="A12" s="38" t="s">
        <v>9</v>
      </c>
      <c r="B12" s="81">
        <f t="shared" si="8"/>
        <v>14935685</v>
      </c>
      <c r="C12" s="81">
        <f t="shared" si="6"/>
        <v>4482725</v>
      </c>
      <c r="D12" s="81">
        <f t="shared" si="7"/>
        <v>22755030</v>
      </c>
      <c r="E12" s="82">
        <f t="shared" ref="E12:E13" si="9">B12/C12-1</f>
        <v>2.3318316425834733</v>
      </c>
      <c r="F12" s="82">
        <f t="shared" ref="F12:F13" si="10">B12/D12-1</f>
        <v>-0.34363149598132814</v>
      </c>
      <c r="G12" s="100"/>
      <c r="H12" s="97">
        <f>'Los Angeles'!H12+Burbank!H12+'Long Beach'!H12+Ontario!H12+'Orange County'!H12+Oakland!H12+Sacramento!H12+'San Diego'!H12+'San Jose'!H12+'San Francisco'!H12</f>
        <v>13507627</v>
      </c>
      <c r="I12" s="97">
        <f>'Los Angeles'!I12+Burbank!I12+'Long Beach'!I12+Ontario!I12+'Orange County'!I12+Oakland!I12+Sacramento!I12+'San Diego'!I12+'San Jose'!I12+'San Francisco'!I12</f>
        <v>4172590</v>
      </c>
      <c r="J12" s="97">
        <f>'Los Angeles'!J12+Burbank!J12+'Long Beach'!J12+Ontario!J12+'Orange County'!J12+Oakland!J12+Sacramento!J12+'San Diego'!J12+'San Jose'!J12+'San Francisco'!J12</f>
        <v>18344723</v>
      </c>
      <c r="K12" s="82">
        <f t="shared" ref="K12:K13" si="11">H12/I12-1</f>
        <v>2.2372284360553039</v>
      </c>
      <c r="L12" s="82">
        <f t="shared" ref="L12:L13" si="12">H12/J12-1</f>
        <v>-0.26367778897506389</v>
      </c>
      <c r="M12" s="100"/>
      <c r="N12" s="97">
        <f>'Los Angeles'!N12+Ontario!N12+'Orange County'!N12+Oakland!N12+Sacramento!N12+'San Diego'!N12+'San Jose'!N12+'San Francisco'!N12</f>
        <v>1428058</v>
      </c>
      <c r="O12" s="97">
        <f>'Los Angeles'!O12+Ontario!O12+'Orange County'!O12+Oakland!O12+Sacramento!O12+'San Diego'!O12+'San Jose'!O12+'San Francisco'!O12</f>
        <v>310135</v>
      </c>
      <c r="P12" s="97">
        <f>'Los Angeles'!P12+Ontario!P12+'Orange County'!P12+Oakland!P12+Sacramento!P12+'San Diego'!P12+'San Jose'!P12+'San Francisco'!P12</f>
        <v>4410307</v>
      </c>
      <c r="Q12" s="82">
        <f t="shared" ref="Q12:Q13" si="13">N12/O12-1</f>
        <v>3.6046334660712267</v>
      </c>
      <c r="R12" s="82">
        <f t="shared" ref="R12:R13" si="14">N12/P12-1</f>
        <v>-0.67619986545154331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</row>
    <row r="13" spans="1:56" ht="25" customHeight="1" x14ac:dyDescent="0.25">
      <c r="A13" s="50" t="s">
        <v>10</v>
      </c>
      <c r="B13" s="83">
        <f>SUM(H13,N13)</f>
        <v>13961995</v>
      </c>
      <c r="C13" s="83">
        <f>SUM(I13,O13)</f>
        <v>4855769</v>
      </c>
      <c r="D13" s="83">
        <f t="shared" si="7"/>
        <v>22378689</v>
      </c>
      <c r="E13" s="84">
        <f t="shared" si="9"/>
        <v>1.8753416812043571</v>
      </c>
      <c r="F13" s="84">
        <f t="shared" si="10"/>
        <v>-0.3761030862889243</v>
      </c>
      <c r="G13" s="100"/>
      <c r="H13" s="102">
        <f>'Los Angeles'!H13+Burbank!H13+'Long Beach'!H13+Ontario!H13+'Orange County'!H13+Oakland!H13+Sacramento!H13+'San Diego'!H13+'San Jose'!H13+'San Francisco'!H13</f>
        <v>12528251</v>
      </c>
      <c r="I13" s="102">
        <f>'Los Angeles'!I13+Burbank!I13+'Long Beach'!I13+Ontario!I13+'Orange County'!I13+Oakland!I13+Sacramento!I13+'San Diego'!I13+'San Jose'!I13+'San Francisco'!I13</f>
        <v>4476438</v>
      </c>
      <c r="J13" s="102">
        <f>'Los Angeles'!J13+Burbank!J13+'Long Beach'!J13+Ontario!J13+'Orange County'!J13+Oakland!J13+Sacramento!J13+'San Diego'!J13+'San Jose'!J13+'San Francisco'!J13</f>
        <v>18126708</v>
      </c>
      <c r="K13" s="93">
        <f t="shared" si="11"/>
        <v>1.7987098224079054</v>
      </c>
      <c r="L13" s="93">
        <f t="shared" si="12"/>
        <v>-0.30885128176610999</v>
      </c>
      <c r="M13" s="100"/>
      <c r="N13" s="98">
        <f>'Los Angeles'!N13+Ontario!N13+'Orange County'!N13+Oakland!N13+Sacramento!N13+'San Diego'!N13+'San Jose'!N13+'San Francisco'!N13</f>
        <v>1433744</v>
      </c>
      <c r="O13" s="98">
        <f>'Los Angeles'!O13+Ontario!O13+'Orange County'!O13+Oakland!O13+Sacramento!O13+'San Diego'!O13+'San Jose'!O13+'San Francisco'!O13</f>
        <v>379331</v>
      </c>
      <c r="P13" s="98">
        <f>'Los Angeles'!P13+Ontario!P13+'Orange County'!P13+Oakland!P13+Sacramento!P13+'San Diego'!P13+'San Jose'!P13+'San Francisco'!P13</f>
        <v>4251981</v>
      </c>
      <c r="Q13" s="96">
        <f t="shared" si="13"/>
        <v>2.7796647255299463</v>
      </c>
      <c r="R13" s="96">
        <f t="shared" si="14"/>
        <v>-0.66280564282860155</v>
      </c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</row>
    <row r="14" spans="1:56" s="48" customFormat="1" ht="25" customHeight="1" x14ac:dyDescent="0.25">
      <c r="A14" s="44" t="s">
        <v>11</v>
      </c>
      <c r="B14" s="81">
        <f>SUM(H14,N14)</f>
        <v>12526728</v>
      </c>
      <c r="C14" s="81">
        <f t="shared" si="6"/>
        <v>4929772</v>
      </c>
      <c r="D14" s="81">
        <f t="shared" si="7"/>
        <v>19257968</v>
      </c>
      <c r="E14" s="82">
        <f t="shared" ref="E14:E15" si="15">B14/C14-1</f>
        <v>1.5410359748888993</v>
      </c>
      <c r="F14" s="82">
        <f t="shared" ref="F14:F15" si="16">B14/D14-1</f>
        <v>-0.34953012695835828</v>
      </c>
      <c r="G14" s="100"/>
      <c r="H14" s="97">
        <f>'Los Angeles'!H14+Burbank!H14+'Long Beach'!H14+Ontario!H14+'Orange County'!H14+Oakland!H14+Sacramento!H14+'San Diego'!H14+'San Jose'!H14+'San Francisco'!H14</f>
        <v>11358746</v>
      </c>
      <c r="I14" s="97">
        <f>'Los Angeles'!I14+Burbank!I14+'Long Beach'!I14+Ontario!I14+'Orange County'!I14+Oakland!I14+Sacramento!I14+'San Diego'!I14+'San Jose'!I14+'San Francisco'!I14</f>
        <v>4529101</v>
      </c>
      <c r="J14" s="97">
        <f>'Los Angeles'!J14+Burbank!J14+'Long Beach'!J14+Ontario!J14+'Orange County'!J14+Oakland!J14+Sacramento!J14+'San Diego'!J14+'San Jose'!J14+'San Francisco'!J14</f>
        <v>15609239</v>
      </c>
      <c r="K14" s="82">
        <f t="shared" ref="K14:K15" si="17">H14/I14-1</f>
        <v>1.5079471621410079</v>
      </c>
      <c r="L14" s="82">
        <f t="shared" ref="L14:L15" si="18">H14/J14-1</f>
        <v>-0.27230622838179364</v>
      </c>
      <c r="M14" s="103"/>
      <c r="N14" s="97">
        <f>'Los Angeles'!N14+Ontario!N14+'Orange County'!N14+Oakland!N14+Sacramento!N14+'San Diego'!N14+'San Jose'!N14+'San Francisco'!N14</f>
        <v>1167982</v>
      </c>
      <c r="O14" s="97">
        <f>'Los Angeles'!O14+Ontario!O14+'Orange County'!O14+Oakland!O14+Sacramento!O14+'San Diego'!O14+'San Jose'!O14+'San Francisco'!O14</f>
        <v>400671</v>
      </c>
      <c r="P14" s="97">
        <f>'Los Angeles'!P14+Ontario!P14+'Orange County'!P14+Oakland!P14+Sacramento!P14+'San Diego'!P14+'San Jose'!P14+'San Francisco'!P14</f>
        <v>3648729</v>
      </c>
      <c r="Q14" s="82">
        <f t="shared" ref="Q14:Q15" si="19">N14/O14-1</f>
        <v>1.9150649784985685</v>
      </c>
      <c r="R14" s="82">
        <f t="shared" ref="R14:R15" si="20">N14/P14-1</f>
        <v>-0.67989346427207942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</row>
    <row r="15" spans="1:56" ht="25" customHeight="1" x14ac:dyDescent="0.25">
      <c r="A15" s="50" t="s">
        <v>12</v>
      </c>
      <c r="B15" s="83">
        <f>SUM(H15,N15)</f>
        <v>13904405</v>
      </c>
      <c r="C15" s="83">
        <f t="shared" si="6"/>
        <v>5708888</v>
      </c>
      <c r="D15" s="83">
        <f t="shared" si="7"/>
        <v>20079531</v>
      </c>
      <c r="E15" s="84">
        <f t="shared" si="15"/>
        <v>1.4355715158538755</v>
      </c>
      <c r="F15" s="84">
        <f t="shared" si="16"/>
        <v>-0.30753337814513693</v>
      </c>
      <c r="G15" s="41"/>
      <c r="H15" s="102">
        <f>'Los Angeles'!H15+Burbank!H15+'Long Beach'!H15+Ontario!H15+'Orange County'!H15+Oakland!H15+Sacramento!H15+'San Diego'!H15+'San Jose'!H15+'San Francisco'!H15</f>
        <v>12669176</v>
      </c>
      <c r="I15" s="66">
        <f>'Los Angeles'!I15+Burbank!I15+'Long Beach'!I15+Ontario!I15+'Orange County'!I15+Oakland!I15+Sacramento!I15+'San Diego'!I15+'San Jose'!I15+'San Francisco'!I15</f>
        <v>5226134</v>
      </c>
      <c r="J15" s="66">
        <f>'Los Angeles'!J15+Burbank!J15+'Long Beach'!J15+Ontario!J15+'Orange County'!J15+Oakland!J15+Sacramento!J15+'San Diego'!J15+'San Jose'!J15+'San Francisco'!J15</f>
        <v>16475684</v>
      </c>
      <c r="K15" s="93">
        <f t="shared" si="17"/>
        <v>1.4241965475818263</v>
      </c>
      <c r="L15" s="93">
        <f t="shared" si="18"/>
        <v>-0.23103793444933762</v>
      </c>
      <c r="M15" s="41"/>
      <c r="N15" s="98">
        <f>'Los Angeles'!N15+Ontario!N15+'Orange County'!N15+Oakland!N15+Sacramento!N15+'San Diego'!N15+'San Jose'!N15+'San Francisco'!N15</f>
        <v>1235229</v>
      </c>
      <c r="O15" s="67">
        <f>'Los Angeles'!O15+Ontario!O15+'Orange County'!O15+Oakland!O15+Sacramento!O15+'San Diego'!O15+'San Jose'!O15+'San Francisco'!O15</f>
        <v>482754</v>
      </c>
      <c r="P15" s="67">
        <f>'Los Angeles'!P15+Ontario!P15+'Orange County'!P15+Oakland!P15+Sacramento!P15+'San Diego'!P15+'San Jose'!P15+'San Francisco'!P15</f>
        <v>3603847</v>
      </c>
      <c r="Q15" s="96">
        <f t="shared" si="19"/>
        <v>1.5587131333971338</v>
      </c>
      <c r="R15" s="96">
        <f t="shared" si="20"/>
        <v>-0.65724710288755328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</row>
    <row r="16" spans="1:56" ht="25" customHeight="1" x14ac:dyDescent="0.25">
      <c r="A16" s="42" t="s">
        <v>13</v>
      </c>
      <c r="B16" s="81">
        <f>SUM(H16,N16)</f>
        <v>13981124</v>
      </c>
      <c r="C16" s="81">
        <f t="shared" si="6"/>
        <v>5555678</v>
      </c>
      <c r="D16" s="81">
        <f t="shared" si="7"/>
        <v>18697443</v>
      </c>
      <c r="E16" s="82">
        <f t="shared" ref="E16:E17" si="21">B16/C16-1</f>
        <v>1.5165468553073089</v>
      </c>
      <c r="F16" s="82">
        <f t="shared" ref="F16:F17" si="22">B16/D16-1</f>
        <v>-0.25224406353317941</v>
      </c>
      <c r="G16" s="41"/>
      <c r="H16" s="97">
        <f>'Los Angeles'!H16+Burbank!H16+'Long Beach'!H16+Ontario!H16+'Orange County'!H16+Oakland!H16+Sacramento!H16+'San Diego'!H16+'San Jose'!H16+'San Francisco'!H16</f>
        <v>12551611</v>
      </c>
      <c r="I16" s="65">
        <f>'Los Angeles'!I16+Burbank!I16+'Long Beach'!I16+Ontario!I16+'Orange County'!I16+Oakland!I16+Sacramento!I16+'San Diego'!I16+'San Jose'!I16+'San Francisco'!I16</f>
        <v>5013762</v>
      </c>
      <c r="J16" s="65">
        <f>'Los Angeles'!J16+Burbank!J16+'Long Beach'!J16+Ontario!J16+'Orange County'!J16+Oakland!J16+Sacramento!J16+'San Diego'!J16+'San Jose'!J16+'San Francisco'!J16</f>
        <v>15425279</v>
      </c>
      <c r="K16" s="82">
        <f t="shared" ref="K16:K17" si="23">H16/I16-1</f>
        <v>1.5034317544390818</v>
      </c>
      <c r="L16" s="82">
        <f t="shared" ref="L16:L17" si="24">H16/J16-1</f>
        <v>-0.18629601448375743</v>
      </c>
      <c r="M16" s="41"/>
      <c r="N16" s="97">
        <f>'Los Angeles'!N16+Ontario!N16+'Orange County'!N16+Oakland!N16+Sacramento!N16+'San Diego'!N16+'San Jose'!N16+'San Francisco'!N16</f>
        <v>1429513</v>
      </c>
      <c r="O16" s="65">
        <f>'Los Angeles'!O16+Ontario!O16+'Orange County'!O16+Oakland!O16+Sacramento!O16+'San Diego'!O16+'San Jose'!O16+'San Francisco'!O16</f>
        <v>541916</v>
      </c>
      <c r="P16" s="65">
        <f>'Los Angeles'!P16+Ontario!P16+'Orange County'!P16+Oakland!P16+Sacramento!P16+'San Diego'!P16+'San Jose'!P16+'San Francisco'!P16</f>
        <v>3272164</v>
      </c>
      <c r="Q16" s="82">
        <f t="shared" ref="Q16:Q17" si="25">N16/O16-1</f>
        <v>1.6378866835450512</v>
      </c>
      <c r="R16" s="82">
        <f t="shared" ref="R16:R17" si="26">N16/P16-1</f>
        <v>-0.5631291707872832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56" ht="25" customHeight="1" x14ac:dyDescent="0.25">
      <c r="A17" s="50" t="s">
        <v>14</v>
      </c>
      <c r="B17" s="83">
        <f>SUM(H17,N17)</f>
        <v>13888157</v>
      </c>
      <c r="C17" s="83">
        <f t="shared" si="6"/>
        <v>5058307</v>
      </c>
      <c r="D17" s="83">
        <f>SUM(J17,P17)</f>
        <v>20283913</v>
      </c>
      <c r="E17" s="84">
        <f t="shared" si="21"/>
        <v>1.7456137003942227</v>
      </c>
      <c r="F17" s="84">
        <f t="shared" si="22"/>
        <v>-0.31531174482951096</v>
      </c>
      <c r="G17" s="41"/>
      <c r="H17" s="102">
        <f>'Los Angeles'!H17+Burbank!H17+'Long Beach'!H17+Ontario!H17+'Orange County'!H17+Oakland!H17+Sacramento!H17+'San Diego'!H17+'San Jose'!H17+'San Francisco'!H17</f>
        <v>12151716</v>
      </c>
      <c r="I17" s="66">
        <f>'Los Angeles'!I17+Burbank!I17+'Long Beach'!I17+Ontario!I17+'Orange County'!I17+Oakland!I17+Sacramento!I17+'San Diego'!I17+'San Jose'!I17+'San Francisco'!I17</f>
        <v>4454177</v>
      </c>
      <c r="J17" s="66">
        <f>'Los Angeles'!J17+Burbank!J17+'Long Beach'!J17+Ontario!J17+'Orange County'!J17+Oakland!J17+Sacramento!J17+'San Diego'!J17+'San Jose'!J17+'San Francisco'!J17</f>
        <v>16590213</v>
      </c>
      <c r="K17" s="93">
        <f t="shared" si="23"/>
        <v>1.7281619028610673</v>
      </c>
      <c r="L17" s="93">
        <f t="shared" si="24"/>
        <v>-0.26753707140468896</v>
      </c>
      <c r="M17" s="41"/>
      <c r="N17" s="98">
        <f>'Los Angeles'!N17+Ontario!N17+'Orange County'!N17+Oakland!N17+Sacramento!N17+'San Diego'!N17+'San Jose'!N17+'San Francisco'!N17</f>
        <v>1736441</v>
      </c>
      <c r="O17" s="67">
        <f>'Los Angeles'!O17+Ontario!O17+'Orange County'!O17+Oakland!O17+Sacramento!O17+'San Diego'!O17+'San Jose'!O17+'San Francisco'!O17</f>
        <v>604130</v>
      </c>
      <c r="P17" s="67">
        <f>'Los Angeles'!P17+Ontario!P17+'Orange County'!P17+Oakland!P17+Sacramento!P17+'San Diego'!P17+'San Jose'!P17+'San Francisco'!P17</f>
        <v>3693700</v>
      </c>
      <c r="Q17" s="96">
        <f t="shared" si="25"/>
        <v>1.8742836806647576</v>
      </c>
      <c r="R17" s="96">
        <f t="shared" si="26"/>
        <v>-0.52989116603947262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</row>
    <row r="18" spans="1:56" ht="25" customHeight="1" x14ac:dyDescent="0.25">
      <c r="A18" s="38" t="s">
        <v>51</v>
      </c>
      <c r="B18" s="85">
        <f>SUM(B6:B17)</f>
        <v>130527025</v>
      </c>
      <c r="C18" s="85">
        <f>SUM(C6:C17)</f>
        <v>78717204</v>
      </c>
      <c r="D18" s="85">
        <f>SUM(D6:D17)</f>
        <v>238719721</v>
      </c>
      <c r="E18" s="82">
        <f>B18/C18-1</f>
        <v>0.65817659123156869</v>
      </c>
      <c r="F18" s="82">
        <f>B18/D18-1</f>
        <v>-0.45322060342052761</v>
      </c>
      <c r="G18" s="41"/>
      <c r="H18" s="85">
        <f>SUM(H6:H17)</f>
        <v>117965288</v>
      </c>
      <c r="I18" s="85">
        <f>SUM(I6:I17)</f>
        <v>68015232</v>
      </c>
      <c r="J18" s="85">
        <f>SUM(J6:J17)</f>
        <v>194292081</v>
      </c>
      <c r="K18" s="82">
        <f>H18/I18-1</f>
        <v>0.73439514254689309</v>
      </c>
      <c r="L18" s="82">
        <f>H18/J18-1</f>
        <v>-0.39284561988916056</v>
      </c>
      <c r="M18" s="41"/>
      <c r="N18" s="85">
        <f>SUM(N6:N17)</f>
        <v>12561737</v>
      </c>
      <c r="O18" s="85">
        <f>SUM(O6:O17)</f>
        <v>10701972</v>
      </c>
      <c r="P18" s="85">
        <f>SUM(P6:P17)</f>
        <v>44427640</v>
      </c>
      <c r="Q18" s="82">
        <f>N18/O18-1</f>
        <v>0.17377778600056137</v>
      </c>
      <c r="R18" s="82">
        <f>N18/P18-1</f>
        <v>-0.71725401124165045</v>
      </c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</row>
    <row r="19" spans="1:56" x14ac:dyDescent="0.25">
      <c r="A19" s="37"/>
      <c r="B19" s="86"/>
      <c r="C19" s="86" t="s">
        <v>48</v>
      </c>
      <c r="G19" s="41"/>
      <c r="H19" s="41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</row>
    <row r="20" spans="1:56" x14ac:dyDescent="0.25">
      <c r="A20" s="33" t="s">
        <v>46</v>
      </c>
      <c r="J20" s="39"/>
      <c r="K20" s="89"/>
      <c r="O20" s="39"/>
      <c r="P20" s="39"/>
      <c r="Q20" s="39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</row>
    <row r="21" spans="1:56" x14ac:dyDescent="0.25">
      <c r="A21" s="33" t="s">
        <v>49</v>
      </c>
      <c r="O21" s="39"/>
      <c r="P21" s="49"/>
      <c r="Q21" s="49"/>
    </row>
    <row r="23" spans="1:56" x14ac:dyDescent="0.25">
      <c r="C23" s="88"/>
      <c r="D23" s="88"/>
      <c r="E23" s="88"/>
      <c r="F23" s="88"/>
    </row>
    <row r="26" spans="1:56" x14ac:dyDescent="0.25">
      <c r="C26" s="89"/>
    </row>
  </sheetData>
  <mergeCells count="4">
    <mergeCell ref="A1:R1"/>
    <mergeCell ref="B3:F3"/>
    <mergeCell ref="H3:L3"/>
    <mergeCell ref="N3:R3"/>
  </mergeCells>
  <phoneticPr fontId="17" type="noConversion"/>
  <pageMargins left="0.25" right="0.25" top="0.75" bottom="0.75" header="0.3" footer="0.3"/>
  <pageSetup scale="71" fitToHeight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  <pageSetUpPr fitToPage="1"/>
  </sheetPr>
  <dimension ref="A1:AP23"/>
  <sheetViews>
    <sheetView zoomScaleNormal="100" zoomScaleSheetLayoutView="93" workbookViewId="0">
      <selection activeCell="O24" sqref="O24"/>
    </sheetView>
  </sheetViews>
  <sheetFormatPr baseColWidth="10" defaultColWidth="8.83203125" defaultRowHeight="19" x14ac:dyDescent="0.25"/>
  <cols>
    <col min="1" max="18" width="13.83203125" style="33" customWidth="1"/>
  </cols>
  <sheetData>
    <row r="1" spans="1:42" ht="34" customHeight="1" x14ac:dyDescent="0.2">
      <c r="A1" s="106" t="s">
        <v>22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75"/>
      <c r="N3" s="113" t="s">
        <v>16</v>
      </c>
      <c r="O3" s="114"/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f t="shared" ref="B6:D7" si="0">SUM(H6,N6)</f>
        <v>208423</v>
      </c>
      <c r="C6" s="81">
        <f t="shared" si="0"/>
        <v>1179211</v>
      </c>
      <c r="D6" s="81">
        <f t="shared" si="0"/>
        <v>1083500</v>
      </c>
      <c r="E6" s="82">
        <f t="shared" ref="E6:E11" si="1">B6/C6-1</f>
        <v>-0.82325215758672532</v>
      </c>
      <c r="F6" s="82">
        <f t="shared" ref="F6:F11" si="2">B6/D6-1</f>
        <v>-0.80763913244116292</v>
      </c>
      <c r="G6" s="41"/>
      <c r="H6" s="65">
        <f>79908+84587+8001+8001</f>
        <v>180497</v>
      </c>
      <c r="I6" s="65">
        <f>497019+519233+41542+41542</f>
        <v>1099336</v>
      </c>
      <c r="J6" s="65">
        <f>461226+488201+31731+31731</f>
        <v>1012889</v>
      </c>
      <c r="K6" s="82">
        <f t="shared" ref="K6:K11" si="3">H6/I6-1</f>
        <v>-0.83581270876238023</v>
      </c>
      <c r="L6" s="82">
        <f t="shared" ref="L6:L11" si="4">H6/J6-1</f>
        <v>-0.82179982209304281</v>
      </c>
      <c r="M6" s="37"/>
      <c r="N6" s="65">
        <f>10279+17647</f>
        <v>27926</v>
      </c>
      <c r="O6" s="65">
        <f>37096+42779</f>
        <v>79875</v>
      </c>
      <c r="P6" s="65">
        <f>32130+38373+54+54</f>
        <v>70611</v>
      </c>
      <c r="Q6" s="82">
        <f>N6/O6-1</f>
        <v>-0.65037871674491399</v>
      </c>
      <c r="R6" s="82">
        <f t="shared" ref="R6:R11" si="5">N6/P6-1</f>
        <v>-0.60450921244565292</v>
      </c>
    </row>
    <row r="7" spans="1:42" x14ac:dyDescent="0.25">
      <c r="A7" s="50" t="s">
        <v>4</v>
      </c>
      <c r="B7" s="83">
        <f t="shared" si="0"/>
        <v>217278</v>
      </c>
      <c r="C7" s="83">
        <f t="shared" si="0"/>
        <v>1084289</v>
      </c>
      <c r="D7" s="83">
        <f t="shared" si="0"/>
        <v>1023762</v>
      </c>
      <c r="E7" s="84">
        <f t="shared" si="1"/>
        <v>-0.79961246494246463</v>
      </c>
      <c r="F7" s="84">
        <f t="shared" si="2"/>
        <v>-0.78776512509743479</v>
      </c>
      <c r="G7" s="41"/>
      <c r="H7" s="66">
        <f>94509+93254+8202+8202</f>
        <v>204167</v>
      </c>
      <c r="I7" s="66">
        <f>474217+470968+41056+41056</f>
        <v>1027297</v>
      </c>
      <c r="J7" s="66">
        <f>451589+451879+31709+31709</f>
        <v>966886</v>
      </c>
      <c r="K7" s="94">
        <f t="shared" si="3"/>
        <v>-0.80125805876976175</v>
      </c>
      <c r="L7" s="94">
        <f t="shared" si="4"/>
        <v>-0.7888406699445436</v>
      </c>
      <c r="M7" s="41"/>
      <c r="N7" s="67">
        <f>5212+7899</f>
        <v>13111</v>
      </c>
      <c r="O7" s="67">
        <f>26796+30196</f>
        <v>56992</v>
      </c>
      <c r="P7" s="67">
        <f>27736+29102+19+19</f>
        <v>56876</v>
      </c>
      <c r="Q7" s="96">
        <f>N7/O7-1</f>
        <v>-0.76995016844469399</v>
      </c>
      <c r="R7" s="96">
        <f t="shared" si="5"/>
        <v>-0.76948097615866096</v>
      </c>
    </row>
    <row r="8" spans="1:42" x14ac:dyDescent="0.25">
      <c r="A8" s="42" t="s">
        <v>5</v>
      </c>
      <c r="B8" s="81">
        <f>H8+N8</f>
        <v>224218</v>
      </c>
      <c r="C8" s="81">
        <f t="shared" ref="C8:C13" si="6">I8+O8</f>
        <v>508110</v>
      </c>
      <c r="D8" s="81">
        <f t="shared" ref="D8:D17" si="7">SUM(J8,P8)</f>
        <v>1226670</v>
      </c>
      <c r="E8" s="82">
        <f t="shared" si="1"/>
        <v>-0.55872153667512947</v>
      </c>
      <c r="F8" s="82">
        <f t="shared" si="2"/>
        <v>-0.81721408365738135</v>
      </c>
      <c r="G8" s="41"/>
      <c r="H8" s="65">
        <f>156854+15033+21608+21608</f>
        <v>215103</v>
      </c>
      <c r="I8" s="65">
        <f>203405+213071+28205+28205</f>
        <v>472886</v>
      </c>
      <c r="J8" s="65">
        <f>544233+538518+41982+41982</f>
        <v>1166715</v>
      </c>
      <c r="K8" s="82">
        <f t="shared" si="3"/>
        <v>-0.54512715538205825</v>
      </c>
      <c r="L8" s="82">
        <f t="shared" si="4"/>
        <v>-0.81563363803499567</v>
      </c>
      <c r="M8" s="41"/>
      <c r="N8" s="65">
        <f>4348+4767</f>
        <v>9115</v>
      </c>
      <c r="O8" s="65">
        <f>15732+19466+13+13</f>
        <v>35224</v>
      </c>
      <c r="P8" s="65">
        <f>29350+30253+176+176</f>
        <v>59955</v>
      </c>
      <c r="Q8" s="82">
        <f>N8/O8-1</f>
        <v>-0.74122757210992507</v>
      </c>
      <c r="R8" s="82">
        <f t="shared" si="5"/>
        <v>-0.84796931031607037</v>
      </c>
    </row>
    <row r="9" spans="1:42" x14ac:dyDescent="0.25">
      <c r="A9" s="50" t="s">
        <v>6</v>
      </c>
      <c r="B9" s="83">
        <f t="shared" ref="B9:B12" si="8">H9+N9</f>
        <v>465552</v>
      </c>
      <c r="C9" s="83">
        <f t="shared" si="6"/>
        <v>37556</v>
      </c>
      <c r="D9" s="83">
        <f t="shared" si="7"/>
        <v>1298177</v>
      </c>
      <c r="E9" s="84">
        <f t="shared" si="1"/>
        <v>11.396208328895517</v>
      </c>
      <c r="F9" s="84">
        <f t="shared" si="2"/>
        <v>-0.64138018159311094</v>
      </c>
      <c r="G9" s="41"/>
      <c r="H9" s="66">
        <f>206426+205878+16085+16085</f>
        <v>444474</v>
      </c>
      <c r="I9" s="66">
        <f>16178+16147+1408+1408</f>
        <v>35141</v>
      </c>
      <c r="J9" s="66">
        <f>566876+577106+40722+40722</f>
        <v>1225426</v>
      </c>
      <c r="K9" s="94">
        <f t="shared" si="3"/>
        <v>11.648302552573917</v>
      </c>
      <c r="L9" s="94">
        <f t="shared" si="4"/>
        <v>-0.63729021581066503</v>
      </c>
      <c r="M9" s="41"/>
      <c r="N9" s="67">
        <f>10368+10710</f>
        <v>21078</v>
      </c>
      <c r="O9" s="67">
        <f>1046+1369</f>
        <v>2415</v>
      </c>
      <c r="P9" s="67">
        <f>37032+35461+129+129</f>
        <v>72751</v>
      </c>
      <c r="Q9" s="96">
        <f>N9/O9-1</f>
        <v>7.7279503105590059</v>
      </c>
      <c r="R9" s="96">
        <f t="shared" si="5"/>
        <v>-0.71027202375225085</v>
      </c>
    </row>
    <row r="10" spans="1:42" x14ac:dyDescent="0.25">
      <c r="A10" s="38" t="s">
        <v>7</v>
      </c>
      <c r="B10" s="81">
        <f t="shared" si="8"/>
        <v>589554</v>
      </c>
      <c r="C10" s="81">
        <f t="shared" si="6"/>
        <v>79600</v>
      </c>
      <c r="D10" s="81">
        <f t="shared" si="7"/>
        <v>1360317</v>
      </c>
      <c r="E10" s="82">
        <f t="shared" si="1"/>
        <v>6.4064572864321612</v>
      </c>
      <c r="F10" s="82">
        <f t="shared" si="2"/>
        <v>-0.56660543093999416</v>
      </c>
      <c r="G10" s="41"/>
      <c r="H10" s="65">
        <f>259654+257831+17775+17775</f>
        <v>553035</v>
      </c>
      <c r="I10" s="65">
        <f>37490+37688+2211+2211</f>
        <v>79600</v>
      </c>
      <c r="J10" s="65">
        <f>595164+600267+45194+45194</f>
        <v>1285819</v>
      </c>
      <c r="K10" s="82">
        <f t="shared" si="3"/>
        <v>5.9476758793969848</v>
      </c>
      <c r="L10" s="82">
        <f t="shared" si="4"/>
        <v>-0.56989669619129901</v>
      </c>
      <c r="M10" s="41"/>
      <c r="N10" s="65">
        <f>17981+18538</f>
        <v>36519</v>
      </c>
      <c r="O10" s="65">
        <v>0</v>
      </c>
      <c r="P10" s="65">
        <f>37350+36694+227+227</f>
        <v>74498</v>
      </c>
      <c r="Q10" s="82"/>
      <c r="R10" s="82">
        <f t="shared" si="5"/>
        <v>-0.50979892077639666</v>
      </c>
    </row>
    <row r="11" spans="1:42" x14ac:dyDescent="0.25">
      <c r="A11" s="50" t="s">
        <v>8</v>
      </c>
      <c r="B11" s="83">
        <f>H11+N11</f>
        <v>756135</v>
      </c>
      <c r="C11" s="83">
        <f t="shared" si="6"/>
        <v>193032</v>
      </c>
      <c r="D11" s="83">
        <f t="shared" si="7"/>
        <v>1411057</v>
      </c>
      <c r="E11" s="84">
        <f t="shared" si="1"/>
        <v>2.9171484520701232</v>
      </c>
      <c r="F11" s="84">
        <f t="shared" si="2"/>
        <v>-0.46413575071737001</v>
      </c>
      <c r="G11" s="41"/>
      <c r="H11" s="66">
        <f>339961+326816+23002+23002</f>
        <v>712781</v>
      </c>
      <c r="I11" s="66">
        <f>86538+83179+10058+10058</f>
        <v>189833</v>
      </c>
      <c r="J11" s="66">
        <f>625967+607876+47056+47056</f>
        <v>1327955</v>
      </c>
      <c r="K11" s="94">
        <f t="shared" si="3"/>
        <v>2.7547792006658485</v>
      </c>
      <c r="L11" s="94">
        <f t="shared" si="4"/>
        <v>-0.46324913118290911</v>
      </c>
      <c r="M11" s="41"/>
      <c r="N11" s="67">
        <f>21603+21751</f>
        <v>43354</v>
      </c>
      <c r="O11" s="67">
        <f>1726+1473</f>
        <v>3199</v>
      </c>
      <c r="P11" s="67">
        <f>44404+38560+69+69</f>
        <v>83102</v>
      </c>
      <c r="Q11" s="96">
        <f>N11/O11-1</f>
        <v>12.552360112535167</v>
      </c>
      <c r="R11" s="96">
        <f t="shared" si="5"/>
        <v>-0.47830377126904289</v>
      </c>
    </row>
    <row r="12" spans="1:42" x14ac:dyDescent="0.25">
      <c r="A12" s="38" t="s">
        <v>9</v>
      </c>
      <c r="B12" s="81">
        <f t="shared" si="8"/>
        <v>818268</v>
      </c>
      <c r="C12" s="81">
        <f t="shared" si="6"/>
        <v>268369</v>
      </c>
      <c r="D12" s="81">
        <f t="shared" si="7"/>
        <v>1489363</v>
      </c>
      <c r="E12" s="82">
        <f t="shared" ref="E12:E13" si="9">B12/C12-1</f>
        <v>2.0490406865174444</v>
      </c>
      <c r="F12" s="82">
        <f t="shared" ref="F12:F13" si="10">B12/D12-1</f>
        <v>-0.45059196448414518</v>
      </c>
      <c r="G12" s="41"/>
      <c r="H12" s="65">
        <f>365497+362577+23385+23385</f>
        <v>774844</v>
      </c>
      <c r="I12" s="65">
        <f>111353+109231+16537+16537</f>
        <v>253658</v>
      </c>
      <c r="J12" s="65">
        <f>671244+678564+52465+3919</f>
        <v>1406192</v>
      </c>
      <c r="K12" s="82">
        <f t="shared" ref="K12:K13" si="11">H12/I12-1</f>
        <v>2.0546799233613764</v>
      </c>
      <c r="L12" s="82">
        <f>H12/J12-1</f>
        <v>-0.44897709558865362</v>
      </c>
      <c r="M12" s="41"/>
      <c r="N12" s="65">
        <f>20756+22668</f>
        <v>43424</v>
      </c>
      <c r="O12" s="65">
        <f>7476+7235</f>
        <v>14711</v>
      </c>
      <c r="P12" s="65">
        <f>39700+43471</f>
        <v>83171</v>
      </c>
      <c r="Q12" s="82">
        <f>N12/O12-1</f>
        <v>1.951804771939365</v>
      </c>
      <c r="R12" s="82">
        <f t="shared" ref="R12:R13" si="12">N12/P12-1</f>
        <v>-0.47789493934183791</v>
      </c>
    </row>
    <row r="13" spans="1:42" x14ac:dyDescent="0.25">
      <c r="A13" s="50" t="s">
        <v>10</v>
      </c>
      <c r="B13" s="83">
        <f>H13+N13</f>
        <v>756358</v>
      </c>
      <c r="C13" s="83">
        <f t="shared" si="6"/>
        <v>264855</v>
      </c>
      <c r="D13" s="83">
        <f t="shared" si="7"/>
        <v>1461045</v>
      </c>
      <c r="E13" s="84">
        <f t="shared" si="9"/>
        <v>1.8557437088218083</v>
      </c>
      <c r="F13" s="84">
        <f t="shared" si="10"/>
        <v>-0.48231710864483979</v>
      </c>
      <c r="G13" s="41"/>
      <c r="H13" s="66">
        <f>332014+346255+21834+21834</f>
        <v>721937</v>
      </c>
      <c r="I13" s="66">
        <f>112191+110278+10295+10295</f>
        <v>243059</v>
      </c>
      <c r="J13" s="66">
        <f>671414+660863+47006+3701</f>
        <v>1382984</v>
      </c>
      <c r="K13" s="94">
        <f t="shared" si="11"/>
        <v>1.9702129935530057</v>
      </c>
      <c r="L13" s="94">
        <f t="shared" ref="L13" si="13">H13/J13-1</f>
        <v>-0.47798600706877303</v>
      </c>
      <c r="M13" s="41"/>
      <c r="N13" s="67">
        <f>14584+19837</f>
        <v>34421</v>
      </c>
      <c r="O13" s="67">
        <f>9326+12470</f>
        <v>21796</v>
      </c>
      <c r="P13" s="67">
        <f>36642+41419</f>
        <v>78061</v>
      </c>
      <c r="Q13" s="96">
        <f>N13/O13-1</f>
        <v>0.5792347219673335</v>
      </c>
      <c r="R13" s="96">
        <f t="shared" si="12"/>
        <v>-0.55904997373848664</v>
      </c>
    </row>
    <row r="14" spans="1:42" s="48" customFormat="1" x14ac:dyDescent="0.25">
      <c r="A14" s="44" t="s">
        <v>11</v>
      </c>
      <c r="B14" s="81">
        <f>H14+N14</f>
        <v>722964</v>
      </c>
      <c r="C14" s="81">
        <v>262876</v>
      </c>
      <c r="D14" s="81">
        <f t="shared" si="7"/>
        <v>1358465</v>
      </c>
      <c r="E14" s="82">
        <f t="shared" ref="E14" si="14">B14/C14-1</f>
        <v>1.7502092241208782</v>
      </c>
      <c r="F14" s="82">
        <f t="shared" ref="F14:F15" si="15">B14/D14-1</f>
        <v>-0.46780815111173268</v>
      </c>
      <c r="G14" s="41"/>
      <c r="H14" s="65">
        <f>327167+323388+22373+22373</f>
        <v>695301</v>
      </c>
      <c r="I14" s="65">
        <f>C14-O14</f>
        <v>244454</v>
      </c>
      <c r="J14" s="65">
        <f>596078+602228+47338+47338</f>
        <v>1292982</v>
      </c>
      <c r="K14" s="82">
        <f t="shared" ref="K14:K15" si="16">H14/I14-1</f>
        <v>1.84430199546745</v>
      </c>
      <c r="L14" s="82">
        <f>H14/J14-1</f>
        <v>-0.46225005452512102</v>
      </c>
      <c r="M14" s="47"/>
      <c r="N14" s="65">
        <f>13547+14116</f>
        <v>27663</v>
      </c>
      <c r="O14" s="65">
        <f>9431+8991</f>
        <v>18422</v>
      </c>
      <c r="P14" s="65">
        <f>32149+33334</f>
        <v>65483</v>
      </c>
      <c r="Q14" s="82">
        <f t="shared" ref="Q14" si="17">N14/O14-1</f>
        <v>0.50162848767777657</v>
      </c>
      <c r="R14" s="82">
        <f>N14/P14-1</f>
        <v>-0.57755447978864738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f>H15+N15</f>
        <v>821191</v>
      </c>
      <c r="C15" s="83">
        <v>287552</v>
      </c>
      <c r="D15" s="83">
        <f t="shared" si="7"/>
        <v>1379881</v>
      </c>
      <c r="E15" s="84">
        <f>B15/C15-1</f>
        <v>1.855799994435789</v>
      </c>
      <c r="F15" s="84">
        <f t="shared" si="15"/>
        <v>-0.4048827398884397</v>
      </c>
      <c r="G15" s="41"/>
      <c r="H15" s="66">
        <f>365300+366113+26767+26767</f>
        <v>784947</v>
      </c>
      <c r="I15" s="66">
        <f>C15-O15</f>
        <v>268322</v>
      </c>
      <c r="J15" s="66">
        <f>614123+603590+46779+46779</f>
        <v>1311271</v>
      </c>
      <c r="K15" s="94">
        <f t="shared" si="16"/>
        <v>1.9253918799054865</v>
      </c>
      <c r="L15" s="94">
        <f t="shared" ref="L15" si="18">H15/J15-1</f>
        <v>-0.4013846108089022</v>
      </c>
      <c r="M15" s="41"/>
      <c r="N15" s="67">
        <f>18475+17769</f>
        <v>36244</v>
      </c>
      <c r="O15" s="67">
        <f>9707+9523</f>
        <v>19230</v>
      </c>
      <c r="P15" s="67">
        <f>35245+33093+136+136</f>
        <v>68610</v>
      </c>
      <c r="Q15" s="96">
        <f>N15/O15-1</f>
        <v>0.88476339053562136</v>
      </c>
      <c r="R15" s="96">
        <f t="shared" ref="R15" si="19">N15/P15-1</f>
        <v>-0.4717388135840257</v>
      </c>
    </row>
    <row r="16" spans="1:42" x14ac:dyDescent="0.25">
      <c r="A16" s="42" t="s">
        <v>13</v>
      </c>
      <c r="B16" s="104">
        <f>H16+N16</f>
        <v>828775</v>
      </c>
      <c r="C16" s="81">
        <f>I16+O16</f>
        <v>301980</v>
      </c>
      <c r="D16" s="81">
        <f t="shared" si="7"/>
        <v>1278689</v>
      </c>
      <c r="E16" s="82">
        <f t="shared" ref="E16" si="20">B16/C16-1</f>
        <v>1.7444698324392345</v>
      </c>
      <c r="F16" s="82">
        <f t="shared" ref="F16:F17" si="21">B16/D16-1</f>
        <v>-0.35185568969467951</v>
      </c>
      <c r="G16" s="41"/>
      <c r="H16" s="65">
        <f>368176+367122+26056+26056</f>
        <v>787410</v>
      </c>
      <c r="I16" s="65">
        <f>128791+130662+9540+9540</f>
        <v>278533</v>
      </c>
      <c r="J16" s="65">
        <f>572711+567370+37309+37309</f>
        <v>1214699</v>
      </c>
      <c r="K16" s="82">
        <f t="shared" ref="K16:K17" si="22">H16/I16-1</f>
        <v>1.8269899796433458</v>
      </c>
      <c r="L16" s="82">
        <f>H16/J16-1</f>
        <v>-0.35176533445734293</v>
      </c>
      <c r="M16" s="41"/>
      <c r="N16" s="65">
        <f>21720+19645</f>
        <v>41365</v>
      </c>
      <c r="O16" s="65">
        <f>12482+10965</f>
        <v>23447</v>
      </c>
      <c r="P16" s="65">
        <f>33353+30383+127+127</f>
        <v>63990</v>
      </c>
      <c r="Q16" s="82">
        <f t="shared" ref="Q16" si="23">N16/O16-1</f>
        <v>0.76419158101249618</v>
      </c>
      <c r="R16" s="82">
        <f>N16/P16-1</f>
        <v>-0.35357087044850755</v>
      </c>
    </row>
    <row r="17" spans="1:18" x14ac:dyDescent="0.25">
      <c r="A17" s="50" t="s">
        <v>14</v>
      </c>
      <c r="B17" s="83">
        <f>H17+N17</f>
        <v>813425</v>
      </c>
      <c r="C17" s="83">
        <f>I17+O17</f>
        <v>244147</v>
      </c>
      <c r="D17" s="83">
        <f t="shared" si="7"/>
        <v>1368656</v>
      </c>
      <c r="E17" s="84">
        <f>B17/C17-1</f>
        <v>2.3317018026025305</v>
      </c>
      <c r="F17" s="84">
        <f t="shared" si="21"/>
        <v>-0.405676079306999</v>
      </c>
      <c r="G17" s="41"/>
      <c r="H17" s="66">
        <f>358553+349800+28867+28867</f>
        <v>766087</v>
      </c>
      <c r="I17" s="66">
        <f>99082+92448+10003+10003</f>
        <v>211536</v>
      </c>
      <c r="J17" s="66">
        <f>607531+595736+43887+43887</f>
        <v>1291041</v>
      </c>
      <c r="K17" s="94">
        <f t="shared" si="22"/>
        <v>2.6215443234248546</v>
      </c>
      <c r="L17" s="94">
        <f t="shared" ref="L17" si="24">H17/J17-1</f>
        <v>-0.40661295807027042</v>
      </c>
      <c r="M17" s="41"/>
      <c r="N17" s="67">
        <f>27705+19633</f>
        <v>47338</v>
      </c>
      <c r="O17" s="67">
        <f>18956+13655</f>
        <v>32611</v>
      </c>
      <c r="P17" s="67">
        <f>42188+35339+88</f>
        <v>77615</v>
      </c>
      <c r="Q17" s="96">
        <f>N17/O17-1</f>
        <v>0.45159608720983724</v>
      </c>
      <c r="R17" s="96">
        <f t="shared" ref="R17" si="25">N17/P17-1</f>
        <v>-0.39009212136829219</v>
      </c>
    </row>
    <row r="18" spans="1:18" x14ac:dyDescent="0.25">
      <c r="A18" s="38" t="s">
        <v>35</v>
      </c>
      <c r="B18" s="85">
        <f>SUM(B6:B17)</f>
        <v>7222141</v>
      </c>
      <c r="C18" s="85">
        <f>SUM(C6:C17)</f>
        <v>4711577</v>
      </c>
      <c r="D18" s="85">
        <f>SUM(D6:D17)</f>
        <v>15739582</v>
      </c>
      <c r="E18" s="82">
        <f>B18/C18-1</f>
        <v>0.53285004150415038</v>
      </c>
      <c r="F18" s="82">
        <f>B18/D18-1</f>
        <v>-0.54114785259227349</v>
      </c>
      <c r="G18" s="41"/>
      <c r="H18" s="85">
        <f>SUM(H6:H17)</f>
        <v>6840583</v>
      </c>
      <c r="I18" s="85">
        <f>SUM(I6:I17)</f>
        <v>4403655</v>
      </c>
      <c r="J18" s="85">
        <f>SUM(J6:J17)</f>
        <v>14884859</v>
      </c>
      <c r="K18" s="82">
        <f>H18/I18-1</f>
        <v>0.5533875837230664</v>
      </c>
      <c r="L18" s="82">
        <f>H18/J18-1</f>
        <v>-0.54043347001137199</v>
      </c>
      <c r="M18" s="41"/>
      <c r="N18" s="85">
        <f>SUM(N6:N17)</f>
        <v>381558</v>
      </c>
      <c r="O18" s="85">
        <f>SUM(O6:O17)</f>
        <v>307922</v>
      </c>
      <c r="P18" s="85">
        <f>SUM(P6:P17)</f>
        <v>854723</v>
      </c>
      <c r="Q18" s="82">
        <f>N18/O18-1</f>
        <v>0.23913848312234909</v>
      </c>
      <c r="R18" s="82">
        <f>N18/P18-1</f>
        <v>-0.55358870651661418</v>
      </c>
    </row>
    <row r="19" spans="1:18" x14ac:dyDescent="0.25">
      <c r="A19" s="37"/>
      <c r="B19" s="37"/>
      <c r="C19" s="37"/>
      <c r="G19" s="41"/>
      <c r="H19" s="41"/>
    </row>
    <row r="20" spans="1:18" x14ac:dyDescent="0.25">
      <c r="A20" s="43" t="s">
        <v>41</v>
      </c>
      <c r="B20" s="43"/>
      <c r="C20" s="58"/>
      <c r="J20" s="39"/>
      <c r="K20" s="39"/>
      <c r="O20" s="39"/>
      <c r="P20" s="39"/>
    </row>
    <row r="21" spans="1:18" x14ac:dyDescent="0.25">
      <c r="A21" s="2" t="s">
        <v>49</v>
      </c>
      <c r="B21" s="2"/>
      <c r="O21" s="39"/>
      <c r="P21" s="49"/>
    </row>
    <row r="23" spans="1:18" x14ac:dyDescent="0.25">
      <c r="C23" s="29"/>
      <c r="D23" s="29"/>
      <c r="E23" s="29"/>
      <c r="F23" s="29"/>
    </row>
  </sheetData>
  <mergeCells count="4">
    <mergeCell ref="A1:Q1"/>
    <mergeCell ref="N3:R3"/>
    <mergeCell ref="H3:L3"/>
    <mergeCell ref="B3:F3"/>
  </mergeCells>
  <phoneticPr fontId="17" type="noConversion"/>
  <pageMargins left="0.7" right="0.7" top="0.75" bottom="0.75" header="0.3" footer="0.3"/>
  <pageSetup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  <pageSetUpPr fitToPage="1"/>
  </sheetPr>
  <dimension ref="A1:AP23"/>
  <sheetViews>
    <sheetView zoomScaleNormal="100" zoomScaleSheetLayoutView="100" workbookViewId="0">
      <selection activeCell="P19" sqref="P19"/>
    </sheetView>
  </sheetViews>
  <sheetFormatPr baseColWidth="10" defaultColWidth="8.83203125" defaultRowHeight="19" x14ac:dyDescent="0.25"/>
  <cols>
    <col min="1" max="18" width="13.83203125" style="33" customWidth="1"/>
  </cols>
  <sheetData>
    <row r="1" spans="1:42" ht="34" customHeight="1" x14ac:dyDescent="0.2">
      <c r="A1" s="106" t="s">
        <v>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75"/>
      <c r="N3" s="113" t="s">
        <v>16</v>
      </c>
      <c r="O3" s="114"/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f t="shared" ref="B6:D7" si="0">SUM(H6,N6)</f>
        <v>769908</v>
      </c>
      <c r="C6" s="81">
        <f t="shared" si="0"/>
        <v>4237162</v>
      </c>
      <c r="D6" s="81">
        <f t="shared" si="0"/>
        <v>4151715</v>
      </c>
      <c r="E6" s="82">
        <f t="shared" ref="E6:E16" si="1">B6/C6-1</f>
        <v>-0.81829630304434908</v>
      </c>
      <c r="F6" s="82">
        <f t="shared" ref="F6:F11" si="2">B6/D6-1</f>
        <v>-0.81455663502913855</v>
      </c>
      <c r="G6" s="41"/>
      <c r="H6" s="65">
        <v>628767</v>
      </c>
      <c r="I6" s="65">
        <v>3038185</v>
      </c>
      <c r="J6" s="65">
        <v>3006978</v>
      </c>
      <c r="K6" s="82">
        <f t="shared" ref="K6:K11" si="3">H6/I6-1</f>
        <v>-0.79304518980904715</v>
      </c>
      <c r="L6" s="82">
        <f t="shared" ref="L6:L11" si="4">H6/J6-1</f>
        <v>-0.79089737271107408</v>
      </c>
      <c r="M6" s="37"/>
      <c r="N6" s="65">
        <v>141141</v>
      </c>
      <c r="O6" s="65">
        <v>1198977</v>
      </c>
      <c r="P6" s="65">
        <v>1144737</v>
      </c>
      <c r="Q6" s="82">
        <f t="shared" ref="Q6:Q14" si="5">N6/O6-1</f>
        <v>-0.88228214552906348</v>
      </c>
      <c r="R6" s="82">
        <f t="shared" ref="R6:R14" si="6">N6/P6-1</f>
        <v>-0.87670443079938887</v>
      </c>
    </row>
    <row r="7" spans="1:42" x14ac:dyDescent="0.25">
      <c r="A7" s="50" t="s">
        <v>4</v>
      </c>
      <c r="B7" s="83">
        <f t="shared" si="0"/>
        <v>736203</v>
      </c>
      <c r="C7" s="83">
        <f t="shared" si="0"/>
        <v>3739287</v>
      </c>
      <c r="D7" s="83">
        <f t="shared" si="0"/>
        <v>3749553</v>
      </c>
      <c r="E7" s="84">
        <f t="shared" si="1"/>
        <v>-0.80311674391401355</v>
      </c>
      <c r="F7" s="84">
        <f t="shared" si="2"/>
        <v>-0.80365579577085589</v>
      </c>
      <c r="G7" s="41"/>
      <c r="H7" s="66">
        <v>642790</v>
      </c>
      <c r="I7" s="66">
        <v>2870789</v>
      </c>
      <c r="J7" s="66">
        <v>2762567</v>
      </c>
      <c r="K7" s="94">
        <f t="shared" si="3"/>
        <v>-0.77609291382961265</v>
      </c>
      <c r="L7" s="94">
        <f t="shared" si="4"/>
        <v>-0.76732148034780701</v>
      </c>
      <c r="M7" s="41"/>
      <c r="N7" s="67">
        <v>93413</v>
      </c>
      <c r="O7" s="67">
        <v>868498</v>
      </c>
      <c r="P7" s="67">
        <v>986986</v>
      </c>
      <c r="Q7" s="96">
        <f t="shared" si="5"/>
        <v>-0.89244304534955754</v>
      </c>
      <c r="R7" s="96">
        <f t="shared" si="6"/>
        <v>-0.90535529379342772</v>
      </c>
    </row>
    <row r="8" spans="1:42" x14ac:dyDescent="0.25">
      <c r="A8" s="42" t="s">
        <v>5</v>
      </c>
      <c r="B8" s="81">
        <f>SUM(H8,N8)</f>
        <v>1159844</v>
      </c>
      <c r="C8" s="81">
        <f>SUM(I8,O8)</f>
        <v>1887581</v>
      </c>
      <c r="D8" s="81">
        <f>SUM(J8,P8)</f>
        <v>4595505</v>
      </c>
      <c r="E8" s="82">
        <f t="shared" si="1"/>
        <v>-0.38553948148450323</v>
      </c>
      <c r="F8" s="82">
        <f t="shared" si="2"/>
        <v>-0.74761337437343667</v>
      </c>
      <c r="G8" s="41"/>
      <c r="H8" s="65">
        <v>1029766</v>
      </c>
      <c r="I8" s="65">
        <v>1431537</v>
      </c>
      <c r="J8" s="65">
        <v>3449468</v>
      </c>
      <c r="K8" s="82">
        <f t="shared" si="3"/>
        <v>-0.28065708395940869</v>
      </c>
      <c r="L8" s="82">
        <f t="shared" si="4"/>
        <v>-0.70147106742257059</v>
      </c>
      <c r="M8" s="41"/>
      <c r="N8" s="65">
        <v>130078</v>
      </c>
      <c r="O8" s="65">
        <v>456044</v>
      </c>
      <c r="P8" s="65">
        <v>1146037</v>
      </c>
      <c r="Q8" s="82">
        <f t="shared" si="5"/>
        <v>-0.71476875038373489</v>
      </c>
      <c r="R8" s="82">
        <f t="shared" si="6"/>
        <v>-0.88649755636161831</v>
      </c>
    </row>
    <row r="9" spans="1:42" x14ac:dyDescent="0.25">
      <c r="A9" s="50" t="s">
        <v>6</v>
      </c>
      <c r="B9" s="83">
        <f t="shared" ref="B9:B17" si="7">SUM(H9,N9)</f>
        <v>1455912</v>
      </c>
      <c r="C9" s="83">
        <f>I9+O9</f>
        <v>137830</v>
      </c>
      <c r="D9" s="83">
        <f t="shared" ref="D9" si="8">SUM(J9,P9)</f>
        <v>4688092</v>
      </c>
      <c r="E9" s="84">
        <f t="shared" si="1"/>
        <v>9.5630994703620402</v>
      </c>
      <c r="F9" s="84">
        <f t="shared" si="2"/>
        <v>-0.68944466106893809</v>
      </c>
      <c r="G9" s="41"/>
      <c r="H9" s="66">
        <v>1314414</v>
      </c>
      <c r="I9" s="66">
        <v>120720</v>
      </c>
      <c r="J9" s="66">
        <v>3488454</v>
      </c>
      <c r="K9" s="94">
        <f t="shared" si="3"/>
        <v>9.8881212723658045</v>
      </c>
      <c r="L9" s="94">
        <f t="shared" si="4"/>
        <v>-0.62321016702527832</v>
      </c>
      <c r="M9" s="41"/>
      <c r="N9" s="67">
        <v>141498</v>
      </c>
      <c r="O9" s="67">
        <v>17110</v>
      </c>
      <c r="P9" s="67">
        <v>1199638</v>
      </c>
      <c r="Q9" s="96">
        <f t="shared" si="5"/>
        <v>7.2699006428988895</v>
      </c>
      <c r="R9" s="96">
        <f t="shared" si="6"/>
        <v>-0.88204941824116945</v>
      </c>
    </row>
    <row r="10" spans="1:42" x14ac:dyDescent="0.25">
      <c r="A10" s="38" t="s">
        <v>7</v>
      </c>
      <c r="B10" s="81">
        <f t="shared" si="7"/>
        <v>1739021</v>
      </c>
      <c r="C10" s="81">
        <v>286570</v>
      </c>
      <c r="D10" s="81">
        <f t="shared" ref="D10:D17" si="9">SUM(J10,P10)</f>
        <v>5002917</v>
      </c>
      <c r="E10" s="82">
        <f t="shared" si="1"/>
        <v>5.0683986460550647</v>
      </c>
      <c r="F10" s="82">
        <f t="shared" si="2"/>
        <v>-0.65239859066220762</v>
      </c>
      <c r="G10" s="41"/>
      <c r="H10" s="65">
        <v>1568389</v>
      </c>
      <c r="I10" s="65">
        <v>268489</v>
      </c>
      <c r="J10" s="65">
        <v>3665245</v>
      </c>
      <c r="K10" s="82">
        <f t="shared" si="3"/>
        <v>4.8415391319569885</v>
      </c>
      <c r="L10" s="82">
        <f t="shared" si="4"/>
        <v>-0.57209163371070693</v>
      </c>
      <c r="M10" s="41"/>
      <c r="N10" s="65">
        <v>170632</v>
      </c>
      <c r="O10" s="65">
        <v>18081</v>
      </c>
      <c r="P10" s="65">
        <v>1337672</v>
      </c>
      <c r="Q10" s="82">
        <f t="shared" si="5"/>
        <v>8.4370886566008512</v>
      </c>
      <c r="R10" s="82">
        <f t="shared" si="6"/>
        <v>-0.87244107673630011</v>
      </c>
    </row>
    <row r="11" spans="1:42" x14ac:dyDescent="0.25">
      <c r="A11" s="50" t="s">
        <v>8</v>
      </c>
      <c r="B11" s="83">
        <f t="shared" si="7"/>
        <v>2245395</v>
      </c>
      <c r="C11" s="83">
        <v>554760</v>
      </c>
      <c r="D11" s="83">
        <f t="shared" si="9"/>
        <v>5457655</v>
      </c>
      <c r="E11" s="84">
        <f t="shared" si="1"/>
        <v>3.0475070300670559</v>
      </c>
      <c r="F11" s="84">
        <f t="shared" si="2"/>
        <v>-0.5885787943723082</v>
      </c>
      <c r="G11" s="41"/>
      <c r="H11" s="66">
        <v>1976577</v>
      </c>
      <c r="I11" s="66">
        <v>510795</v>
      </c>
      <c r="J11" s="66">
        <v>3970724</v>
      </c>
      <c r="K11" s="94">
        <f t="shared" si="3"/>
        <v>2.8696091386955627</v>
      </c>
      <c r="L11" s="94">
        <f t="shared" si="4"/>
        <v>-0.50221244286936084</v>
      </c>
      <c r="M11" s="41"/>
      <c r="N11" s="67">
        <v>268818</v>
      </c>
      <c r="O11" s="67">
        <v>43965</v>
      </c>
      <c r="P11" s="67">
        <v>1486931</v>
      </c>
      <c r="Q11" s="96">
        <f t="shared" si="5"/>
        <v>5.1143636983964518</v>
      </c>
      <c r="R11" s="96">
        <f t="shared" si="6"/>
        <v>-0.81921286192836118</v>
      </c>
    </row>
    <row r="12" spans="1:42" x14ac:dyDescent="0.25">
      <c r="A12" s="38" t="s">
        <v>9</v>
      </c>
      <c r="B12" s="81">
        <f t="shared" si="7"/>
        <v>2731674</v>
      </c>
      <c r="C12" s="81">
        <v>765274</v>
      </c>
      <c r="D12" s="81">
        <f t="shared" si="9"/>
        <v>5604464</v>
      </c>
      <c r="E12" s="82">
        <f t="shared" ref="E12" si="10">B12/C12-1</f>
        <v>2.5695371853741276</v>
      </c>
      <c r="F12" s="82">
        <f t="shared" ref="F12:F17" si="11">B12/D12-1</f>
        <v>-0.51258960714173551</v>
      </c>
      <c r="G12" s="41"/>
      <c r="H12" s="65">
        <v>2363214</v>
      </c>
      <c r="I12" s="65">
        <v>694324</v>
      </c>
      <c r="J12" s="65">
        <v>4081450</v>
      </c>
      <c r="K12" s="82">
        <f t="shared" ref="K12:K14" si="12">H12/I12-1</f>
        <v>2.4036184835897938</v>
      </c>
      <c r="L12" s="82">
        <f t="shared" ref="L12:L14" si="13">H12/J12-1</f>
        <v>-0.42098665915299704</v>
      </c>
      <c r="M12" s="41"/>
      <c r="N12" s="65">
        <v>368460</v>
      </c>
      <c r="O12" s="65">
        <v>70950</v>
      </c>
      <c r="P12" s="65">
        <v>1523014</v>
      </c>
      <c r="Q12" s="82">
        <f t="shared" si="5"/>
        <v>4.19323467230444</v>
      </c>
      <c r="R12" s="82">
        <f t="shared" si="6"/>
        <v>-0.75807182337128876</v>
      </c>
    </row>
    <row r="13" spans="1:42" x14ac:dyDescent="0.25">
      <c r="A13" s="50" t="s">
        <v>10</v>
      </c>
      <c r="B13" s="83">
        <f t="shared" si="7"/>
        <v>2648891</v>
      </c>
      <c r="C13" s="83">
        <f>I13+O13</f>
        <v>852398</v>
      </c>
      <c r="D13" s="83">
        <f t="shared" si="9"/>
        <v>5734116</v>
      </c>
      <c r="E13" s="84">
        <f t="shared" si="1"/>
        <v>2.1075753345268291</v>
      </c>
      <c r="F13" s="84">
        <f t="shared" si="11"/>
        <v>-0.53804718983710831</v>
      </c>
      <c r="G13" s="41"/>
      <c r="H13" s="66">
        <v>2250919</v>
      </c>
      <c r="I13" s="66">
        <v>750406</v>
      </c>
      <c r="J13" s="66">
        <v>4227342</v>
      </c>
      <c r="K13" s="94">
        <f t="shared" si="12"/>
        <v>1.9996015490281263</v>
      </c>
      <c r="L13" s="94">
        <f t="shared" si="13"/>
        <v>-0.46753326321835331</v>
      </c>
      <c r="M13" s="41"/>
      <c r="N13" s="67">
        <v>397972</v>
      </c>
      <c r="O13" s="67">
        <v>101992</v>
      </c>
      <c r="P13" s="67">
        <v>1506774</v>
      </c>
      <c r="Q13" s="96">
        <f t="shared" si="5"/>
        <v>2.901992313122598</v>
      </c>
      <c r="R13" s="96">
        <f t="shared" si="6"/>
        <v>-0.73587810779851526</v>
      </c>
    </row>
    <row r="14" spans="1:42" s="48" customFormat="1" x14ac:dyDescent="0.25">
      <c r="A14" s="44" t="s">
        <v>11</v>
      </c>
      <c r="B14" s="81">
        <f t="shared" si="7"/>
        <v>2419817</v>
      </c>
      <c r="C14" s="81">
        <v>905992</v>
      </c>
      <c r="D14" s="81">
        <f t="shared" si="9"/>
        <v>4464816</v>
      </c>
      <c r="E14" s="82">
        <f t="shared" si="1"/>
        <v>1.6709032750841066</v>
      </c>
      <c r="F14" s="82">
        <f t="shared" ref="F14" si="14">B14/D14-1</f>
        <v>-0.45802536991446008</v>
      </c>
      <c r="G14" s="41"/>
      <c r="H14" s="65">
        <v>2082533</v>
      </c>
      <c r="I14" s="65">
        <v>803620</v>
      </c>
      <c r="J14" s="65">
        <v>3192029</v>
      </c>
      <c r="K14" s="95">
        <f t="shared" si="12"/>
        <v>1.5914399840720739</v>
      </c>
      <c r="L14" s="95">
        <f t="shared" si="13"/>
        <v>-0.34758330829701112</v>
      </c>
      <c r="M14" s="47"/>
      <c r="N14" s="65">
        <v>337284</v>
      </c>
      <c r="O14" s="65">
        <v>102372</v>
      </c>
      <c r="P14" s="65">
        <v>1272787</v>
      </c>
      <c r="Q14" s="95">
        <f t="shared" si="5"/>
        <v>2.2946899542843746</v>
      </c>
      <c r="R14" s="95">
        <f t="shared" si="6"/>
        <v>-0.73500357876062528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f t="shared" si="7"/>
        <v>2711480</v>
      </c>
      <c r="C15" s="83">
        <v>1073882</v>
      </c>
      <c r="D15" s="83">
        <f t="shared" si="9"/>
        <v>4817703</v>
      </c>
      <c r="E15" s="84">
        <f t="shared" si="1"/>
        <v>1.524932906967432</v>
      </c>
      <c r="F15" s="84">
        <f t="shared" si="11"/>
        <v>-0.43718406883944483</v>
      </c>
      <c r="G15" s="41"/>
      <c r="H15" s="66">
        <v>2363925</v>
      </c>
      <c r="I15" s="66">
        <v>952309</v>
      </c>
      <c r="J15" s="66">
        <v>3578718</v>
      </c>
      <c r="K15" s="94">
        <f t="shared" ref="K15" si="15">H15/I15-1</f>
        <v>1.4823087884289659</v>
      </c>
      <c r="L15" s="94">
        <f t="shared" ref="L15:L16" si="16">H15/J15-1</f>
        <v>-0.33944921058323119</v>
      </c>
      <c r="M15" s="41"/>
      <c r="N15" s="67">
        <v>347555</v>
      </c>
      <c r="O15" s="67">
        <v>121573</v>
      </c>
      <c r="P15" s="67">
        <v>1238985</v>
      </c>
      <c r="Q15" s="96">
        <f t="shared" ref="Q15:Q16" si="17">N15/O15-1</f>
        <v>1.8588173360861378</v>
      </c>
      <c r="R15" s="96">
        <f t="shared" ref="R15:R16" si="18">N15/P15-1</f>
        <v>-0.71948409383487288</v>
      </c>
    </row>
    <row r="16" spans="1:42" x14ac:dyDescent="0.25">
      <c r="A16" s="42" t="s">
        <v>13</v>
      </c>
      <c r="B16" s="81">
        <f t="shared" si="7"/>
        <v>2797518</v>
      </c>
      <c r="C16" s="81">
        <v>1073882</v>
      </c>
      <c r="D16" s="81">
        <f t="shared" si="9"/>
        <v>4364780</v>
      </c>
      <c r="E16" s="82">
        <f t="shared" si="1"/>
        <v>1.605051579223788</v>
      </c>
      <c r="F16" s="82">
        <f t="shared" si="11"/>
        <v>-0.35907010204408929</v>
      </c>
      <c r="G16" s="41"/>
      <c r="H16" s="65">
        <v>2382906</v>
      </c>
      <c r="I16" s="65">
        <v>915452</v>
      </c>
      <c r="J16" s="65">
        <v>3228934</v>
      </c>
      <c r="K16" s="95">
        <f>H16/I16-1</f>
        <v>1.6029830073013112</v>
      </c>
      <c r="L16" s="95">
        <f t="shared" si="16"/>
        <v>-0.26201464631980709</v>
      </c>
      <c r="M16" s="41"/>
      <c r="N16" s="65">
        <v>414612</v>
      </c>
      <c r="O16" s="65">
        <v>136787</v>
      </c>
      <c r="P16" s="65">
        <v>1135846</v>
      </c>
      <c r="Q16" s="95">
        <f t="shared" si="17"/>
        <v>2.0310775146761024</v>
      </c>
      <c r="R16" s="95">
        <f t="shared" si="18"/>
        <v>-0.63497516388665365</v>
      </c>
    </row>
    <row r="17" spans="1:18" x14ac:dyDescent="0.25">
      <c r="A17" s="50" t="s">
        <v>14</v>
      </c>
      <c r="B17" s="83">
        <f t="shared" si="7"/>
        <v>2909816</v>
      </c>
      <c r="C17" s="83">
        <f>SUM(I17,O17)</f>
        <v>918662</v>
      </c>
      <c r="D17" s="83">
        <f t="shared" si="9"/>
        <v>4715471</v>
      </c>
      <c r="E17" s="84">
        <f t="shared" ref="E17" si="19">B17/C17-1</f>
        <v>2.1674500523587565</v>
      </c>
      <c r="F17" s="84">
        <f t="shared" ref="F17" si="20">B17/D17-1</f>
        <v>-0.38292145153686663</v>
      </c>
      <c r="G17" s="41"/>
      <c r="H17" s="66">
        <v>2385441</v>
      </c>
      <c r="I17" s="66">
        <v>760119</v>
      </c>
      <c r="J17" s="66">
        <v>3457081</v>
      </c>
      <c r="K17" s="94">
        <f t="shared" ref="K17" si="21">H17/I17-1</f>
        <v>2.1382467745182003</v>
      </c>
      <c r="L17" s="94">
        <f t="shared" ref="L17" si="22">H17/J17-1</f>
        <v>-0.30998405880568025</v>
      </c>
      <c r="M17" s="41"/>
      <c r="N17" s="67">
        <v>524375</v>
      </c>
      <c r="O17" s="67">
        <v>158543</v>
      </c>
      <c r="P17" s="67">
        <v>1258390</v>
      </c>
      <c r="Q17" s="96">
        <f t="shared" ref="Q17" si="23">N17/O17-1</f>
        <v>2.3074623288319258</v>
      </c>
      <c r="R17" s="96">
        <f t="shared" ref="R17" si="24">N17/P17-1</f>
        <v>-0.58329691113247883</v>
      </c>
    </row>
    <row r="18" spans="1:18" x14ac:dyDescent="0.25">
      <c r="A18" s="38" t="s">
        <v>28</v>
      </c>
      <c r="B18" s="85">
        <f>SUM(B6:B17)</f>
        <v>24325479</v>
      </c>
      <c r="C18" s="85">
        <f>SUM(C6:C17)</f>
        <v>16433280</v>
      </c>
      <c r="D18" s="85">
        <f>SUM(D6:D17)</f>
        <v>57346787</v>
      </c>
      <c r="E18" s="82">
        <f>B18/C18-1</f>
        <v>0.4802570758850333</v>
      </c>
      <c r="F18" s="82">
        <f>B18/D18-1</f>
        <v>-0.57581792681776567</v>
      </c>
      <c r="G18" s="41"/>
      <c r="H18" s="85">
        <f>SUM(H6:H17)</f>
        <v>20989641</v>
      </c>
      <c r="I18" s="85">
        <f>SUM(I7:I17)</f>
        <v>10078560</v>
      </c>
      <c r="J18" s="85">
        <f>SUM(J7:J17)</f>
        <v>39102012</v>
      </c>
      <c r="K18" s="82">
        <f>H18/I18-1</f>
        <v>1.082603169500405</v>
      </c>
      <c r="L18" s="82">
        <f>H18/J18-1</f>
        <v>-0.46320815921185843</v>
      </c>
      <c r="M18" s="41"/>
      <c r="N18" s="85">
        <f>SUM(N6:N17)</f>
        <v>3335838</v>
      </c>
      <c r="O18" s="85">
        <f>SUM(O6:O17)</f>
        <v>3294892</v>
      </c>
      <c r="P18" s="85">
        <f>SUM(P6:P17)</f>
        <v>15237797</v>
      </c>
      <c r="Q18" s="82">
        <f>N18/O18-1</f>
        <v>1.2427114454737875E-2</v>
      </c>
      <c r="R18" s="82">
        <f>N18/P18-1</f>
        <v>-0.78108134660148054</v>
      </c>
    </row>
    <row r="19" spans="1:18" x14ac:dyDescent="0.25">
      <c r="A19" s="37"/>
      <c r="B19" s="37"/>
      <c r="C19" s="37"/>
      <c r="G19" s="41"/>
      <c r="H19" s="41"/>
    </row>
    <row r="20" spans="1:18" x14ac:dyDescent="0.25">
      <c r="A20" s="43" t="s">
        <v>42</v>
      </c>
      <c r="B20" s="43"/>
      <c r="C20" s="58"/>
      <c r="J20" s="39"/>
      <c r="K20" s="39"/>
      <c r="O20" s="39"/>
      <c r="P20" s="39"/>
    </row>
    <row r="21" spans="1:18" x14ac:dyDescent="0.25">
      <c r="A21" s="2" t="s">
        <v>49</v>
      </c>
      <c r="B21" s="2"/>
      <c r="O21" s="39"/>
      <c r="P21" s="49"/>
    </row>
    <row r="22" spans="1:18" x14ac:dyDescent="0.25">
      <c r="Q22" s="33" t="s">
        <v>50</v>
      </c>
    </row>
    <row r="23" spans="1:18" x14ac:dyDescent="0.25">
      <c r="C23" s="29"/>
      <c r="D23" s="29"/>
      <c r="E23" s="29"/>
      <c r="F23" s="29"/>
    </row>
  </sheetData>
  <mergeCells count="4">
    <mergeCell ref="A1:Q1"/>
    <mergeCell ref="N3:R3"/>
    <mergeCell ref="H3:L3"/>
    <mergeCell ref="B3:F3"/>
  </mergeCells>
  <phoneticPr fontId="17" type="noConversion"/>
  <pageMargins left="0.7" right="0.7" top="0.75" bottom="0.75" header="0.3" footer="0.3"/>
  <pageSetup scale="5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4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4.6640625" style="28" customWidth="1"/>
    <col min="2" max="2" width="4.6640625" customWidth="1"/>
    <col min="3" max="3" width="11" customWidth="1"/>
    <col min="4" max="4" width="14.33203125" customWidth="1"/>
    <col min="5" max="5" width="14.6640625" customWidth="1"/>
    <col min="6" max="6" width="11.1640625" customWidth="1"/>
    <col min="7" max="7" width="14.6640625" customWidth="1"/>
    <col min="8" max="8" width="17.5" customWidth="1"/>
    <col min="9" max="9" width="17.83203125" customWidth="1"/>
    <col min="10" max="10" width="14.6640625" customWidth="1"/>
    <col min="11" max="11" width="10.33203125" customWidth="1"/>
    <col min="12" max="45" width="9.1640625" customWidth="1"/>
  </cols>
  <sheetData>
    <row r="1" spans="1:9" x14ac:dyDescent="0.2">
      <c r="B1" s="30"/>
      <c r="C1" s="31" t="s">
        <v>36</v>
      </c>
      <c r="D1" s="32"/>
      <c r="E1" s="32"/>
    </row>
    <row r="3" spans="1:9" ht="19" x14ac:dyDescent="0.25">
      <c r="A3" s="118" t="s">
        <v>30</v>
      </c>
      <c r="B3" s="118"/>
      <c r="C3" s="118"/>
      <c r="D3" s="118"/>
      <c r="E3" s="118"/>
      <c r="F3" s="118"/>
      <c r="G3" s="118"/>
      <c r="H3" s="118"/>
      <c r="I3" s="118"/>
    </row>
    <row r="4" spans="1:9" x14ac:dyDescent="0.2">
      <c r="C4" s="1"/>
      <c r="D4" s="1"/>
      <c r="E4" s="1"/>
      <c r="F4" s="1"/>
    </row>
    <row r="5" spans="1:9" ht="16" x14ac:dyDescent="0.2">
      <c r="A5" s="28">
        <v>1</v>
      </c>
      <c r="C5" s="26" t="s">
        <v>27</v>
      </c>
      <c r="D5" s="7"/>
      <c r="E5" s="1"/>
      <c r="F5" s="24" t="s">
        <v>31</v>
      </c>
      <c r="G5" s="20"/>
    </row>
    <row r="6" spans="1:9" x14ac:dyDescent="0.2">
      <c r="C6" s="9"/>
      <c r="D6" s="10"/>
      <c r="E6" s="1"/>
      <c r="F6" s="21"/>
      <c r="G6" s="22"/>
      <c r="H6" t="s">
        <v>33</v>
      </c>
    </row>
    <row r="7" spans="1:9" x14ac:dyDescent="0.2">
      <c r="C7" s="11"/>
      <c r="D7" s="12"/>
      <c r="E7" s="1"/>
      <c r="F7" s="22"/>
      <c r="G7" s="22"/>
    </row>
    <row r="8" spans="1:9" x14ac:dyDescent="0.2">
      <c r="C8" s="1"/>
      <c r="D8" s="1"/>
      <c r="E8" s="1"/>
    </row>
    <row r="9" spans="1:9" ht="16" x14ac:dyDescent="0.2">
      <c r="A9" s="28">
        <v>2</v>
      </c>
      <c r="C9" s="26" t="s">
        <v>26</v>
      </c>
      <c r="D9" s="7"/>
      <c r="E9" s="1"/>
      <c r="F9" s="1"/>
    </row>
    <row r="10" spans="1:9" ht="16" x14ac:dyDescent="0.2">
      <c r="C10" s="9"/>
      <c r="D10" s="13"/>
      <c r="E10" s="1"/>
      <c r="F10" s="24" t="s">
        <v>32</v>
      </c>
      <c r="G10" s="25"/>
    </row>
    <row r="11" spans="1:9" x14ac:dyDescent="0.2">
      <c r="C11" s="11"/>
      <c r="D11" s="14"/>
      <c r="E11" s="1"/>
      <c r="F11" s="23"/>
      <c r="G11" s="23"/>
      <c r="H11" t="s">
        <v>33</v>
      </c>
    </row>
    <row r="12" spans="1:9" x14ac:dyDescent="0.2">
      <c r="C12" s="1"/>
      <c r="D12" s="1"/>
      <c r="E12" s="1"/>
      <c r="F12" s="23"/>
      <c r="G12" s="23"/>
    </row>
    <row r="13" spans="1:9" ht="16" x14ac:dyDescent="0.2">
      <c r="A13" s="28">
        <v>3</v>
      </c>
      <c r="C13" s="26" t="s">
        <v>21</v>
      </c>
      <c r="D13" s="7"/>
      <c r="E13" s="1"/>
    </row>
    <row r="14" spans="1:9" x14ac:dyDescent="0.2">
      <c r="C14" s="9"/>
      <c r="D14" s="10"/>
      <c r="E14" s="1"/>
    </row>
    <row r="15" spans="1:9" x14ac:dyDescent="0.2">
      <c r="C15" s="11"/>
      <c r="D15" s="12"/>
      <c r="E15" s="1"/>
    </row>
    <row r="16" spans="1:9" x14ac:dyDescent="0.2">
      <c r="C16" s="1"/>
      <c r="D16" s="1"/>
      <c r="E16" s="1"/>
    </row>
    <row r="17" spans="1:6" ht="16" x14ac:dyDescent="0.2">
      <c r="A17" s="28">
        <v>4</v>
      </c>
      <c r="C17" s="26" t="s">
        <v>25</v>
      </c>
      <c r="D17" s="7"/>
      <c r="E17" s="1"/>
    </row>
    <row r="18" spans="1:6" x14ac:dyDescent="0.2">
      <c r="C18" s="9"/>
      <c r="D18" s="15"/>
      <c r="E18" s="1"/>
    </row>
    <row r="19" spans="1:6" x14ac:dyDescent="0.2">
      <c r="C19" s="19"/>
      <c r="D19" s="16"/>
      <c r="E19" s="1"/>
    </row>
    <row r="20" spans="1:6" x14ac:dyDescent="0.2">
      <c r="C20" s="1"/>
      <c r="D20" s="1"/>
      <c r="E20" s="1"/>
      <c r="F20" s="1"/>
    </row>
    <row r="21" spans="1:6" ht="16" x14ac:dyDescent="0.2">
      <c r="A21" s="28">
        <v>5</v>
      </c>
      <c r="C21" s="26" t="s">
        <v>20</v>
      </c>
      <c r="D21" s="7"/>
    </row>
    <row r="22" spans="1:6" x14ac:dyDescent="0.2">
      <c r="C22" s="9"/>
      <c r="D22" s="13"/>
    </row>
    <row r="23" spans="1:6" x14ac:dyDescent="0.2">
      <c r="C23" s="19"/>
      <c r="D23" s="14"/>
    </row>
    <row r="24" spans="1:6" x14ac:dyDescent="0.2">
      <c r="C24" s="1"/>
      <c r="D24" s="1"/>
      <c r="E24" s="1"/>
    </row>
    <row r="25" spans="1:6" ht="16" x14ac:dyDescent="0.2">
      <c r="A25" s="28">
        <v>6</v>
      </c>
      <c r="C25" s="26" t="s">
        <v>22</v>
      </c>
      <c r="D25" s="7"/>
      <c r="E25" s="8"/>
    </row>
    <row r="26" spans="1:6" x14ac:dyDescent="0.2">
      <c r="C26" s="9"/>
      <c r="D26" s="10"/>
      <c r="E26" s="1"/>
    </row>
    <row r="27" spans="1:6" x14ac:dyDescent="0.2">
      <c r="C27" s="11"/>
      <c r="D27" s="12"/>
      <c r="E27" s="1"/>
    </row>
    <row r="28" spans="1:6" x14ac:dyDescent="0.2">
      <c r="C28" s="1"/>
      <c r="D28" s="1"/>
      <c r="E28" s="1"/>
    </row>
    <row r="29" spans="1:6" ht="16" x14ac:dyDescent="0.2">
      <c r="A29" s="28">
        <v>7</v>
      </c>
      <c r="C29" s="27" t="s">
        <v>34</v>
      </c>
      <c r="D29" s="8"/>
      <c r="E29" s="1"/>
    </row>
    <row r="30" spans="1:6" x14ac:dyDescent="0.2">
      <c r="C30" s="9"/>
      <c r="D30" s="17"/>
      <c r="E30" s="1"/>
    </row>
    <row r="31" spans="1:6" x14ac:dyDescent="0.2">
      <c r="C31" s="11"/>
      <c r="D31" s="18"/>
      <c r="E31" s="1"/>
    </row>
    <row r="32" spans="1:6" x14ac:dyDescent="0.2">
      <c r="C32" s="1"/>
      <c r="D32" s="1"/>
      <c r="E32" s="1"/>
      <c r="F32" s="1"/>
    </row>
    <row r="33" spans="1:7" ht="16" x14ac:dyDescent="0.2">
      <c r="A33" s="28">
        <v>8</v>
      </c>
      <c r="C33" s="26" t="s">
        <v>19</v>
      </c>
      <c r="D33" s="7"/>
      <c r="E33" s="1"/>
      <c r="F33" s="1"/>
    </row>
    <row r="34" spans="1:7" x14ac:dyDescent="0.2">
      <c r="C34" s="9"/>
      <c r="D34" s="13"/>
      <c r="E34" s="1"/>
      <c r="F34" s="1"/>
    </row>
    <row r="35" spans="1:7" x14ac:dyDescent="0.2">
      <c r="C35" s="11"/>
      <c r="D35" s="14"/>
      <c r="E35" s="1"/>
      <c r="F35" s="1"/>
    </row>
    <row r="36" spans="1:7" x14ac:dyDescent="0.2">
      <c r="C36" s="1"/>
      <c r="D36" s="1"/>
      <c r="E36" s="1"/>
      <c r="F36" s="1"/>
    </row>
    <row r="37" spans="1:7" ht="16" x14ac:dyDescent="0.2">
      <c r="A37" s="28">
        <v>9</v>
      </c>
      <c r="C37" s="26" t="s">
        <v>17</v>
      </c>
      <c r="D37" s="7"/>
      <c r="F37" s="1"/>
    </row>
    <row r="38" spans="1:7" x14ac:dyDescent="0.2">
      <c r="C38" s="9"/>
      <c r="D38" s="13"/>
      <c r="F38" s="1"/>
    </row>
    <row r="39" spans="1:7" x14ac:dyDescent="0.2">
      <c r="C39" s="19"/>
      <c r="D39" s="14"/>
      <c r="F39" s="1"/>
    </row>
    <row r="40" spans="1:7" x14ac:dyDescent="0.2">
      <c r="C40" s="1"/>
      <c r="D40" s="1"/>
      <c r="E40" s="1"/>
      <c r="F40" s="1"/>
    </row>
    <row r="41" spans="1:7" ht="16" x14ac:dyDescent="0.2">
      <c r="A41" s="28">
        <v>10</v>
      </c>
      <c r="C41" s="26" t="s">
        <v>24</v>
      </c>
      <c r="D41" s="7"/>
      <c r="E41" s="1"/>
      <c r="F41" s="1"/>
    </row>
    <row r="42" spans="1:7" x14ac:dyDescent="0.2">
      <c r="C42" s="9"/>
      <c r="D42" s="13"/>
      <c r="E42" s="1"/>
      <c r="F42" s="1"/>
      <c r="G42" t="s">
        <v>29</v>
      </c>
    </row>
    <row r="43" spans="1:7" x14ac:dyDescent="0.2">
      <c r="C43" s="11"/>
      <c r="D43" s="14"/>
      <c r="E43" s="1"/>
      <c r="F43" s="1"/>
    </row>
    <row r="44" spans="1:7" x14ac:dyDescent="0.2">
      <c r="C44" s="1"/>
      <c r="D44" s="1"/>
      <c r="E44" s="1"/>
      <c r="F44" s="1"/>
    </row>
  </sheetData>
  <mergeCells count="1">
    <mergeCell ref="A3:I3"/>
  </mergeCells>
  <pageMargins left="0.7" right="0.7" top="0.75" bottom="0.75" header="0.3" footer="0.3"/>
  <pageSetup scale="8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P23"/>
  <sheetViews>
    <sheetView zoomScaleNormal="100" zoomScaleSheetLayoutView="90" workbookViewId="0">
      <selection activeCell="D19" sqref="D19"/>
    </sheetView>
  </sheetViews>
  <sheetFormatPr baseColWidth="10" defaultColWidth="8.83203125" defaultRowHeight="19" x14ac:dyDescent="0.25"/>
  <cols>
    <col min="1" max="18" width="13.83203125" style="33" customWidth="1"/>
    <col min="19" max="19" width="8.83203125" customWidth="1"/>
  </cols>
  <sheetData>
    <row r="1" spans="1:42" ht="34" customHeight="1" x14ac:dyDescent="0.2">
      <c r="A1" s="106" t="s">
        <v>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56</v>
      </c>
      <c r="C3" s="108" t="s">
        <v>47</v>
      </c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75"/>
      <c r="N3" s="113" t="s">
        <v>16</v>
      </c>
      <c r="O3" s="114" t="s">
        <v>16</v>
      </c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f t="shared" ref="B6:D17" si="0">SUM(H6,N6)</f>
        <v>1717612</v>
      </c>
      <c r="C6" s="81">
        <f t="shared" si="0"/>
        <v>6678451</v>
      </c>
      <c r="D6" s="81">
        <f t="shared" si="0"/>
        <v>6766010</v>
      </c>
      <c r="E6" s="82">
        <f t="shared" ref="E6:E11" si="1">B6/C6-1</f>
        <v>-0.74281281692416401</v>
      </c>
      <c r="F6" s="82">
        <f t="shared" ref="F6:F11" si="2">B6/D6-1</f>
        <v>-0.74614107871552071</v>
      </c>
      <c r="G6" s="41"/>
      <c r="H6" s="65">
        <v>1378414</v>
      </c>
      <c r="I6" s="65">
        <v>4624732</v>
      </c>
      <c r="J6" s="65">
        <v>4685933</v>
      </c>
      <c r="K6" s="82">
        <f t="shared" ref="K6:K11" si="3">H6/I6-1</f>
        <v>-0.70194726959313536</v>
      </c>
      <c r="L6" s="82">
        <f t="shared" ref="L6:L11" si="4">H6/J6-1</f>
        <v>-0.70584001094339166</v>
      </c>
      <c r="M6" s="37"/>
      <c r="N6" s="65">
        <v>339198</v>
      </c>
      <c r="O6" s="65">
        <v>2053719</v>
      </c>
      <c r="P6" s="65">
        <v>2080077</v>
      </c>
      <c r="Q6" s="82">
        <f t="shared" ref="Q6:Q11" si="5">N6/O6-1</f>
        <v>-0.83483719048224225</v>
      </c>
      <c r="R6" s="82">
        <f t="shared" ref="R6:R11" si="6">N6/P6-1</f>
        <v>-0.83693007518471674</v>
      </c>
    </row>
    <row r="7" spans="1:42" x14ac:dyDescent="0.25">
      <c r="A7" s="50" t="s">
        <v>4</v>
      </c>
      <c r="B7" s="83">
        <f t="shared" si="0"/>
        <v>1620270</v>
      </c>
      <c r="C7" s="83">
        <f t="shared" si="0"/>
        <v>5821460</v>
      </c>
      <c r="D7" s="83">
        <f t="shared" si="0"/>
        <v>6066401</v>
      </c>
      <c r="E7" s="84">
        <f t="shared" si="1"/>
        <v>-0.72167291366770536</v>
      </c>
      <c r="F7" s="84">
        <f t="shared" si="2"/>
        <v>-0.7329108313149757</v>
      </c>
      <c r="G7" s="41"/>
      <c r="H7" s="66">
        <v>1393881</v>
      </c>
      <c r="I7" s="66">
        <v>4260519</v>
      </c>
      <c r="J7" s="66">
        <v>4334938</v>
      </c>
      <c r="K7" s="94">
        <f t="shared" si="3"/>
        <v>-0.6728377458239243</v>
      </c>
      <c r="L7" s="94">
        <f t="shared" si="4"/>
        <v>-0.67845422472016903</v>
      </c>
      <c r="M7" s="41"/>
      <c r="N7" s="67">
        <v>226389</v>
      </c>
      <c r="O7" s="67">
        <v>1560941</v>
      </c>
      <c r="P7" s="67">
        <v>1731463</v>
      </c>
      <c r="Q7" s="96">
        <f t="shared" si="5"/>
        <v>-0.85496633120662469</v>
      </c>
      <c r="R7" s="96">
        <f t="shared" si="6"/>
        <v>-0.86924987712703072</v>
      </c>
    </row>
    <row r="8" spans="1:42" x14ac:dyDescent="0.25">
      <c r="A8" s="42" t="s">
        <v>5</v>
      </c>
      <c r="B8" s="81">
        <f t="shared" si="0"/>
        <v>2612885</v>
      </c>
      <c r="C8" s="81">
        <f>SUM(I8,O8)</f>
        <v>3287411</v>
      </c>
      <c r="D8" s="81">
        <f>SUM(J8,P8)</f>
        <v>7368798</v>
      </c>
      <c r="E8" s="82">
        <f t="shared" si="1"/>
        <v>-0.20518456621335146</v>
      </c>
      <c r="F8" s="82">
        <f t="shared" si="2"/>
        <v>-0.64541231826411849</v>
      </c>
      <c r="G8" s="41"/>
      <c r="H8" s="65">
        <v>2266387</v>
      </c>
      <c r="I8" s="65">
        <v>2400532</v>
      </c>
      <c r="J8" s="65">
        <v>5322333</v>
      </c>
      <c r="K8" s="82">
        <f t="shared" si="3"/>
        <v>-5.5881362964542824E-2</v>
      </c>
      <c r="L8" s="82">
        <f t="shared" si="4"/>
        <v>-0.57417414506007047</v>
      </c>
      <c r="M8" s="41"/>
      <c r="N8" s="65">
        <v>346498</v>
      </c>
      <c r="O8" s="65">
        <v>886879</v>
      </c>
      <c r="P8" s="65">
        <v>2046465</v>
      </c>
      <c r="Q8" s="82">
        <f t="shared" si="5"/>
        <v>-0.60930634280437346</v>
      </c>
      <c r="R8" s="82">
        <f t="shared" si="6"/>
        <v>-0.83068461957570738</v>
      </c>
    </row>
    <row r="9" spans="1:42" x14ac:dyDescent="0.25">
      <c r="A9" s="50" t="s">
        <v>6</v>
      </c>
      <c r="B9" s="83">
        <f t="shared" si="0"/>
        <v>3074936</v>
      </c>
      <c r="C9" s="83">
        <f>I9+O9</f>
        <v>299364</v>
      </c>
      <c r="D9" s="83">
        <f>SUM(J9,P9)</f>
        <v>7233370</v>
      </c>
      <c r="E9" s="84">
        <f t="shared" si="1"/>
        <v>9.2715623789099553</v>
      </c>
      <c r="F9" s="84">
        <f t="shared" si="2"/>
        <v>-0.57489579545910141</v>
      </c>
      <c r="G9" s="41"/>
      <c r="H9" s="66">
        <v>2650715</v>
      </c>
      <c r="I9" s="66">
        <v>240197</v>
      </c>
      <c r="J9" s="66">
        <v>5116096</v>
      </c>
      <c r="K9" s="94">
        <f t="shared" si="3"/>
        <v>10.03558745529711</v>
      </c>
      <c r="L9" s="94">
        <f t="shared" si="4"/>
        <v>-0.48188716552621369</v>
      </c>
      <c r="M9" s="41"/>
      <c r="N9" s="67">
        <v>424221</v>
      </c>
      <c r="O9" s="67">
        <v>59167</v>
      </c>
      <c r="P9" s="67">
        <v>2117274</v>
      </c>
      <c r="Q9" s="96">
        <f t="shared" si="5"/>
        <v>6.1698920006084474</v>
      </c>
      <c r="R9" s="96">
        <f t="shared" si="6"/>
        <v>-0.79963811958206632</v>
      </c>
    </row>
    <row r="10" spans="1:42" x14ac:dyDescent="0.25">
      <c r="A10" s="38" t="s">
        <v>7</v>
      </c>
      <c r="B10" s="81">
        <f t="shared" si="0"/>
        <v>4054092</v>
      </c>
      <c r="C10" s="81">
        <f>SUM(I10,O10)</f>
        <v>575728</v>
      </c>
      <c r="D10" s="81">
        <f>SUM(J10,P10)</f>
        <v>7613449</v>
      </c>
      <c r="E10" s="82">
        <f t="shared" si="1"/>
        <v>6.0416794041630766</v>
      </c>
      <c r="F10" s="82">
        <f t="shared" si="2"/>
        <v>-0.46750914073240657</v>
      </c>
      <c r="G10" s="41"/>
      <c r="H10" s="65">
        <v>3457046</v>
      </c>
      <c r="I10" s="65">
        <v>510349</v>
      </c>
      <c r="J10" s="65">
        <v>5413746</v>
      </c>
      <c r="K10" s="82">
        <f t="shared" si="3"/>
        <v>5.7738861053906252</v>
      </c>
      <c r="L10" s="82">
        <f t="shared" si="4"/>
        <v>-0.36143180710731537</v>
      </c>
      <c r="M10" s="41"/>
      <c r="N10" s="65">
        <v>597046</v>
      </c>
      <c r="O10" s="65">
        <v>65379</v>
      </c>
      <c r="P10" s="65">
        <v>2199703</v>
      </c>
      <c r="Q10" s="82">
        <f t="shared" si="5"/>
        <v>8.1320760488841977</v>
      </c>
      <c r="R10" s="82">
        <f t="shared" si="6"/>
        <v>-0.72857881268516711</v>
      </c>
    </row>
    <row r="11" spans="1:42" x14ac:dyDescent="0.25">
      <c r="A11" s="50" t="s">
        <v>8</v>
      </c>
      <c r="B11" s="83">
        <f t="shared" si="0"/>
        <v>4887694</v>
      </c>
      <c r="C11" s="83">
        <v>1033861</v>
      </c>
      <c r="D11" s="83">
        <f t="shared" ref="D11" si="7">SUM(J11,P11)</f>
        <v>8035567</v>
      </c>
      <c r="E11" s="84">
        <f t="shared" si="1"/>
        <v>3.7276123192576174</v>
      </c>
      <c r="F11" s="84">
        <f t="shared" si="2"/>
        <v>-0.39174248687118163</v>
      </c>
      <c r="G11" s="41"/>
      <c r="H11" s="66">
        <v>4126205</v>
      </c>
      <c r="I11" s="66">
        <v>905183</v>
      </c>
      <c r="J11" s="66">
        <v>5672492</v>
      </c>
      <c r="K11" s="94">
        <f t="shared" si="3"/>
        <v>3.5584207834216945</v>
      </c>
      <c r="L11" s="94">
        <f t="shared" si="4"/>
        <v>-0.27259394989010122</v>
      </c>
      <c r="M11" s="41"/>
      <c r="N11" s="67">
        <v>761489</v>
      </c>
      <c r="O11" s="67">
        <v>128678</v>
      </c>
      <c r="P11" s="67">
        <v>2363075</v>
      </c>
      <c r="Q11" s="96">
        <f t="shared" si="5"/>
        <v>4.9177870343026777</v>
      </c>
      <c r="R11" s="96">
        <f t="shared" si="6"/>
        <v>-0.67775504374596651</v>
      </c>
    </row>
    <row r="12" spans="1:42" x14ac:dyDescent="0.25">
      <c r="A12" s="38" t="s">
        <v>9</v>
      </c>
      <c r="B12" s="81">
        <f t="shared" si="0"/>
        <v>5561739</v>
      </c>
      <c r="C12" s="81">
        <f>SUM(I12,O12)</f>
        <v>1523462</v>
      </c>
      <c r="D12" s="81">
        <f>SUM(J12,P12)</f>
        <v>8469815</v>
      </c>
      <c r="E12" s="82">
        <f t="shared" ref="E12:E13" si="8">B12/C12-1</f>
        <v>2.6507238119493626</v>
      </c>
      <c r="F12" s="82">
        <f t="shared" ref="F12:F13" si="9">B12/D12-1</f>
        <v>-0.34334587001014782</v>
      </c>
      <c r="G12" s="41"/>
      <c r="H12" s="65">
        <v>4637866</v>
      </c>
      <c r="I12" s="65">
        <v>1331681</v>
      </c>
      <c r="J12" s="65">
        <v>5933926</v>
      </c>
      <c r="K12" s="82">
        <f t="shared" ref="K12" si="10">H12/I12-1</f>
        <v>2.4827154551277673</v>
      </c>
      <c r="L12" s="82">
        <f t="shared" ref="L12" si="11">H12/J12-1</f>
        <v>-0.21841526166655933</v>
      </c>
      <c r="M12" s="41"/>
      <c r="N12" s="65">
        <v>923873</v>
      </c>
      <c r="O12" s="65">
        <v>191781</v>
      </c>
      <c r="P12" s="65">
        <v>2535889</v>
      </c>
      <c r="Q12" s="82">
        <f t="shared" ref="Q12:Q13" si="12">N12/O12-1</f>
        <v>3.8173333124762099</v>
      </c>
      <c r="R12" s="82">
        <f t="shared" ref="R12:R13" si="13">N12/P12-1</f>
        <v>-0.63568082041445817</v>
      </c>
    </row>
    <row r="13" spans="1:42" x14ac:dyDescent="0.25">
      <c r="A13" s="50" t="s">
        <v>10</v>
      </c>
      <c r="B13" s="83">
        <f t="shared" si="0"/>
        <v>5135209</v>
      </c>
      <c r="C13" s="83">
        <f>SUM(I13,O13)</f>
        <v>1707500</v>
      </c>
      <c r="D13" s="83">
        <f t="shared" ref="D13:D15" si="14">SUM(J13,P13)</f>
        <v>8136876</v>
      </c>
      <c r="E13" s="84">
        <f t="shared" si="8"/>
        <v>2.0074430453879941</v>
      </c>
      <c r="F13" s="84">
        <f t="shared" si="9"/>
        <v>-0.36889673629043873</v>
      </c>
      <c r="G13" s="41"/>
      <c r="H13" s="66">
        <v>4216499</v>
      </c>
      <c r="I13" s="66">
        <v>1485013</v>
      </c>
      <c r="J13" s="66">
        <v>5708830</v>
      </c>
      <c r="K13" s="94">
        <f t="shared" ref="K13:K15" si="15">H13/I13-1</f>
        <v>1.8393684095694787</v>
      </c>
      <c r="L13" s="94">
        <f t="shared" ref="L13:L14" si="16">H13/J13-1</f>
        <v>-0.2614075038142667</v>
      </c>
      <c r="M13" s="41"/>
      <c r="N13" s="67">
        <v>918710</v>
      </c>
      <c r="O13" s="67">
        <v>222487</v>
      </c>
      <c r="P13" s="67">
        <v>2428046</v>
      </c>
      <c r="Q13" s="96">
        <f t="shared" si="12"/>
        <v>3.1292749688745856</v>
      </c>
      <c r="R13" s="96">
        <f t="shared" si="13"/>
        <v>-0.6216257846844746</v>
      </c>
    </row>
    <row r="14" spans="1:42" s="48" customFormat="1" x14ac:dyDescent="0.25">
      <c r="A14" s="44" t="s">
        <v>11</v>
      </c>
      <c r="B14" s="81">
        <f t="shared" si="0"/>
        <v>4372077</v>
      </c>
      <c r="C14" s="81">
        <f>SUM(I14,O14)</f>
        <v>1749360</v>
      </c>
      <c r="D14" s="81">
        <f t="shared" si="14"/>
        <v>7007176</v>
      </c>
      <c r="E14" s="82">
        <f t="shared" ref="E14:E17" si="17">B14/C14-1</f>
        <v>1.4992437234188505</v>
      </c>
      <c r="F14" s="82">
        <f t="shared" ref="F14:F17" si="18">B14/D14-1</f>
        <v>-0.37605720193127734</v>
      </c>
      <c r="G14" s="41"/>
      <c r="H14" s="65">
        <v>3640890</v>
      </c>
      <c r="I14" s="65">
        <v>1500678</v>
      </c>
      <c r="J14" s="65">
        <v>4900354</v>
      </c>
      <c r="K14" s="82">
        <f t="shared" si="15"/>
        <v>1.426163374154882</v>
      </c>
      <c r="L14" s="82">
        <f t="shared" si="16"/>
        <v>-0.25701490137243144</v>
      </c>
      <c r="M14" s="47"/>
      <c r="N14" s="65">
        <v>731187</v>
      </c>
      <c r="O14" s="65">
        <v>248682</v>
      </c>
      <c r="P14" s="65">
        <v>2106822</v>
      </c>
      <c r="Q14" s="82">
        <f t="shared" ref="Q14:Q15" si="19">N14/O14-1</f>
        <v>1.9402489926894586</v>
      </c>
      <c r="R14" s="82">
        <f t="shared" ref="R14:R15" si="20">N14/P14-1</f>
        <v>-0.65294315324218188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f t="shared" si="0"/>
        <v>4847613</v>
      </c>
      <c r="C15" s="83">
        <f>SUM(I15,O15)</f>
        <v>2088438</v>
      </c>
      <c r="D15" s="83">
        <f t="shared" si="14"/>
        <v>7194836</v>
      </c>
      <c r="E15" s="84">
        <f t="shared" si="17"/>
        <v>1.3211668242006707</v>
      </c>
      <c r="F15" s="84">
        <f t="shared" si="18"/>
        <v>-0.32623717899893756</v>
      </c>
      <c r="G15" s="41"/>
      <c r="H15" s="66">
        <v>4081995</v>
      </c>
      <c r="I15" s="66">
        <v>1783387</v>
      </c>
      <c r="J15" s="66">
        <v>5111163</v>
      </c>
      <c r="K15" s="94">
        <f t="shared" si="15"/>
        <v>1.2889002779542524</v>
      </c>
      <c r="L15" s="94">
        <f>H15/J15-1</f>
        <v>-0.20135691231134678</v>
      </c>
      <c r="M15" s="41"/>
      <c r="N15" s="67">
        <v>765618</v>
      </c>
      <c r="O15" s="67">
        <v>305051</v>
      </c>
      <c r="P15" s="67">
        <v>2083673</v>
      </c>
      <c r="Q15" s="96">
        <f t="shared" si="19"/>
        <v>1.5098032787960047</v>
      </c>
      <c r="R15" s="96">
        <f t="shared" si="20"/>
        <v>-0.632563266884967</v>
      </c>
    </row>
    <row r="16" spans="1:42" x14ac:dyDescent="0.25">
      <c r="A16" s="42" t="s">
        <v>13</v>
      </c>
      <c r="B16" s="81">
        <f t="shared" si="0"/>
        <v>4928299</v>
      </c>
      <c r="C16" s="81">
        <f>SUM(I16,O16)</f>
        <v>2038082</v>
      </c>
      <c r="D16" s="81">
        <f t="shared" ref="D16" si="21">SUM(J16,P16)</f>
        <v>6731520</v>
      </c>
      <c r="E16" s="82">
        <f t="shared" si="17"/>
        <v>1.4181063372327514</v>
      </c>
      <c r="F16" s="82">
        <f t="shared" si="18"/>
        <v>-0.26787724020726378</v>
      </c>
      <c r="G16" s="41"/>
      <c r="H16" s="65">
        <v>4051018</v>
      </c>
      <c r="I16" s="65">
        <v>1703020</v>
      </c>
      <c r="J16" s="65">
        <v>4846896</v>
      </c>
      <c r="K16" s="82">
        <f t="shared" ref="K16:K17" si="22">H16/I16-1</f>
        <v>1.3787260278798841</v>
      </c>
      <c r="L16" s="82">
        <f t="shared" ref="L16:L17" si="23">H16/J16-1</f>
        <v>-0.16420364703513346</v>
      </c>
      <c r="M16" s="41"/>
      <c r="N16" s="65">
        <v>877281</v>
      </c>
      <c r="O16" s="65">
        <v>335062</v>
      </c>
      <c r="P16" s="65">
        <v>1884624</v>
      </c>
      <c r="Q16" s="82">
        <f t="shared" ref="Q16:Q17" si="24">N16/O16-1</f>
        <v>1.6182646793727726</v>
      </c>
      <c r="R16" s="82">
        <f t="shared" ref="R16:R17" si="25">N16/P16-1</f>
        <v>-0.53450608715584647</v>
      </c>
    </row>
    <row r="17" spans="1:18" x14ac:dyDescent="0.25">
      <c r="A17" s="50" t="s">
        <v>14</v>
      </c>
      <c r="B17" s="83">
        <f t="shared" si="0"/>
        <v>5194886</v>
      </c>
      <c r="C17" s="83">
        <f>SUM(I17,O17)</f>
        <v>1976284</v>
      </c>
      <c r="D17" s="83">
        <f>SUM(J17,P17)</f>
        <v>7478418</v>
      </c>
      <c r="E17" s="84">
        <f t="shared" si="17"/>
        <v>1.6286130940694759</v>
      </c>
      <c r="F17" s="84">
        <f t="shared" si="18"/>
        <v>-0.30534960736348249</v>
      </c>
      <c r="G17" s="41"/>
      <c r="H17" s="66">
        <v>4141099</v>
      </c>
      <c r="I17" s="66">
        <v>1612442</v>
      </c>
      <c r="J17" s="66">
        <v>5358957</v>
      </c>
      <c r="K17" s="94">
        <f t="shared" si="22"/>
        <v>1.5682157869864466</v>
      </c>
      <c r="L17" s="94">
        <f t="shared" si="23"/>
        <v>-0.2272565351802599</v>
      </c>
      <c r="M17" s="41"/>
      <c r="N17" s="67">
        <v>1053787</v>
      </c>
      <c r="O17" s="67">
        <v>363842</v>
      </c>
      <c r="P17" s="67">
        <v>2119461</v>
      </c>
      <c r="Q17" s="96">
        <f t="shared" si="24"/>
        <v>1.8962764056925807</v>
      </c>
      <c r="R17" s="96">
        <f t="shared" si="25"/>
        <v>-0.50280425070336277</v>
      </c>
    </row>
    <row r="18" spans="1:18" x14ac:dyDescent="0.25">
      <c r="A18" s="38" t="s">
        <v>35</v>
      </c>
      <c r="B18" s="85">
        <f>SUM(B6:B17)</f>
        <v>48007312</v>
      </c>
      <c r="C18" s="85">
        <f>SUM(C6:C17)</f>
        <v>28779401</v>
      </c>
      <c r="D18" s="85">
        <f>SUM(D6:D17)</f>
        <v>88102236</v>
      </c>
      <c r="E18" s="82">
        <f>B18/C18-1</f>
        <v>0.66811366226837032</v>
      </c>
      <c r="F18" s="82">
        <f>B18/D18-1</f>
        <v>-0.45509541891763106</v>
      </c>
      <c r="G18" s="41"/>
      <c r="H18" s="85">
        <f>SUM(H6:H17)</f>
        <v>40042015</v>
      </c>
      <c r="I18" s="85">
        <f>SUM(I6:I17)</f>
        <v>22357733</v>
      </c>
      <c r="J18" s="85">
        <f>SUM(J6:J17)</f>
        <v>62405664</v>
      </c>
      <c r="K18" s="82">
        <f>H18/I18-1</f>
        <v>0.7909693706423635</v>
      </c>
      <c r="L18" s="82">
        <f>H18/J18-1</f>
        <v>-0.35835928290098795</v>
      </c>
      <c r="M18" s="41"/>
      <c r="N18" s="85">
        <f>SUM(N6:N17)</f>
        <v>7965297</v>
      </c>
      <c r="O18" s="85">
        <f>SUM(O6:O17)</f>
        <v>6421668</v>
      </c>
      <c r="P18" s="85">
        <f>SUM(P6:P17)</f>
        <v>25696572</v>
      </c>
      <c r="Q18" s="82">
        <f>N18/O18-1</f>
        <v>0.24037820080390326</v>
      </c>
      <c r="R18" s="82">
        <f>N18/P18-1</f>
        <v>-0.6900249184988565</v>
      </c>
    </row>
    <row r="19" spans="1:18" x14ac:dyDescent="0.25">
      <c r="A19" s="37"/>
      <c r="B19" s="37"/>
      <c r="C19" s="37"/>
      <c r="G19" s="41"/>
      <c r="H19" s="41"/>
    </row>
    <row r="20" spans="1:18" x14ac:dyDescent="0.25">
      <c r="A20" s="43" t="s">
        <v>38</v>
      </c>
      <c r="B20" s="43"/>
      <c r="C20" s="58"/>
      <c r="J20" s="39"/>
      <c r="K20" s="39"/>
      <c r="O20" s="39"/>
      <c r="P20" s="39"/>
    </row>
    <row r="21" spans="1:18" x14ac:dyDescent="0.25">
      <c r="A21" s="2" t="s">
        <v>49</v>
      </c>
      <c r="B21" s="2"/>
      <c r="O21" s="39"/>
      <c r="P21" s="49"/>
    </row>
    <row r="23" spans="1:18" x14ac:dyDescent="0.25">
      <c r="C23" s="29"/>
      <c r="D23" s="29"/>
      <c r="E23" s="29"/>
      <c r="F23" s="29"/>
    </row>
  </sheetData>
  <mergeCells count="4">
    <mergeCell ref="A1:Q1"/>
    <mergeCell ref="B3:F3"/>
    <mergeCell ref="H3:L3"/>
    <mergeCell ref="N3:R3"/>
  </mergeCells>
  <phoneticPr fontId="17" type="noConversion"/>
  <pageMargins left="0.7" right="0.7" top="0.75" bottom="0.75" header="0.3" footer="0.3"/>
  <pageSetup scale="49" orientation="portrait" r:id="rId1"/>
  <ignoredErrors>
    <ignoredError sqref="C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U23"/>
  <sheetViews>
    <sheetView zoomScaleNormal="100" zoomScaleSheetLayoutView="90" workbookViewId="0">
      <selection activeCell="I18" sqref="I18:J18"/>
    </sheetView>
  </sheetViews>
  <sheetFormatPr baseColWidth="10" defaultColWidth="9.1640625" defaultRowHeight="19" x14ac:dyDescent="0.25"/>
  <cols>
    <col min="1" max="10" width="13.83203125" style="33" customWidth="1"/>
    <col min="11" max="12" width="13.83203125" style="87" customWidth="1"/>
    <col min="13" max="17" width="13.83203125" style="33" customWidth="1"/>
    <col min="18" max="21" width="9.1640625" style="33" customWidth="1"/>
    <col min="22" max="16384" width="9.1640625" style="33"/>
  </cols>
  <sheetData>
    <row r="1" spans="1:21" s="45" customFormat="1" ht="31" customHeight="1" x14ac:dyDescent="0.25">
      <c r="A1" s="106" t="s">
        <v>17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33"/>
      <c r="R1" s="4"/>
      <c r="S1" s="4"/>
      <c r="T1" s="4"/>
      <c r="U1" s="4"/>
    </row>
    <row r="2" spans="1:21" s="45" customFormat="1" x14ac:dyDescent="0.25">
      <c r="A2"/>
      <c r="B2"/>
      <c r="C2"/>
      <c r="D2"/>
      <c r="E2"/>
      <c r="F2"/>
      <c r="G2"/>
      <c r="H2"/>
      <c r="I2"/>
      <c r="J2"/>
      <c r="K2" s="76"/>
      <c r="L2" s="76"/>
      <c r="M2"/>
      <c r="N2"/>
      <c r="O2"/>
      <c r="P2"/>
      <c r="Q2"/>
      <c r="R2" s="3"/>
      <c r="S2" s="3"/>
      <c r="T2" s="3"/>
      <c r="U2" s="3"/>
    </row>
    <row r="3" spans="1:21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53"/>
      <c r="N3" s="116" t="s">
        <v>16</v>
      </c>
      <c r="O3" s="116"/>
      <c r="P3" s="116"/>
    </row>
    <row r="4" spans="1:21" customFormat="1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37"/>
      <c r="N4" s="36"/>
      <c r="O4" s="36"/>
      <c r="P4" s="36"/>
    </row>
    <row r="5" spans="1:21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92"/>
      <c r="L5" s="92"/>
      <c r="M5" s="37"/>
      <c r="N5" s="59"/>
      <c r="O5" s="60"/>
      <c r="P5" s="59"/>
    </row>
    <row r="6" spans="1:21" x14ac:dyDescent="0.25">
      <c r="A6" s="38" t="s">
        <v>3</v>
      </c>
      <c r="B6" s="65">
        <v>68643</v>
      </c>
      <c r="C6" s="81">
        <f t="shared" ref="C6:D8" si="0">SUM(I6,N6)</f>
        <v>480876</v>
      </c>
      <c r="D6" s="81">
        <f t="shared" si="0"/>
        <v>402529</v>
      </c>
      <c r="E6" s="82">
        <f t="shared" ref="E6:E11" si="1">B6/C6-1</f>
        <v>-0.85725426097372293</v>
      </c>
      <c r="F6" s="82">
        <f t="shared" ref="F6:F15" si="2">B6/D6-1</f>
        <v>-0.8294706716783139</v>
      </c>
      <c r="G6" s="41"/>
      <c r="H6" s="65">
        <v>68643</v>
      </c>
      <c r="I6" s="65">
        <v>480876</v>
      </c>
      <c r="J6" s="65">
        <v>402529</v>
      </c>
      <c r="K6" s="82">
        <f t="shared" ref="K6:K11" si="3">H6/I6-1</f>
        <v>-0.85725426097372293</v>
      </c>
      <c r="L6" s="82">
        <f t="shared" ref="L6:L11" si="4">H6/J6-1</f>
        <v>-0.8294706716783139</v>
      </c>
      <c r="M6" s="37"/>
      <c r="N6" s="61"/>
      <c r="O6" s="61"/>
      <c r="P6" s="62"/>
    </row>
    <row r="7" spans="1:21" x14ac:dyDescent="0.25">
      <c r="A7" s="50" t="s">
        <v>4</v>
      </c>
      <c r="B7" s="83">
        <v>73316</v>
      </c>
      <c r="C7" s="83">
        <f t="shared" si="0"/>
        <v>456545</v>
      </c>
      <c r="D7" s="83">
        <f t="shared" si="0"/>
        <v>368039</v>
      </c>
      <c r="E7" s="84">
        <f t="shared" si="1"/>
        <v>-0.83941122999923334</v>
      </c>
      <c r="F7" s="84">
        <f t="shared" si="2"/>
        <v>-0.80079285075766427</v>
      </c>
      <c r="G7" s="41"/>
      <c r="H7" s="66">
        <v>73316</v>
      </c>
      <c r="I7" s="66">
        <v>456545</v>
      </c>
      <c r="J7" s="66">
        <v>368039</v>
      </c>
      <c r="K7" s="93">
        <f t="shared" si="3"/>
        <v>-0.83941122999923334</v>
      </c>
      <c r="L7" s="93">
        <f t="shared" si="4"/>
        <v>-0.80079285075766427</v>
      </c>
      <c r="M7" s="41"/>
      <c r="N7" s="63"/>
      <c r="O7" s="63"/>
      <c r="P7" s="62"/>
    </row>
    <row r="8" spans="1:21" x14ac:dyDescent="0.25">
      <c r="A8" s="42" t="s">
        <v>5</v>
      </c>
      <c r="B8" s="65">
        <v>137317</v>
      </c>
      <c r="C8" s="81">
        <f t="shared" si="0"/>
        <v>206708</v>
      </c>
      <c r="D8" s="81">
        <f t="shared" si="0"/>
        <v>459829</v>
      </c>
      <c r="E8" s="82">
        <f t="shared" si="1"/>
        <v>-0.33569576407299184</v>
      </c>
      <c r="F8" s="82">
        <f t="shared" si="2"/>
        <v>-0.70137377155420821</v>
      </c>
      <c r="G8" s="41"/>
      <c r="H8" s="65">
        <v>137317</v>
      </c>
      <c r="I8" s="65">
        <v>206708</v>
      </c>
      <c r="J8" s="65">
        <v>459829</v>
      </c>
      <c r="K8" s="82">
        <f t="shared" si="3"/>
        <v>-0.33569576407299184</v>
      </c>
      <c r="L8" s="82">
        <f t="shared" si="4"/>
        <v>-0.70137377155420821</v>
      </c>
      <c r="M8" s="41"/>
      <c r="N8" s="64"/>
      <c r="O8" s="64"/>
      <c r="P8" s="62"/>
    </row>
    <row r="9" spans="1:21" x14ac:dyDescent="0.25">
      <c r="A9" s="50" t="s">
        <v>6</v>
      </c>
      <c r="B9" s="83">
        <v>73316</v>
      </c>
      <c r="C9" s="83">
        <f>I9</f>
        <v>14042</v>
      </c>
      <c r="D9" s="83">
        <f>SUM(J9,O9)</f>
        <v>486027</v>
      </c>
      <c r="E9" s="84">
        <f t="shared" si="1"/>
        <v>4.2211935621706314</v>
      </c>
      <c r="F9" s="84">
        <f t="shared" si="2"/>
        <v>-0.84915241334329161</v>
      </c>
      <c r="G9" s="41"/>
      <c r="H9" s="66">
        <v>171591</v>
      </c>
      <c r="I9" s="66">
        <v>14042</v>
      </c>
      <c r="J9" s="66">
        <v>486027</v>
      </c>
      <c r="K9" s="93">
        <f t="shared" si="3"/>
        <v>11.219840478564308</v>
      </c>
      <c r="L9" s="93">
        <f t="shared" si="4"/>
        <v>-0.64695171255917883</v>
      </c>
      <c r="M9" s="41"/>
      <c r="N9" s="63"/>
      <c r="O9" s="63"/>
      <c r="P9" s="62"/>
    </row>
    <row r="10" spans="1:21" x14ac:dyDescent="0.25">
      <c r="A10" s="38" t="s">
        <v>7</v>
      </c>
      <c r="B10" s="65">
        <v>245844</v>
      </c>
      <c r="C10" s="81">
        <f>SUM(I10,N10)</f>
        <v>39330</v>
      </c>
      <c r="D10" s="81">
        <v>499290</v>
      </c>
      <c r="E10" s="82">
        <f t="shared" si="1"/>
        <v>5.2508009153318076</v>
      </c>
      <c r="F10" s="82">
        <f t="shared" si="2"/>
        <v>-0.50761281019047044</v>
      </c>
      <c r="G10" s="41"/>
      <c r="H10" s="65">
        <v>245844</v>
      </c>
      <c r="I10" s="65">
        <v>39330</v>
      </c>
      <c r="J10" s="65">
        <v>499289</v>
      </c>
      <c r="K10" s="82">
        <f t="shared" si="3"/>
        <v>5.2508009153318076</v>
      </c>
      <c r="L10" s="82">
        <f t="shared" si="4"/>
        <v>-0.50761182401374749</v>
      </c>
      <c r="M10" s="41"/>
      <c r="N10" s="64"/>
      <c r="O10" s="64"/>
      <c r="P10" s="62"/>
    </row>
    <row r="11" spans="1:21" x14ac:dyDescent="0.25">
      <c r="A11" s="50" t="s">
        <v>8</v>
      </c>
      <c r="B11" s="83">
        <v>359104</v>
      </c>
      <c r="C11" s="83">
        <v>94891</v>
      </c>
      <c r="D11" s="83">
        <f>SUM(J11,O11)</f>
        <v>520215</v>
      </c>
      <c r="E11" s="84">
        <f t="shared" si="1"/>
        <v>2.7843841881737994</v>
      </c>
      <c r="F11" s="84">
        <f t="shared" si="2"/>
        <v>-0.30970079678594431</v>
      </c>
      <c r="G11" s="41"/>
      <c r="H11" s="66">
        <v>359104</v>
      </c>
      <c r="I11" s="66">
        <v>94891</v>
      </c>
      <c r="J11" s="66">
        <v>520215</v>
      </c>
      <c r="K11" s="93">
        <f t="shared" si="3"/>
        <v>2.7843841881737994</v>
      </c>
      <c r="L11" s="93">
        <f t="shared" si="4"/>
        <v>-0.30970079678594431</v>
      </c>
      <c r="M11" s="41"/>
      <c r="N11" s="63"/>
      <c r="O11" s="63"/>
      <c r="P11" s="62"/>
    </row>
    <row r="12" spans="1:21" x14ac:dyDescent="0.25">
      <c r="A12" s="38" t="s">
        <v>9</v>
      </c>
      <c r="B12" s="65">
        <v>439131</v>
      </c>
      <c r="C12" s="81">
        <v>110548</v>
      </c>
      <c r="D12" s="81">
        <v>541943</v>
      </c>
      <c r="E12" s="82">
        <f t="shared" ref="E12:E15" si="5">B12/C12-1</f>
        <v>2.9723106704779823</v>
      </c>
      <c r="F12" s="82">
        <f t="shared" ref="F12" si="6">B12/D12-1</f>
        <v>-0.18970998795076233</v>
      </c>
      <c r="G12" s="41"/>
      <c r="H12" s="65">
        <v>439131</v>
      </c>
      <c r="I12" s="65">
        <v>110548</v>
      </c>
      <c r="J12" s="65">
        <v>541942</v>
      </c>
      <c r="K12" s="82">
        <f t="shared" ref="K12:K13" si="7">H12/I12-1</f>
        <v>2.9723106704779823</v>
      </c>
      <c r="L12" s="82">
        <f t="shared" ref="L12:L13" si="8">H12/J12-1</f>
        <v>-0.18970849279074142</v>
      </c>
      <c r="M12" s="41"/>
      <c r="N12" s="64"/>
      <c r="O12" s="64"/>
      <c r="P12" s="62"/>
    </row>
    <row r="13" spans="1:21" x14ac:dyDescent="0.25">
      <c r="A13" s="50" t="s">
        <v>10</v>
      </c>
      <c r="B13" s="83">
        <v>415304</v>
      </c>
      <c r="C13" s="83">
        <v>120577</v>
      </c>
      <c r="D13" s="83">
        <f>SUM(J13,O13)</f>
        <v>556491</v>
      </c>
      <c r="E13" s="84">
        <f t="shared" si="5"/>
        <v>2.4443052986888048</v>
      </c>
      <c r="F13" s="84">
        <f t="shared" si="2"/>
        <v>-0.25370940410536735</v>
      </c>
      <c r="G13" s="41"/>
      <c r="H13" s="66">
        <v>415304</v>
      </c>
      <c r="I13" s="66">
        <v>120577</v>
      </c>
      <c r="J13" s="66">
        <v>556491</v>
      </c>
      <c r="K13" s="93">
        <f t="shared" si="7"/>
        <v>2.4443052986888048</v>
      </c>
      <c r="L13" s="93">
        <f t="shared" si="8"/>
        <v>-0.25370940410536735</v>
      </c>
      <c r="M13" s="41"/>
      <c r="N13" s="63"/>
      <c r="O13" s="63"/>
      <c r="P13" s="62"/>
    </row>
    <row r="14" spans="1:21" x14ac:dyDescent="0.25">
      <c r="A14" s="44" t="s">
        <v>11</v>
      </c>
      <c r="B14" s="65">
        <v>406757</v>
      </c>
      <c r="C14" s="81">
        <v>123417</v>
      </c>
      <c r="D14" s="81">
        <f>SUM(J14,O14)</f>
        <v>518033</v>
      </c>
      <c r="E14" s="82">
        <f t="shared" si="5"/>
        <v>2.2957939343850522</v>
      </c>
      <c r="F14" s="82">
        <f t="shared" si="2"/>
        <v>-0.21480484833977753</v>
      </c>
      <c r="G14" s="41"/>
      <c r="H14" s="65">
        <v>406757</v>
      </c>
      <c r="I14" s="65">
        <v>123417</v>
      </c>
      <c r="J14" s="65">
        <v>518033</v>
      </c>
      <c r="K14" s="82">
        <f t="shared" ref="K14:K17" si="9">H14/I14-1</f>
        <v>2.2957939343850522</v>
      </c>
      <c r="L14" s="82">
        <f t="shared" ref="L14:L17" si="10">H14/J14-1</f>
        <v>-0.21480484833977753</v>
      </c>
      <c r="M14" s="47"/>
      <c r="N14" s="64"/>
      <c r="O14" s="64"/>
      <c r="P14" s="62"/>
    </row>
    <row r="15" spans="1:21" x14ac:dyDescent="0.25">
      <c r="A15" s="50" t="s">
        <v>12</v>
      </c>
      <c r="B15" s="83">
        <v>462454</v>
      </c>
      <c r="C15" s="83">
        <v>134856</v>
      </c>
      <c r="D15" s="83">
        <f>SUM(J15,O15)</f>
        <v>551544</v>
      </c>
      <c r="E15" s="84">
        <f t="shared" si="5"/>
        <v>2.4292430444325799</v>
      </c>
      <c r="F15" s="84">
        <f t="shared" si="2"/>
        <v>-0.16152836401084958</v>
      </c>
      <c r="G15" s="41"/>
      <c r="H15" s="66">
        <v>462454</v>
      </c>
      <c r="I15" s="66">
        <v>134856</v>
      </c>
      <c r="J15" s="66">
        <v>551544</v>
      </c>
      <c r="K15" s="93">
        <f t="shared" si="9"/>
        <v>2.4292430444325799</v>
      </c>
      <c r="L15" s="93">
        <f t="shared" si="10"/>
        <v>-0.16152836401084958</v>
      </c>
      <c r="M15" s="41"/>
      <c r="N15" s="63"/>
      <c r="O15" s="63"/>
      <c r="P15" s="62"/>
    </row>
    <row r="16" spans="1:21" x14ac:dyDescent="0.25">
      <c r="A16" s="42" t="s">
        <v>13</v>
      </c>
      <c r="B16" s="65">
        <f>H16</f>
        <v>483145</v>
      </c>
      <c r="C16" s="81">
        <v>118111</v>
      </c>
      <c r="D16" s="81">
        <f>SUM(J16,O16)</f>
        <v>525279</v>
      </c>
      <c r="E16" s="82">
        <f>B16/C16-1</f>
        <v>3.0906012141121488</v>
      </c>
      <c r="F16" s="82">
        <f t="shared" ref="F16:F17" si="11">B16/D16-1</f>
        <v>-8.0212610822058328E-2</v>
      </c>
      <c r="G16" s="41"/>
      <c r="H16" s="65">
        <v>483145</v>
      </c>
      <c r="I16" s="65">
        <v>118111</v>
      </c>
      <c r="J16" s="65">
        <v>525279</v>
      </c>
      <c r="K16" s="82">
        <f t="shared" si="9"/>
        <v>3.0906012141121488</v>
      </c>
      <c r="L16" s="82">
        <f t="shared" si="10"/>
        <v>-8.0212610822058328E-2</v>
      </c>
      <c r="M16" s="41"/>
      <c r="N16" s="64"/>
      <c r="O16" s="64"/>
      <c r="P16" s="62"/>
    </row>
    <row r="17" spans="1:17" x14ac:dyDescent="0.25">
      <c r="A17" s="50" t="s">
        <v>14</v>
      </c>
      <c r="B17" s="83">
        <f>H17</f>
        <v>470365</v>
      </c>
      <c r="C17" s="83">
        <v>95447</v>
      </c>
      <c r="D17" s="83">
        <f>SUM(J17,O17)</f>
        <v>554520</v>
      </c>
      <c r="E17" s="84">
        <f t="shared" ref="E17" si="12">B17/C17-1</f>
        <v>3.9280228818087526</v>
      </c>
      <c r="F17" s="84">
        <f t="shared" si="11"/>
        <v>-0.15176188415205949</v>
      </c>
      <c r="G17" s="41"/>
      <c r="H17" s="66">
        <v>470365</v>
      </c>
      <c r="I17" s="66">
        <v>95447</v>
      </c>
      <c r="J17" s="66">
        <v>554520</v>
      </c>
      <c r="K17" s="93">
        <f t="shared" si="9"/>
        <v>3.9280228818087526</v>
      </c>
      <c r="L17" s="93">
        <f t="shared" si="10"/>
        <v>-0.15176188415205949</v>
      </c>
      <c r="M17" s="41"/>
      <c r="N17" s="63"/>
      <c r="O17" s="63"/>
      <c r="P17" s="62"/>
    </row>
    <row r="18" spans="1:17" x14ac:dyDescent="0.25">
      <c r="A18" s="38" t="s">
        <v>35</v>
      </c>
      <c r="B18" s="85">
        <f>SUM(B6:B17)</f>
        <v>3634696</v>
      </c>
      <c r="C18" s="85">
        <f>SUM(C6:C17)</f>
        <v>1995348</v>
      </c>
      <c r="D18" s="85">
        <f>SUM(D6:D17)</f>
        <v>5983739</v>
      </c>
      <c r="E18" s="82">
        <f>B18/C18-1</f>
        <v>0.82158500672564383</v>
      </c>
      <c r="F18" s="82">
        <f>B18/D18-1</f>
        <v>-0.39257109977557514</v>
      </c>
      <c r="G18" s="41"/>
      <c r="H18" s="85">
        <f>SUM(H6:H17)</f>
        <v>3732971</v>
      </c>
      <c r="I18" s="85">
        <f>SUM(I6:I17)</f>
        <v>1995348</v>
      </c>
      <c r="J18" s="85">
        <f>SUM(J6:J17)</f>
        <v>5983737</v>
      </c>
      <c r="K18" s="82">
        <f>H18/I18-1</f>
        <v>0.87083706701788355</v>
      </c>
      <c r="L18" s="82">
        <f>H18/J18-1</f>
        <v>-0.37614721368937176</v>
      </c>
      <c r="M18" s="41"/>
      <c r="N18" s="63"/>
      <c r="O18" s="63"/>
      <c r="P18" s="62"/>
    </row>
    <row r="19" spans="1:17" x14ac:dyDescent="0.25">
      <c r="A19" s="37"/>
      <c r="B19" s="37"/>
      <c r="C19" s="37"/>
      <c r="G19" s="41"/>
      <c r="H19" s="41"/>
    </row>
    <row r="20" spans="1:17" x14ac:dyDescent="0.25">
      <c r="A20" s="43" t="s">
        <v>45</v>
      </c>
      <c r="B20" s="43"/>
      <c r="C20" s="37"/>
      <c r="J20" s="39"/>
      <c r="N20" s="39"/>
      <c r="O20" s="39"/>
    </row>
    <row r="21" spans="1:17" x14ac:dyDescent="0.25">
      <c r="A21" s="2" t="s">
        <v>49</v>
      </c>
      <c r="B21" s="2"/>
      <c r="N21" s="39"/>
      <c r="O21" s="49"/>
      <c r="Q21" s="2"/>
    </row>
    <row r="23" spans="1:17" x14ac:dyDescent="0.25">
      <c r="C23" s="29"/>
      <c r="D23" s="29"/>
      <c r="E23" s="29"/>
      <c r="F23" s="29"/>
    </row>
  </sheetData>
  <mergeCells count="4">
    <mergeCell ref="A1:P1"/>
    <mergeCell ref="N3:P3"/>
    <mergeCell ref="B3:F3"/>
    <mergeCell ref="H3:L3"/>
  </mergeCells>
  <phoneticPr fontId="17" type="noConversion"/>
  <pageMargins left="0.7" right="0.7" top="0.75" bottom="0.75" header="0.3" footer="0.3"/>
  <pageSetup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U23"/>
  <sheetViews>
    <sheetView zoomScaleNormal="100" zoomScaleSheetLayoutView="90" workbookViewId="0">
      <selection activeCell="K24" sqref="K24"/>
    </sheetView>
  </sheetViews>
  <sheetFormatPr baseColWidth="10" defaultColWidth="9.1640625" defaultRowHeight="19" x14ac:dyDescent="0.25"/>
  <cols>
    <col min="1" max="17" width="13.83203125" style="33" customWidth="1"/>
    <col min="18" max="16384" width="9.1640625" style="33"/>
  </cols>
  <sheetData>
    <row r="1" spans="1:21" s="45" customFormat="1" ht="31" customHeight="1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33"/>
      <c r="R1" s="4"/>
      <c r="S1" s="4"/>
      <c r="T1" s="4"/>
      <c r="U1" s="4"/>
    </row>
    <row r="2" spans="1:21" s="45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 s="3"/>
      <c r="S2" s="3"/>
      <c r="T2" s="3"/>
      <c r="U2" s="3"/>
    </row>
    <row r="3" spans="1:21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53"/>
      <c r="N3" s="116" t="s">
        <v>16</v>
      </c>
      <c r="O3" s="116"/>
      <c r="P3" s="116"/>
    </row>
    <row r="4" spans="1:21" customFormat="1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37"/>
      <c r="N4" s="36"/>
      <c r="O4" s="36"/>
      <c r="P4" s="36"/>
    </row>
    <row r="5" spans="1:21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9"/>
      <c r="O5" s="60"/>
      <c r="P5" s="59"/>
    </row>
    <row r="6" spans="1:21" x14ac:dyDescent="0.25">
      <c r="A6" s="38" t="s">
        <v>3</v>
      </c>
      <c r="B6" s="81">
        <v>41254</v>
      </c>
      <c r="C6" s="81">
        <f t="shared" ref="C6:D8" si="0">I6</f>
        <v>288070</v>
      </c>
      <c r="D6" s="81">
        <f t="shared" si="0"/>
        <v>264662</v>
      </c>
      <c r="E6" s="82">
        <f t="shared" ref="E6:E11" si="1">B6/C6-1</f>
        <v>-0.85679175200472102</v>
      </c>
      <c r="F6" s="82">
        <f t="shared" ref="F6:F11" si="2">B6/D6-1</f>
        <v>-0.84412571506298595</v>
      </c>
      <c r="G6" s="41"/>
      <c r="H6" s="81">
        <v>41254</v>
      </c>
      <c r="I6" s="65">
        <v>288070</v>
      </c>
      <c r="J6" s="65">
        <v>264662</v>
      </c>
      <c r="K6" s="82">
        <f t="shared" ref="K6:K12" si="3">H6/I6-1</f>
        <v>-0.85679175200472102</v>
      </c>
      <c r="L6" s="82">
        <f t="shared" ref="L6:L12" si="4">H6/J6-1</f>
        <v>-0.84412571506298595</v>
      </c>
      <c r="M6" s="37"/>
      <c r="N6" s="61"/>
      <c r="O6" s="61"/>
      <c r="P6" s="62"/>
    </row>
    <row r="7" spans="1:21" x14ac:dyDescent="0.25">
      <c r="A7" s="50" t="s">
        <v>4</v>
      </c>
      <c r="B7" s="83">
        <v>51305</v>
      </c>
      <c r="C7" s="83">
        <f t="shared" si="0"/>
        <v>278099</v>
      </c>
      <c r="D7" s="83">
        <f t="shared" si="0"/>
        <v>250698</v>
      </c>
      <c r="E7" s="84">
        <f t="shared" si="1"/>
        <v>-0.81551533806306387</v>
      </c>
      <c r="F7" s="84">
        <f t="shared" si="2"/>
        <v>-0.79535137894997165</v>
      </c>
      <c r="G7" s="41"/>
      <c r="H7" s="66">
        <v>51305</v>
      </c>
      <c r="I7" s="66">
        <v>278099</v>
      </c>
      <c r="J7" s="66">
        <v>250698</v>
      </c>
      <c r="K7" s="94">
        <f t="shared" si="3"/>
        <v>-0.81551533806306387</v>
      </c>
      <c r="L7" s="94">
        <f t="shared" si="4"/>
        <v>-0.79535137894997165</v>
      </c>
      <c r="M7" s="41"/>
      <c r="N7" s="63"/>
      <c r="O7" s="63"/>
      <c r="P7" s="62"/>
    </row>
    <row r="8" spans="1:21" x14ac:dyDescent="0.25">
      <c r="A8" s="42" t="s">
        <v>5</v>
      </c>
      <c r="B8" s="81">
        <v>114465</v>
      </c>
      <c r="C8" s="81">
        <f t="shared" si="0"/>
        <v>134452</v>
      </c>
      <c r="D8" s="81">
        <f t="shared" si="0"/>
        <v>289791</v>
      </c>
      <c r="E8" s="82">
        <f t="shared" si="1"/>
        <v>-0.14865528218248891</v>
      </c>
      <c r="F8" s="82">
        <f t="shared" si="2"/>
        <v>-0.60500843711502428</v>
      </c>
      <c r="G8" s="41"/>
      <c r="H8" s="81">
        <v>114465</v>
      </c>
      <c r="I8" s="65">
        <v>134452</v>
      </c>
      <c r="J8" s="65">
        <v>289791</v>
      </c>
      <c r="K8" s="82">
        <f t="shared" si="3"/>
        <v>-0.14865528218248891</v>
      </c>
      <c r="L8" s="82">
        <f t="shared" si="4"/>
        <v>-0.60500843711502428</v>
      </c>
      <c r="M8" s="41"/>
      <c r="N8" s="64"/>
      <c r="O8" s="64"/>
      <c r="P8" s="62"/>
    </row>
    <row r="9" spans="1:21" x14ac:dyDescent="0.25">
      <c r="A9" s="50" t="s">
        <v>6</v>
      </c>
      <c r="B9" s="83">
        <v>51305</v>
      </c>
      <c r="C9" s="83">
        <f>I9</f>
        <v>6299</v>
      </c>
      <c r="D9" s="83">
        <f t="shared" ref="D9:D17" si="5">J9</f>
        <v>296941</v>
      </c>
      <c r="E9" s="84">
        <f t="shared" si="1"/>
        <v>7.1449436418479131</v>
      </c>
      <c r="F9" s="84">
        <f t="shared" si="2"/>
        <v>-0.82722156926796908</v>
      </c>
      <c r="G9" s="41"/>
      <c r="H9" s="66">
        <v>142537</v>
      </c>
      <c r="I9" s="66">
        <v>6299</v>
      </c>
      <c r="J9" s="66">
        <v>296941</v>
      </c>
      <c r="K9" s="94">
        <f t="shared" si="3"/>
        <v>21.628512462295603</v>
      </c>
      <c r="L9" s="94">
        <f t="shared" si="4"/>
        <v>-0.51998208398301349</v>
      </c>
      <c r="M9" s="41"/>
      <c r="N9" s="63"/>
      <c r="O9" s="63"/>
      <c r="P9" s="62"/>
    </row>
    <row r="10" spans="1:21" x14ac:dyDescent="0.25">
      <c r="A10" s="38" t="s">
        <v>7</v>
      </c>
      <c r="B10" s="65">
        <v>192805</v>
      </c>
      <c r="C10" s="81">
        <v>11566</v>
      </c>
      <c r="D10" s="81">
        <f t="shared" si="5"/>
        <v>305277</v>
      </c>
      <c r="E10" s="82">
        <f t="shared" si="1"/>
        <v>15.669980978730763</v>
      </c>
      <c r="F10" s="82">
        <f t="shared" si="2"/>
        <v>-0.36842605240486503</v>
      </c>
      <c r="G10" s="41"/>
      <c r="H10" s="65">
        <v>192805</v>
      </c>
      <c r="I10" s="65">
        <v>11566</v>
      </c>
      <c r="J10" s="65">
        <v>305277</v>
      </c>
      <c r="K10" s="82">
        <f t="shared" si="3"/>
        <v>15.669980978730763</v>
      </c>
      <c r="L10" s="82">
        <f t="shared" si="4"/>
        <v>-0.36842605240486503</v>
      </c>
      <c r="M10" s="41"/>
      <c r="N10" s="64"/>
      <c r="O10" s="64"/>
      <c r="P10" s="62"/>
    </row>
    <row r="11" spans="1:21" x14ac:dyDescent="0.25">
      <c r="A11" s="50" t="s">
        <v>8</v>
      </c>
      <c r="B11" s="83">
        <v>136679</v>
      </c>
      <c r="C11" s="83">
        <v>24190</v>
      </c>
      <c r="D11" s="83">
        <f t="shared" si="5"/>
        <v>306937</v>
      </c>
      <c r="E11" s="84">
        <f t="shared" si="1"/>
        <v>4.6502273666804461</v>
      </c>
      <c r="F11" s="84">
        <f t="shared" si="2"/>
        <v>-0.5547001501936879</v>
      </c>
      <c r="G11" s="41"/>
      <c r="H11" s="66">
        <v>136679</v>
      </c>
      <c r="I11" s="66">
        <v>24190</v>
      </c>
      <c r="J11" s="66">
        <v>306937</v>
      </c>
      <c r="K11" s="94">
        <f t="shared" si="3"/>
        <v>4.6502273666804461</v>
      </c>
      <c r="L11" s="94">
        <f t="shared" si="4"/>
        <v>-0.5547001501936879</v>
      </c>
      <c r="M11" s="41"/>
      <c r="N11" s="63"/>
      <c r="O11" s="63"/>
      <c r="P11" s="62"/>
    </row>
    <row r="12" spans="1:21" x14ac:dyDescent="0.25">
      <c r="A12" s="38" t="s">
        <v>9</v>
      </c>
      <c r="B12" s="65">
        <v>226857</v>
      </c>
      <c r="C12" s="81">
        <v>40406</v>
      </c>
      <c r="D12" s="81">
        <f t="shared" si="5"/>
        <v>319296</v>
      </c>
      <c r="E12" s="82">
        <f t="shared" ref="E12:E15" si="6">B12/C12-1</f>
        <v>4.6144384497351876</v>
      </c>
      <c r="F12" s="82">
        <f t="shared" ref="F12:F15" si="7">B12/D12-1</f>
        <v>-0.2895087943475646</v>
      </c>
      <c r="G12" s="41"/>
      <c r="H12" s="65">
        <v>226857</v>
      </c>
      <c r="I12" s="65">
        <v>40406</v>
      </c>
      <c r="J12" s="65">
        <v>319296</v>
      </c>
      <c r="K12" s="82">
        <f t="shared" si="3"/>
        <v>4.6144384497351876</v>
      </c>
      <c r="L12" s="82">
        <f t="shared" si="4"/>
        <v>-0.2895087943475646</v>
      </c>
      <c r="M12" s="41"/>
      <c r="N12" s="64"/>
      <c r="O12" s="64"/>
      <c r="P12" s="62"/>
    </row>
    <row r="13" spans="1:21" x14ac:dyDescent="0.25">
      <c r="A13" s="50" t="s">
        <v>10</v>
      </c>
      <c r="B13" s="83">
        <v>203940</v>
      </c>
      <c r="C13" s="83">
        <v>43685</v>
      </c>
      <c r="D13" s="83">
        <f t="shared" si="5"/>
        <v>325104</v>
      </c>
      <c r="E13" s="84">
        <f t="shared" si="6"/>
        <v>3.6684216550303308</v>
      </c>
      <c r="F13" s="84">
        <f t="shared" si="7"/>
        <v>-0.3726930459176141</v>
      </c>
      <c r="G13" s="41"/>
      <c r="H13" s="66">
        <v>203940</v>
      </c>
      <c r="I13" s="66">
        <v>43685</v>
      </c>
      <c r="J13" s="66">
        <v>325104</v>
      </c>
      <c r="K13" s="94">
        <f>H13/I13-1</f>
        <v>3.6684216550303308</v>
      </c>
      <c r="L13" s="94">
        <f t="shared" ref="L13:L15" si="8">H13/J13-1</f>
        <v>-0.3726930459176141</v>
      </c>
      <c r="M13" s="41"/>
      <c r="N13" s="63"/>
      <c r="O13" s="63"/>
      <c r="P13" s="62"/>
    </row>
    <row r="14" spans="1:21" x14ac:dyDescent="0.25">
      <c r="A14" s="44" t="s">
        <v>11</v>
      </c>
      <c r="B14" s="65">
        <v>181360</v>
      </c>
      <c r="C14" s="81">
        <v>55007</v>
      </c>
      <c r="D14" s="81">
        <f t="shared" si="5"/>
        <v>289502</v>
      </c>
      <c r="E14" s="82">
        <f t="shared" si="6"/>
        <v>2.2970349228280038</v>
      </c>
      <c r="F14" s="82">
        <f t="shared" si="7"/>
        <v>-0.37354491506103582</v>
      </c>
      <c r="G14" s="41"/>
      <c r="H14" s="65">
        <v>181360</v>
      </c>
      <c r="I14" s="65">
        <v>55007</v>
      </c>
      <c r="J14" s="65">
        <v>289502</v>
      </c>
      <c r="K14" s="82">
        <f t="shared" ref="K14:K15" si="9">H14/I14-1</f>
        <v>2.2970349228280038</v>
      </c>
      <c r="L14" s="82">
        <f t="shared" si="8"/>
        <v>-0.37354491506103582</v>
      </c>
      <c r="M14" s="47"/>
      <c r="N14" s="64"/>
      <c r="O14" s="64"/>
      <c r="P14" s="62"/>
    </row>
    <row r="15" spans="1:21" x14ac:dyDescent="0.25">
      <c r="A15" s="50" t="s">
        <v>12</v>
      </c>
      <c r="B15" s="83">
        <v>220293</v>
      </c>
      <c r="C15" s="83">
        <v>57904</v>
      </c>
      <c r="D15" s="83">
        <f t="shared" si="5"/>
        <v>305102</v>
      </c>
      <c r="E15" s="84">
        <f t="shared" si="6"/>
        <v>2.8044521967394309</v>
      </c>
      <c r="F15" s="84">
        <f t="shared" si="7"/>
        <v>-0.27796933484539599</v>
      </c>
      <c r="G15" s="41"/>
      <c r="H15" s="66">
        <v>220293</v>
      </c>
      <c r="I15" s="66">
        <v>57904</v>
      </c>
      <c r="J15" s="66">
        <v>305102</v>
      </c>
      <c r="K15" s="93">
        <f t="shared" si="9"/>
        <v>2.8044521967394309</v>
      </c>
      <c r="L15" s="93">
        <f t="shared" si="8"/>
        <v>-0.27796933484539599</v>
      </c>
      <c r="M15" s="41"/>
      <c r="N15" s="63"/>
      <c r="O15" s="63"/>
      <c r="P15" s="62"/>
    </row>
    <row r="16" spans="1:21" x14ac:dyDescent="0.25">
      <c r="A16" s="42" t="s">
        <v>13</v>
      </c>
      <c r="B16" s="104">
        <f>H16</f>
        <v>250676</v>
      </c>
      <c r="C16" s="81">
        <v>56143</v>
      </c>
      <c r="D16" s="81">
        <f t="shared" si="5"/>
        <v>308559</v>
      </c>
      <c r="E16" s="82">
        <f t="shared" ref="E16:E17" si="10">B16/C16-1</f>
        <v>3.4649555599095168</v>
      </c>
      <c r="F16" s="82">
        <f t="shared" ref="F16:F17" si="11">B16/D16-1</f>
        <v>-0.18759135205908761</v>
      </c>
      <c r="G16" s="41"/>
      <c r="H16" s="65">
        <v>250676</v>
      </c>
      <c r="I16" s="65">
        <v>56143</v>
      </c>
      <c r="J16" s="65">
        <v>308559</v>
      </c>
      <c r="K16" s="82">
        <f t="shared" ref="K16:K17" si="12">H16/I16-1</f>
        <v>3.4649555599095168</v>
      </c>
      <c r="L16" s="82">
        <f t="shared" ref="L16:L17" si="13">H16/J16-1</f>
        <v>-0.18759135205908761</v>
      </c>
      <c r="M16" s="41"/>
      <c r="N16" s="64"/>
      <c r="O16" s="64"/>
      <c r="P16" s="62"/>
    </row>
    <row r="17" spans="1:17" x14ac:dyDescent="0.25">
      <c r="A17" s="50" t="s">
        <v>14</v>
      </c>
      <c r="B17" s="119">
        <f>H17</f>
        <v>261123</v>
      </c>
      <c r="C17" s="83">
        <v>46816</v>
      </c>
      <c r="D17" s="83">
        <f t="shared" si="5"/>
        <v>321686</v>
      </c>
      <c r="E17" s="84">
        <f t="shared" si="10"/>
        <v>4.5776443950786057</v>
      </c>
      <c r="F17" s="84">
        <f t="shared" si="11"/>
        <v>-0.18826744092064929</v>
      </c>
      <c r="G17" s="41"/>
      <c r="H17" s="66">
        <v>261123</v>
      </c>
      <c r="I17" s="66">
        <v>46816</v>
      </c>
      <c r="J17" s="66">
        <v>321686</v>
      </c>
      <c r="K17" s="57">
        <f t="shared" si="12"/>
        <v>4.5776443950786057</v>
      </c>
      <c r="L17" s="57">
        <f t="shared" si="13"/>
        <v>-0.18826744092064929</v>
      </c>
      <c r="M17" s="41"/>
      <c r="N17" s="63"/>
      <c r="O17" s="63"/>
      <c r="P17" s="62"/>
    </row>
    <row r="18" spans="1:17" x14ac:dyDescent="0.25">
      <c r="A18" s="38" t="s">
        <v>35</v>
      </c>
      <c r="B18" s="85">
        <f>SUM(B6:B17)</f>
        <v>1932062</v>
      </c>
      <c r="C18" s="85">
        <f>SUM(C6:C17)</f>
        <v>1042637</v>
      </c>
      <c r="D18" s="85">
        <f>SUM(D6:D17)</f>
        <v>3583555</v>
      </c>
      <c r="E18" s="82">
        <f>B18/C18-1</f>
        <v>0.85305336373061769</v>
      </c>
      <c r="F18" s="82">
        <f>B18/D18-1</f>
        <v>-0.46085325884491801</v>
      </c>
      <c r="G18" s="41"/>
      <c r="H18" s="85">
        <f>SUM(H6:H17)</f>
        <v>2023294</v>
      </c>
      <c r="I18" s="85">
        <f>SUM(I6:I17)</f>
        <v>1042637</v>
      </c>
      <c r="J18" s="85">
        <f>SUM(J6:J17)</f>
        <v>3583555</v>
      </c>
      <c r="K18" s="82">
        <f>H18/I18-1</f>
        <v>0.94055457460266623</v>
      </c>
      <c r="L18" s="82">
        <f>H18/J18-1</f>
        <v>-0.43539474069743589</v>
      </c>
      <c r="M18" s="41"/>
      <c r="N18" s="63"/>
      <c r="O18" s="63"/>
      <c r="P18" s="62"/>
    </row>
    <row r="19" spans="1:17" x14ac:dyDescent="0.25">
      <c r="A19" s="37"/>
      <c r="B19" s="37"/>
      <c r="C19" s="37"/>
      <c r="G19" s="41"/>
      <c r="H19" s="41"/>
    </row>
    <row r="20" spans="1:17" x14ac:dyDescent="0.25">
      <c r="A20" s="43" t="s">
        <v>37</v>
      </c>
      <c r="B20" s="43"/>
      <c r="C20" s="37"/>
      <c r="J20" s="39"/>
      <c r="N20" s="39"/>
      <c r="O20" s="39"/>
    </row>
    <row r="21" spans="1:17" x14ac:dyDescent="0.25">
      <c r="A21" s="2" t="s">
        <v>49</v>
      </c>
      <c r="B21" s="2"/>
      <c r="N21" s="39"/>
      <c r="O21" s="49"/>
      <c r="Q21" s="2"/>
    </row>
    <row r="23" spans="1:17" x14ac:dyDescent="0.25">
      <c r="C23" s="29"/>
      <c r="D23" s="29"/>
      <c r="E23" s="29"/>
      <c r="F23" s="29"/>
    </row>
  </sheetData>
  <mergeCells count="4">
    <mergeCell ref="N3:P3"/>
    <mergeCell ref="A1:P1"/>
    <mergeCell ref="B3:F3"/>
    <mergeCell ref="H3:L3"/>
  </mergeCells>
  <phoneticPr fontId="17" type="noConversion"/>
  <pageMargins left="0.7" right="0.7" top="0.75" bottom="0.75" header="0.3" footer="0.3"/>
  <pageSetup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AP23"/>
  <sheetViews>
    <sheetView zoomScaleNormal="100" zoomScaleSheetLayoutView="100" workbookViewId="0">
      <selection activeCell="O24" sqref="O24"/>
    </sheetView>
  </sheetViews>
  <sheetFormatPr baseColWidth="10" defaultColWidth="8.83203125" defaultRowHeight="19" x14ac:dyDescent="0.25"/>
  <cols>
    <col min="1" max="13" width="13.83203125" style="33" customWidth="1"/>
    <col min="14" max="14" width="13.83203125" style="45" customWidth="1"/>
    <col min="15" max="18" width="13.83203125" style="33" customWidth="1"/>
  </cols>
  <sheetData>
    <row r="1" spans="1:42" ht="34" customHeight="1" x14ac:dyDescent="0.2">
      <c r="A1" s="106" t="s">
        <v>19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 s="1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75"/>
      <c r="N3" s="113" t="s">
        <v>16</v>
      </c>
      <c r="O3" s="114"/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v>151860</v>
      </c>
      <c r="C6" s="81">
        <v>454539</v>
      </c>
      <c r="D6" s="81">
        <v>396206</v>
      </c>
      <c r="E6" s="82">
        <f t="shared" ref="E6:E11" si="0">B6/C6-1</f>
        <v>-0.66590325582623278</v>
      </c>
      <c r="F6" s="95">
        <f t="shared" ref="F6:F11" si="1">B6/D6-1</f>
        <v>-0.61671453738711679</v>
      </c>
      <c r="G6" s="41"/>
      <c r="H6" s="65">
        <f t="shared" ref="H6:J7" si="2">B6-N6</f>
        <v>145385</v>
      </c>
      <c r="I6" s="65">
        <f t="shared" si="2"/>
        <v>423719</v>
      </c>
      <c r="J6" s="65">
        <f t="shared" si="2"/>
        <v>369227</v>
      </c>
      <c r="K6" s="82">
        <f t="shared" ref="K6:K13" si="3">H6/I6-1</f>
        <v>-0.65688345342078125</v>
      </c>
      <c r="L6" s="95">
        <f t="shared" ref="L6:L13" si="4">H6/J6-1</f>
        <v>-0.60624493875041641</v>
      </c>
      <c r="M6" s="37"/>
      <c r="N6" s="97">
        <v>6475</v>
      </c>
      <c r="O6" s="65">
        <f>20269+10551</f>
        <v>30820</v>
      </c>
      <c r="P6" s="65">
        <f>17554+9375+50</f>
        <v>26979</v>
      </c>
      <c r="Q6" s="82">
        <f>N6/O6-1</f>
        <v>-0.78990914990266059</v>
      </c>
      <c r="R6" s="95">
        <f t="shared" ref="R6:R11" si="5">N6/P6-1</f>
        <v>-0.75999851736535828</v>
      </c>
    </row>
    <row r="7" spans="1:42" x14ac:dyDescent="0.25">
      <c r="A7" s="50" t="s">
        <v>4</v>
      </c>
      <c r="B7" s="83">
        <v>152293</v>
      </c>
      <c r="C7" s="83">
        <v>419951</v>
      </c>
      <c r="D7" s="83">
        <v>363426</v>
      </c>
      <c r="E7" s="84">
        <f t="shared" si="0"/>
        <v>-0.63735531050051075</v>
      </c>
      <c r="F7" s="84">
        <f t="shared" si="1"/>
        <v>-0.58095183063402178</v>
      </c>
      <c r="G7" s="41"/>
      <c r="H7" s="66">
        <f t="shared" si="2"/>
        <v>150272</v>
      </c>
      <c r="I7" s="66">
        <f t="shared" si="2"/>
        <v>399082</v>
      </c>
      <c r="J7" s="66">
        <f t="shared" si="2"/>
        <v>343205</v>
      </c>
      <c r="K7" s="94">
        <f t="shared" si="3"/>
        <v>-0.62345583113244896</v>
      </c>
      <c r="L7" s="94">
        <f t="shared" si="4"/>
        <v>-0.56215090106496124</v>
      </c>
      <c r="M7" s="41"/>
      <c r="N7" s="98">
        <v>2021</v>
      </c>
      <c r="O7" s="67">
        <f>12339+8530</f>
        <v>20869</v>
      </c>
      <c r="P7" s="67">
        <f>12635+7586</f>
        <v>20221</v>
      </c>
      <c r="Q7" s="96">
        <f>N7/O7-1</f>
        <v>-0.90315779385691697</v>
      </c>
      <c r="R7" s="96">
        <f t="shared" si="5"/>
        <v>-0.9000543988922407</v>
      </c>
    </row>
    <row r="8" spans="1:42" x14ac:dyDescent="0.25">
      <c r="A8" s="42" t="s">
        <v>5</v>
      </c>
      <c r="B8" s="81">
        <v>259491</v>
      </c>
      <c r="C8" s="81">
        <v>233776</v>
      </c>
      <c r="D8" s="81">
        <v>436701</v>
      </c>
      <c r="E8" s="82">
        <f t="shared" si="0"/>
        <v>0.10999846006433511</v>
      </c>
      <c r="F8" s="95">
        <f t="shared" si="1"/>
        <v>-0.40579252165669422</v>
      </c>
      <c r="G8" s="41"/>
      <c r="H8" s="65">
        <f>B8-N8</f>
        <v>256837</v>
      </c>
      <c r="I8" s="65">
        <f>C8-O8</f>
        <v>221481</v>
      </c>
      <c r="J8" s="65">
        <f>D8-P8</f>
        <v>412440</v>
      </c>
      <c r="K8" s="82">
        <f t="shared" si="3"/>
        <v>0.15963446074381094</v>
      </c>
      <c r="L8" s="95">
        <f t="shared" si="4"/>
        <v>-0.37727427019687709</v>
      </c>
      <c r="M8" s="41"/>
      <c r="N8" s="97">
        <v>2654</v>
      </c>
      <c r="O8" s="65">
        <f>5606+6689</f>
        <v>12295</v>
      </c>
      <c r="P8" s="65">
        <f>15347+8914</f>
        <v>24261</v>
      </c>
      <c r="Q8" s="82">
        <f>N8/O8-1</f>
        <v>-0.78413989426596176</v>
      </c>
      <c r="R8" s="95">
        <f t="shared" si="5"/>
        <v>-0.89060632290507402</v>
      </c>
    </row>
    <row r="9" spans="1:42" x14ac:dyDescent="0.25">
      <c r="A9" s="50" t="s">
        <v>6</v>
      </c>
      <c r="B9" s="83">
        <v>298784</v>
      </c>
      <c r="C9" s="83">
        <f>I9+O9</f>
        <v>28916</v>
      </c>
      <c r="D9" s="83">
        <v>444948</v>
      </c>
      <c r="E9" s="84">
        <f t="shared" si="0"/>
        <v>9.3328261170286346</v>
      </c>
      <c r="F9" s="84">
        <f t="shared" si="1"/>
        <v>-0.32849681311074552</v>
      </c>
      <c r="G9" s="41"/>
      <c r="H9" s="66">
        <v>295186</v>
      </c>
      <c r="I9" s="66">
        <v>28916</v>
      </c>
      <c r="J9" s="66">
        <f t="shared" ref="J9:J17" si="6">D9-P9</f>
        <v>420699</v>
      </c>
      <c r="K9" s="94">
        <f t="shared" si="3"/>
        <v>9.2083967353714211</v>
      </c>
      <c r="L9" s="94">
        <f t="shared" si="4"/>
        <v>-0.29834394662216934</v>
      </c>
      <c r="M9" s="41"/>
      <c r="N9" s="98">
        <v>3598</v>
      </c>
      <c r="O9" s="67">
        <v>0</v>
      </c>
      <c r="P9" s="67">
        <f>16045+8204</f>
        <v>24249</v>
      </c>
      <c r="Q9" s="96"/>
      <c r="R9" s="96">
        <f t="shared" si="5"/>
        <v>-0.85162274732978682</v>
      </c>
    </row>
    <row r="10" spans="1:42" x14ac:dyDescent="0.25">
      <c r="A10" s="38" t="s">
        <v>7</v>
      </c>
      <c r="B10" s="81">
        <v>366937</v>
      </c>
      <c r="C10" s="81">
        <v>70296</v>
      </c>
      <c r="D10" s="81">
        <v>475400</v>
      </c>
      <c r="E10" s="82">
        <f t="shared" si="0"/>
        <v>4.2198844884488445</v>
      </c>
      <c r="F10" s="95">
        <f t="shared" si="1"/>
        <v>-0.2281510307109802</v>
      </c>
      <c r="G10" s="41"/>
      <c r="H10" s="65">
        <f t="shared" ref="H10:H16" si="7">B10-N10</f>
        <v>355648</v>
      </c>
      <c r="I10" s="65">
        <v>70296</v>
      </c>
      <c r="J10" s="65">
        <f t="shared" si="6"/>
        <v>449233</v>
      </c>
      <c r="K10" s="82">
        <f t="shared" si="3"/>
        <v>4.0592921361101624</v>
      </c>
      <c r="L10" s="95">
        <f t="shared" si="4"/>
        <v>-0.20832173949821142</v>
      </c>
      <c r="M10" s="41"/>
      <c r="N10" s="97">
        <v>11289</v>
      </c>
      <c r="O10" s="65">
        <v>0</v>
      </c>
      <c r="P10" s="65">
        <f>16077+10090</f>
        <v>26167</v>
      </c>
      <c r="Q10" s="82"/>
      <c r="R10" s="95">
        <f t="shared" si="5"/>
        <v>-0.56857874421981891</v>
      </c>
    </row>
    <row r="11" spans="1:42" x14ac:dyDescent="0.25">
      <c r="A11" s="50" t="s">
        <v>8</v>
      </c>
      <c r="B11" s="83">
        <v>431085</v>
      </c>
      <c r="C11" s="83">
        <v>142029</v>
      </c>
      <c r="D11" s="83">
        <v>477681</v>
      </c>
      <c r="E11" s="84">
        <f t="shared" si="0"/>
        <v>2.035189996409184</v>
      </c>
      <c r="F11" s="84">
        <f t="shared" si="1"/>
        <v>-9.7546270418961578E-2</v>
      </c>
      <c r="G11" s="41"/>
      <c r="H11" s="66">
        <f t="shared" si="7"/>
        <v>419434</v>
      </c>
      <c r="I11" s="66">
        <f t="shared" ref="I11:I17" si="8">C11-O11</f>
        <v>140629</v>
      </c>
      <c r="J11" s="66">
        <f t="shared" si="6"/>
        <v>451211</v>
      </c>
      <c r="K11" s="94">
        <f t="shared" si="3"/>
        <v>1.9825569406025783</v>
      </c>
      <c r="L11" s="94">
        <f t="shared" si="4"/>
        <v>-7.0426031280265811E-2</v>
      </c>
      <c r="M11" s="41"/>
      <c r="N11" s="98">
        <f>11324+327</f>
        <v>11651</v>
      </c>
      <c r="O11" s="67">
        <v>1400</v>
      </c>
      <c r="P11" s="67">
        <f>16810+9660</f>
        <v>26470</v>
      </c>
      <c r="Q11" s="96">
        <f t="shared" ref="Q11:Q16" si="9">N11/O11-1</f>
        <v>7.3221428571428575</v>
      </c>
      <c r="R11" s="96">
        <f t="shared" si="5"/>
        <v>-0.55984132980732904</v>
      </c>
    </row>
    <row r="12" spans="1:42" x14ac:dyDescent="0.25">
      <c r="A12" s="38" t="s">
        <v>9</v>
      </c>
      <c r="B12" s="81">
        <v>477966</v>
      </c>
      <c r="C12" s="81">
        <v>176220</v>
      </c>
      <c r="D12" s="81">
        <v>494966</v>
      </c>
      <c r="E12" s="82">
        <f t="shared" ref="E12:E16" si="10">B12/C12-1</f>
        <v>1.7123255022131425</v>
      </c>
      <c r="F12" s="95">
        <f t="shared" ref="F12:F16" si="11">B12/D12-1</f>
        <v>-3.434579344843891E-2</v>
      </c>
      <c r="G12" s="41"/>
      <c r="H12" s="65">
        <f t="shared" si="7"/>
        <v>465050</v>
      </c>
      <c r="I12" s="65">
        <f t="shared" si="8"/>
        <v>172604</v>
      </c>
      <c r="J12" s="65">
        <f t="shared" si="6"/>
        <v>467990</v>
      </c>
      <c r="K12" s="95">
        <f t="shared" si="3"/>
        <v>1.6943176287919166</v>
      </c>
      <c r="L12" s="95">
        <f t="shared" si="4"/>
        <v>-6.2821855167844998E-3</v>
      </c>
      <c r="M12" s="41"/>
      <c r="N12" s="97">
        <f>12489+427</f>
        <v>12916</v>
      </c>
      <c r="O12" s="65">
        <v>3616</v>
      </c>
      <c r="P12" s="65">
        <f>16992+9984</f>
        <v>26976</v>
      </c>
      <c r="Q12" s="82">
        <f t="shared" si="9"/>
        <v>2.5719026548672566</v>
      </c>
      <c r="R12" s="95">
        <f t="shared" ref="R12:R13" si="12">N12/P12-1</f>
        <v>-0.52120403321470943</v>
      </c>
    </row>
    <row r="13" spans="1:42" x14ac:dyDescent="0.25">
      <c r="A13" s="50" t="s">
        <v>10</v>
      </c>
      <c r="B13" s="83">
        <v>467622</v>
      </c>
      <c r="C13" s="83">
        <v>196531</v>
      </c>
      <c r="D13" s="83">
        <v>504102</v>
      </c>
      <c r="E13" s="84">
        <f t="shared" si="10"/>
        <v>1.3793803522090662</v>
      </c>
      <c r="F13" s="84">
        <f t="shared" si="11"/>
        <v>-7.2366306818858139E-2</v>
      </c>
      <c r="G13" s="41"/>
      <c r="H13" s="66">
        <f t="shared" si="7"/>
        <v>456445</v>
      </c>
      <c r="I13" s="66">
        <f t="shared" si="8"/>
        <v>193142</v>
      </c>
      <c r="J13" s="66">
        <f t="shared" si="6"/>
        <v>478782</v>
      </c>
      <c r="K13" s="94">
        <f t="shared" si="3"/>
        <v>1.3632612274906544</v>
      </c>
      <c r="L13" s="94">
        <f t="shared" si="4"/>
        <v>-4.6653800685907187E-2</v>
      </c>
      <c r="M13" s="41"/>
      <c r="N13" s="98">
        <f>10790+387</f>
        <v>11177</v>
      </c>
      <c r="O13" s="67">
        <v>3389</v>
      </c>
      <c r="P13" s="67">
        <f>16303+9017</f>
        <v>25320</v>
      </c>
      <c r="Q13" s="96">
        <f t="shared" si="9"/>
        <v>2.2980230156388317</v>
      </c>
      <c r="R13" s="96">
        <f t="shared" si="12"/>
        <v>-0.55857030015797782</v>
      </c>
    </row>
    <row r="14" spans="1:42" s="48" customFormat="1" x14ac:dyDescent="0.25">
      <c r="A14" s="44" t="s">
        <v>11</v>
      </c>
      <c r="B14" s="81">
        <v>453174</v>
      </c>
      <c r="C14" s="81">
        <v>195037</v>
      </c>
      <c r="D14" s="81">
        <v>469324</v>
      </c>
      <c r="E14" s="82">
        <f t="shared" si="10"/>
        <v>1.3235283561580622</v>
      </c>
      <c r="F14" s="82">
        <f t="shared" si="11"/>
        <v>-3.4411195677186757E-2</v>
      </c>
      <c r="G14" s="41"/>
      <c r="H14" s="65">
        <f t="shared" si="7"/>
        <v>443090</v>
      </c>
      <c r="I14" s="65">
        <f t="shared" si="8"/>
        <v>191467</v>
      </c>
      <c r="J14" s="65">
        <f t="shared" si="6"/>
        <v>446169</v>
      </c>
      <c r="K14" s="95">
        <f t="shared" ref="K14" si="13">H14/I14-1</f>
        <v>1.3141846897898857</v>
      </c>
      <c r="L14" s="95">
        <f t="shared" ref="L14" si="14">H14/J14-1</f>
        <v>-6.9009725014512746E-3</v>
      </c>
      <c r="M14" s="47"/>
      <c r="N14" s="97">
        <f>216+9868</f>
        <v>10084</v>
      </c>
      <c r="O14" s="65">
        <v>3570</v>
      </c>
      <c r="P14" s="65">
        <f>14518+8637</f>
        <v>23155</v>
      </c>
      <c r="Q14" s="82">
        <f t="shared" si="9"/>
        <v>1.8246498599439778</v>
      </c>
      <c r="R14" s="95">
        <f t="shared" ref="R14:R15" si="15">N14/P14-1</f>
        <v>-0.5645001079680414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v>494727</v>
      </c>
      <c r="C15" s="83">
        <v>217922</v>
      </c>
      <c r="D15" s="83">
        <v>504550</v>
      </c>
      <c r="E15" s="84">
        <f t="shared" si="10"/>
        <v>1.2702021824322465</v>
      </c>
      <c r="F15" s="84">
        <f t="shared" si="11"/>
        <v>-1.9468833614111558E-2</v>
      </c>
      <c r="G15" s="41"/>
      <c r="H15" s="66">
        <f>B15-N15</f>
        <v>484128</v>
      </c>
      <c r="I15" s="66">
        <f t="shared" si="8"/>
        <v>213773</v>
      </c>
      <c r="J15" s="66">
        <f t="shared" si="6"/>
        <v>480318</v>
      </c>
      <c r="K15" s="94">
        <f t="shared" ref="K15:K16" si="16">H15/I15-1</f>
        <v>1.2646826306409134</v>
      </c>
      <c r="L15" s="94">
        <f t="shared" ref="L15:L16" si="17">H15/J15-1</f>
        <v>7.9322448877618967E-3</v>
      </c>
      <c r="M15" s="41"/>
      <c r="N15" s="98">
        <f>236+10363</f>
        <v>10599</v>
      </c>
      <c r="O15" s="67">
        <v>4149</v>
      </c>
      <c r="P15" s="67">
        <f>15005+9227</f>
        <v>24232</v>
      </c>
      <c r="Q15" s="96">
        <f t="shared" si="9"/>
        <v>1.5545914678235722</v>
      </c>
      <c r="R15" s="96">
        <f t="shared" si="15"/>
        <v>-0.56260316936282595</v>
      </c>
    </row>
    <row r="16" spans="1:42" x14ac:dyDescent="0.25">
      <c r="A16" s="42" t="s">
        <v>13</v>
      </c>
      <c r="B16" s="105">
        <v>475502</v>
      </c>
      <c r="C16" s="81">
        <v>212726</v>
      </c>
      <c r="D16" s="81">
        <v>501639</v>
      </c>
      <c r="E16" s="82">
        <f t="shared" si="10"/>
        <v>1.2352791854310241</v>
      </c>
      <c r="F16" s="82">
        <f t="shared" si="11"/>
        <v>-5.2103205691742427E-2</v>
      </c>
      <c r="G16" s="41"/>
      <c r="H16" s="65">
        <f t="shared" si="7"/>
        <v>464162</v>
      </c>
      <c r="I16" s="65">
        <f t="shared" si="8"/>
        <v>205526</v>
      </c>
      <c r="J16" s="65">
        <f t="shared" si="6"/>
        <v>475453</v>
      </c>
      <c r="K16" s="95">
        <f t="shared" si="16"/>
        <v>1.2584101281589679</v>
      </c>
      <c r="L16" s="95">
        <f t="shared" si="17"/>
        <v>-2.3747878339183903E-2</v>
      </c>
      <c r="M16" s="41"/>
      <c r="N16" s="97">
        <f>11096+244</f>
        <v>11340</v>
      </c>
      <c r="O16" s="65">
        <v>7200</v>
      </c>
      <c r="P16" s="65">
        <f>17203+8983</f>
        <v>26186</v>
      </c>
      <c r="Q16" s="82">
        <f t="shared" si="9"/>
        <v>0.57499999999999996</v>
      </c>
      <c r="R16" s="95">
        <f t="shared" ref="R16:R17" si="18">N16/P16-1</f>
        <v>-0.56694416863973118</v>
      </c>
    </row>
    <row r="17" spans="1:18" x14ac:dyDescent="0.25">
      <c r="A17" s="50" t="s">
        <v>14</v>
      </c>
      <c r="B17" s="83">
        <v>467151</v>
      </c>
      <c r="C17" s="83">
        <v>190534</v>
      </c>
      <c r="D17" s="83">
        <v>514789</v>
      </c>
      <c r="E17" s="84">
        <f t="shared" ref="E17" si="19">B17/C17-1</f>
        <v>1.4517986291160634</v>
      </c>
      <c r="F17" s="84">
        <f t="shared" ref="F17" si="20">B17/D17-1</f>
        <v>-9.2538884863507143E-2</v>
      </c>
      <c r="G17" s="41"/>
      <c r="H17" s="66">
        <f>B17-N17</f>
        <v>454695</v>
      </c>
      <c r="I17" s="66">
        <f t="shared" si="8"/>
        <v>182779</v>
      </c>
      <c r="J17" s="66">
        <f t="shared" si="6"/>
        <v>455086</v>
      </c>
      <c r="K17" s="94">
        <f t="shared" ref="K17" si="21">H17/I17-1</f>
        <v>1.4876763742005372</v>
      </c>
      <c r="L17" s="94">
        <f t="shared" ref="L17" si="22">H17/J17-1</f>
        <v>-8.5917826520698348E-4</v>
      </c>
      <c r="M17" s="41"/>
      <c r="N17" s="98">
        <f>277+12179</f>
        <v>12456</v>
      </c>
      <c r="O17" s="67">
        <v>7755</v>
      </c>
      <c r="P17" s="67">
        <f>48455+11248</f>
        <v>59703</v>
      </c>
      <c r="Q17" s="96">
        <f t="shared" ref="Q17" si="23">N17/O17-1</f>
        <v>0.60618955512572525</v>
      </c>
      <c r="R17" s="96">
        <f t="shared" si="18"/>
        <v>-0.7913672679764836</v>
      </c>
    </row>
    <row r="18" spans="1:18" x14ac:dyDescent="0.25">
      <c r="A18" s="38" t="s">
        <v>35</v>
      </c>
      <c r="B18" s="85">
        <f>SUM(B6:B17)</f>
        <v>4496592</v>
      </c>
      <c r="C18" s="85">
        <f>SUM(C6:C17)</f>
        <v>2538477</v>
      </c>
      <c r="D18" s="85">
        <f>SUM(D6:D17)</f>
        <v>5583732</v>
      </c>
      <c r="E18" s="82">
        <f>B18/C18-1</f>
        <v>0.77137393799510501</v>
      </c>
      <c r="F18" s="82">
        <f>B18/D18-1</f>
        <v>-0.19469773979123639</v>
      </c>
      <c r="G18" s="41"/>
      <c r="H18" s="85">
        <f>SUM(H6:H17)</f>
        <v>4390332</v>
      </c>
      <c r="I18" s="85">
        <f>SUM(I6:I17)</f>
        <v>2443414</v>
      </c>
      <c r="J18" s="85">
        <f>SUM(J6:J17)</f>
        <v>5249813</v>
      </c>
      <c r="K18" s="82">
        <f>H18/I18-1</f>
        <v>0.79680234295129693</v>
      </c>
      <c r="L18" s="82">
        <f>H18/J18-1</f>
        <v>-0.16371649809240829</v>
      </c>
      <c r="M18" s="41"/>
      <c r="N18" s="99">
        <f>SUM(N6:N17)</f>
        <v>106260</v>
      </c>
      <c r="O18" s="85">
        <f>SUM(O6:O17)</f>
        <v>95063</v>
      </c>
      <c r="P18" s="85">
        <f>SUM(P6:P17)</f>
        <v>333919</v>
      </c>
      <c r="Q18" s="82">
        <f>N18/O18-1</f>
        <v>0.11778504781039945</v>
      </c>
      <c r="R18" s="82">
        <f>N18/P18-1</f>
        <v>-0.68177911409653236</v>
      </c>
    </row>
    <row r="19" spans="1:18" x14ac:dyDescent="0.25">
      <c r="A19" s="37"/>
      <c r="B19" s="37"/>
      <c r="C19" s="37"/>
      <c r="G19" s="41"/>
      <c r="H19" s="41"/>
    </row>
    <row r="20" spans="1:18" x14ac:dyDescent="0.25">
      <c r="A20" s="43" t="s">
        <v>38</v>
      </c>
      <c r="B20" s="43"/>
      <c r="C20" s="58"/>
      <c r="J20" s="39"/>
      <c r="K20" s="39"/>
      <c r="O20" s="39"/>
      <c r="P20" s="39"/>
    </row>
    <row r="21" spans="1:18" x14ac:dyDescent="0.25">
      <c r="A21" s="2" t="s">
        <v>52</v>
      </c>
      <c r="B21" s="2"/>
      <c r="O21" s="39"/>
      <c r="P21" s="49"/>
    </row>
    <row r="23" spans="1:18" x14ac:dyDescent="0.25">
      <c r="C23" s="29"/>
      <c r="D23" s="29"/>
      <c r="E23" s="29"/>
      <c r="F23" s="29"/>
    </row>
  </sheetData>
  <mergeCells count="4">
    <mergeCell ref="A1:Q1"/>
    <mergeCell ref="N3:R3"/>
    <mergeCell ref="H3:L3"/>
    <mergeCell ref="B3:F3"/>
  </mergeCells>
  <phoneticPr fontId="17" type="noConversion"/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A957"/>
    <pageSetUpPr fitToPage="1"/>
  </sheetPr>
  <dimension ref="A1:AP23"/>
  <sheetViews>
    <sheetView zoomScaleNormal="100" zoomScaleSheetLayoutView="90" workbookViewId="0">
      <selection activeCell="Q19" sqref="Q19"/>
    </sheetView>
  </sheetViews>
  <sheetFormatPr baseColWidth="10" defaultColWidth="8.83203125" defaultRowHeight="19" x14ac:dyDescent="0.25"/>
  <cols>
    <col min="1" max="18" width="13.83203125" style="33" customWidth="1"/>
  </cols>
  <sheetData>
    <row r="1" spans="1:42" ht="34" customHeight="1" x14ac:dyDescent="0.2">
      <c r="A1" s="106" t="s">
        <v>23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47</v>
      </c>
      <c r="C3" s="108"/>
      <c r="D3" s="108"/>
      <c r="E3" s="108"/>
      <c r="F3" s="109"/>
      <c r="G3" s="54"/>
      <c r="H3" s="117" t="s">
        <v>15</v>
      </c>
      <c r="I3" s="117"/>
      <c r="J3" s="117"/>
      <c r="K3" s="117"/>
      <c r="L3" s="117"/>
      <c r="M3" s="75"/>
      <c r="N3" s="113" t="s">
        <v>16</v>
      </c>
      <c r="O3" s="114"/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90" t="s">
        <v>54</v>
      </c>
      <c r="L4" s="90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v>195290</v>
      </c>
      <c r="C6" s="81">
        <v>806386</v>
      </c>
      <c r="D6" s="81">
        <v>819358</v>
      </c>
      <c r="E6" s="82">
        <f t="shared" ref="E6:E11" si="0">B6/C6-1</f>
        <v>-0.75782069629185034</v>
      </c>
      <c r="F6" s="82">
        <f t="shared" ref="F6:F11" si="1">B6/D6-1</f>
        <v>-0.76165485660724619</v>
      </c>
      <c r="G6" s="41"/>
      <c r="H6" s="91">
        <v>195290</v>
      </c>
      <c r="I6" s="65">
        <f>C6-O6</f>
        <v>798938</v>
      </c>
      <c r="J6" s="65">
        <v>805464</v>
      </c>
      <c r="K6" s="82">
        <f t="shared" ref="K6:K11" si="2">H6/I6-1</f>
        <v>-0.75556300989563652</v>
      </c>
      <c r="L6" s="82">
        <f t="shared" ref="L6:L11" si="3">H6/J6-1</f>
        <v>-0.75754347804495303</v>
      </c>
      <c r="M6" s="37"/>
      <c r="N6" s="65">
        <v>0</v>
      </c>
      <c r="O6" s="65">
        <v>7448</v>
      </c>
      <c r="P6" s="65">
        <v>13928</v>
      </c>
      <c r="Q6" s="82">
        <f>N6/O6-1</f>
        <v>-1</v>
      </c>
      <c r="R6" s="82">
        <f t="shared" ref="R6:R11" si="4">N6/P6-1</f>
        <v>-1</v>
      </c>
    </row>
    <row r="7" spans="1:42" x14ac:dyDescent="0.25">
      <c r="A7" s="50" t="s">
        <v>4</v>
      </c>
      <c r="B7" s="83">
        <v>227402</v>
      </c>
      <c r="C7" s="83">
        <v>764506</v>
      </c>
      <c r="D7" s="83">
        <v>789523</v>
      </c>
      <c r="E7" s="84">
        <f t="shared" si="0"/>
        <v>-0.70255040509819411</v>
      </c>
      <c r="F7" s="84">
        <f t="shared" si="1"/>
        <v>-0.71197545859968614</v>
      </c>
      <c r="G7" s="41"/>
      <c r="H7" s="66">
        <v>227402</v>
      </c>
      <c r="I7" s="66">
        <f>C7-O7</f>
        <v>757521</v>
      </c>
      <c r="J7" s="66">
        <v>776564</v>
      </c>
      <c r="K7" s="94">
        <f t="shared" si="2"/>
        <v>-0.69980766209781642</v>
      </c>
      <c r="L7" s="94">
        <f t="shared" si="3"/>
        <v>-0.70716901633348961</v>
      </c>
      <c r="M7" s="41"/>
      <c r="N7" s="67"/>
      <c r="O7" s="67">
        <v>6985</v>
      </c>
      <c r="P7" s="67">
        <v>12993</v>
      </c>
      <c r="Q7" s="96">
        <f>N7/O7-1</f>
        <v>-1</v>
      </c>
      <c r="R7" s="96">
        <f t="shared" si="4"/>
        <v>-1</v>
      </c>
    </row>
    <row r="8" spans="1:42" x14ac:dyDescent="0.25">
      <c r="A8" s="42" t="s">
        <v>5</v>
      </c>
      <c r="B8" s="81">
        <v>385396</v>
      </c>
      <c r="C8" s="81">
        <v>337981</v>
      </c>
      <c r="D8" s="81">
        <v>923403</v>
      </c>
      <c r="E8" s="82">
        <f t="shared" si="0"/>
        <v>0.14028895115405904</v>
      </c>
      <c r="F8" s="82">
        <f t="shared" si="1"/>
        <v>-0.58263510081730296</v>
      </c>
      <c r="G8" s="41"/>
      <c r="H8" s="65">
        <f t="shared" ref="H8:H17" si="5">B8-N8</f>
        <v>381271</v>
      </c>
      <c r="I8" s="65">
        <f>C8-O8</f>
        <v>335168</v>
      </c>
      <c r="J8" s="65">
        <v>906776</v>
      </c>
      <c r="K8" s="82">
        <f t="shared" si="2"/>
        <v>0.13755191426389146</v>
      </c>
      <c r="L8" s="82">
        <f t="shared" si="3"/>
        <v>-0.57953121829426446</v>
      </c>
      <c r="M8" s="41"/>
      <c r="N8" s="65">
        <v>4125</v>
      </c>
      <c r="O8" s="65">
        <v>2813</v>
      </c>
      <c r="P8" s="65">
        <v>16693</v>
      </c>
      <c r="Q8" s="82">
        <f>N8/O8-1</f>
        <v>0.46640597227159608</v>
      </c>
      <c r="R8" s="82">
        <f t="shared" si="4"/>
        <v>-0.75289043311567727</v>
      </c>
    </row>
    <row r="9" spans="1:42" x14ac:dyDescent="0.25">
      <c r="A9" s="50" t="s">
        <v>6</v>
      </c>
      <c r="B9" s="83">
        <v>495592</v>
      </c>
      <c r="C9" s="83">
        <f>I9+O9</f>
        <v>25313</v>
      </c>
      <c r="D9" s="83">
        <v>899276</v>
      </c>
      <c r="E9" s="84">
        <f t="shared" si="0"/>
        <v>18.57855647295856</v>
      </c>
      <c r="F9" s="84">
        <f t="shared" si="1"/>
        <v>-0.4488988919975625</v>
      </c>
      <c r="G9" s="41"/>
      <c r="H9" s="66">
        <f t="shared" si="5"/>
        <v>486493</v>
      </c>
      <c r="I9" s="66">
        <v>25313</v>
      </c>
      <c r="J9" s="66">
        <f t="shared" ref="J9:J11" si="6">D9-P9</f>
        <v>880999</v>
      </c>
      <c r="K9" s="94">
        <f t="shared" si="2"/>
        <v>18.219096906727767</v>
      </c>
      <c r="L9" s="94">
        <f t="shared" si="3"/>
        <v>-0.44779392485122005</v>
      </c>
      <c r="M9" s="41"/>
      <c r="N9" s="67">
        <v>9099</v>
      </c>
      <c r="O9" s="67">
        <v>0</v>
      </c>
      <c r="P9" s="67">
        <v>18277</v>
      </c>
      <c r="Q9" s="96"/>
      <c r="R9" s="96">
        <f t="shared" si="4"/>
        <v>-0.50216118619029382</v>
      </c>
    </row>
    <row r="10" spans="1:42" x14ac:dyDescent="0.25">
      <c r="A10" s="38" t="s">
        <v>7</v>
      </c>
      <c r="B10" s="81">
        <v>585735</v>
      </c>
      <c r="C10" s="81">
        <v>82342</v>
      </c>
      <c r="D10" s="81">
        <v>942872</v>
      </c>
      <c r="E10" s="82">
        <f t="shared" si="0"/>
        <v>6.1134415000850115</v>
      </c>
      <c r="F10" s="82">
        <f t="shared" si="1"/>
        <v>-0.37877569807990907</v>
      </c>
      <c r="G10" s="41"/>
      <c r="H10" s="65">
        <f t="shared" si="5"/>
        <v>575082</v>
      </c>
      <c r="I10" s="65">
        <v>82342</v>
      </c>
      <c r="J10" s="65">
        <f t="shared" si="6"/>
        <v>923209</v>
      </c>
      <c r="K10" s="82">
        <f t="shared" si="2"/>
        <v>5.984066454543246</v>
      </c>
      <c r="L10" s="82">
        <f t="shared" si="3"/>
        <v>-0.37708362895075764</v>
      </c>
      <c r="M10" s="41"/>
      <c r="N10" s="65">
        <v>10653</v>
      </c>
      <c r="O10" s="65">
        <v>0</v>
      </c>
      <c r="P10" s="65">
        <v>19663</v>
      </c>
      <c r="Q10" s="82"/>
      <c r="R10" s="82">
        <f t="shared" si="4"/>
        <v>-0.4582210242587601</v>
      </c>
    </row>
    <row r="11" spans="1:42" x14ac:dyDescent="0.25">
      <c r="A11" s="50" t="s">
        <v>8</v>
      </c>
      <c r="B11" s="83">
        <v>730144</v>
      </c>
      <c r="C11" s="83">
        <v>181486</v>
      </c>
      <c r="D11" s="83">
        <v>918913</v>
      </c>
      <c r="E11" s="84">
        <f t="shared" si="0"/>
        <v>3.0231422809472903</v>
      </c>
      <c r="F11" s="84">
        <f t="shared" si="1"/>
        <v>-0.20542641142306184</v>
      </c>
      <c r="G11" s="41"/>
      <c r="H11" s="66">
        <f t="shared" si="5"/>
        <v>718066</v>
      </c>
      <c r="I11" s="66">
        <v>181486</v>
      </c>
      <c r="J11" s="66">
        <f t="shared" si="6"/>
        <v>902201</v>
      </c>
      <c r="K11" s="94">
        <f t="shared" si="2"/>
        <v>2.9565916930231535</v>
      </c>
      <c r="L11" s="94">
        <f t="shared" si="3"/>
        <v>-0.20409531800563285</v>
      </c>
      <c r="M11" s="41"/>
      <c r="N11" s="67">
        <v>12078</v>
      </c>
      <c r="O11" s="67">
        <v>0</v>
      </c>
      <c r="P11" s="67">
        <v>16712</v>
      </c>
      <c r="Q11" s="96"/>
      <c r="R11" s="96">
        <f t="shared" si="4"/>
        <v>-0.27728578267113446</v>
      </c>
    </row>
    <row r="12" spans="1:42" x14ac:dyDescent="0.25">
      <c r="A12" s="38" t="s">
        <v>9</v>
      </c>
      <c r="B12" s="81">
        <v>890185</v>
      </c>
      <c r="C12" s="81">
        <v>239120</v>
      </c>
      <c r="D12" s="81">
        <v>946111</v>
      </c>
      <c r="E12" s="82">
        <f t="shared" ref="E12:E16" si="7">B12/C12-1</f>
        <v>2.7227542656406825</v>
      </c>
      <c r="F12" s="82">
        <f t="shared" ref="F12:F16" si="8">B12/D12-1</f>
        <v>-5.9111457323717809E-2</v>
      </c>
      <c r="G12" s="41"/>
      <c r="H12" s="65">
        <f t="shared" si="5"/>
        <v>879108</v>
      </c>
      <c r="I12" s="65">
        <v>239120</v>
      </c>
      <c r="J12" s="65">
        <f t="shared" ref="J12:J17" si="9">D12-P12</f>
        <v>930107</v>
      </c>
      <c r="K12" s="82">
        <f t="shared" ref="K12:K14" si="10">H12/I12-1</f>
        <v>2.6764302442288392</v>
      </c>
      <c r="L12" s="82">
        <f t="shared" ref="L12:L14" si="11">H12/J12-1</f>
        <v>-5.4831325858207713E-2</v>
      </c>
      <c r="M12" s="41"/>
      <c r="N12" s="65">
        <v>11077</v>
      </c>
      <c r="O12" s="65">
        <v>0</v>
      </c>
      <c r="P12" s="65">
        <v>16004</v>
      </c>
      <c r="Q12" s="82"/>
      <c r="R12" s="82">
        <f t="shared" ref="R12:R17" si="12">N12/P12-1</f>
        <v>-0.3078605348662834</v>
      </c>
    </row>
    <row r="13" spans="1:42" x14ac:dyDescent="0.25">
      <c r="A13" s="50" t="s">
        <v>10</v>
      </c>
      <c r="B13" s="83">
        <v>831522</v>
      </c>
      <c r="C13" s="83">
        <v>266986</v>
      </c>
      <c r="D13" s="83">
        <v>942541</v>
      </c>
      <c r="E13" s="84">
        <f t="shared" si="7"/>
        <v>2.1144779126995421</v>
      </c>
      <c r="F13" s="84">
        <f t="shared" si="8"/>
        <v>-0.11778691855314516</v>
      </c>
      <c r="G13" s="41"/>
      <c r="H13" s="66">
        <f t="shared" si="5"/>
        <v>821831</v>
      </c>
      <c r="I13" s="66">
        <v>266986</v>
      </c>
      <c r="J13" s="66">
        <f t="shared" si="9"/>
        <v>931877</v>
      </c>
      <c r="K13" s="94">
        <f t="shared" si="10"/>
        <v>2.0781801292951689</v>
      </c>
      <c r="L13" s="94">
        <f t="shared" si="11"/>
        <v>-0.11809069222654922</v>
      </c>
      <c r="M13" s="41"/>
      <c r="N13" s="67">
        <v>9691</v>
      </c>
      <c r="O13" s="67">
        <v>0</v>
      </c>
      <c r="P13" s="67">
        <v>10664</v>
      </c>
      <c r="Q13" s="96"/>
      <c r="R13" s="96">
        <f t="shared" si="12"/>
        <v>-9.1241560390097565E-2</v>
      </c>
    </row>
    <row r="14" spans="1:42" s="48" customFormat="1" x14ac:dyDescent="0.25">
      <c r="A14" s="44" t="s">
        <v>11</v>
      </c>
      <c r="B14" s="81">
        <v>783737</v>
      </c>
      <c r="C14" s="81">
        <v>274813</v>
      </c>
      <c r="D14" s="81">
        <v>859174</v>
      </c>
      <c r="E14" s="82">
        <f t="shared" si="7"/>
        <v>1.8518920138421398</v>
      </c>
      <c r="F14" s="82">
        <f t="shared" si="8"/>
        <v>-8.7801772400002753E-2</v>
      </c>
      <c r="G14" s="41"/>
      <c r="H14" s="65">
        <f t="shared" si="5"/>
        <v>775770</v>
      </c>
      <c r="I14" s="65">
        <v>274813</v>
      </c>
      <c r="J14" s="65">
        <f t="shared" si="9"/>
        <v>846589</v>
      </c>
      <c r="K14" s="95">
        <f t="shared" si="10"/>
        <v>1.8229013911277852</v>
      </c>
      <c r="L14" s="95">
        <f t="shared" si="11"/>
        <v>-8.3652161792794333E-2</v>
      </c>
      <c r="M14" s="47"/>
      <c r="N14" s="65">
        <v>7967</v>
      </c>
      <c r="O14" s="65">
        <v>0</v>
      </c>
      <c r="P14" s="65">
        <v>12585</v>
      </c>
      <c r="Q14" s="95"/>
      <c r="R14" s="95">
        <f t="shared" si="12"/>
        <v>-0.36694477552642035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v>873422</v>
      </c>
      <c r="C15" s="83">
        <v>307865</v>
      </c>
      <c r="D15" s="83">
        <v>897873</v>
      </c>
      <c r="E15" s="84">
        <f t="shared" si="7"/>
        <v>1.8370292173517613</v>
      </c>
      <c r="F15" s="84">
        <f t="shared" si="8"/>
        <v>-2.7232136393454343E-2</v>
      </c>
      <c r="G15" s="41"/>
      <c r="H15" s="66">
        <f t="shared" si="5"/>
        <v>860138</v>
      </c>
      <c r="I15" s="66">
        <v>307865</v>
      </c>
      <c r="J15" s="66">
        <f t="shared" si="9"/>
        <v>886140</v>
      </c>
      <c r="K15" s="94">
        <f t="shared" ref="K15:K16" si="13">H15/I15-1</f>
        <v>1.7938804346060775</v>
      </c>
      <c r="L15" s="94">
        <f t="shared" ref="L15:L16" si="14">H15/J15-1</f>
        <v>-2.934299320649103E-2</v>
      </c>
      <c r="M15" s="41"/>
      <c r="N15" s="67">
        <v>13284</v>
      </c>
      <c r="O15" s="67">
        <v>0</v>
      </c>
      <c r="P15" s="67">
        <v>11733</v>
      </c>
      <c r="Q15" s="96"/>
      <c r="R15" s="96">
        <f t="shared" si="12"/>
        <v>0.13219125543339305</v>
      </c>
    </row>
    <row r="16" spans="1:42" x14ac:dyDescent="0.25">
      <c r="A16" s="42" t="s">
        <v>13</v>
      </c>
      <c r="B16" s="105">
        <v>854393</v>
      </c>
      <c r="C16" s="81">
        <v>277020</v>
      </c>
      <c r="D16" s="81">
        <v>827140</v>
      </c>
      <c r="E16" s="82">
        <f t="shared" si="7"/>
        <v>2.0842285755541115</v>
      </c>
      <c r="F16" s="82">
        <f t="shared" si="8"/>
        <v>3.2948473051720439E-2</v>
      </c>
      <c r="G16" s="41"/>
      <c r="H16" s="65">
        <f t="shared" si="5"/>
        <v>838240</v>
      </c>
      <c r="I16" s="65">
        <v>277020</v>
      </c>
      <c r="J16" s="65">
        <f t="shared" si="9"/>
        <v>814962</v>
      </c>
      <c r="K16" s="40">
        <f t="shared" si="13"/>
        <v>2.025918706230597</v>
      </c>
      <c r="L16" s="40">
        <f t="shared" si="14"/>
        <v>2.8563294975716635E-2</v>
      </c>
      <c r="M16" s="41"/>
      <c r="N16" s="65">
        <v>16153</v>
      </c>
      <c r="O16" s="65">
        <v>0</v>
      </c>
      <c r="P16" s="65">
        <v>12178</v>
      </c>
      <c r="Q16" s="95"/>
      <c r="R16" s="95">
        <f t="shared" si="12"/>
        <v>0.32640827722121868</v>
      </c>
    </row>
    <row r="17" spans="1:18" x14ac:dyDescent="0.25">
      <c r="A17" s="50" t="s">
        <v>14</v>
      </c>
      <c r="B17" s="83">
        <v>847671</v>
      </c>
      <c r="C17" s="83">
        <v>231033</v>
      </c>
      <c r="D17" s="83">
        <v>891492</v>
      </c>
      <c r="E17" s="84">
        <f t="shared" ref="E17" si="15">B17/C17-1</f>
        <v>2.6690472789601487</v>
      </c>
      <c r="F17" s="84">
        <f t="shared" ref="F17" si="16">B17/D17-1</f>
        <v>-4.9154675532702474E-2</v>
      </c>
      <c r="G17" s="41"/>
      <c r="H17" s="66">
        <f t="shared" si="5"/>
        <v>829752</v>
      </c>
      <c r="I17" s="66">
        <v>231033</v>
      </c>
      <c r="J17" s="66">
        <f t="shared" si="9"/>
        <v>878655</v>
      </c>
      <c r="K17" s="94">
        <f t="shared" ref="K17" si="17">H17/I17-1</f>
        <v>2.5914869304385086</v>
      </c>
      <c r="L17" s="94">
        <f t="shared" ref="L17" si="18">H17/J17-1</f>
        <v>-5.5656657049695246E-2</v>
      </c>
      <c r="M17" s="41"/>
      <c r="N17" s="67">
        <v>17919</v>
      </c>
      <c r="O17" s="67"/>
      <c r="P17" s="67">
        <v>12837</v>
      </c>
      <c r="Q17" s="96"/>
      <c r="R17" s="96">
        <f t="shared" si="12"/>
        <v>0.39588688946015416</v>
      </c>
    </row>
    <row r="18" spans="1:18" x14ac:dyDescent="0.25">
      <c r="A18" s="38" t="s">
        <v>28</v>
      </c>
      <c r="B18" s="85">
        <f>SUM(B6:B17)</f>
        <v>7700489</v>
      </c>
      <c r="C18" s="85">
        <f>SUM(C6:C17)</f>
        <v>3794851</v>
      </c>
      <c r="D18" s="85">
        <f>SUM(D6:D17)</f>
        <v>10657676</v>
      </c>
      <c r="E18" s="82">
        <f>B18/C18-1</f>
        <v>1.0291940315970245</v>
      </c>
      <c r="F18" s="82">
        <f>B18/D18-1</f>
        <v>-0.27747015390597352</v>
      </c>
      <c r="G18" s="41"/>
      <c r="H18" s="85">
        <f>SUM(H6:H17)</f>
        <v>7588443</v>
      </c>
      <c r="I18" s="85">
        <f>SUM(I6:I17)</f>
        <v>3777605</v>
      </c>
      <c r="J18" s="85">
        <f>SUM(J6:J17)</f>
        <v>10483543</v>
      </c>
      <c r="K18" s="82">
        <f>H18/I18-1</f>
        <v>1.0087973729386741</v>
      </c>
      <c r="L18" s="82">
        <f>H18/J18-1</f>
        <v>-0.27615663902938159</v>
      </c>
      <c r="M18" s="41"/>
      <c r="N18" s="85">
        <f>SUM(N6:N17)</f>
        <v>112046</v>
      </c>
      <c r="O18" s="85">
        <f>SUM(O6:O17)</f>
        <v>17246</v>
      </c>
      <c r="P18" s="85">
        <f>SUM(P6:P17)</f>
        <v>174267</v>
      </c>
      <c r="Q18" s="82">
        <f>N18/O18-1</f>
        <v>5.4969268236112718</v>
      </c>
      <c r="R18" s="82">
        <f>N18/P18-1</f>
        <v>-0.35704407604423094</v>
      </c>
    </row>
    <row r="19" spans="1:18" x14ac:dyDescent="0.25">
      <c r="A19" s="37"/>
      <c r="B19" s="37"/>
      <c r="C19" s="37"/>
      <c r="G19" s="41"/>
      <c r="H19" s="41"/>
    </row>
    <row r="20" spans="1:18" x14ac:dyDescent="0.25">
      <c r="A20" s="43" t="s">
        <v>39</v>
      </c>
      <c r="B20" s="43"/>
      <c r="C20" s="58"/>
      <c r="J20" s="39"/>
      <c r="K20" s="39"/>
      <c r="O20" s="39"/>
      <c r="P20" s="39"/>
    </row>
    <row r="21" spans="1:18" x14ac:dyDescent="0.25">
      <c r="A21" s="2" t="s">
        <v>49</v>
      </c>
      <c r="B21" s="2"/>
      <c r="O21" s="39"/>
      <c r="P21" s="49"/>
    </row>
    <row r="23" spans="1:18" x14ac:dyDescent="0.25">
      <c r="C23" s="29"/>
      <c r="D23" s="29"/>
      <c r="E23" s="29"/>
      <c r="F23" s="29"/>
    </row>
  </sheetData>
  <mergeCells count="4">
    <mergeCell ref="A1:Q1"/>
    <mergeCell ref="N3:R3"/>
    <mergeCell ref="H3:L3"/>
    <mergeCell ref="B3:F3"/>
  </mergeCells>
  <phoneticPr fontId="17" type="noConversion"/>
  <pageMargins left="0.7" right="0.7" top="0.75" bottom="0.75" header="0.3" footer="0.3"/>
  <pageSetup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  <pageSetUpPr fitToPage="1"/>
  </sheetPr>
  <dimension ref="A1:AP23"/>
  <sheetViews>
    <sheetView zoomScaleNormal="100" zoomScaleSheetLayoutView="100" workbookViewId="0">
      <selection activeCell="P19" sqref="P19"/>
    </sheetView>
  </sheetViews>
  <sheetFormatPr baseColWidth="10" defaultColWidth="8.83203125" defaultRowHeight="19" x14ac:dyDescent="0.25"/>
  <cols>
    <col min="1" max="18" width="13.83203125" style="33" customWidth="1"/>
  </cols>
  <sheetData>
    <row r="1" spans="1:42" ht="34" customHeight="1" x14ac:dyDescent="0.2">
      <c r="A1" s="106" t="s">
        <v>18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75"/>
      <c r="N3" s="113" t="s">
        <v>16</v>
      </c>
      <c r="O3" s="114"/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v>270925</v>
      </c>
      <c r="C6" s="81">
        <v>905817</v>
      </c>
      <c r="D6" s="81">
        <v>954160</v>
      </c>
      <c r="E6" s="82">
        <f t="shared" ref="E6:E11" si="0">B6/C6-1</f>
        <v>-0.70090537051082058</v>
      </c>
      <c r="F6" s="82">
        <f t="shared" ref="F6:F11" si="1">B6/D6-1</f>
        <v>-0.71605915150498867</v>
      </c>
      <c r="G6" s="41"/>
      <c r="H6" s="65">
        <f>B6-N6</f>
        <v>258040</v>
      </c>
      <c r="I6" s="65">
        <f>C6-O6</f>
        <v>873145</v>
      </c>
      <c r="J6" s="65">
        <f t="shared" ref="I6:J8" si="2">D6-P6</f>
        <v>905745</v>
      </c>
      <c r="K6" s="82">
        <f t="shared" ref="K6:K11" si="3">H6/I6-1</f>
        <v>-0.70447062057275711</v>
      </c>
      <c r="L6" s="82">
        <f t="shared" ref="L6:L11" si="4">H6/J6-1</f>
        <v>-0.71510745298069545</v>
      </c>
      <c r="M6" s="37"/>
      <c r="N6" s="65">
        <v>12885</v>
      </c>
      <c r="O6" s="65">
        <v>32672</v>
      </c>
      <c r="P6" s="65">
        <v>48415</v>
      </c>
      <c r="Q6" s="82">
        <f>N6/O6-1</f>
        <v>-0.60562561214495592</v>
      </c>
      <c r="R6" s="82">
        <f t="shared" ref="R6:R11" si="5">N6/P6-1</f>
        <v>-0.7338634720644428</v>
      </c>
    </row>
    <row r="7" spans="1:42" x14ac:dyDescent="0.25">
      <c r="A7" s="50" t="s">
        <v>4</v>
      </c>
      <c r="B7" s="83">
        <v>305463</v>
      </c>
      <c r="C7" s="83">
        <v>845576</v>
      </c>
      <c r="D7" s="83">
        <v>881204</v>
      </c>
      <c r="E7" s="84">
        <f t="shared" si="0"/>
        <v>-0.63875157289232432</v>
      </c>
      <c r="F7" s="84">
        <f t="shared" si="1"/>
        <v>-0.65335722488776726</v>
      </c>
      <c r="G7" s="41"/>
      <c r="H7" s="66">
        <f>B7-N7</f>
        <v>298878</v>
      </c>
      <c r="I7" s="66">
        <f t="shared" si="2"/>
        <v>818992</v>
      </c>
      <c r="J7" s="66">
        <f t="shared" si="2"/>
        <v>838441</v>
      </c>
      <c r="K7" s="94">
        <f t="shared" si="3"/>
        <v>-0.63506603239103676</v>
      </c>
      <c r="L7" s="94">
        <f t="shared" si="4"/>
        <v>-0.64353126815124739</v>
      </c>
      <c r="M7" s="41"/>
      <c r="N7" s="67">
        <v>6585</v>
      </c>
      <c r="O7" s="67">
        <v>26584</v>
      </c>
      <c r="P7" s="67">
        <v>42763</v>
      </c>
      <c r="Q7" s="96">
        <f>N7/O7-1</f>
        <v>-0.75229461330123382</v>
      </c>
      <c r="R7" s="96">
        <f t="shared" si="5"/>
        <v>-0.8460117391202675</v>
      </c>
    </row>
    <row r="8" spans="1:42" x14ac:dyDescent="0.25">
      <c r="A8" s="42" t="s">
        <v>5</v>
      </c>
      <c r="B8" s="81">
        <v>487610</v>
      </c>
      <c r="C8" s="81">
        <v>451799</v>
      </c>
      <c r="D8" s="81">
        <v>1095906</v>
      </c>
      <c r="E8" s="82">
        <f t="shared" si="0"/>
        <v>7.9263123645691991E-2</v>
      </c>
      <c r="F8" s="82">
        <f t="shared" si="1"/>
        <v>-0.55506220424014474</v>
      </c>
      <c r="G8" s="41"/>
      <c r="H8" s="65">
        <f>B8-N8</f>
        <v>479291</v>
      </c>
      <c r="I8" s="65">
        <f t="shared" si="2"/>
        <v>431602</v>
      </c>
      <c r="J8" s="65">
        <f t="shared" si="2"/>
        <v>1043674</v>
      </c>
      <c r="K8" s="82">
        <f t="shared" si="3"/>
        <v>0.11049300049582711</v>
      </c>
      <c r="L8" s="82">
        <f t="shared" si="4"/>
        <v>-0.54076560305229404</v>
      </c>
      <c r="M8" s="41"/>
      <c r="N8" s="65">
        <v>8319</v>
      </c>
      <c r="O8" s="65">
        <v>20197</v>
      </c>
      <c r="P8" s="65">
        <v>52232</v>
      </c>
      <c r="Q8" s="82">
        <f>N8/O8-1</f>
        <v>-0.58810714462543945</v>
      </c>
      <c r="R8" s="82">
        <f t="shared" si="5"/>
        <v>-0.84072982079950986</v>
      </c>
    </row>
    <row r="9" spans="1:42" x14ac:dyDescent="0.25">
      <c r="A9" s="50" t="s">
        <v>6</v>
      </c>
      <c r="B9" s="83">
        <v>593366</v>
      </c>
      <c r="C9" s="83">
        <f>I9+O9</f>
        <v>45819</v>
      </c>
      <c r="D9" s="83">
        <v>1136370</v>
      </c>
      <c r="E9" s="84">
        <f t="shared" si="0"/>
        <v>11.950217158820577</v>
      </c>
      <c r="F9" s="84">
        <f t="shared" si="1"/>
        <v>-0.47784084409127314</v>
      </c>
      <c r="G9" s="41"/>
      <c r="H9" s="66">
        <f t="shared" ref="H9:H14" si="6">B9-N9</f>
        <v>582063</v>
      </c>
      <c r="I9" s="66">
        <v>41910</v>
      </c>
      <c r="J9" s="66">
        <f t="shared" ref="J9:J14" si="7">D9-P9</f>
        <v>1064621</v>
      </c>
      <c r="K9" s="94">
        <f t="shared" si="3"/>
        <v>12.888403722261989</v>
      </c>
      <c r="L9" s="94">
        <f t="shared" si="4"/>
        <v>-0.45326740689879308</v>
      </c>
      <c r="M9" s="41"/>
      <c r="N9" s="67">
        <v>11303</v>
      </c>
      <c r="O9" s="67">
        <v>3909</v>
      </c>
      <c r="P9" s="67">
        <v>71749</v>
      </c>
      <c r="Q9" s="96">
        <f>N9/O9-1</f>
        <v>1.8915323612177026</v>
      </c>
      <c r="R9" s="96">
        <f t="shared" si="5"/>
        <v>-0.84246470334081314</v>
      </c>
    </row>
    <row r="10" spans="1:42" x14ac:dyDescent="0.25">
      <c r="A10" s="38" t="s">
        <v>7</v>
      </c>
      <c r="B10" s="81">
        <v>733293</v>
      </c>
      <c r="C10" s="81">
        <v>105593</v>
      </c>
      <c r="D10" s="81">
        <v>1204966</v>
      </c>
      <c r="E10" s="82">
        <f t="shared" si="0"/>
        <v>5.9445228376881047</v>
      </c>
      <c r="F10" s="82">
        <f t="shared" si="1"/>
        <v>-0.39144092032472289</v>
      </c>
      <c r="G10" s="41"/>
      <c r="H10" s="65">
        <f t="shared" si="6"/>
        <v>720482</v>
      </c>
      <c r="I10" s="65">
        <v>105593</v>
      </c>
      <c r="J10" s="65">
        <f t="shared" si="7"/>
        <v>1131736</v>
      </c>
      <c r="K10" s="82">
        <f t="shared" si="3"/>
        <v>5.8231985074768211</v>
      </c>
      <c r="L10" s="82">
        <f t="shared" si="4"/>
        <v>-0.36338333321552019</v>
      </c>
      <c r="M10" s="41"/>
      <c r="N10" s="65">
        <v>12811</v>
      </c>
      <c r="O10" s="65">
        <v>0</v>
      </c>
      <c r="P10" s="65">
        <v>73230</v>
      </c>
      <c r="Q10" s="40"/>
      <c r="R10" s="82">
        <f t="shared" si="5"/>
        <v>-0.82505803632391095</v>
      </c>
    </row>
    <row r="11" spans="1:42" x14ac:dyDescent="0.25">
      <c r="A11" s="50" t="s">
        <v>8</v>
      </c>
      <c r="B11" s="83">
        <v>815935</v>
      </c>
      <c r="C11" s="83">
        <v>255052</v>
      </c>
      <c r="D11" s="83">
        <v>1221824</v>
      </c>
      <c r="E11" s="84">
        <f t="shared" si="0"/>
        <v>2.1990927340307076</v>
      </c>
      <c r="F11" s="84">
        <f t="shared" si="1"/>
        <v>-0.3321992365512545</v>
      </c>
      <c r="G11" s="41"/>
      <c r="H11" s="66">
        <f>B11-N11</f>
        <v>802141</v>
      </c>
      <c r="I11" s="66">
        <v>255052</v>
      </c>
      <c r="J11" s="66">
        <f t="shared" si="7"/>
        <v>1142830</v>
      </c>
      <c r="K11" s="94">
        <f t="shared" si="3"/>
        <v>2.1450096450919811</v>
      </c>
      <c r="L11" s="94">
        <f t="shared" si="4"/>
        <v>-0.2981099551114339</v>
      </c>
      <c r="M11" s="41"/>
      <c r="N11" s="67">
        <v>13794</v>
      </c>
      <c r="O11" s="67">
        <v>0</v>
      </c>
      <c r="P11" s="67">
        <v>78994</v>
      </c>
      <c r="Q11" s="96"/>
      <c r="R11" s="96">
        <f t="shared" si="5"/>
        <v>-0.82537914271970025</v>
      </c>
    </row>
    <row r="12" spans="1:42" x14ac:dyDescent="0.25">
      <c r="A12" s="38" t="s">
        <v>9</v>
      </c>
      <c r="B12" s="81">
        <v>893736</v>
      </c>
      <c r="C12" s="81">
        <v>341831</v>
      </c>
      <c r="D12" s="81">
        <v>1233165</v>
      </c>
      <c r="E12" s="82">
        <f t="shared" ref="E12:E16" si="8">B12/C12-1</f>
        <v>1.6145551456713991</v>
      </c>
      <c r="F12" s="82">
        <f t="shared" ref="F12:F16" si="9">B12/D12-1</f>
        <v>-0.27525027064504748</v>
      </c>
      <c r="G12" s="41"/>
      <c r="H12" s="65">
        <f t="shared" si="6"/>
        <v>878398</v>
      </c>
      <c r="I12" s="65">
        <f t="shared" ref="I12:I17" si="10">C12-O12</f>
        <v>333422</v>
      </c>
      <c r="J12" s="65">
        <f t="shared" si="7"/>
        <v>1150194</v>
      </c>
      <c r="K12" s="82">
        <f t="shared" ref="K12:K15" si="11">H12/I12-1</f>
        <v>1.6344932248022026</v>
      </c>
      <c r="L12" s="82">
        <f t="shared" ref="L12:L15" si="12">H12/J12-1</f>
        <v>-0.23630448428699857</v>
      </c>
      <c r="M12" s="41"/>
      <c r="N12" s="65">
        <v>15338</v>
      </c>
      <c r="O12" s="65">
        <v>8409</v>
      </c>
      <c r="P12" s="65">
        <v>82971</v>
      </c>
      <c r="Q12" s="82">
        <f>N12/O12-1</f>
        <v>0.82399809727672735</v>
      </c>
      <c r="R12" s="82">
        <f t="shared" ref="R12:R13" si="13">N12/P12-1</f>
        <v>-0.81514022971881739</v>
      </c>
    </row>
    <row r="13" spans="1:42" x14ac:dyDescent="0.25">
      <c r="A13" s="50" t="s">
        <v>10</v>
      </c>
      <c r="B13" s="83">
        <v>814738</v>
      </c>
      <c r="C13" s="83">
        <v>313296</v>
      </c>
      <c r="D13" s="83">
        <v>1189199</v>
      </c>
      <c r="E13" s="84">
        <f t="shared" si="8"/>
        <v>1.600537510852357</v>
      </c>
      <c r="F13" s="84">
        <f t="shared" si="9"/>
        <v>-0.3148850612891535</v>
      </c>
      <c r="G13" s="41"/>
      <c r="H13" s="66">
        <f t="shared" si="6"/>
        <v>799277</v>
      </c>
      <c r="I13" s="66">
        <f t="shared" si="10"/>
        <v>305012</v>
      </c>
      <c r="J13" s="66">
        <f t="shared" si="7"/>
        <v>1114139</v>
      </c>
      <c r="K13" s="94">
        <f t="shared" si="11"/>
        <v>1.6204772271254901</v>
      </c>
      <c r="L13" s="94">
        <f t="shared" si="12"/>
        <v>-0.28260567128518077</v>
      </c>
      <c r="M13" s="41"/>
      <c r="N13" s="67">
        <v>15461</v>
      </c>
      <c r="O13" s="67">
        <v>8284</v>
      </c>
      <c r="P13" s="67">
        <v>75060</v>
      </c>
      <c r="Q13" s="96">
        <f t="shared" ref="Q13" si="14">N13/O13-1</f>
        <v>0.86636890391115395</v>
      </c>
      <c r="R13" s="96">
        <f t="shared" si="13"/>
        <v>-0.79401811883826268</v>
      </c>
    </row>
    <row r="14" spans="1:42" s="48" customFormat="1" x14ac:dyDescent="0.25">
      <c r="A14" s="44" t="s">
        <v>11</v>
      </c>
      <c r="B14" s="81">
        <v>762579</v>
      </c>
      <c r="C14" s="81">
        <v>320462</v>
      </c>
      <c r="D14" s="81">
        <v>1125752</v>
      </c>
      <c r="E14" s="82">
        <f t="shared" si="8"/>
        <v>1.3796237931486415</v>
      </c>
      <c r="F14" s="82">
        <f t="shared" si="9"/>
        <v>-0.3226048010574265</v>
      </c>
      <c r="G14" s="41"/>
      <c r="H14" s="65">
        <f t="shared" si="6"/>
        <v>750656</v>
      </c>
      <c r="I14" s="65">
        <f t="shared" si="10"/>
        <v>312315</v>
      </c>
      <c r="J14" s="65">
        <f t="shared" si="7"/>
        <v>1062476</v>
      </c>
      <c r="K14" s="82">
        <f t="shared" si="11"/>
        <v>1.4035220850743642</v>
      </c>
      <c r="L14" s="82">
        <f t="shared" si="12"/>
        <v>-0.29348427635071284</v>
      </c>
      <c r="M14" s="47"/>
      <c r="N14" s="65">
        <v>11923</v>
      </c>
      <c r="O14" s="65">
        <v>8147</v>
      </c>
      <c r="P14" s="65">
        <v>63276</v>
      </c>
      <c r="Q14" s="82">
        <f>N14/O14-1</f>
        <v>0.46348349085552965</v>
      </c>
      <c r="R14" s="82">
        <f t="shared" ref="R14:R15" si="15">N14/P14-1</f>
        <v>-0.81157152790947595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v>825833</v>
      </c>
      <c r="C15" s="83">
        <v>363952</v>
      </c>
      <c r="D15" s="83">
        <v>1124507</v>
      </c>
      <c r="E15" s="84">
        <f t="shared" si="8"/>
        <v>1.2690711962016969</v>
      </c>
      <c r="F15" s="84">
        <f t="shared" si="9"/>
        <v>-0.26560439374766009</v>
      </c>
      <c r="G15" s="41"/>
      <c r="H15" s="66">
        <f>B15-N15</f>
        <v>813004</v>
      </c>
      <c r="I15" s="66">
        <f t="shared" si="10"/>
        <v>354367</v>
      </c>
      <c r="J15" s="66">
        <f>D15-P15</f>
        <v>1059853</v>
      </c>
      <c r="K15" s="94">
        <f t="shared" si="11"/>
        <v>1.2942429740918313</v>
      </c>
      <c r="L15" s="94">
        <f t="shared" si="12"/>
        <v>-0.23290871469911389</v>
      </c>
      <c r="M15" s="41"/>
      <c r="N15" s="67">
        <v>12829</v>
      </c>
      <c r="O15" s="67">
        <v>9585</v>
      </c>
      <c r="P15" s="67">
        <v>64654</v>
      </c>
      <c r="Q15" s="96">
        <f t="shared" ref="Q15" si="16">N15/O15-1</f>
        <v>0.33844548774126237</v>
      </c>
      <c r="R15" s="96">
        <f t="shared" si="15"/>
        <v>-0.80157453521823863</v>
      </c>
    </row>
    <row r="16" spans="1:42" x14ac:dyDescent="0.25">
      <c r="A16" s="42" t="s">
        <v>13</v>
      </c>
      <c r="B16" s="105">
        <v>820305</v>
      </c>
      <c r="C16" s="81">
        <v>352430</v>
      </c>
      <c r="D16" s="81">
        <v>1066656</v>
      </c>
      <c r="E16" s="82">
        <f t="shared" si="8"/>
        <v>1.3275685951820217</v>
      </c>
      <c r="F16" s="82">
        <f t="shared" si="9"/>
        <v>-0.23095637206372066</v>
      </c>
      <c r="G16" s="41"/>
      <c r="H16" s="65">
        <f>B16-N16</f>
        <v>807359</v>
      </c>
      <c r="I16" s="65">
        <f t="shared" si="10"/>
        <v>340364</v>
      </c>
      <c r="J16" s="65">
        <f>D16-P16</f>
        <v>1028898</v>
      </c>
      <c r="K16" s="82">
        <f t="shared" ref="K16:K17" si="17">H16/I16-1</f>
        <v>1.3720458097801176</v>
      </c>
      <c r="L16" s="82">
        <f t="shared" ref="L16:L17" si="18">H16/J16-1</f>
        <v>-0.21531677581256836</v>
      </c>
      <c r="M16" s="41"/>
      <c r="N16" s="65">
        <v>12946</v>
      </c>
      <c r="O16" s="65">
        <v>12066</v>
      </c>
      <c r="P16" s="65">
        <v>37758</v>
      </c>
      <c r="Q16" s="82">
        <f>N16/O16-1</f>
        <v>7.2932206199237459E-2</v>
      </c>
      <c r="R16" s="82">
        <f t="shared" ref="R16:R17" si="19">N16/P16-1</f>
        <v>-0.65713226336140684</v>
      </c>
    </row>
    <row r="17" spans="1:18" x14ac:dyDescent="0.25">
      <c r="A17" s="50" t="s">
        <v>14</v>
      </c>
      <c r="B17" s="83">
        <v>414984</v>
      </c>
      <c r="C17" s="83">
        <v>320399</v>
      </c>
      <c r="D17" s="83">
        <v>1144702</v>
      </c>
      <c r="E17" s="84">
        <f t="shared" ref="E17" si="20">B17/C17-1</f>
        <v>0.29521003498762477</v>
      </c>
      <c r="F17" s="84">
        <f t="shared" ref="F17" si="21">B17/D17-1</f>
        <v>-0.63747420726092907</v>
      </c>
      <c r="G17" s="41"/>
      <c r="H17" s="66">
        <f>B17-N17</f>
        <v>401997</v>
      </c>
      <c r="I17" s="66">
        <f t="shared" si="10"/>
        <v>311328</v>
      </c>
      <c r="J17" s="66">
        <f>D17-P17</f>
        <v>1099859</v>
      </c>
      <c r="K17" s="94">
        <f t="shared" si="17"/>
        <v>0.29123304039469633</v>
      </c>
      <c r="L17" s="94">
        <f t="shared" si="18"/>
        <v>-0.63450133153431487</v>
      </c>
      <c r="M17" s="41"/>
      <c r="N17" s="67">
        <v>12987</v>
      </c>
      <c r="O17" s="67">
        <v>9071</v>
      </c>
      <c r="P17" s="67">
        <v>44843</v>
      </c>
      <c r="Q17" s="96">
        <f t="shared" ref="Q17" si="22">N17/O17-1</f>
        <v>0.43170543490243629</v>
      </c>
      <c r="R17" s="96">
        <f t="shared" si="19"/>
        <v>-0.71038958142853958</v>
      </c>
    </row>
    <row r="18" spans="1:18" x14ac:dyDescent="0.25">
      <c r="A18" s="38" t="s">
        <v>35</v>
      </c>
      <c r="B18" s="85">
        <f>SUM(B6:B17)</f>
        <v>7738767</v>
      </c>
      <c r="C18" s="85">
        <f>SUM(C6:C17)</f>
        <v>4622026</v>
      </c>
      <c r="D18" s="85">
        <f>SUM(D6:D17)</f>
        <v>13378411</v>
      </c>
      <c r="E18" s="82">
        <f>B18/C18-1</f>
        <v>0.674323554216268</v>
      </c>
      <c r="F18" s="82">
        <f>B18/D18-1</f>
        <v>-0.42154811957862559</v>
      </c>
      <c r="G18" s="41"/>
      <c r="H18" s="85">
        <f>SUM(H6:H17)</f>
        <v>7591586</v>
      </c>
      <c r="I18" s="85">
        <f>SUM(I6:I17)</f>
        <v>4483102</v>
      </c>
      <c r="J18" s="85">
        <f>SUM(J6:J17)</f>
        <v>12642466</v>
      </c>
      <c r="K18" s="82">
        <f>H18/I18-1</f>
        <v>0.69337793340414744</v>
      </c>
      <c r="L18" s="82">
        <f>H18/J18-1</f>
        <v>-0.39951699296640386</v>
      </c>
      <c r="M18" s="41"/>
      <c r="N18" s="85">
        <f>SUM(N6:N17)</f>
        <v>147181</v>
      </c>
      <c r="O18" s="85">
        <f>SUM(O6:O17)</f>
        <v>138924</v>
      </c>
      <c r="P18" s="85">
        <f>SUM(P6:P17)</f>
        <v>735945</v>
      </c>
      <c r="Q18" s="82">
        <f>N18/O18-1</f>
        <v>5.9435374737266455E-2</v>
      </c>
      <c r="R18" s="82">
        <f>N18/P18-1</f>
        <v>-0.80001087037754182</v>
      </c>
    </row>
    <row r="19" spans="1:18" x14ac:dyDescent="0.25">
      <c r="A19" s="37"/>
      <c r="B19" s="37"/>
      <c r="C19" s="37"/>
      <c r="G19" s="41"/>
      <c r="H19" s="41"/>
      <c r="Q19" s="33" t="s">
        <v>48</v>
      </c>
    </row>
    <row r="20" spans="1:18" x14ac:dyDescent="0.25">
      <c r="A20" s="43" t="s">
        <v>40</v>
      </c>
      <c r="B20" s="43"/>
      <c r="C20" s="58"/>
      <c r="J20" s="39"/>
      <c r="K20" s="39"/>
      <c r="O20" s="39"/>
      <c r="P20" s="39"/>
    </row>
    <row r="21" spans="1:18" x14ac:dyDescent="0.25">
      <c r="A21" s="2" t="s">
        <v>49</v>
      </c>
      <c r="B21" s="2"/>
      <c r="O21" s="39"/>
      <c r="P21" s="49"/>
    </row>
    <row r="23" spans="1:18" x14ac:dyDescent="0.25">
      <c r="C23" s="29"/>
      <c r="D23" s="29"/>
      <c r="E23" s="29"/>
      <c r="F23" s="29"/>
    </row>
  </sheetData>
  <mergeCells count="4">
    <mergeCell ref="A1:Q1"/>
    <mergeCell ref="N3:R3"/>
    <mergeCell ref="H3:L3"/>
    <mergeCell ref="B3:F3"/>
  </mergeCells>
  <phoneticPr fontId="17" type="noConversion"/>
  <pageMargins left="0.7" right="0.7" top="0.75" bottom="0.75" header="0.3" footer="0.3"/>
  <pageSetup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6AF00"/>
    <pageSetUpPr fitToPage="1"/>
  </sheetPr>
  <dimension ref="A1:AP23"/>
  <sheetViews>
    <sheetView zoomScaleNormal="100" zoomScaleSheetLayoutView="90" workbookViewId="0">
      <selection activeCell="P19" sqref="P19"/>
    </sheetView>
  </sheetViews>
  <sheetFormatPr baseColWidth="10" defaultColWidth="8.83203125" defaultRowHeight="19" x14ac:dyDescent="0.25"/>
  <cols>
    <col min="1" max="18" width="13.83203125" style="33" customWidth="1"/>
  </cols>
  <sheetData>
    <row r="1" spans="1:42" ht="34" customHeight="1" x14ac:dyDescent="0.2">
      <c r="A1" s="106" t="s">
        <v>20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75"/>
      <c r="N3" s="113" t="s">
        <v>16</v>
      </c>
      <c r="O3" s="114"/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v>352548</v>
      </c>
      <c r="C6" s="81">
        <f t="shared" ref="B6:D8" si="0">SUM(I6,O6)</f>
        <v>990342</v>
      </c>
      <c r="D6" s="81">
        <f t="shared" si="0"/>
        <v>872332</v>
      </c>
      <c r="E6" s="82">
        <f t="shared" ref="E6:E11" si="1">B6/C6-1</f>
        <v>-0.64401388611207033</v>
      </c>
      <c r="F6" s="82">
        <f t="shared" ref="F6:F11" si="2">B6/D6-1</f>
        <v>-0.59585570631365115</v>
      </c>
      <c r="G6" s="41"/>
      <c r="H6" s="65">
        <f>B6-N6</f>
        <v>330100</v>
      </c>
      <c r="I6" s="65">
        <f>430887+48578+430582+48237</f>
        <v>958284</v>
      </c>
      <c r="J6" s="65">
        <f>398954+I41097+128+403913+40137+128</f>
        <v>843260</v>
      </c>
      <c r="K6" s="82">
        <f t="shared" ref="K6:K11" si="3">H6/I6-1</f>
        <v>-0.6555300933752416</v>
      </c>
      <c r="L6" s="82">
        <f t="shared" ref="L6:L11" si="4">H6/J6-1</f>
        <v>-0.60854303536275878</v>
      </c>
      <c r="M6" s="37"/>
      <c r="N6" s="65">
        <f>9169+13279</f>
        <v>22448</v>
      </c>
      <c r="O6" s="65">
        <f>16472+15586</f>
        <v>32058</v>
      </c>
      <c r="P6" s="65">
        <f>15477+13595</f>
        <v>29072</v>
      </c>
      <c r="Q6" s="82">
        <f>N6/O6-1</f>
        <v>-0.29976916838230705</v>
      </c>
      <c r="R6" s="82">
        <f t="shared" ref="R6:R11" si="5">N6/P6-1</f>
        <v>-0.22784810126582278</v>
      </c>
    </row>
    <row r="7" spans="1:42" x14ac:dyDescent="0.25">
      <c r="A7" s="50" t="s">
        <v>4</v>
      </c>
      <c r="B7" s="83">
        <f>SUM(H7,N7)</f>
        <v>367166</v>
      </c>
      <c r="C7" s="83">
        <f>SUM(I7,O7)</f>
        <v>934469</v>
      </c>
      <c r="D7" s="83">
        <f t="shared" si="0"/>
        <v>860854</v>
      </c>
      <c r="E7" s="84">
        <f t="shared" si="1"/>
        <v>-0.60708594934663429</v>
      </c>
      <c r="F7" s="84">
        <f t="shared" si="2"/>
        <v>-0.57348632869220562</v>
      </c>
      <c r="G7" s="41"/>
      <c r="H7" s="66">
        <f>168969+9596+166512+9290</f>
        <v>354367</v>
      </c>
      <c r="I7" s="66">
        <f>407767+47553+407814+47780</f>
        <v>910914</v>
      </c>
      <c r="J7" s="66">
        <f>378478+40549+109+377760+38688+42</f>
        <v>835626</v>
      </c>
      <c r="K7" s="94">
        <f t="shared" si="3"/>
        <v>-0.61097644783151872</v>
      </c>
      <c r="L7" s="94">
        <f t="shared" si="4"/>
        <v>-0.57592631153171392</v>
      </c>
      <c r="M7" s="41"/>
      <c r="N7" s="67">
        <f>5264+7535</f>
        <v>12799</v>
      </c>
      <c r="O7" s="67">
        <f>11199+12356</f>
        <v>23555</v>
      </c>
      <c r="P7" s="67">
        <f>11549+13679</f>
        <v>25228</v>
      </c>
      <c r="Q7" s="96">
        <f>N7/O7-1</f>
        <v>-0.45663341116535772</v>
      </c>
      <c r="R7" s="96">
        <f t="shared" si="5"/>
        <v>-0.49266687807198351</v>
      </c>
    </row>
    <row r="8" spans="1:42" x14ac:dyDescent="0.25">
      <c r="A8" s="42" t="s">
        <v>5</v>
      </c>
      <c r="B8" s="81">
        <f t="shared" si="0"/>
        <v>577212</v>
      </c>
      <c r="C8" s="81">
        <f t="shared" si="0"/>
        <v>527890</v>
      </c>
      <c r="D8" s="81">
        <f t="shared" si="0"/>
        <v>1047798</v>
      </c>
      <c r="E8" s="82">
        <f t="shared" si="1"/>
        <v>9.3432343859516154E-2</v>
      </c>
      <c r="F8" s="82">
        <f t="shared" si="2"/>
        <v>-0.44911900958009077</v>
      </c>
      <c r="G8" s="41"/>
      <c r="H8" s="65">
        <f>270168+14241+45+261497+13451+45</f>
        <v>559447</v>
      </c>
      <c r="I8" s="65">
        <f>218889+27508+237024+29360</f>
        <v>512781</v>
      </c>
      <c r="J8" s="65">
        <f>459180+51711+44+459536+50494+110</f>
        <v>1021075</v>
      </c>
      <c r="K8" s="82">
        <f t="shared" si="3"/>
        <v>9.1005711990108873E-2</v>
      </c>
      <c r="L8" s="82">
        <f t="shared" si="4"/>
        <v>-0.45209999265480005</v>
      </c>
      <c r="M8" s="41"/>
      <c r="N8" s="65">
        <f>8610+9155</f>
        <v>17765</v>
      </c>
      <c r="O8" s="65">
        <f>6588+8521</f>
        <v>15109</v>
      </c>
      <c r="P8" s="65">
        <f>12430+14293</f>
        <v>26723</v>
      </c>
      <c r="Q8" s="82">
        <f>N8/O8-1</f>
        <v>0.17578926467668277</v>
      </c>
      <c r="R8" s="82">
        <f t="shared" si="5"/>
        <v>-0.33521685439509041</v>
      </c>
    </row>
    <row r="9" spans="1:42" x14ac:dyDescent="0.25">
      <c r="A9" s="50" t="s">
        <v>6</v>
      </c>
      <c r="B9" s="83">
        <f>SUM(H9,N9)</f>
        <v>679228</v>
      </c>
      <c r="C9" s="83">
        <f>I9+O9</f>
        <v>69312</v>
      </c>
      <c r="D9" s="83">
        <f>SUM(J9,P9)</f>
        <v>1079861</v>
      </c>
      <c r="E9" s="84">
        <f t="shared" si="1"/>
        <v>8.7995729455216996</v>
      </c>
      <c r="F9" s="84">
        <f t="shared" si="2"/>
        <v>-0.37100423110011382</v>
      </c>
      <c r="G9" s="41"/>
      <c r="H9" s="66">
        <f>305972+20942+112+309975+20468+112</f>
        <v>657581</v>
      </c>
      <c r="I9" s="66">
        <f>29691+3426+30612+3546</f>
        <v>67275</v>
      </c>
      <c r="J9" s="66">
        <f>477772+49385+103+477511+47482+103</f>
        <v>1052356</v>
      </c>
      <c r="K9" s="94">
        <f t="shared" si="3"/>
        <v>8.7745224823485692</v>
      </c>
      <c r="L9" s="94">
        <f t="shared" si="4"/>
        <v>-0.37513446020168084</v>
      </c>
      <c r="M9" s="41"/>
      <c r="N9" s="67">
        <f>11344+10303</f>
        <v>21647</v>
      </c>
      <c r="O9" s="67">
        <f>1169+868</f>
        <v>2037</v>
      </c>
      <c r="P9" s="67">
        <f>13001+14504</f>
        <v>27505</v>
      </c>
      <c r="Q9" s="96">
        <f>N9/O9-1</f>
        <v>9.626902307314678</v>
      </c>
      <c r="R9" s="96">
        <f t="shared" si="5"/>
        <v>-0.21297945828031262</v>
      </c>
    </row>
    <row r="10" spans="1:42" x14ac:dyDescent="0.25">
      <c r="A10" s="38" t="s">
        <v>7</v>
      </c>
      <c r="B10" s="81">
        <f>SUM(H10,N10)</f>
        <v>831094</v>
      </c>
      <c r="C10" s="81">
        <f>73953+73594</f>
        <v>147547</v>
      </c>
      <c r="D10" s="81">
        <f>SUM(J10,P10)</f>
        <v>1152815</v>
      </c>
      <c r="E10" s="82">
        <f t="shared" si="1"/>
        <v>4.6327407537937066</v>
      </c>
      <c r="F10" s="82">
        <f t="shared" si="2"/>
        <v>-0.27907426603574725</v>
      </c>
      <c r="G10" s="41"/>
      <c r="H10" s="65">
        <f>371751+27484+45+375101+45+27446</f>
        <v>801872</v>
      </c>
      <c r="I10" s="65">
        <f>66659+7294+66722+6872</f>
        <v>147547</v>
      </c>
      <c r="J10" s="65">
        <f>504648+510617+55824+54116+68+63</f>
        <v>1125336</v>
      </c>
      <c r="K10" s="82">
        <f t="shared" si="3"/>
        <v>4.4346886076978862</v>
      </c>
      <c r="L10" s="82">
        <f t="shared" si="4"/>
        <v>-0.2874377074935841</v>
      </c>
      <c r="M10" s="41"/>
      <c r="N10" s="65">
        <f>14496+14726</f>
        <v>29222</v>
      </c>
      <c r="O10" s="65">
        <v>0</v>
      </c>
      <c r="P10" s="65">
        <f>13314+14165</f>
        <v>27479</v>
      </c>
      <c r="Q10" s="82"/>
      <c r="R10" s="82">
        <f t="shared" si="5"/>
        <v>6.3430255831726123E-2</v>
      </c>
    </row>
    <row r="11" spans="1:42" x14ac:dyDescent="0.25">
      <c r="A11" s="50" t="s">
        <v>8</v>
      </c>
      <c r="B11" s="83">
        <f>SUM(H11,N11)</f>
        <v>981378</v>
      </c>
      <c r="C11" s="83">
        <f>I11+O11</f>
        <v>299175</v>
      </c>
      <c r="D11" s="83">
        <f>SUM(J11,P11)</f>
        <v>1178297</v>
      </c>
      <c r="E11" s="84">
        <f t="shared" si="1"/>
        <v>2.2802807721233394</v>
      </c>
      <c r="F11" s="84">
        <f t="shared" si="2"/>
        <v>-0.16712170191386377</v>
      </c>
      <c r="G11" s="41"/>
      <c r="H11" s="66">
        <f>438809+41888+429659+40623</f>
        <v>950979</v>
      </c>
      <c r="I11" s="66">
        <f>138026+9228+136465+8777</f>
        <v>292496</v>
      </c>
      <c r="J11" s="66">
        <f>525845+52831+46+516975+48+50786</f>
        <v>1146531</v>
      </c>
      <c r="K11" s="94">
        <f t="shared" si="3"/>
        <v>2.2512547180132376</v>
      </c>
      <c r="L11" s="94">
        <f t="shared" si="4"/>
        <v>-0.17055971447784668</v>
      </c>
      <c r="M11" s="41"/>
      <c r="N11" s="67">
        <f>15015+15384</f>
        <v>30399</v>
      </c>
      <c r="O11" s="67">
        <f>3531+3148</f>
        <v>6679</v>
      </c>
      <c r="P11" s="67">
        <f>17023+14743</f>
        <v>31766</v>
      </c>
      <c r="Q11" s="96">
        <f t="shared" ref="Q11:Q16" si="6">N11/O11-1</f>
        <v>3.5514298547686778</v>
      </c>
      <c r="R11" s="96">
        <f t="shared" si="5"/>
        <v>-4.3033431971290059E-2</v>
      </c>
    </row>
    <row r="12" spans="1:42" x14ac:dyDescent="0.25">
      <c r="A12" s="38" t="s">
        <v>9</v>
      </c>
      <c r="B12" s="81">
        <f>SUM(H12,N12)</f>
        <v>1081028</v>
      </c>
      <c r="C12" s="81">
        <f>I12+O12</f>
        <v>406768</v>
      </c>
      <c r="D12" s="81">
        <f>SUM(J12,P12)</f>
        <v>1230606</v>
      </c>
      <c r="E12" s="82">
        <f t="shared" ref="E12:E13" si="7">B12/C12-1</f>
        <v>1.6576033512960704</v>
      </c>
      <c r="F12" s="82">
        <f t="shared" ref="F12:F13" si="8">B12/D12-1</f>
        <v>-0.1215482453360377</v>
      </c>
      <c r="G12" s="41"/>
      <c r="H12" s="65">
        <f>479205+44277+478080+43313</f>
        <v>1044875</v>
      </c>
      <c r="I12" s="65">
        <f>187165+9208+186915+9298</f>
        <v>392586</v>
      </c>
      <c r="J12" s="65">
        <f>544016+52374+68+546220+53453+68</f>
        <v>1196199</v>
      </c>
      <c r="K12" s="82">
        <f t="shared" ref="K12:K13" si="9">H12/I12-1</f>
        <v>1.6615187500318402</v>
      </c>
      <c r="L12" s="82">
        <f t="shared" ref="L12:L13" si="10">H12/J12-1</f>
        <v>-0.12650403486376427</v>
      </c>
      <c r="M12" s="41"/>
      <c r="N12" s="65">
        <f>17617+18536</f>
        <v>36153</v>
      </c>
      <c r="O12" s="65">
        <f>6878+7304</f>
        <v>14182</v>
      </c>
      <c r="P12" s="65">
        <f>16893+17514</f>
        <v>34407</v>
      </c>
      <c r="Q12" s="82">
        <f t="shared" si="6"/>
        <v>1.5492173177266957</v>
      </c>
      <c r="R12" s="82">
        <f t="shared" ref="R12:R13" si="11">N12/P12-1</f>
        <v>5.0745487836777459E-2</v>
      </c>
    </row>
    <row r="13" spans="1:42" x14ac:dyDescent="0.25">
      <c r="A13" s="50" t="s">
        <v>10</v>
      </c>
      <c r="B13" s="83">
        <f>SUM(H13,N13)</f>
        <v>984424</v>
      </c>
      <c r="C13" s="83">
        <f>I13+O13</f>
        <v>423340</v>
      </c>
      <c r="D13" s="83">
        <v>1186403</v>
      </c>
      <c r="E13" s="84">
        <f t="shared" si="7"/>
        <v>1.3253744035526998</v>
      </c>
      <c r="F13" s="84">
        <f t="shared" si="8"/>
        <v>-0.17024484934714423</v>
      </c>
      <c r="G13" s="41"/>
      <c r="H13" s="66">
        <f>432144+37795+103+444051+40700+36</f>
        <v>954829</v>
      </c>
      <c r="I13" s="66">
        <f>192354+11685+26+192411+12307+57</f>
        <v>408840</v>
      </c>
      <c r="J13" s="66">
        <f>D13-P13</f>
        <v>1157574</v>
      </c>
      <c r="K13" s="94">
        <f t="shared" si="9"/>
        <v>1.3354588592114274</v>
      </c>
      <c r="L13" s="94">
        <f t="shared" si="10"/>
        <v>-0.17514647011767714</v>
      </c>
      <c r="M13" s="41"/>
      <c r="N13" s="67">
        <f>12436+17159</f>
        <v>29595</v>
      </c>
      <c r="O13" s="67">
        <f>6274+8226</f>
        <v>14500</v>
      </c>
      <c r="P13" s="67">
        <f>13168+15661</f>
        <v>28829</v>
      </c>
      <c r="Q13" s="96">
        <f t="shared" si="6"/>
        <v>1.0410344827586209</v>
      </c>
      <c r="R13" s="96">
        <f t="shared" si="11"/>
        <v>2.6570467237850837E-2</v>
      </c>
    </row>
    <row r="14" spans="1:42" s="48" customFormat="1" x14ac:dyDescent="0.25">
      <c r="A14" s="44" t="s">
        <v>11</v>
      </c>
      <c r="B14" s="81">
        <v>916525</v>
      </c>
      <c r="C14" s="81">
        <v>416608</v>
      </c>
      <c r="D14" s="81">
        <f>SUM(J14,P14)</f>
        <v>1109543</v>
      </c>
      <c r="E14" s="82">
        <f t="shared" ref="E14:E15" si="12">B14/C14-1</f>
        <v>1.1999697557416082</v>
      </c>
      <c r="F14" s="82">
        <f t="shared" ref="F14:F15" si="13">B14/D14-1</f>
        <v>-0.17396171216437761</v>
      </c>
      <c r="G14" s="41"/>
      <c r="H14" s="65">
        <f>411375+37018+89+407063+37137+88</f>
        <v>892770</v>
      </c>
      <c r="I14" s="65">
        <f>C14-O14</f>
        <v>402294</v>
      </c>
      <c r="J14" s="65">
        <f>493945+50158+491268+50936+54+54</f>
        <v>1086415</v>
      </c>
      <c r="K14" s="82">
        <f t="shared" ref="K14:K15" si="14">H14/I14-1</f>
        <v>1.2191979000432518</v>
      </c>
      <c r="L14" s="82">
        <f t="shared" ref="L14:L15" si="15">H14/J14-1</f>
        <v>-0.17824220026417159</v>
      </c>
      <c r="M14" s="47"/>
      <c r="N14" s="65">
        <f>B14-H14</f>
        <v>23755</v>
      </c>
      <c r="O14" s="65">
        <f>7078+7236</f>
        <v>14314</v>
      </c>
      <c r="P14" s="65">
        <f>11839+11289</f>
        <v>23128</v>
      </c>
      <c r="Q14" s="82">
        <f t="shared" si="6"/>
        <v>0.65956406315495308</v>
      </c>
      <c r="R14" s="82">
        <f t="shared" ref="R14:R15" si="16">N14/P14-1</f>
        <v>2.7109996540989334E-2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v>1001487</v>
      </c>
      <c r="C15" s="83">
        <v>476349</v>
      </c>
      <c r="D15" s="83">
        <f>SUM(J15,P15)</f>
        <v>1156907</v>
      </c>
      <c r="E15" s="84">
        <f t="shared" si="12"/>
        <v>1.1024228034487318</v>
      </c>
      <c r="F15" s="84">
        <f t="shared" si="13"/>
        <v>-0.13434096258385508</v>
      </c>
      <c r="G15" s="41"/>
      <c r="H15" s="66">
        <f>448606+40300+404+445609+40577+321</f>
        <v>975817</v>
      </c>
      <c r="I15" s="66">
        <f>C15-O15</f>
        <v>460798</v>
      </c>
      <c r="J15" s="66">
        <f>515521+514860+50456+51+50+51102</f>
        <v>1132040</v>
      </c>
      <c r="K15" s="94">
        <f t="shared" si="14"/>
        <v>1.1176676114045634</v>
      </c>
      <c r="L15" s="94">
        <f t="shared" si="15"/>
        <v>-0.13800130737429772</v>
      </c>
      <c r="M15" s="41"/>
      <c r="N15" s="67">
        <f>12472+13198</f>
        <v>25670</v>
      </c>
      <c r="O15" s="67">
        <f>7996+7555</f>
        <v>15551</v>
      </c>
      <c r="P15" s="67">
        <f>13131+11736</f>
        <v>24867</v>
      </c>
      <c r="Q15" s="96">
        <f t="shared" si="6"/>
        <v>0.65069770432769602</v>
      </c>
      <c r="R15" s="96">
        <f t="shared" si="16"/>
        <v>3.2291792335223279E-2</v>
      </c>
    </row>
    <row r="16" spans="1:42" x14ac:dyDescent="0.25">
      <c r="A16" s="42" t="s">
        <v>13</v>
      </c>
      <c r="B16" s="81">
        <f>H16+N16</f>
        <v>970039</v>
      </c>
      <c r="C16" s="81">
        <f>I16+O16</f>
        <v>464430</v>
      </c>
      <c r="D16" s="81">
        <f>SUM(J16,P16)</f>
        <v>1090360</v>
      </c>
      <c r="E16" s="82">
        <f t="shared" ref="E16:E17" si="17">B16/C16-1</f>
        <v>1.0886656762052409</v>
      </c>
      <c r="F16" s="82">
        <f t="shared" ref="F16:F17" si="18">B16/D16-1</f>
        <v>-0.11034979272900691</v>
      </c>
      <c r="G16" s="41"/>
      <c r="H16" s="65">
        <f>434884+35525+443+437667+35249+557</f>
        <v>944325</v>
      </c>
      <c r="I16" s="65">
        <f>205976+15487+210115+14614</f>
        <v>446192</v>
      </c>
      <c r="J16" s="65">
        <f>483544+48355+63+482386+47875+63</f>
        <v>1062286</v>
      </c>
      <c r="K16" s="82">
        <f t="shared" ref="K16:K17" si="19">H16/I16-1</f>
        <v>1.1164095277369386</v>
      </c>
      <c r="L16" s="82">
        <f t="shared" ref="L16:L17" si="20">H16/J16-1</f>
        <v>-0.11104448331240357</v>
      </c>
      <c r="M16" s="41"/>
      <c r="N16" s="65">
        <f>13749+11965</f>
        <v>25714</v>
      </c>
      <c r="O16" s="65">
        <f>8163+10075</f>
        <v>18238</v>
      </c>
      <c r="P16" s="65">
        <f>15463+12611</f>
        <v>28074</v>
      </c>
      <c r="Q16" s="82">
        <f t="shared" si="6"/>
        <v>0.40991336769382603</v>
      </c>
      <c r="R16" s="82">
        <f t="shared" ref="R16:R17" si="21">N16/P16-1</f>
        <v>-8.4063546341810902E-2</v>
      </c>
    </row>
    <row r="17" spans="1:18" x14ac:dyDescent="0.25">
      <c r="A17" s="50" t="s">
        <v>14</v>
      </c>
      <c r="B17" s="83">
        <f>H17+N17</f>
        <v>958931</v>
      </c>
      <c r="C17" s="83">
        <f>SUM(I17,O17)</f>
        <v>426138</v>
      </c>
      <c r="D17" s="83">
        <f>SUM(J17,P17)</f>
        <v>1162890</v>
      </c>
      <c r="E17" s="84">
        <f t="shared" si="17"/>
        <v>1.2502827722474881</v>
      </c>
      <c r="F17" s="84">
        <f t="shared" si="18"/>
        <v>-0.17538976171434961</v>
      </c>
      <c r="G17" s="41"/>
      <c r="H17" s="66">
        <f>436550+29487+407+434938+28852+406</f>
        <v>930640</v>
      </c>
      <c r="I17" s="66">
        <f>189631+13943+39+186539+13263+38</f>
        <v>403453</v>
      </c>
      <c r="J17" s="66">
        <f>514799+50362+84+516083+47943+52</f>
        <v>1129323</v>
      </c>
      <c r="K17" s="94">
        <f t="shared" si="19"/>
        <v>1.3066875199837402</v>
      </c>
      <c r="L17" s="94">
        <f t="shared" si="20"/>
        <v>-0.1759310666656041</v>
      </c>
      <c r="M17" s="41"/>
      <c r="N17" s="67">
        <f>16088+12203</f>
        <v>28291</v>
      </c>
      <c r="O17" s="67">
        <f>8262+14423</f>
        <v>22685</v>
      </c>
      <c r="P17" s="67">
        <f>18762+14805</f>
        <v>33567</v>
      </c>
      <c r="Q17" s="96">
        <f t="shared" ref="Q17" si="22">N17/O17-1</f>
        <v>0.24712364998897951</v>
      </c>
      <c r="R17" s="96">
        <f t="shared" si="21"/>
        <v>-0.1571781809515298</v>
      </c>
    </row>
    <row r="18" spans="1:18" x14ac:dyDescent="0.25">
      <c r="A18" s="38" t="s">
        <v>28</v>
      </c>
      <c r="B18" s="85">
        <f>SUM(B6:B17)</f>
        <v>9701060</v>
      </c>
      <c r="C18" s="85">
        <f>SUM(C6:C17)</f>
        <v>5582368</v>
      </c>
      <c r="D18" s="85">
        <f>SUM(D6:D17)</f>
        <v>13128666</v>
      </c>
      <c r="E18" s="82">
        <f>B18/C18-1</f>
        <v>0.73780374206788224</v>
      </c>
      <c r="F18" s="82">
        <f>B18/D18-1</f>
        <v>-0.26107801051531054</v>
      </c>
      <c r="G18" s="41"/>
      <c r="H18" s="85">
        <f>SUM(H6:H17)</f>
        <v>9397602</v>
      </c>
      <c r="I18" s="85">
        <f>SUM(I6:I17)</f>
        <v>5403460</v>
      </c>
      <c r="J18" s="85">
        <f>SUM(J6:J17)</f>
        <v>12788021</v>
      </c>
      <c r="K18" s="82">
        <f>H18/I18-1</f>
        <v>0.73918230171038557</v>
      </c>
      <c r="L18" s="82">
        <f>H18/J18-1</f>
        <v>-0.26512460372093538</v>
      </c>
      <c r="M18" s="41"/>
      <c r="N18" s="85">
        <f>SUM(N6:N17)</f>
        <v>303458</v>
      </c>
      <c r="O18" s="85">
        <f>SUM(O6:O17)</f>
        <v>178908</v>
      </c>
      <c r="P18" s="85">
        <f>SUM(P6:P17)</f>
        <v>340645</v>
      </c>
      <c r="Q18" s="82">
        <f>N18/O18-1</f>
        <v>0.69616786281217169</v>
      </c>
      <c r="R18" s="82">
        <f>N18/P18-1</f>
        <v>-0.10916643426441019</v>
      </c>
    </row>
    <row r="19" spans="1:18" x14ac:dyDescent="0.25">
      <c r="A19" s="37"/>
      <c r="B19" s="37"/>
      <c r="C19" s="37"/>
      <c r="D19" s="33" t="s">
        <v>48</v>
      </c>
      <c r="G19" s="41"/>
      <c r="H19" s="41"/>
    </row>
    <row r="20" spans="1:18" x14ac:dyDescent="0.25">
      <c r="A20" s="43" t="s">
        <v>43</v>
      </c>
      <c r="B20" s="43"/>
      <c r="C20" s="58"/>
      <c r="J20" s="39"/>
      <c r="K20" s="39"/>
      <c r="O20" s="39"/>
      <c r="P20" s="39"/>
    </row>
    <row r="21" spans="1:18" x14ac:dyDescent="0.25">
      <c r="A21" s="2" t="s">
        <v>49</v>
      </c>
      <c r="B21" s="2"/>
      <c r="O21" s="39"/>
      <c r="P21" s="49"/>
    </row>
    <row r="23" spans="1:18" x14ac:dyDescent="0.25">
      <c r="C23" s="29"/>
      <c r="D23" s="29"/>
      <c r="E23" s="29"/>
      <c r="F23" s="29"/>
    </row>
  </sheetData>
  <mergeCells count="4">
    <mergeCell ref="A1:Q1"/>
    <mergeCell ref="B3:F3"/>
    <mergeCell ref="H3:L3"/>
    <mergeCell ref="N3:R3"/>
  </mergeCells>
  <phoneticPr fontId="17" type="noConversion"/>
  <pageMargins left="0.7" right="0.7" top="0.75" bottom="0.75" header="0.3" footer="0.3"/>
  <pageSetup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AP24"/>
  <sheetViews>
    <sheetView zoomScaleNormal="100" zoomScaleSheetLayoutView="100" workbookViewId="0">
      <selection activeCell="N22" sqref="N22"/>
    </sheetView>
  </sheetViews>
  <sheetFormatPr baseColWidth="10" defaultColWidth="8.83203125" defaultRowHeight="19" x14ac:dyDescent="0.25"/>
  <cols>
    <col min="1" max="18" width="13.83203125" style="33" customWidth="1"/>
  </cols>
  <sheetData>
    <row r="1" spans="1:42" ht="34" customHeight="1" x14ac:dyDescent="0.2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68"/>
      <c r="S1" s="48"/>
      <c r="T1" s="48"/>
      <c r="U1" s="48"/>
      <c r="V1" s="48"/>
      <c r="W1" s="48"/>
      <c r="X1" s="48"/>
    </row>
    <row r="2" spans="1:42" ht="1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48"/>
      <c r="T2" s="48"/>
      <c r="U2" s="48"/>
      <c r="V2" s="48"/>
      <c r="W2" s="48"/>
      <c r="X2" s="48"/>
    </row>
    <row r="3" spans="1:42" x14ac:dyDescent="0.25">
      <c r="A3" s="34"/>
      <c r="B3" s="107" t="s">
        <v>47</v>
      </c>
      <c r="C3" s="108"/>
      <c r="D3" s="108"/>
      <c r="E3" s="108"/>
      <c r="F3" s="109"/>
      <c r="G3" s="54"/>
      <c r="H3" s="110" t="s">
        <v>15</v>
      </c>
      <c r="I3" s="111"/>
      <c r="J3" s="111"/>
      <c r="K3" s="111"/>
      <c r="L3" s="112"/>
      <c r="M3" s="75"/>
      <c r="N3" s="113" t="s">
        <v>16</v>
      </c>
      <c r="O3" s="114"/>
      <c r="P3" s="114"/>
      <c r="Q3" s="114"/>
      <c r="R3" s="115"/>
    </row>
    <row r="4" spans="1:42" ht="40" x14ac:dyDescent="0.25">
      <c r="A4" s="35"/>
      <c r="B4" s="77">
        <v>2021</v>
      </c>
      <c r="C4" s="77">
        <v>2020</v>
      </c>
      <c r="D4" s="77">
        <v>2019</v>
      </c>
      <c r="E4" s="78" t="s">
        <v>54</v>
      </c>
      <c r="F4" s="78" t="s">
        <v>55</v>
      </c>
      <c r="G4" s="37"/>
      <c r="H4" s="71">
        <v>2021</v>
      </c>
      <c r="I4" s="71">
        <v>2020</v>
      </c>
      <c r="J4" s="71">
        <v>2019</v>
      </c>
      <c r="K4" s="78" t="s">
        <v>54</v>
      </c>
      <c r="L4" s="78" t="s">
        <v>55</v>
      </c>
      <c r="M4" s="69"/>
      <c r="N4" s="71">
        <v>2021</v>
      </c>
      <c r="O4" s="71">
        <v>2020</v>
      </c>
      <c r="P4" s="71">
        <v>2019</v>
      </c>
      <c r="Q4" s="78" t="s">
        <v>54</v>
      </c>
      <c r="R4" s="78" t="s">
        <v>55</v>
      </c>
    </row>
    <row r="5" spans="1:42" x14ac:dyDescent="0.25">
      <c r="A5" s="50"/>
      <c r="B5" s="79"/>
      <c r="C5" s="80"/>
      <c r="D5" s="80"/>
      <c r="E5" s="80"/>
      <c r="F5" s="80"/>
      <c r="G5" s="37"/>
      <c r="H5" s="55"/>
      <c r="I5" s="55"/>
      <c r="J5" s="56"/>
      <c r="K5" s="55"/>
      <c r="L5" s="55"/>
      <c r="M5" s="37"/>
      <c r="N5" s="51"/>
      <c r="O5" s="51"/>
      <c r="P5" s="52"/>
      <c r="Q5" s="51"/>
      <c r="R5" s="51"/>
    </row>
    <row r="6" spans="1:42" x14ac:dyDescent="0.25">
      <c r="A6" s="38" t="s">
        <v>3</v>
      </c>
      <c r="B6" s="81">
        <f t="shared" ref="B6:D7" si="0">SUM(H6,N6)</f>
        <v>487121</v>
      </c>
      <c r="C6" s="81">
        <f t="shared" si="0"/>
        <v>1906444</v>
      </c>
      <c r="D6" s="81">
        <f t="shared" si="0"/>
        <v>1798735</v>
      </c>
      <c r="E6" s="82">
        <f t="shared" ref="E6:E11" si="1">B6/C6-1</f>
        <v>-0.74448711842571824</v>
      </c>
      <c r="F6" s="82">
        <f t="shared" ref="F6:F11" si="2">B6/D6-1</f>
        <v>-0.72918690079416926</v>
      </c>
      <c r="G6" s="100"/>
      <c r="H6" s="97">
        <v>479216</v>
      </c>
      <c r="I6" s="97">
        <v>1823722</v>
      </c>
      <c r="J6" s="97">
        <v>1717815</v>
      </c>
      <c r="K6" s="82">
        <f t="shared" ref="K6:K11" si="3">H6/I6-1</f>
        <v>-0.73723188073620871</v>
      </c>
      <c r="L6" s="82">
        <f t="shared" ref="L6:L11" si="4">H6/J6-1</f>
        <v>-0.72103165940453429</v>
      </c>
      <c r="M6" s="101"/>
      <c r="N6" s="97">
        <v>7905</v>
      </c>
      <c r="O6" s="97">
        <v>82722</v>
      </c>
      <c r="P6" s="97">
        <v>80920</v>
      </c>
      <c r="Q6" s="82">
        <f>N6/O6-1</f>
        <v>-0.90443896424167691</v>
      </c>
      <c r="R6" s="82">
        <f t="shared" ref="R6:R10" si="5">N6/P6-1</f>
        <v>-0.90231092436974791</v>
      </c>
    </row>
    <row r="7" spans="1:42" x14ac:dyDescent="0.25">
      <c r="A7" s="50" t="s">
        <v>4</v>
      </c>
      <c r="B7" s="83">
        <f t="shared" si="0"/>
        <v>501183</v>
      </c>
      <c r="C7" s="83">
        <f t="shared" si="0"/>
        <v>1805960</v>
      </c>
      <c r="D7" s="83">
        <f t="shared" si="0"/>
        <v>1695472</v>
      </c>
      <c r="E7" s="84">
        <f t="shared" si="1"/>
        <v>-0.72248388668630537</v>
      </c>
      <c r="F7" s="84">
        <f t="shared" si="2"/>
        <v>-0.70439912897411461</v>
      </c>
      <c r="G7" s="100"/>
      <c r="H7" s="102">
        <v>494204</v>
      </c>
      <c r="I7" s="102">
        <v>1729443</v>
      </c>
      <c r="J7" s="102">
        <v>1623756</v>
      </c>
      <c r="K7" s="94">
        <f t="shared" si="3"/>
        <v>-0.71424094347139511</v>
      </c>
      <c r="L7" s="94">
        <f t="shared" si="4"/>
        <v>-0.69564146337257571</v>
      </c>
      <c r="M7" s="100"/>
      <c r="N7" s="98">
        <v>6979</v>
      </c>
      <c r="O7" s="98">
        <v>76517</v>
      </c>
      <c r="P7" s="98">
        <v>71716</v>
      </c>
      <c r="Q7" s="96">
        <f>N7/O7-1</f>
        <v>-0.90879151038331352</v>
      </c>
      <c r="R7" s="96">
        <f t="shared" si="5"/>
        <v>-0.90268559317307151</v>
      </c>
    </row>
    <row r="8" spans="1:42" x14ac:dyDescent="0.25">
      <c r="A8" s="42" t="s">
        <v>5</v>
      </c>
      <c r="B8" s="81">
        <f t="shared" ref="B8:C17" si="6">H8+N8</f>
        <v>872410</v>
      </c>
      <c r="C8" s="81">
        <f t="shared" si="6"/>
        <v>944758</v>
      </c>
      <c r="D8" s="81">
        <f t="shared" ref="D8:D17" si="7">SUM(J8,P8)</f>
        <v>2100970</v>
      </c>
      <c r="E8" s="82">
        <f t="shared" si="1"/>
        <v>-7.6578340696771052E-2</v>
      </c>
      <c r="F8" s="82">
        <f t="shared" si="2"/>
        <v>-0.58475846870731141</v>
      </c>
      <c r="G8" s="100"/>
      <c r="H8" s="97">
        <v>863233</v>
      </c>
      <c r="I8" s="97">
        <v>905028</v>
      </c>
      <c r="J8" s="97">
        <v>2010711</v>
      </c>
      <c r="K8" s="82">
        <f t="shared" si="3"/>
        <v>-4.6180891640921651E-2</v>
      </c>
      <c r="L8" s="82">
        <f t="shared" si="4"/>
        <v>-0.57068270875327187</v>
      </c>
      <c r="M8" s="100"/>
      <c r="N8" s="97">
        <v>9177</v>
      </c>
      <c r="O8" s="97">
        <v>39730</v>
      </c>
      <c r="P8" s="97">
        <v>90259</v>
      </c>
      <c r="Q8" s="82">
        <f>N8/O8-1</f>
        <v>-0.76901585703498609</v>
      </c>
      <c r="R8" s="82">
        <f t="shared" si="5"/>
        <v>-0.89832592871624994</v>
      </c>
    </row>
    <row r="9" spans="1:42" x14ac:dyDescent="0.25">
      <c r="A9" s="50" t="s">
        <v>6</v>
      </c>
      <c r="B9" s="83">
        <f t="shared" si="6"/>
        <v>1054246</v>
      </c>
      <c r="C9" s="83">
        <f t="shared" si="6"/>
        <v>74682</v>
      </c>
      <c r="D9" s="83">
        <f t="shared" si="7"/>
        <v>2089139</v>
      </c>
      <c r="E9" s="84">
        <f t="shared" si="1"/>
        <v>13.116467154066576</v>
      </c>
      <c r="F9" s="84">
        <f t="shared" si="2"/>
        <v>-0.49536818756435064</v>
      </c>
      <c r="G9" s="100"/>
      <c r="H9" s="102">
        <v>1041983</v>
      </c>
      <c r="I9" s="102">
        <v>74246</v>
      </c>
      <c r="J9" s="102">
        <v>2002334</v>
      </c>
      <c r="K9" s="94">
        <f t="shared" si="3"/>
        <v>13.034197128464832</v>
      </c>
      <c r="L9" s="94">
        <f t="shared" si="4"/>
        <v>-0.47961578837496643</v>
      </c>
      <c r="M9" s="100"/>
      <c r="N9" s="98">
        <v>12263</v>
      </c>
      <c r="O9" s="98">
        <v>436</v>
      </c>
      <c r="P9" s="98">
        <v>86805</v>
      </c>
      <c r="Q9" s="96">
        <f>N9/O9-1</f>
        <v>27.126146788990827</v>
      </c>
      <c r="R9" s="96">
        <f t="shared" si="5"/>
        <v>-0.85872933586774958</v>
      </c>
    </row>
    <row r="10" spans="1:42" x14ac:dyDescent="0.25">
      <c r="A10" s="38" t="s">
        <v>7</v>
      </c>
      <c r="B10" s="81">
        <f t="shared" si="6"/>
        <v>1280253</v>
      </c>
      <c r="C10" s="81">
        <f t="shared" si="6"/>
        <v>192432</v>
      </c>
      <c r="D10" s="81">
        <f t="shared" si="7"/>
        <v>2139175</v>
      </c>
      <c r="E10" s="82">
        <f t="shared" si="1"/>
        <v>5.6530150910451482</v>
      </c>
      <c r="F10" s="82">
        <f t="shared" si="2"/>
        <v>-0.40152021223135093</v>
      </c>
      <c r="G10" s="100"/>
      <c r="H10" s="97">
        <v>1267828</v>
      </c>
      <c r="I10" s="97">
        <v>192432</v>
      </c>
      <c r="J10" s="97">
        <v>2055420</v>
      </c>
      <c r="K10" s="82">
        <f t="shared" si="3"/>
        <v>5.5884468279704</v>
      </c>
      <c r="L10" s="82">
        <f t="shared" si="4"/>
        <v>-0.38317813390937128</v>
      </c>
      <c r="M10" s="100"/>
      <c r="N10" s="97">
        <v>12425</v>
      </c>
      <c r="O10" s="97">
        <v>0</v>
      </c>
      <c r="P10" s="97">
        <v>83755</v>
      </c>
      <c r="Q10" s="82"/>
      <c r="R10" s="82">
        <f t="shared" si="5"/>
        <v>-0.85165064772252408</v>
      </c>
    </row>
    <row r="11" spans="1:42" x14ac:dyDescent="0.25">
      <c r="A11" s="50" t="s">
        <v>8</v>
      </c>
      <c r="B11" s="83">
        <v>1588699</v>
      </c>
      <c r="C11" s="83">
        <f>I11+O11</f>
        <v>419546</v>
      </c>
      <c r="D11" s="83">
        <f t="shared" si="7"/>
        <v>2286679</v>
      </c>
      <c r="E11" s="84">
        <f t="shared" si="1"/>
        <v>2.7867099197704186</v>
      </c>
      <c r="F11" s="84">
        <f t="shared" si="2"/>
        <v>-0.30523742073111271</v>
      </c>
      <c r="G11" s="100"/>
      <c r="H11" s="102">
        <v>1571822</v>
      </c>
      <c r="I11" s="102">
        <v>416489</v>
      </c>
      <c r="J11" s="102">
        <v>2192842</v>
      </c>
      <c r="K11" s="94">
        <f t="shared" si="3"/>
        <v>2.773982025935859</v>
      </c>
      <c r="L11" s="94">
        <f t="shared" si="4"/>
        <v>-0.283203258602307</v>
      </c>
      <c r="M11" s="100"/>
      <c r="N11" s="98">
        <v>16877</v>
      </c>
      <c r="O11" s="98">
        <v>3057</v>
      </c>
      <c r="P11" s="98">
        <v>93837</v>
      </c>
      <c r="Q11" s="96">
        <f t="shared" ref="Q11:Q16" si="8">N11/O11-1</f>
        <v>4.5207719986915276</v>
      </c>
      <c r="R11" s="96">
        <f t="shared" ref="R11" si="9">N11/P11-1</f>
        <v>-0.8201455715762439</v>
      </c>
    </row>
    <row r="12" spans="1:42" x14ac:dyDescent="0.25">
      <c r="A12" s="38" t="s">
        <v>9</v>
      </c>
      <c r="B12" s="81">
        <f t="shared" si="6"/>
        <v>1815101</v>
      </c>
      <c r="C12" s="81">
        <v>610727</v>
      </c>
      <c r="D12" s="81">
        <f t="shared" si="7"/>
        <v>2425302</v>
      </c>
      <c r="E12" s="82">
        <f t="shared" ref="E12:E16" si="10">B12/C12-1</f>
        <v>1.9720333307680846</v>
      </c>
      <c r="F12" s="82">
        <f t="shared" ref="F12:F16" si="11">B12/D12-1</f>
        <v>-0.25159794532804569</v>
      </c>
      <c r="G12" s="100"/>
      <c r="H12" s="97">
        <v>1798284</v>
      </c>
      <c r="I12" s="97">
        <v>604241</v>
      </c>
      <c r="J12" s="97">
        <v>2317427</v>
      </c>
      <c r="K12" s="82">
        <f t="shared" ref="K12:K14" si="12">H12/I12-1</f>
        <v>1.9761039055608607</v>
      </c>
      <c r="L12" s="82">
        <f t="shared" ref="L12:L14" si="13">H12/J12-1</f>
        <v>-0.22401698090166378</v>
      </c>
      <c r="M12" s="100"/>
      <c r="N12" s="97">
        <v>16817</v>
      </c>
      <c r="O12" s="97">
        <v>6486</v>
      </c>
      <c r="P12" s="97">
        <v>107875</v>
      </c>
      <c r="Q12" s="82">
        <f t="shared" si="8"/>
        <v>1.5928152944804195</v>
      </c>
      <c r="R12" s="82">
        <f t="shared" ref="R12:R14" si="14">N12/P12-1</f>
        <v>-0.84410660486674394</v>
      </c>
    </row>
    <row r="13" spans="1:42" x14ac:dyDescent="0.25">
      <c r="A13" s="50" t="s">
        <v>10</v>
      </c>
      <c r="B13" s="83">
        <f t="shared" si="6"/>
        <v>1703987</v>
      </c>
      <c r="C13" s="83">
        <v>666601</v>
      </c>
      <c r="D13" s="83">
        <f t="shared" si="7"/>
        <v>2342812</v>
      </c>
      <c r="E13" s="84">
        <f t="shared" si="10"/>
        <v>1.5562322888804547</v>
      </c>
      <c r="F13" s="84">
        <f t="shared" si="11"/>
        <v>-0.27267446128840045</v>
      </c>
      <c r="G13" s="100"/>
      <c r="H13" s="102">
        <v>1687270</v>
      </c>
      <c r="I13" s="102">
        <v>659718</v>
      </c>
      <c r="J13" s="102">
        <v>2243585</v>
      </c>
      <c r="K13" s="94">
        <f t="shared" si="12"/>
        <v>1.5575624736629892</v>
      </c>
      <c r="L13" s="94">
        <f t="shared" si="13"/>
        <v>-0.24795806711134194</v>
      </c>
      <c r="M13" s="100"/>
      <c r="N13" s="98">
        <v>16717</v>
      </c>
      <c r="O13" s="98">
        <v>6883</v>
      </c>
      <c r="P13" s="98">
        <v>99227</v>
      </c>
      <c r="Q13" s="96">
        <f t="shared" si="8"/>
        <v>1.4287374691268342</v>
      </c>
      <c r="R13" s="96">
        <f t="shared" si="14"/>
        <v>-0.83152770919205454</v>
      </c>
    </row>
    <row r="14" spans="1:42" s="48" customFormat="1" x14ac:dyDescent="0.25">
      <c r="A14" s="44" t="s">
        <v>11</v>
      </c>
      <c r="B14" s="81">
        <f t="shared" si="6"/>
        <v>1507738</v>
      </c>
      <c r="C14" s="81">
        <v>626200</v>
      </c>
      <c r="D14" s="81">
        <f t="shared" si="7"/>
        <v>2056183</v>
      </c>
      <c r="E14" s="82">
        <f t="shared" si="10"/>
        <v>1.4077579048227404</v>
      </c>
      <c r="F14" s="82">
        <f t="shared" si="11"/>
        <v>-0.26672966365347828</v>
      </c>
      <c r="G14" s="100"/>
      <c r="H14" s="97">
        <v>1489619</v>
      </c>
      <c r="I14" s="97">
        <v>621036</v>
      </c>
      <c r="J14" s="97">
        <v>1974690</v>
      </c>
      <c r="K14" s="95">
        <f t="shared" si="12"/>
        <v>1.3986033015799406</v>
      </c>
      <c r="L14" s="95">
        <f t="shared" si="13"/>
        <v>-0.24564412641984312</v>
      </c>
      <c r="M14" s="103"/>
      <c r="N14" s="97">
        <v>18119</v>
      </c>
      <c r="O14" s="97">
        <v>5164</v>
      </c>
      <c r="P14" s="97">
        <v>81493</v>
      </c>
      <c r="Q14" s="95">
        <f t="shared" si="8"/>
        <v>2.5087141750580946</v>
      </c>
      <c r="R14" s="95">
        <f t="shared" si="14"/>
        <v>-0.77766188506988332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50" t="s">
        <v>12</v>
      </c>
      <c r="B15" s="83">
        <f t="shared" si="6"/>
        <v>1645905</v>
      </c>
      <c r="C15" s="83">
        <v>700168</v>
      </c>
      <c r="D15" s="83">
        <f t="shared" si="7"/>
        <v>2146628</v>
      </c>
      <c r="E15" s="84">
        <f t="shared" si="10"/>
        <v>1.3507286822591151</v>
      </c>
      <c r="F15" s="84">
        <f t="shared" si="11"/>
        <v>-0.2332602574828988</v>
      </c>
      <c r="G15" s="41"/>
      <c r="H15" s="66">
        <v>1622475</v>
      </c>
      <c r="I15" s="66">
        <v>692553</v>
      </c>
      <c r="J15" s="66">
        <v>2059535</v>
      </c>
      <c r="K15" s="94">
        <f t="shared" ref="K15:K16" si="15">H15/I15-1</f>
        <v>1.3427448873948999</v>
      </c>
      <c r="L15" s="94">
        <f t="shared" ref="L15:L16" si="16">H15/J15-1</f>
        <v>-0.2122129509816536</v>
      </c>
      <c r="M15" s="41"/>
      <c r="N15" s="67">
        <v>23430</v>
      </c>
      <c r="O15" s="67">
        <v>7615</v>
      </c>
      <c r="P15" s="67">
        <v>87093</v>
      </c>
      <c r="Q15" s="96">
        <f t="shared" si="8"/>
        <v>2.0768220617202888</v>
      </c>
      <c r="R15" s="96">
        <f t="shared" ref="R15:R16" si="17">N15/P15-1</f>
        <v>-0.73097723123557579</v>
      </c>
    </row>
    <row r="16" spans="1:42" x14ac:dyDescent="0.25">
      <c r="A16" s="42" t="s">
        <v>13</v>
      </c>
      <c r="B16" s="104">
        <f>H16+N16</f>
        <v>1572472</v>
      </c>
      <c r="C16" s="81">
        <v>682517</v>
      </c>
      <c r="D16" s="81">
        <f t="shared" si="7"/>
        <v>2002821</v>
      </c>
      <c r="E16" s="82">
        <f t="shared" si="10"/>
        <v>1.3039308910986831</v>
      </c>
      <c r="F16" s="82">
        <f t="shared" si="11"/>
        <v>-0.21487142385665015</v>
      </c>
      <c r="G16" s="41"/>
      <c r="H16" s="65">
        <v>1542370</v>
      </c>
      <c r="I16" s="65">
        <v>673401</v>
      </c>
      <c r="J16" s="65">
        <v>1919313</v>
      </c>
      <c r="K16" s="95">
        <f t="shared" si="15"/>
        <v>1.2904183391471054</v>
      </c>
      <c r="L16" s="95">
        <f t="shared" si="16"/>
        <v>-0.19639475166374631</v>
      </c>
      <c r="M16" s="41"/>
      <c r="N16" s="65">
        <v>30102</v>
      </c>
      <c r="O16" s="65">
        <v>9116</v>
      </c>
      <c r="P16" s="65">
        <v>83508</v>
      </c>
      <c r="Q16" s="95">
        <f t="shared" si="8"/>
        <v>2.3021061869240893</v>
      </c>
      <c r="R16" s="95">
        <f t="shared" si="17"/>
        <v>-0.63953154188820238</v>
      </c>
    </row>
    <row r="17" spans="1:18" x14ac:dyDescent="0.25">
      <c r="A17" s="50" t="s">
        <v>14</v>
      </c>
      <c r="B17" s="83">
        <f t="shared" si="6"/>
        <v>1549805</v>
      </c>
      <c r="C17" s="83">
        <f>SUM(I17,O17)</f>
        <v>608847</v>
      </c>
      <c r="D17" s="83">
        <f t="shared" si="7"/>
        <v>2131289</v>
      </c>
      <c r="E17" s="84">
        <f t="shared" ref="E17" si="18">B17/C17-1</f>
        <v>1.5454753000343273</v>
      </c>
      <c r="F17" s="84">
        <f t="shared" ref="F17" si="19">B17/D17-1</f>
        <v>-0.27283207486173855</v>
      </c>
      <c r="G17" s="41"/>
      <c r="H17" s="66">
        <v>1510517</v>
      </c>
      <c r="I17" s="66">
        <v>599224</v>
      </c>
      <c r="J17" s="66">
        <v>2044005</v>
      </c>
      <c r="K17" s="94">
        <f t="shared" ref="K17" si="20">H17/I17-1</f>
        <v>1.5207885531954664</v>
      </c>
      <c r="L17" s="94">
        <f t="shared" ref="L17" si="21">H17/J17-1</f>
        <v>-0.26100131848992547</v>
      </c>
      <c r="M17" s="41"/>
      <c r="N17" s="67">
        <v>39288</v>
      </c>
      <c r="O17" s="67">
        <v>9623</v>
      </c>
      <c r="P17" s="67">
        <v>87284</v>
      </c>
      <c r="Q17" s="96">
        <f t="shared" ref="Q17" si="22">N17/O17-1</f>
        <v>3.0827184869583286</v>
      </c>
      <c r="R17" s="96">
        <f t="shared" ref="R17" si="23">N17/P17-1</f>
        <v>-0.54988314009440442</v>
      </c>
    </row>
    <row r="18" spans="1:18" x14ac:dyDescent="0.25">
      <c r="A18" s="38" t="s">
        <v>35</v>
      </c>
      <c r="B18" s="85">
        <f>SUM(B6:B17)</f>
        <v>15578920</v>
      </c>
      <c r="C18" s="85">
        <f>SUM(C6:C17)</f>
        <v>9238882</v>
      </c>
      <c r="D18" s="85">
        <f>SUM(D6:D17)</f>
        <v>25215205</v>
      </c>
      <c r="E18" s="82">
        <f>B18/C18-1</f>
        <v>0.6862343300845275</v>
      </c>
      <c r="F18" s="82">
        <f>B18/D18-1</f>
        <v>-0.38216167586184602</v>
      </c>
      <c r="G18" s="41"/>
      <c r="H18" s="85">
        <f>SUM(H6:H17)</f>
        <v>15368821</v>
      </c>
      <c r="I18" s="85">
        <f>SUM(I6:I17)</f>
        <v>8991533</v>
      </c>
      <c r="J18" s="85">
        <f>SUM(J6:J17)</f>
        <v>24161433</v>
      </c>
      <c r="K18" s="82">
        <f>H18/I18-1</f>
        <v>0.70925480671649654</v>
      </c>
      <c r="L18" s="82">
        <f>H18/J18-1</f>
        <v>-0.36391103127037205</v>
      </c>
      <c r="M18" s="41"/>
      <c r="N18" s="85">
        <f>SUM(N6:N17)</f>
        <v>210099</v>
      </c>
      <c r="O18" s="85">
        <f>SUM(O6:O17)</f>
        <v>247349</v>
      </c>
      <c r="P18" s="85">
        <f>SUM(P6:P17)</f>
        <v>1053772</v>
      </c>
      <c r="Q18" s="82">
        <f>N18/O18-1</f>
        <v>-0.15059692984406647</v>
      </c>
      <c r="R18" s="82">
        <f>N18/P18-1</f>
        <v>-0.8006219561726825</v>
      </c>
    </row>
    <row r="19" spans="1:18" x14ac:dyDescent="0.25">
      <c r="A19" s="37"/>
      <c r="B19" s="37"/>
      <c r="C19" s="37"/>
      <c r="G19" s="41"/>
      <c r="H19" s="41"/>
    </row>
    <row r="20" spans="1:18" x14ac:dyDescent="0.25">
      <c r="A20" s="43" t="s">
        <v>44</v>
      </c>
      <c r="B20" s="43"/>
      <c r="C20" s="58"/>
      <c r="J20" s="39" t="s">
        <v>50</v>
      </c>
      <c r="K20" s="39"/>
      <c r="O20" s="39"/>
      <c r="P20" s="39"/>
    </row>
    <row r="21" spans="1:18" x14ac:dyDescent="0.25">
      <c r="A21" s="2" t="s">
        <v>49</v>
      </c>
      <c r="B21" s="2"/>
      <c r="O21" s="39"/>
      <c r="P21" s="49"/>
    </row>
    <row r="23" spans="1:18" x14ac:dyDescent="0.25">
      <c r="C23" s="29"/>
      <c r="D23" s="29"/>
      <c r="E23" s="29"/>
      <c r="F23" s="29"/>
    </row>
    <row r="24" spans="1:18" x14ac:dyDescent="0.25">
      <c r="J24" s="33" t="s">
        <v>48</v>
      </c>
    </row>
  </sheetData>
  <mergeCells count="4">
    <mergeCell ref="A1:Q1"/>
    <mergeCell ref="N3:R3"/>
    <mergeCell ref="H3:L3"/>
    <mergeCell ref="B3:F3"/>
  </mergeCells>
  <phoneticPr fontId="17" type="noConversion"/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CA Totals</vt:lpstr>
      <vt:lpstr>Los Angeles</vt:lpstr>
      <vt:lpstr>Burbank</vt:lpstr>
      <vt:lpstr>Long Beach</vt:lpstr>
      <vt:lpstr>Ontario</vt:lpstr>
      <vt:lpstr>Orange County</vt:lpstr>
      <vt:lpstr>Oakland</vt:lpstr>
      <vt:lpstr>Sacramento</vt:lpstr>
      <vt:lpstr>San Diego</vt:lpstr>
      <vt:lpstr>San Jose</vt:lpstr>
      <vt:lpstr>San Francisco</vt:lpstr>
      <vt:lpstr>High Low stats</vt:lpstr>
      <vt:lpstr>Burbank!Print_Area</vt:lpstr>
      <vt:lpstr>'CA Totals'!Print_Area</vt:lpstr>
      <vt:lpstr>'High Low stats'!Print_Area</vt:lpstr>
      <vt:lpstr>'Long Beach'!Print_Area</vt:lpstr>
      <vt:lpstr>'Los Angeles'!Print_Area</vt:lpstr>
      <vt:lpstr>Oakland!Print_Area</vt:lpstr>
      <vt:lpstr>Ontario!Print_Area</vt:lpstr>
      <vt:lpstr>'Orange County'!Print_Area</vt:lpstr>
      <vt:lpstr>Sacramento!Print_Area</vt:lpstr>
      <vt:lpstr>'San Francisco'!Print_Area</vt:lpstr>
      <vt:lpstr>'San Jose'!Print_Area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temp1</dc:creator>
  <cp:lastModifiedBy>Microsoft Office User</cp:lastModifiedBy>
  <cp:lastPrinted>2019-08-08T15:34:37Z</cp:lastPrinted>
  <dcterms:created xsi:type="dcterms:W3CDTF">2008-12-18T23:04:54Z</dcterms:created>
  <dcterms:modified xsi:type="dcterms:W3CDTF">2022-02-27T17:18:46Z</dcterms:modified>
</cp:coreProperties>
</file>